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<sst xmlns="http://schemas.openxmlformats.org/spreadsheetml/2006/main" count="89930" uniqueCount="14547">
  <si>
    <t xml:space="preserve">מספר כנסת</t>
  </si>
  <si>
    <t xml:space="preserve">תקופה</t>
  </si>
  <si>
    <t xml:space="preserve">סוג הצעת חוק</t>
  </si>
  <si>
    <t xml:space="preserve">קישור</t>
  </si>
  <si>
    <t xml:space="preserve">שם</t>
  </si>
  <si>
    <t xml:space="preserve">מספר פרטית</t>
  </si>
  <si>
    <t xml:space="preserve">מספר חוברת לקריאה ראשונה</t>
  </si>
  <si>
    <t xml:space="preserve">מספר חוברת בספר החוקים</t>
  </si>
  <si>
    <t xml:space="preserve">הערות</t>
  </si>
  <si>
    <t xml:space="preserve">סטטוס</t>
  </si>
  <si>
    <t xml:space="preserve">ועדה מטפלת</t>
  </si>
  <si>
    <t xml:space="preserve">מקום הדיון</t>
  </si>
  <si>
    <t xml:space="preserve">דיון אחרון</t>
  </si>
  <si>
    <t xml:space="preserve">תקציר לחוק שהתקבל</t>
  </si>
  <si>
    <t xml:space="preserve"/>
  </si>
  <si>
    <t xml:space="preserve">ממשלתית</t>
  </si>
  <si>
    <t xml:space="preserve">חוק לתיקון פקודת בתי הסוהר (הארכת הוראות שעה) (תיקוני חקיקה), התשפ"ו-2026</t>
  </si>
  <si>
    <t xml:space="preserve"> (מ/1960)</t>
  </si>
  <si>
    <t xml:space="preserve">התקבלה בקריאה שלישית</t>
  </si>
  <si>
    <t xml:space="preserve">הוועדה לביטחון לאומי</t>
  </si>
  <si>
    <t xml:space="preserve">ועדה</t>
  </si>
  <si>
    <t xml:space="preserve">28.07.2026</t>
  </si>
  <si>
    <t xml:space="preserve">הצעת חוק לעידוד פעילות בשוק ההון (תיקוני חקיקה), התשפ"ו-2026</t>
  </si>
  <si>
    <t xml:space="preserve"> (מ/1773)</t>
  </si>
  <si>
    <t xml:space="preserve">ועדת הכספים</t>
  </si>
  <si>
    <t xml:space="preserve">חוק נוכחות עורך דין בחקירת קטינים ואנשים עם מוגבלות (תיקוני חקיקה והוראת שעה), התשפ"ו-2026</t>
  </si>
  <si>
    <t xml:space="preserve"> (מ/1839)</t>
  </si>
  <si>
    <t xml:space="preserve">ועדת החוקה, חוק ומשפט</t>
  </si>
  <si>
    <t xml:space="preserve">חוק לתיקון פקודת העיריות (מס' 163), התשפ"ו–2026</t>
  </si>
  <si>
    <t xml:space="preserve"> (מ/1924)</t>
  </si>
  <si>
    <t xml:space="preserve">ועדת הפנים והגנת הסביבה</t>
  </si>
  <si>
    <t xml:space="preserve">חוק התכנון והבנייה (תיקון מס' 170), התשפ"ו-2026</t>
  </si>
  <si>
    <t xml:space="preserve">חוק לתיקון ולהארכת תוקפן של תקנות שעת חירום (חרבות ברזל) (הארכת מעצר לחשוד בעבירת בטחון) (תיקון מס' 9), התשפ"ו-2026</t>
  </si>
  <si>
    <t xml:space="preserve"> (מ/1963)</t>
  </si>
  <si>
    <t xml:space="preserve">חוק לתיקון ולהארכת תוקפן של תקנות שעת חירום (חרבות ברזל) (פגישה עם עורך דין של עצור בעבירת ביטחון) (תיקון מס' 8), התשפ"ו-2026.</t>
  </si>
  <si>
    <t xml:space="preserve"> (מ/1962)</t>
  </si>
  <si>
    <t xml:space="preserve">הצעת חוק שירות הקבע בצבא הגנה לישראל (גימלאות) (תיקון מס' 39), התשפ"ו-2026</t>
  </si>
  <si>
    <t xml:space="preserve"> (מ/1951)</t>
  </si>
  <si>
    <t xml:space="preserve">הכנה לקריאה שנייה ושלישית</t>
  </si>
  <si>
    <t xml:space="preserve">ועדת החוץ והביטחון</t>
  </si>
  <si>
    <t xml:space="preserve">חוק מימון מפלגות (תיקון מס' 46 – הוראת שעה), התשפ"ו–2026</t>
  </si>
  <si>
    <t xml:space="preserve"> (כ/1207)</t>
  </si>
  <si>
    <t xml:space="preserve">ועדת הכנסת</t>
  </si>
  <si>
    <t xml:space="preserve">16.07.2026</t>
  </si>
  <si>
    <t xml:space="preserve">הצעת חוק הביטוח הלאומי  (תיקון מס' 268) (הסעת יולדת באמבולנס), התשפ"ו–2026</t>
  </si>
  <si>
    <t xml:space="preserve"> (מ/1968)</t>
  </si>
  <si>
    <t xml:space="preserve">ועדת העבודה והרווחה</t>
  </si>
  <si>
    <t xml:space="preserve">חוק הבחירות לכנסת העשרים ושש (הוראות מיוחדות ותיקוני חקיקה), התשפ"ו-2026</t>
  </si>
  <si>
    <t xml:space="preserve"> (כ/1209)</t>
  </si>
  <si>
    <t xml:space="preserve">15.07.2026</t>
  </si>
  <si>
    <t xml:space="preserve">חוק הבחירות לכנסת ה-26 נחקק על רקע מצב ביטחוני מיוחד ועל כן נקבעו בו הוראות שעה ייחודיות, ובהן: נקבע הסדר הצבעה ייעודי לתושבים שהתפנו מבתיהם עקב המצב הביטחוני, הוענקו סמכויות מיוחדות ליושב ראש ועדת הבחירות המרכזית לקבוע הוראות הנוגעות להתנהלות הבחירות בעת חירום, נקבעו הקלות בנוגע להעסקת עובדי רשויות ציבוריות בוועדות הבחירות, וכן התאפשרה גמישות בנושא המכרזים עבור ועדת הבחירות המרכזית. בנוסף לכך, נקבעו בחוק מספר תיקוני קבע בתחומים שונים, וביניהם: יושב ראש ועדת הבחירות הוסמך לקבוע אגרות שייגבו עבור הגשת הליכים משפטיים מסוימים המובאים בפניו, והוסמך בנוסף גם למחוק מרשימת מועמדים לכנסת מועמד שאינו כשיר להתמודד מסיבות טכניות. בתחום התעמולה, נקבע כי חובת השקיפות בנוגע לזהות המפרסם של מודעת בחירות תחול בכל עת ולא רק בתקופת בחירות, וכי צילום כשלעצמו בלשכת נבחר ציבור לא ייחשב כשימוש אסור בנכסי ציבור. בנוסף, בשל הנגישות שקיימת היום ליצור ולערוך תוכן, בין השאר תוך שימוש בבינה מלאכותית, נקבעה הוראת שעה ובה חובת שקיפות חדשה. לפי הוראה זו, מי שמפרסם תעמולת בחירות שנוצרה או שנערכה באופן מהותי באמצעים דיגיטליים, אך כוללת תוכן שעשוי להיחזות כאילו תועד במקור כמו הצגה של דמות מקום או אירוע, חייב לצרף גילוי ברור ובולט שיבהיר לציבור שהתוכן שבתעמולה לא תועד במקור.</t>
  </si>
  <si>
    <t xml:space="preserve">פרטית</t>
  </si>
  <si>
    <t xml:space="preserve">חוק הנכים (תגמולים ושיקום) (תיקון מס' 35), התשפ"ו–2026</t>
  </si>
  <si>
    <t xml:space="preserve"> (פ/4709/25)</t>
  </si>
  <si>
    <t xml:space="preserve"> (כ/1210)</t>
  </si>
  <si>
    <t xml:space="preserve">חוק התקשורת (שידורים), התשפ"ו-2026</t>
  </si>
  <si>
    <t xml:space="preserve"> (מ/1898)</t>
  </si>
  <si>
    <t xml:space="preserve">הוועדה לדיון בהצעת חוק התקשורת (שידורים), התשפ"ו-2025 (מ/1898)</t>
  </si>
  <si>
    <t xml:space="preserve">13.07.2026</t>
  </si>
  <si>
    <t xml:space="preserve">חוק היועץ המשפטי לממשלה (חוות דעת, ייצוג ופיקוח), התשפ"ו–2026</t>
  </si>
  <si>
    <t xml:space="preserve"> (פ/877/25)</t>
  </si>
  <si>
    <t xml:space="preserve"> (כ/1192)</t>
  </si>
  <si>
    <t xml:space="preserve">החוק קובע כי היועץ המשפטי לממשלה ייתן חוות דעת ועצה משפטית בענייני חוק ומשפט לכל גורמי הרשות המבצעת, ויסייע לממשלה להגשים את מדיניותה ויעדיה במסגרת הדין, להשליט חוק ומשפט ברשות המבצעת ולהנהיג בה אחידות ותיאום בפרשנות הדין. עוד קובע החוק כי גורמי הרשות המבצעת יראו חוות דעת משפטית בכתב שנתן היועץ המשפטי לממשלה כמשקפת את הדין הקיים, ואולם הממשלה רשאית להחליט כי היא או גורמים אחרים ברשות המבצעת אינם חייבים לראותה כך, למעט לעניין הפעלת סמכויות בתחום המשפט הפלילי.  בנוסף, החוק קובע כי היועץ המשפטי לממשלה יציג את עמדת הרשות המבצעת בהליכים בפני בית משפט, וכי הסמכות לקבוע את עמדת הרשות המבצעת נתונה בידי הממשלה; העמדה תיקבע בידי היועץ המשפטי לממשלה, אלא אם כן קבעה הממשלה עמדה אחרת. עוד קובע החוק כי במקרים שבהם היועץ סבור שלא ניתן להציג את עמדת הרשות המבצעת, או שהשר הנוגע בדבר סבור כי העמדה אינה מוצגת או לא תוצג כראוי באמצעות היועץ המשפטי לממשלה, רשאית הממשלה לקבוע כי העמדה תוצג באמצעות עורך דין אחר. במצב כזה, ככלל, היועץ לא יוכל להתייצב אלא אם קיבל אישור. הוראות אלה אינן חלות על הליכים בתחום המשפט הפלילי, על סמכויות שהוקנו ליועץ בחיקוק ועל ייצוג גורמים המפעילים סמכות שיפוטית או מעין-שיפוטית.  עוד קובע החוק כי היועץ המשפטי לממשלה יהיה עצמאי בשיקוליו ובהחלטותיו, ובעניינים הנוגעים לתחום המשפט הפלילי לא תהיה עליו מרות זולת מרותו של הדין. החוק קובע כי היועץ נושא באחריות למילוי תפקידו בפני הממשלה ונתון לפיקוחו של שר המשפטים, וכן מסדיר את חובות הדיווח שלו לשר ואת החריגים לחובות אלה. תחילתו של החוק ביום 1 בינואר 2027. נקבע כי בתוך 30 ימים מיום תחילתו של חוק זה, תקבל הממשלה החלטה בהתאם לסמכותה לפי סעיף 5 לחוק שירות המדינה (מינויים), התשי"ט–1959. </t>
  </si>
  <si>
    <t xml:space="preserve">חוק שירות ביטחון (תיקון מס' 28 - הוראת שעה), התשפ"ו-2026</t>
  </si>
  <si>
    <t xml:space="preserve"> (מ/1502)</t>
  </si>
  <si>
    <t xml:space="preserve">חוק שירות ביטחון מסדיר את חובת השירות בצבא הגנה לישראל. במסגרת חוק שירות ביטחון (תיקון מס' 28 – הוראת שעה), התשפ"ו-2026, ולנוכח תחילתם של מעצרים בקרב תלמידי ישיבות בשל היעדר הסדר לדחיית שירותם, נקבע מנגנון ייעודי להקפאת הליכי מעצר, חקירה ואכיפה כלפי מיועדים לשירות ביטחון שהם תלמידי ישיבות, בגין עבירות היעדרות מהשירות. בנוסף, נקבע כי אם המיועד כבר הועמד לדין – יופסקו ההליכים נגדו. ההסדר נקבע כהוראת שעה שתעמוד בתוקפה עד ליום כ' בכסלו התשפ"ז (30 בנובמבר 2026). תחולת ההסדר על מיועד לשירות מותנית בעמידה בתנאים, תוך הבחנה בין שתי תקופות: לגבי התקופה שמיום פקיעת ההסדר הקודם, י"ב בתמוז התשפ"ג (1 ביולי 2023), ועד ליום כניסתה של הוראת השעה לתוקף, יחול ההסדר על מיועד לשירות שיוכיח כי למד לימודים תורניים באופן סדיר בהיקף שלא יפחת מ-45 שעות שבועיות, או 40 שעות שבועיות למי שלומד בכולל, ושבעניינו הוגש תצהיר מטעם ראש הישיבה שבה הוא לומד המעיד על עמידתו בתנאי זה. מיום תחילתה של הוראת השעה ואילך, יחול ההסדר על מי שיעמוד בתנאי הלימודים כאמור וכן בתנאי היעדר עיסוק נוסף. החוק קובע כי בקשות להקפאת הליכים יוגשו באופן מקוון בתוך 30 ימים מיום כניסתה לתוקף של הוראת השעה. כמו כן, נקבע כי שר הביטחון יגבש את רשימת הישיבות שייכללו בהסדר, בהתחשב בהמלצת ועד הישיבות בארץ ישראל. בנוסף, נקבע כי ראש המטה הכללי יקים ועדה צבאית ייעודית שתכלול שלושה קצינים בכירים, אשר תבחן באופן פרטני את התקיימות התנאים במבקשים. בראש הוועדה יעמוד קצין בדרגת אלוף-משנה לפחות, שימנה הפרקליט הצבאי הראשי, ולצידו שני קצינים בדרגת סגן-אלוף לפחות, שימנה ראש אגף כוח אדם בצה"ל. בהקשר זה, מובהר בחוק כי עצם הגשת הבקשה להקפאת הליכים או החלטת הוועדה בעניינה לא ייחשבו כבקשה לפטור משירות או כהסדרת מעמד לפי כל דין. לשם פיקוח ובקרה, הוסמך שר הביטחון למנות בודקים לעריכת ביקורות בישיבות, והוא רשאי להסמיך כבודקים גם את בודקי משרד החינוך בעלי ניסיון בתחום זה, ולהסתייע במנגנון הביקורות של משרד החינוך. עוד קובע החוק כי ישיבה שבה תתגלה אי-נוכחות חוזרת של 20% או יותר מתלמידיה תקבל התראה, וככל שההיעדרות תימשך, תוסר מרשימת הישיבות המוכרות, ולתלמידיה תינתן הזדמנות להירשם בישיבה אחרת. לבסוף, מעגן החוק חובת דיווח שלפיה שר הביטחון ידווח לוועדת החוץ והביטחון של הכנסת אחת לחודשיים על מספר הבודקים שהוסמכו, הביקורות שבוצעו ותוצאותיהן, וההתראות שניתנו לישיבות ותוצאותיהן.</t>
  </si>
  <si>
    <t xml:space="preserve">חוק שירות ביטחון (תיקון מס' 29 - הוראת שעה), התשפ"ו-2026</t>
  </si>
  <si>
    <t xml:space="preserve"> (מ/1778)</t>
  </si>
  <si>
    <t xml:space="preserve">חוק שירות ביטחון מסדיר את חובת השירות ומשך השירות הסדיר בצבא הגנה לישראל. במסגרת תיקונים קודמים לחוק, נקבע כי משך השירות לגברים שמתגייסים החל מ-1 ביולי 2024 יקוצר ל-30 חודשים במקום 32 חודשים. כעת, על רקע מלחמת "חרבות ברזל" והצורך המבצעי שהתעורר בעקבותיה, נקבע במסגרת חוק שירות ביטחון (תיקון מס' 29 – הוראת שעה), התשפ"ו–2026, כהוראת שעה עד ליום י"ז בתמוז התשפ"ט (30 ביוני 2029), כי תקופת השירות הסדיר של יוצא צבא גבר תעמוד על 32 חודשים, במקום 30 חודשים. עוד נקבע כי הארכה זו תחול גם על כל יוצא צבא שכבר מצוי בשירות סדיר ביום פרסומו של החוק. כמו כן, כדי לאזן את הפגיעה באינטרס ההסתמכות של החיילים שהתגייסו לשירות מקוצר וכעת שירותם מוארך, מעגן החוק מנגנון תגמול ייעודי: ליוצא צבא שנקרא מראש לשירות סדיר של 30 חודשים ישולמו דמי קיום מוגדלים בעד החודש השלושים ואחד ועד תום החודש השלושים ושניים לשירותו. לעניין זה, החוק קובע כי מי שנקרא לשירות בתקופה שמיום כ"ה בסיוון התשפ"ד (1 ביולי 2024) עד יום ד' בתמוז התשפ"ה (30 ביוני 2025), יהיה זכאי, בחודשי ה-31 וה-32 לשירותם, לדמי קיום בגובה כפל דמי הקיום הקבועים לפי פקודות הצבא; ואילו לגבי חיילים שנקראו לשירות בתקופה שמיום ה' בתמוז התשפ"ה (1 ביולי 2025) עד יום ט"ו בתמוז התשפ"ו (30 ביוני 2026), דמי הקיום שלהם בחודשים אלה יוגדלו ב-75%.</t>
  </si>
  <si>
    <t xml:space="preserve">חוק ההתיישנות (תיקון מס' 10), התשפ"ו–2026</t>
  </si>
  <si>
    <t xml:space="preserve"> (פ/2568/25)</t>
  </si>
  <si>
    <t xml:space="preserve"> (כ/1200)</t>
  </si>
  <si>
    <t xml:space="preserve">התיקון דוחה את מועד תחילת תקופת ההתיישנות החלה על הזכות להגיש תובענה אזרחית בשל התעללות שבוצעה בקטין, או תקיפה מינית שבוצעה בבגיר שטרם הגיע לגיל 21, על ידי בן או בת דודו או דודתו שמלאו להם 15 שנים במועד הפגיעה. למעשה, באמצעות הכללת בני דודים כאמור בהגדרת "בן משפחה" בסעיף 18א(ב) לחוק, התיקון מאפשר לנפגעים אלו להגיש תביעה אזרחית עד הגיעם לגיל 35, בדומה לזכות הקיימת למי שנפגע באופן האמור מאחיו, מדודו או מגיסו.</t>
  </si>
  <si>
    <t xml:space="preserve">חוק איסור הונאה בכשרות (תיקון מס' 5), התשפ"ו-2026</t>
  </si>
  <si>
    <t xml:space="preserve"> (מ/1957)</t>
  </si>
  <si>
    <t xml:space="preserve">הוועדה למיזמים ציבוריים</t>
  </si>
  <si>
    <t xml:space="preserve">הצעת חוק המרכז להנצחת זכרו של רבי נחמן מברסלב, התשפ"ו-2026</t>
  </si>
  <si>
    <t xml:space="preserve"> (פ/6580/25)</t>
  </si>
  <si>
    <t xml:space="preserve"> (כ/1212)</t>
  </si>
  <si>
    <t xml:space="preserve">ועדת החינוך התרבות והספורט</t>
  </si>
  <si>
    <t xml:space="preserve">חוק שמירת הניקיון (תיקון מס' 27 והוראת שעה), התשפ"ו-2026</t>
  </si>
  <si>
    <t xml:space="preserve"> (מ/1612)</t>
  </si>
  <si>
    <t xml:space="preserve">החוק קובע הסדר מקיף להובלה וטיפול בפסולת בישראל.  על פי החוק, יוקם מרשם לעוסקים בפסולת, לכלי אצירה ולרכבי הובלה, ופעולות של פינוי, הובלה וטיפול בפסולת יחויבו ברישום או ברישיון מתאים. בנוסף, מובילי פסולת יחויבו להשתמש בכלי רכב וכלי אצירה רשומים, שיישאו אמצעי איכון ובקרה ויחוברו למערכת מקוונת שתאפשר מעקב אחר מסלול הפסולת מנקודת האיסוף ועד לאתר הטיפול. הוראות החוק יחולו בשלב הראשון רק לעניין פסולת בניין ובהמשך ניתן יהיה להרחיבם בחקיקה ראשית. החוק קובע מנגנונים שיבטיחו את הבאת הפסולת לאתרי טיפול מוסדרים. כן קובע החוק שתשלומים עבור טיפול בפסולת בניין יבוצעו רק באמצעות מנגנון תשלומים ייעודי. בנוסף, החוק קובע הסדר מיוחד לכמויות קטנות של פסולת בניין, כך שתושבים יוכלו למסור פסולת בכמות מוגבלת לרשות המקומית או לאתר ריכוז שהרשות תקבע ובמקביל חובה על רשויות מקומיות להקים ולהפעיל אתרים לריכוז פסולת קטנה או לפנות ישירות מתושבי הרשות.  בנוסף, החוק מחזק את כלי האכיפה: נקבעו עבירות ועיצומים כספיים על הפרות והורחבו סמכויות לפקחי הרשות המקומית לעניין עבירות מסוימות.</t>
  </si>
  <si>
    <t xml:space="preserve">חוק נתוני אשראי (תיקון מס' 6), התשפ"ו–2026</t>
  </si>
  <si>
    <t xml:space="preserve">ועדת הכלכלה</t>
  </si>
  <si>
    <t xml:space="preserve">חוק הגנת הצרכן (תיקון מס' 74), התשפ"ו-2026</t>
  </si>
  <si>
    <t xml:space="preserve"> (מ/1767)</t>
  </si>
  <si>
    <t xml:space="preserve">חוק להנצחת זכרה של גולדה מאיר, התשפ"ו–2026</t>
  </si>
  <si>
    <t xml:space="preserve"> (פ/2359/25)</t>
  </si>
  <si>
    <t xml:space="preserve"> (כ/1188)</t>
  </si>
  <si>
    <t xml:space="preserve">החוק מקים מרכז להנצחת גולדה מאיר, שהיתה ראשת הממשלה של מדינת ישראל בין השנים 1969 ל-1974. המרכז יכלול אתר הנצחה ומוזאון, וכן מכון מחקר וארכיון אם יוחלט להקימם. המרכז יעסוק בהנצחת פועלה ומורשתה של גולדה מאיר, וכן במחקר על מנהיגות נשים ועל מדינאות ככלי לחיזוק הביטחון. החוק מסדיר את מבנה המרכז, מוסדותיו, דרכי הפיקוח עליו ותקציבו, ואת הרכב מועצת המרכז, וקובע כי בשתי תקופות הכהונה הראשונות תעמוד אישה בראש המועצה. נוסף על כך, יום ח' בכסלו, יום פטירתה של גולדה מאיר, יהיה יום זיכרון שיצוין בטקסים, בפעילויות חינוכיות ובדיון מיוחד בכנסת. ראש הממשלה ידווח לכנסת מדי שנה על פעילות המרכז.</t>
  </si>
  <si>
    <t xml:space="preserve">חוק זיכרון הטבח והנצחת הגבורה ביום כ"ב בתשרי (שמחת תורה) – 7 באוקטובר, התשפ"ו–2026</t>
  </si>
  <si>
    <t xml:space="preserve"> (מ/1906)</t>
  </si>
  <si>
    <t xml:space="preserve">החוק נועד לשמר את זיכרון הטבח ולהנציח את מעשי הגבורה שאירעו ב־7 באוקטובר ובימים הסמוכים. לשם כך נקבע יום זיכרון ממלכתי, ותוקם רשות זיכרון שתפעל להנצחת האירועים ולמימוש מטרות החוק. לצד הרשות תפעל מועצה ציבורית שבה ישתתפו, בין היתר, נציגי משפחות החטופים, המשפחות השכולות, שורדי הטבח והרשויות המקומיות. עוד יוקמו אתר הנצחה וזיכרון לאומי ומוזיאון בנגב המערבי, ויישמר ויתועד מידע על האירועים כדי להנגישו לציבור.</t>
  </si>
  <si>
    <t xml:space="preserve">חוק התקנים (תיקון מס' 21), התשפ"ו-2026</t>
  </si>
  <si>
    <t xml:space="preserve"> (מ/1922)</t>
  </si>
  <si>
    <t xml:space="preserve">מטרתו העיקרית של התיקון לחוק היא לאפשר מסלול נוסף לייבוא, ייצור או מכירה של מצרכים שחל עליהם תקן רשמי, באמצעות הסתמכות על עמידה בדרישות האסדרה הפדרלית בארה"ב שתאומץ לתוך הדין הישראלי ומפורטת בתוספת השמינית לחוק התקנים, וזאת כתחליף לחובה לעמוד בדרישות התקינה הישראלית ("מה שטוב לארה"ב, טוב לישראל"). התיקון לחוק קובע שעוסק רשאי לבחור ב"מסלול אמריקאי", כלומר, לייצר, למכור ולייבא מצרכים או ליישם תהליכי עבודה העומדים בדרישות האסדרה האמריקאית, כאשר לעניין מצרכים, התנאי הוא שהם מיוצרים בארה"ב או בישראל ושהעוסק מחזיק בחשבונית הצהרה המעידה על מקורם או במסמך אחר שיקבע בצו שר הכלכלה והתעשייה (להלן – השר). כמו כן, התיקון לחוק קובע שהמסלול האמריקאי האמור לא יחול על מוצרי מזון, על רכב מנועי ועל מוצרים ותהליכי עבודה בתחום כיבוי האש, אשר הוחרגו גם מתחולת ההסדר המאפשר הסתמכות על דרישות אסדרה אירופית מאומצת ("מה שטוב לאירופה, טוב לישראל").  ההסדר שנקבע בעניין אימוץ אסדרה פדרלית אמריקאית דומה במאפייניו להסדר הקיים בחוק התקנים לעניין אימוץ אסדרה אירופית. בנוסף, התיקון לחוק כולל גם הוראות הנובעות מהפקת לקחים בעקבות יישום הרפורמה בעניין אימוץ אסדרה אירופית שנכנסה לתוקף בינואר 2025. כמו כן, התיקון לחוק קובע חריגים ופטורים לחובה לעמוד בדרישות התקינה (ישראליות וזרות): ראשית, נקבע חריג לחובה למלא אחר דרישות התקינה אם מדובר על מצרכים המיועדים לשמש לפעילות ביטחונית בעבור תעשייה ביטחונית או בעבור ספקים ומפעלים המייצרים או מתחזקים ציוד ביטחוני, וזאת למעט מיתקני גז ולמעט חיבור מבנים או מיתקנים לתשתיות מסוגים מסוימים. שנית, התיקון לחוק מסמיך את השר, בהסכמת שר האנרגיה והתשתיות, לפטור מהחובה למלא אחר דרישות התקינה מצרכים המיועדים להפקת נפט בים, אם נוכח כי לא נשקפת ממתן הפטור סכנה לשלום הציבור, לבטיחותו או לאיכות הסביבה, וזאת לבקשת בעל רישיון או בעל שטר חזקה לפי חוק הנפט. שלישית, התיקון לחוק מסמיך את השר להאריך במקרים מיוחדים את תוקפו של פטור מדרישות התקינה – שהיום ניתן לתת לתקופה שאינה עולה על  שנה – וזאת בתקופות נוספות שלא יעלו במצטבר על שנה. בנוסף, התיקון לחוק קובע הוראות שמטרתן להתמודד עם הקשיים של מעבדות בישראל לבצע בדיקות עמידה באסדרה זרה. בהתאם לכך, נקבע כי ניתן להסתמך, כראייה לאמיתות תוכנן, על תעודות בדיקה שיתנו מעבדות מוסמכות שאינן מעבדות שקיבלו אישור מהממונה על התקינה, ואשר יש להן יכולת וכשירות מקצועית לבצע בדיקות עמידה באסדרה זרה, וזאת בכפוף לתנאים המפורטים בתיקון לחוק. </t>
  </si>
  <si>
    <t xml:space="preserve">חוק משק הדלק (קווי תשתית), התשפ"ו-2026</t>
  </si>
  <si>
    <t xml:space="preserve">החוק נועד לאפשר לבעל מיתקן דלק תת קרקעי, כלומר מי שמקים או מפעיל מיתקן דלק תת קרקעי (להלן – מיתקן), שהקמתו הותרה בתכנית שאושרה לפי חוק התכנון והבנייה, או מי שפועל מטעמו, להיכנס למקרקעין שבהם נמצא המיתקן לשם ביצוע פעולות שונות הנדרשות להקמה, הפעלה או תחזוקה של המיתקן. זאת, מאחר שהספקת הדלק בישראל מתבצעת ברובה באמצעות מערכת של צנרת תת–קרקעית, העוברת לכל אורך המדינה במקרקעין שונים, שלרוב אינם בבעלותם של בעלי המיתקנים. בין היתר, החוק מאפשר לבעל המיתקן לערוך מדידות לצורך תכנון והקמת המיתקן, לבנות או להציב את המיתקן, לסלק אבן, אדמה ועץ המפריעים להקמת המיתקן, לחפור תעלות תת קרקעיות, לערוך סיורים ותצפיות ולבצע בדיקות של המיתקן וכן לעבור ברכב גם במקרקעין סמוכים. החוק קובע שכניסה למקרקעין לצורך ביצוע פעולות כאמור תותנה במתן הודעה מראש לבעל המקרקעין, ולעניין מקומות המוחזקים בידי מערכת הביטחון – יידרש גם אישור מראש של הגוף המוסמך לכך לפי דין לגבי אותו מקום. עם זאת, החוק קובע אפשרות לבצע פעולה דחופה במקרקעין אף ללא מסירת הודעה מראש לבעל המקרקעין, במקרי חירום שבהם בעל המיתקן סובר כי ביצוע הפעולה דחוף לשם מניעת סכנה לחיי אדם, לסביבה או לשם מניעת נזק משמעותי לרכוש, ואולם, אפשרות זו לא תחול לעניין מקום המוחזק בידי מערכת הביטחון. כמו כן, החוק קובע מנגנון של השגה למנהל מינהל הדלק והגז במשרד האנרגיה והתשתיות במקרים בהם בעל המקרקעין מתנגד לביצוע העבודות, וכן קובע אפשרות ערעור על החלטתו של המנהל לבית המשפט. נוסף על כך, החוק קובע שבעל מיתקן יחויב לבצע את הפעולות במקרקעין בזהירות, תוך מניעת נזק והשבת המצב לקדמותו, וכן יחויב בתשלום פיצויים לבעל המקרקעין ככל שייגרם נזק למקרקעין. </t>
  </si>
  <si>
    <t xml:space="preserve">חוק רשות מקרקעי ישראל (תיקון מס' 16), התשפ"ו–2026</t>
  </si>
  <si>
    <t xml:space="preserve"> (פ/5394/25)</t>
  </si>
  <si>
    <t xml:space="preserve"> (כ/1191)</t>
  </si>
  <si>
    <t xml:space="preserve">חוק הרשות לפיתוח הנגב (תיקון מס' 4) (תיקון  מס' 2), התשפ"ו–2026</t>
  </si>
  <si>
    <t xml:space="preserve"> (פ/3877/25)</t>
  </si>
  <si>
    <t xml:space="preserve"> (כ/1162)</t>
  </si>
  <si>
    <t xml:space="preserve">חוק לקידום הבנייה במתחמים מועדפים (הוראת שעה) (תיקון מס' 9), התשפ"ו-2026</t>
  </si>
  <si>
    <t xml:space="preserve">החוק קובע כי תוקפה של הוראת השעה בחוק לקידום הבנייה במתחמים מועדפים (ותמ"ל) יוארך בשנה נוספת, כך שלוועדה למתחמים מועדפים תהיה סמכות להמשיך לדון בתוכניות מועדפות שיוגשו וייקלטו בוועדה עד ליום 8 באוגוסט 2027. עוד קובע החוק כי יבוטל ההסדר המאפשר לשר האוצר ולשר הפנים להאריך את תוקף החוק בצו, בהמלצת ועדת הפנים והגנת הסביבה ובאישור הכנסת, וכן תימחק מהחוק הוראת ההפניה להסדר ההארכה האמור. </t>
  </si>
  <si>
    <t xml:space="preserve">חוק הכניסה לישראל (תיקון מס' 46), התשפ"ו-2026</t>
  </si>
  <si>
    <t xml:space="preserve"> (מ/1845)</t>
  </si>
  <si>
    <t xml:space="preserve">החוק קובע כי ניתן להוסיף לסמכויותיו של שר הפנים באשר להתקנות תקנות לביצוע החוק, את הסמכות לקבוע אגרה בעד הגשת בקשה לאישור מסע אלקטרוני. עוד קובע כי הכנסה מאגרה בעד הגשת בקשה לאישור מסע אלקטרוני, תוכל לשמש את רשות האוכלוסין וההגירה למימון שירות זה.</t>
  </si>
  <si>
    <t xml:space="preserve">חוק תקשורת דיגיטלית עם גופים ציבוריים (תיקון מס' 5), התשפ"ו-2026</t>
  </si>
  <si>
    <t xml:space="preserve"> (פ/3886/25)</t>
  </si>
  <si>
    <t xml:space="preserve"> (כ/1156)</t>
  </si>
  <si>
    <t xml:space="preserve">ועדת המדע והטכנולוגיה</t>
  </si>
  <si>
    <t xml:space="preserve">החוק קובע כי הביטוח הלאומי, רשות המיסים בישראל, ורשות האוכלוסין וההגירה בעת  מתן שירות דיגיטלי נפוץ לציבור, יחויבו במשלוח מסר קולי מוקלט לטלפונים שאינם יכולים לקבל מסרונים. כמו כן יחויבו גופים אלה לאסוף מידע בדבר שירותים ‏דיגיטלים שהם נותנים לציבור בשפות ערבית רוסית ואמהרית. מידע זה ייכלל בדיווח המועבר לכנסת על ידי מערך הדיגיטל הלאומי לפי החוק. החוק יוחל בהדרגה בשלוש השנים מיום תחילתו</t>
  </si>
  <si>
    <t xml:space="preserve">חוק אומנה לילדים (תיקון מס' 8), התשפ"ו–2026</t>
  </si>
  <si>
    <t xml:space="preserve"> (פ/5584/25)</t>
  </si>
  <si>
    <t xml:space="preserve"> (כ/1180)</t>
  </si>
  <si>
    <t xml:space="preserve">חוק יום לציון מורשת יהדות מרוקו וצפון אפריקה, התשפ"ו–2026</t>
  </si>
  <si>
    <t xml:space="preserve"> (פ/6381/25)</t>
  </si>
  <si>
    <t xml:space="preserve"> (כ/1193)</t>
  </si>
  <si>
    <t xml:space="preserve">החוק קובע כי מדי שנה, ביום כ"ג בטבת, יצוין יום מורשת יהדות מרוקו וצפון אפריקה. יום זה נקבע במועד שבו טבעה ספינת "אגוז", שנשאה כ־40 יהודים שביקשו לעלות לישראל ממרוקו. במסגרת היום יצוינו המסורת, התרבות, האמנות, הפיוט, נכסי הרוח ופסיקת החכמים של קהילות אלה, וזאת בין היתר באמצעות דיון שייערך בכנסת, כנס שיעסוק בנושא ופעילויות חינוכיות שיתקיימו במוסדות החינוך.</t>
  </si>
  <si>
    <t xml:space="preserve">חוק זכויות הסטודנט (תיקון מס' 12), התשפ"ו–2026</t>
  </si>
  <si>
    <t xml:space="preserve"> (פ/4884/25)</t>
  </si>
  <si>
    <t xml:space="preserve"> (כ/1121)</t>
  </si>
  <si>
    <t xml:space="preserve">תיקון מס' 12 לחוק זכויות הסטודנט קובע במפורש כי קיום מוסדות לימוד נפרדים או מסלולי לימוד נפרדים לגברים ולנשים מטעמי דת אינו נחשב להפליה, בלימודים לתואר ראשון, לתואר שני ולתואר שלישי. בנוסף, התיקון קובע כי במסלולי לימוד בהפרדה הפועלים בתוך מוסד לימוד שאינו נפרד (מוסד מעורב), ההפרדה בין גברים לנשים מוגבלת לכיתות הלימוד בלבד.</t>
  </si>
  <si>
    <t xml:space="preserve">חוק זכויות הסטודנט (תיקון מס' 11), התשפ"ו–2026</t>
  </si>
  <si>
    <t xml:space="preserve"> (פ/6247/25)</t>
  </si>
  <si>
    <t xml:space="preserve"> (כ/1178)</t>
  </si>
  <si>
    <t xml:space="preserve">תיקון מס' 11 לחוק זכויות הסטודנט מחייב מוסדות להשכלה גבוהה לקבוע תנאים והגבלות להפסקת לימודים של סטודנטים המשרתים במילואים. כמו כן קובע התיקון כי ההוראה הכללית בחוק המחייבת את המוסדות לקבוע התאמות לסטודנטים המשרתים במילואים ולסטודנטים שהם בני זוג של משרתי מילואים - תורחב גם ביחס לסטודנטים שיש להם ילד משותף עד גיל 13 עם משרת מילואים, גם אם אינם בני זוג. התנאים ייקבעו לאחר התייעצות עם אגודת הסטודנטים ובהתאם לכללים שתקבע המועצה להשכלה גבוהה. התקנות והכללים הראשונים בנוגע להפסקת לימודים של סטודנט, ייקבעו בתוך 4 חודשים מתחילת החוק. נוסף על כך, התיקון לחוק מוסיף במפורש לסיבות שבשלן אסור להפלות מועמדים וסטודנטים בקבלה וברישום ללימודים גם את העילה של נטייה מינית או זהות מגדרית.</t>
  </si>
  <si>
    <t xml:space="preserve">חוק חופשה שנתית (תיקון מס' 17), התשפ"ו–2026</t>
  </si>
  <si>
    <t xml:space="preserve"> (פ/4269/25)</t>
  </si>
  <si>
    <t xml:space="preserve"> (כ/1157)</t>
  </si>
  <si>
    <t xml:space="preserve">חוק לתיקון פקודת סדר הדין הפלילי (מעצר וחיפוש) (מס' 19 - הוראת שעה), התשפ"ו-2026</t>
  </si>
  <si>
    <t xml:space="preserve"> (מ/1956)</t>
  </si>
  <si>
    <t xml:space="preserve">פקודת סדר הדין הפלילי (מעצר וחיפוש) מסדירה, בין היתר, את סמכויות המשטרה לעריכת חיפושים לשם תפיסת ראיות. בשנת 2023 נקבעה הוראת שעה שהרחיבה סמכות זו ואפשרה, במצבים מסוימים, עריכת חיפושים ללא צו שופט. כעת, במסגרת חוק לתיקון פקודת סדר הדין הפלילי (מעצר וחיפוש) (מס' 19 – הוראת שעה), התשפ"ו–2026, נקבע ההסדר מחדש כהוראת שעה שתעמוד בתוקפה עד ליום כ"ה בסיוון התשפ"ז (30 ביוני 2027). לפי ההסדר, המשטרה מוסמכת לבצע חיפוש בבית או במקום ללא צו שופט, אם התעורר זה מקרוב חשד סביר כי יש בהם תיעוד או מצלמה העשויים לשמש ראיה לביצוע פשע חמור (עבירה שדינה עשר שנות מאסר או יותר), או עבירות ספציפיות, ובהן גביית דמי חסות, סחיטה באיומים, עבירות נשק או ירי מנשק חם. סמכות זו תופעל רק אם אי־ביצוע החיפוש באופן מיידי יסכל את מטרת החיפוש, ולא ניתן לקבל צו חיפוש בשל הצורך לבצעו באופן מיידי כדי למנוע את העלמת הראיה או את הפגיעה בה. הפעלת הסמכות מותנית בקבלת אישור מראש ובכתב מאת קצין משטרה בדרגת רב־פקד ומעלה, והחיפוש יתועד בהתאם לנוהלי המשטרה. עוד קובע החוק הסדר מקביל לעניין חיפוש בידי שוטר צבאי, בשינויים המחויבים ובכפוף לאישור קצין משטרה צבאית בדרגת סרן לפחות, הנושא תקן רב־סרן. לשם פיקוח ובקרה, מעגן החוק חובות דיווח תקופתיות מקיפות לוועדה לביטחון לאומי של הכנסת, ליועץ המשפטי לממשלה, לפרקליט המדינה ולגורמים המקבילים בצבא, שיכללו, בין היתר, את מספר האישורים שניתנו לחיפוש ללא צו, העבירות שבשלהן ניתנו האישורים, מספר החיפושים שבהם נמצא תיעוד או מצלמה, ומספר כתבי האישום שהוגשו בעקבות חיפושים אלו.</t>
  </si>
  <si>
    <t xml:space="preserve">חוק הרשות השנייה לטלוויזיה ורדיו (תיקון מס' 50), התשפ"ו–2026</t>
  </si>
  <si>
    <t xml:space="preserve"> (פ/4656/25)</t>
  </si>
  <si>
    <t xml:space="preserve"> (כ/1203)</t>
  </si>
  <si>
    <t xml:space="preserve">התיקון לחוק מאפשר שידורי רדיו מסחרי בטכנולוגיית FM (רדיו אנלוגי) גם בלא הגבלה גאוגרפית, וזאת בשונה מהמצב כיום שלפיו שידורי רדיו יכולים להיות רק ארציים (תחנות הרדיו של תאגיד השידור הישראלי ושל גלי צה"ל) או אזוריים (תחנות הרדיו האזורי). ראשית, התיקון לחוק קובע שמועצת הרשות השנייה לטלוויזיה ורדיו (להלן – המועצה) תעניק רישיונות לשידורי רדיו אנלוגי בדרך של מכרז פומבי, ותקופת תוקפם של רישיונות מסוג זה תהיה 18 שנים. כמו כן, התיקון לחוק קובע שלא יפורסם מכרז ראשון מסוג זה, אלא אם כן התקיימו שני תנאים: האחד, שוועדת התדרים, שהיא הגוף המוסמך לפי פקודת הטלגרף האלחוטי להקצות תדרי רדיו, תמצא כי יש אפשרות להקצות תדרים שיאפשרו שידורים בלא הגבלה גיאוגרפית לשני בעלי רישיונות לשידורי רדיו אנלוגי לפחות, והתנאי השני – שאם תחליט ועדת התדרים לגרוע תדר מגוף המשדר כיום שידורי רדיו בכיסוי ארצי, לא יהיה בגריעה כדי לפגוע פגיעה ממשית בשידוריו של אותו גוף. בנוסף, התיקון לחוק קובע הוראות לעניין התנאים למתן הרישיון והוראות לעניין דרכי קבלת החלטה אם מכרז למתן רישיון לשידורי רדיו אנלוגי יתבסס על הסכום הגבוה ביותר שיציעו המתמודדים בו, או על אמות מידה אחרות, ובהן כושר הפקה, מגוון השידורים ואיפיוניהם והסכום שיציעו המתמודדים במכרז, וכן קובע את ההסדרים שיחולו על בעלי הרישיונות, בדומה להסדר הרגולטורי שחל כיום על בעלי הזיכיונות לשידורי רדיו (כגון שידורים אסורים). כמו כן, התיקון לחוק קובע הסדר חדש לעניין זיכיונות לשידורי רדיו אזורי. לפי הסדר זה, תוקפם של הזיכיונות לשידורי רדיו אזורי הקיימים כיום יוארך עד ל-31 בדצמבר 2032, בין היתר כדי לאפשר לבעלי הזיכיונות הקיימים להיערך להגשת הצעות במכרזים לקבלת רישיונות לשידורי רדיו אנלוגי בלא הגבלה גאוגרפית. עם זאת, לקראת תום תקופת ההארכה, יפורסמו מכרזים חדשים למתן זיכיונות לשידורי רדיו אזורי, ותוקפם של הזיכיונות החדשים שיינתנו בעקבות אותם מכרזים יהיה 18 שנים. בנוסף, התיקון לחוק קובע שלעניין בעל זיכיון רדיו אזורי קיים, שלא יגיש הצעה במכרז לקבלת רישיון רדיו אנלוגי או לא יזכה במכרז מסוג זה לפי ההסדר החדש, ימשיך לחול מנגנון ההארכות הקבוע כיום בחוק, ככל שהוא זכאי להארכות כאמור. לפי הסדר זה, המועצה תהיה רשאית להאריך את זיכיונו של בעל זיכיון כאמור ללא מכרז, וזאת עד להשלמת תקופת ההארכה המקסימלית המותרת כיום בחוק, תוך הפחתת תקופת ההארכה (עד 31 בדצמבר 2032) שתיווסף לו מכוח התיקון הנוכחי.</t>
  </si>
  <si>
    <t xml:space="preserve">חוק לתיקון פקודת המועצות המקומיות (מס'  82),  התשפ"ו-2026</t>
  </si>
  <si>
    <t xml:space="preserve"> (מ/1931)</t>
  </si>
  <si>
    <t xml:space="preserve">חוק קובע כי שר הפנים יהיה רשאי להכריז, בצו, כי כפר או קבוצת כפרים או אזור יתנהלו על ידי מועצה מקומית או אזורית, גם במקרה שבו מספר התושבים בהם אינו עולה על חמשת אלפים, וזאת בכפוף לקיומם של שלושה תנאים. ראשית, קיימת תוכנית מיתאר מחוזית מאושרת; שנית, אושרה או הופקדה תוכנית מפורטת שכוללת למעלה מ־2,500 יחידות דיור או 1,250 אם קיימות נסיבות מיוחדות; לבסוף, השר שוכנע כי היישוב צפוי לכלול למעלה מעשרים אלף תושבים או עשרת אלפים אם קיימות נסיבות מיוחדות, בתוך עשר שנים ממועד ההקמה. עוד קובע החוק כי שר הפנים ידווח אחת לשנה לוועדת הפנים והגנת הסביבה של הכנסת על יישום החוק, לרבות המועצות המקומיות שהוכרזו מכוחו, הנסיבות להכרזה והתקדמות הליכי הקמתן בפועל. </t>
  </si>
  <si>
    <t xml:space="preserve">חוק-יסוד: לימוד תורה</t>
  </si>
  <si>
    <t xml:space="preserve"> (פ/1540/25)</t>
  </si>
  <si>
    <t xml:space="preserve"> (כ/1206)</t>
  </si>
  <si>
    <t xml:space="preserve">חוק היסוד קובע כי לימוד התורה הוא ערך יסוד במורשת העם היהודי ובמדינת ישראל.</t>
  </si>
  <si>
    <t xml:space="preserve">הצעת חוק זכויות נפגעי עבירה (תיקון מס' 24) (הבעת עמדה לעניין איסור פרסום שמו של חשוד), התשפ"ו–2026</t>
  </si>
  <si>
    <t xml:space="preserve"> (פ/6593/25)</t>
  </si>
  <si>
    <t xml:space="preserve"> (כ/1208)</t>
  </si>
  <si>
    <t xml:space="preserve">הצעת חוק זכויות הסטודנט (תיקון - התאמות בהשכלה גבוהה לסטודנטים עקב מחלה קשה), התשפ"ו-2025</t>
  </si>
  <si>
    <t xml:space="preserve"> (פ/6420/25)</t>
  </si>
  <si>
    <t xml:space="preserve">הכנה לקריאה ראשונה</t>
  </si>
  <si>
    <t xml:space="preserve">הצעת חוק זכויות נפגעי עבירה (תיקון מס' 23) (שמירת ערכות ייעודיות ישנות במשטרת ישראל), התשפ"ו–2026</t>
  </si>
  <si>
    <t xml:space="preserve"> (פ/5970/25)</t>
  </si>
  <si>
    <t xml:space="preserve"> (כ/1202)</t>
  </si>
  <si>
    <t xml:space="preserve">הצעת חוק זכויות הסטודנט (תיקון מס' 12) (התאמות עקב מחלה קשה), התשפ"ו–2026</t>
  </si>
  <si>
    <t xml:space="preserve"> (פ/5966/25)</t>
  </si>
  <si>
    <t xml:space="preserve"> (כ/1181)</t>
  </si>
  <si>
    <t xml:space="preserve">הצעת חוק לגיבוש הערכת מודיעין חלופית להערכות גופי המודיעין, התשפ"ו–2026</t>
  </si>
  <si>
    <t xml:space="preserve"> (פ/4939/25)</t>
  </si>
  <si>
    <t xml:space="preserve"> (כ/1211)</t>
  </si>
  <si>
    <t xml:space="preserve">הונחה על שולחן הכנסת לקריאה ראשונה</t>
  </si>
  <si>
    <t xml:space="preserve">הצעת חוק תשלום בכרטיס אשראי בעד נסיעה בתחבורה ציבורית (תיקוני חקיקה), התשפ"ד–2024</t>
  </si>
  <si>
    <t xml:space="preserve"> (פ/3200/25)</t>
  </si>
  <si>
    <t xml:space="preserve"> (כ/997)</t>
  </si>
  <si>
    <t xml:space="preserve">[מובילה במיזוג] </t>
  </si>
  <si>
    <t xml:space="preserve">הצעת חוק הגנה על בריאות הציבור (מזון) (תיקון מס' 11), התשפ"ו-2026</t>
  </si>
  <si>
    <t xml:space="preserve"> (מ/1967)</t>
  </si>
  <si>
    <t xml:space="preserve">הצעת חוק לתיקון פקודת הרוקחים (מס' 40) (הסרת חסמים ביבוא וייצור תמרוקים), התשפ"ו-2026</t>
  </si>
  <si>
    <t xml:space="preserve"> (מ/1966)</t>
  </si>
  <si>
    <t xml:space="preserve">הצעת חוק היועץ המשפטי לממשלה והתובע הכללי (מינוי, כהונה, תפקידים וסמכויות), התשפ"ו–2026 </t>
  </si>
  <si>
    <t xml:space="preserve">12.07.2026</t>
  </si>
  <si>
    <t xml:space="preserve">הצעת חוק מניעת רעש בלתי סביר של המואזין, התשפ״ו-2025</t>
  </si>
  <si>
    <t xml:space="preserve"> (פ/6392/25)</t>
  </si>
  <si>
    <t xml:space="preserve">הצעת חוק הדיור הציבורי (זכויות רכישה), התשפ"ו–2025</t>
  </si>
  <si>
    <t xml:space="preserve"> (פ/260/25)</t>
  </si>
  <si>
    <t xml:space="preserve"> (כ/1163)</t>
  </si>
  <si>
    <t xml:space="preserve">הצעת חוק התכנון והבניה (תיקון מס' 169- הוראת שעה), התשפ"ו-2026</t>
  </si>
  <si>
    <t xml:space="preserve"> (מ/1950)</t>
  </si>
  <si>
    <t xml:space="preserve">הונחה על שולחן הכנסת לקריאה שנייה-שלישית</t>
  </si>
  <si>
    <t xml:space="preserve">הצעת חוק אומנה לילדים (תיקון - מתן הסכמה לטיפול פסיכיאטרי), התשפ"ו-2026</t>
  </si>
  <si>
    <t xml:space="preserve"> (פ/6586/25)</t>
  </si>
  <si>
    <t xml:space="preserve">מוזגה עם הצעת חוק אחרת</t>
  </si>
  <si>
    <t xml:space="preserve">09.07.2026</t>
  </si>
  <si>
    <t xml:space="preserve"> (פ/6566/25)</t>
  </si>
  <si>
    <t xml:space="preserve">הצעת חוק בינוי ופינוי של אזורי שיקום (כפר שלם), התשפ"ו-2026</t>
  </si>
  <si>
    <t xml:space="preserve"> (פ/6786/25)</t>
  </si>
  <si>
    <t xml:space="preserve">08.07.2026</t>
  </si>
  <si>
    <t xml:space="preserve">הצעת חוק איסור צריכת זנות (הוראת שעה ותיקון חקיקה) (תיקון - איסור צריכת תוכן מיני מקוון מותאם אישית), התשפ"ו-2026</t>
  </si>
  <si>
    <t xml:space="preserve"> (פ/6622/25)</t>
  </si>
  <si>
    <t xml:space="preserve">הצעת חוק התגמולים לנפגעי פעולות איבה (תיקון - פשעי שנאה), התשפ"ו-2026</t>
  </si>
  <si>
    <t xml:space="preserve"> (פ/6565/25)</t>
  </si>
  <si>
    <t xml:space="preserve">הוסרה מסדר היום</t>
  </si>
  <si>
    <t xml:space="preserve">הצעת חוק הרשויות המקומיות (מימון בחירות) (תיקון - ייצוג נשים ברשות המקומית), התשפ"ו-2026</t>
  </si>
  <si>
    <t xml:space="preserve"> (פ/6540/25)</t>
  </si>
  <si>
    <t xml:space="preserve">הצעת חוק זכויות נפגעי עבירה (תיקון - הוספת סרסור והבאת אדם לידי זנות להגדרה עבירת מין או אלימות), התשפ"ו-2026</t>
  </si>
  <si>
    <t xml:space="preserve"> (פ/6509/25)</t>
  </si>
  <si>
    <t xml:space="preserve">הצעת חוק למניעת אלימות במשפחה (תיקון - הגדרת אלימות במשפחה), התשפ"ו-2026</t>
  </si>
  <si>
    <t xml:space="preserve"> (פ/6450/25)</t>
  </si>
  <si>
    <t xml:space="preserve">הצעת חוק שירותי אבטחה, התשפ"ו-2025</t>
  </si>
  <si>
    <t xml:space="preserve"> (פ/6355/25)</t>
  </si>
  <si>
    <t xml:space="preserve">במליאה לדיון מוקדם</t>
  </si>
  <si>
    <t xml:space="preserve">הצעת חוק המרכז להנצחת מורשתו של הנשיא יצחק נבון, התשפ"ו-2025</t>
  </si>
  <si>
    <t xml:space="preserve"> (פ/6188/25)</t>
  </si>
  <si>
    <t xml:space="preserve">הצעת חוק להגנת חיית הבר (תיקון - חילוט כלי ציד), התשפ"ה-2025</t>
  </si>
  <si>
    <t xml:space="preserve"> (פ/5858/25)</t>
  </si>
  <si>
    <t xml:space="preserve">הצעת חוק מאבק בארגוני פשיעה (תיקון - הרחבת הנסיבה המחמירה לזיקה לארגון פשיעה), התשפ"ה-2025</t>
  </si>
  <si>
    <t xml:space="preserve"> (פ/5716/25)</t>
  </si>
  <si>
    <t xml:space="preserve">הצעת חוק להקפאה וניכוי של כספים ששילמה הרשות הפלסטינית בזיקה לטרור מהכספים המועברים אליה מממשלת ישראל (תיקון מס' 2) (כספים המועברים לרצועת עזה), התשפ"ו–2026</t>
  </si>
  <si>
    <t xml:space="preserve"> (פ/5699/25)</t>
  </si>
  <si>
    <t xml:space="preserve"> (כ/1204)</t>
  </si>
  <si>
    <t xml:space="preserve">הצעת חוק למניעת אלימות במשפחה (תיקון - הגדרת אלימות במשפחה), התשפ"ה-2024</t>
  </si>
  <si>
    <t xml:space="preserve"> (פ/5043/25)</t>
  </si>
  <si>
    <t xml:space="preserve">הצעת חוק להכרה, לחקר האמת, להנצחה ולפיצוי משפחות הנעדרים מפרשת ילדי תימן, המזרח והבלקן, התשפ"ד-2024</t>
  </si>
  <si>
    <t xml:space="preserve"> (פ/4862/25)</t>
  </si>
  <si>
    <t xml:space="preserve">הצעת חוק מאבק בארגוני פשיעה (תיקון - הרחבת הנסיבה המחמירה לזיקה בארגון פשיעה), התשפ"ד-2024</t>
  </si>
  <si>
    <t xml:space="preserve"> (פ/4574/25)</t>
  </si>
  <si>
    <t xml:space="preserve">הצעת חוק מעמדן של ההסתדרות הציונית העולמית ושל הסוכנות היהודית לארץ ישראל (תיקון - הסדרת מעמדה של החטיבה להתיישבות בקידום התיישבות כפרית ובעיירות פיתוח), התשפ"ד-2024</t>
  </si>
  <si>
    <t xml:space="preserve"> (פ/4557/25)</t>
  </si>
  <si>
    <t xml:space="preserve">הצעת חוק-יסוד: מגילת העצמאות</t>
  </si>
  <si>
    <t xml:space="preserve"> (פ/4051/25)</t>
  </si>
  <si>
    <t xml:space="preserve">הצעת חוק בינוי ופינוי של אזורי שיקום (כפר שלם), התשפ"ו–2026</t>
  </si>
  <si>
    <t xml:space="preserve"> (פ/2933/25)</t>
  </si>
  <si>
    <t xml:space="preserve"> (כ/1205)</t>
  </si>
  <si>
    <t xml:space="preserve">הצעת חוק התגמולים לנפגעי פעולות שנאה, התשפ"ג-2022</t>
  </si>
  <si>
    <t xml:space="preserve"> (פ/776/25)</t>
  </si>
  <si>
    <t xml:space="preserve">הצעת חוק להסדרת מתן שירותי אבטחה ושמירה, התשפ"ו-2026</t>
  </si>
  <si>
    <t xml:space="preserve"> (מ/1965)</t>
  </si>
  <si>
    <t xml:space="preserve">הצעת חוק המרכז להנצחת מורשת הלוחם היהודי במלחמת העולם השנייה, התשפ"ו-2026</t>
  </si>
  <si>
    <t xml:space="preserve"> (פ/4319/25)</t>
  </si>
  <si>
    <t xml:space="preserve"> (כ/1175)</t>
  </si>
  <si>
    <t xml:space="preserve">לדיון במליאה לקראת קריאה שנייה-שלישית</t>
  </si>
  <si>
    <t xml:space="preserve">07.07.2026</t>
  </si>
  <si>
    <t xml:space="preserve">הצעת חוק מאבק בארגוני פשיעה (תיקון מס' 9 והוראת שעה), התשפ"ו - 2026</t>
  </si>
  <si>
    <t xml:space="preserve"> (מ/1964)</t>
  </si>
  <si>
    <t xml:space="preserve">הצעת חוק רשויות תחבורה ציבורית (רשויות מטרופוליניות ורשות ארצית), התשפ"ו-2026</t>
  </si>
  <si>
    <t xml:space="preserve"> (מ/1822)</t>
  </si>
  <si>
    <t xml:space="preserve">הצעת חוק-יסוד: סמכות חקירה והעמדה לדין (תיקוני חקיקה)</t>
  </si>
  <si>
    <t xml:space="preserve">06.07.2026</t>
  </si>
  <si>
    <t xml:space="preserve">הצעת חוק אסדרת משק הפסולת בישראל והקמת הרשות הארצית לטיפול בפסולת,  התשפ"ו-2026</t>
  </si>
  <si>
    <t xml:space="preserve"> (פ/6804/25)</t>
  </si>
  <si>
    <t xml:space="preserve">הונחה על שולחן הכנסת לדיון מוקדם</t>
  </si>
  <si>
    <t xml:space="preserve">הצעת חוק שוויון ההזדמנויות בעבודה (תיקון - זכויות הוריות במקרה של מחלת בן זוג), התשפ"ו-2026</t>
  </si>
  <si>
    <t xml:space="preserve"> (פ/6803/25)</t>
  </si>
  <si>
    <t xml:space="preserve">הצעת חוק בית הדין לעבודה (תיקון - סמכותו של בית הדין האזורי לעבודה לדון בתובענות בין ארגוני עובדים או בתובענות בין ארגוני מעסיקים), התשפ"ו-2026</t>
  </si>
  <si>
    <t xml:space="preserve"> (פ/6802/25)</t>
  </si>
  <si>
    <t xml:space="preserve">הצעת חוק הגבלת שימוש במקום לשם מניעת ביצוע עבירות (תיקון - הארכת צו בהיעדר התקדמות החקירה), התשפ"ו-2026</t>
  </si>
  <si>
    <t xml:space="preserve"> (פ/6801/25)</t>
  </si>
  <si>
    <t xml:space="preserve">הצעת חוק הקמת ועדת חקירה ממלכתית לאירועי 7 באוקטובר, התשפ"ו-2026</t>
  </si>
  <si>
    <t xml:space="preserve"> (פ/6800/25)</t>
  </si>
  <si>
    <t xml:space="preserve">הצעת חוק ביטוח בריאות ממלכתי (תיקון - בדיקה וטיפול על ידי קלינאי תקשורת בגן ילדים), התשפ"ו-2026</t>
  </si>
  <si>
    <t xml:space="preserve"> (פ/6799/25)</t>
  </si>
  <si>
    <t xml:space="preserve">הצעת חוק הפיקוח על מעונות יום לפעוטות (תיקון - מיגון תקני כתנאי לרישיון והשתתפות במימון התאמת מיגון), התשפ"ו-2026</t>
  </si>
  <si>
    <t xml:space="preserve"> (פ/6798/25)</t>
  </si>
  <si>
    <t xml:space="preserve">הצעת חוק דמי מחלה (היעדרות בשל מחלת בן זוג) (תיקון - זקיפת חלקי ימים והרחבת הזכאות), התשפ"ו-2026</t>
  </si>
  <si>
    <t xml:space="preserve"> (פ/6797/25)</t>
  </si>
  <si>
    <t xml:space="preserve">הצעת חוק הבחירות לכנסת (תיקון - הצבעת אנשי צוות אוויר), התשפ"ו-2026</t>
  </si>
  <si>
    <t xml:space="preserve"> (פ/6796/25)</t>
  </si>
  <si>
    <t xml:space="preserve">הצעת חוק לתיקון פקודת מסי העירייה ומסי הממשלה (פטורין) (פטור מארנונה למכללה טכנולוגית מוכרת), התשפ"ו-2026</t>
  </si>
  <si>
    <t xml:space="preserve"> (פ/6795/25)</t>
  </si>
  <si>
    <t xml:space="preserve">הצעת חוק שיווי זכויות האישה (תיקון - הרחבת מטרות המאגר), התשפ"ו-2026</t>
  </si>
  <si>
    <t xml:space="preserve"> (פ/6794/25)</t>
  </si>
  <si>
    <t xml:space="preserve">הצעת חוק חסינות חברי הכנסת, זכויותיהם וחובותיהם (תיקון - הצבעה חשאית בעניין חסינות), התשפ"ו-2026</t>
  </si>
  <si>
    <t xml:space="preserve"> (פ/6793/25)</t>
  </si>
  <si>
    <t xml:space="preserve">הצעת חוק צער בעלי חיים (הגנה על בעלי חיים) (תיקון - איסור עיסוק ברבייה ובמכירה של כלבים ללא היתר), התשפ"ו-2026</t>
  </si>
  <si>
    <t xml:space="preserve"> (פ/6792/25)</t>
  </si>
  <si>
    <t xml:space="preserve">הצעת חוק יום ממלכתי לציון הסכמי השלום של מדינת ישראל, התשפ"ו-2026</t>
  </si>
  <si>
    <t xml:space="preserve"> (פ/6791/25)</t>
  </si>
  <si>
    <t xml:space="preserve">הצעת חוק משק החשמל (תיקון - תעריפים מדורגים ומונים חכמים), התשפ"ו-2026</t>
  </si>
  <si>
    <t xml:space="preserve"> (פ/6790/25)</t>
  </si>
  <si>
    <t xml:space="preserve">הצעת חוק ועדת חקירה ממלכתית-לאומית לאירועי טבח שמיני עצרת התשפ״ד (טבח 7 באוקטובר 2023), התשפ"ו-2026</t>
  </si>
  <si>
    <t xml:space="preserve"> (פ/6380/25)</t>
  </si>
  <si>
    <t xml:space="preserve"> (כ/1198)</t>
  </si>
  <si>
    <t xml:space="preserve">הצעת חוק יד יצחק בן-צבי (תיקון מס' 4), התשפ"ו-2026</t>
  </si>
  <si>
    <t xml:space="preserve"> (מ/1961)</t>
  </si>
  <si>
    <t xml:space="preserve">הצעת חוק תאגידי מים וביוב (תיקון מס' 21) (הפעלת שירותי מים וביוב על ידי רשות מקומית), התשפ"ו–2026</t>
  </si>
  <si>
    <t xml:space="preserve"> (פ/6063/25)</t>
  </si>
  <si>
    <t xml:space="preserve"> (כ/1189)</t>
  </si>
  <si>
    <t xml:space="preserve">01.07.2026</t>
  </si>
  <si>
    <t xml:space="preserve">הצעת חוק תאגידי מים וביוב (תיקון מס' 20) (הפעלת שירותי מים וביוב על ידי רשות מקומית), התשפ"ו–2026</t>
  </si>
  <si>
    <t xml:space="preserve"> (פ/1339/25)</t>
  </si>
  <si>
    <t xml:space="preserve">חוק שיקום נרחב לחבל התקומה כאזור מיקוד לאומי וסיוע ליישובים הסמוכים אליו (תיקון מס' 2), התשפ"ו–2026</t>
  </si>
  <si>
    <t xml:space="preserve"> (פ/6322/25)</t>
  </si>
  <si>
    <t xml:space="preserve"> (כ/1183)</t>
  </si>
  <si>
    <t xml:space="preserve">התיקון לחוק קובע כי מינהלת תקומה תעביר למועצה האזורית שדות נגב סכום של 20 מיליון שקלים חדשים, מתקציב המינהלת, לשם קיום התחייבויות קודמות שניתנו למועצה האזורית שדות נגב ובמסגרת פעולות השיקום הנרחב המתבצעות בחבל התקומה לאחר אירועי ה-7 באוקטובר.</t>
  </si>
  <si>
    <t xml:space="preserve">הצעת חוק חינוך ממלכתי (תיקון - מועצה לחינוך ממלכתי כללי), התשפ"ו-2026</t>
  </si>
  <si>
    <t xml:space="preserve"> (פ/6693/25)</t>
  </si>
  <si>
    <t xml:space="preserve">הצעת חוק הבטחת חיים בכבוד לאזרחים ותיקים (תיקוני חקיקה), התשפ"ו-2026</t>
  </si>
  <si>
    <t xml:space="preserve"> (פ/6642/25)</t>
  </si>
  <si>
    <t xml:space="preserve">הצעת חוק לימוד חובה (תיקון - אחריות המדינה לחינוך בשעת חירום), התשפ"ו-2026</t>
  </si>
  <si>
    <t xml:space="preserve"> (פ/6634/25)</t>
  </si>
  <si>
    <t xml:space="preserve">הצעת חוק-יסוד: הכנסת (תיקון - ייצוג הולם לנשים ברשימת מועמדים לכנסת)</t>
  </si>
  <si>
    <t xml:space="preserve"> (פ/6538/25)</t>
  </si>
  <si>
    <t xml:space="preserve">הצעת חוק איסור הפליה במוצרים, בשירותים ובכניסה למקומות בידור ולמקומות ציבוריים (תיקון - הגדלת סכום הפיצוי בלא הוכחת נזק), התשפ"ו-2025</t>
  </si>
  <si>
    <t xml:space="preserve"> (פ/6386/25)</t>
  </si>
  <si>
    <t xml:space="preserve">הצעת חוק הקמת ועדת חקירה ממלכתית לאירועי 7 באוקטובר, התשפ"ו-2025</t>
  </si>
  <si>
    <t xml:space="preserve"> (פ/6339/25)</t>
  </si>
  <si>
    <t xml:space="preserve">הצעת חוק הקמת ועדת חקירה ממלכתית למחדלי 7 באוקטובר, התשפ"ו-2025 </t>
  </si>
  <si>
    <t xml:space="preserve"> (פ/6308/25)</t>
  </si>
  <si>
    <t xml:space="preserve"> (פ/6307/25)</t>
  </si>
  <si>
    <t xml:space="preserve">הצעת חוק הרב יהודה עמיטל והרב אהרון ליכטנשטיין (ציון זכרם ופועלם), התשפ"ה-2025</t>
  </si>
  <si>
    <t xml:space="preserve"> (פ/5902/25)</t>
  </si>
  <si>
    <t xml:space="preserve">בוועדת הכנסת לקביעת הוועדה המטפלת</t>
  </si>
  <si>
    <t xml:space="preserve">הצעת חוק צער בעלי חיים (הגנה על בעלי חיים) (תיקון - איסור שימוש בבעלי חיים במוסד חינוך או תרבות), התשפ"ה-2024</t>
  </si>
  <si>
    <t xml:space="preserve"> (פ/5176/25)</t>
  </si>
  <si>
    <t xml:space="preserve">הצעת חוק חזקת הסכמה לתרומת אברים (תיקוני חקיקה), התשפ"ג-2023</t>
  </si>
  <si>
    <t xml:space="preserve"> (פ/2526/25)</t>
  </si>
  <si>
    <t xml:space="preserve">הצעת חוק קביעת יום לציון הטבעת הספינה אלטלנה, התשפ"ג-2023</t>
  </si>
  <si>
    <t xml:space="preserve"> (פ/1606/25)</t>
  </si>
  <si>
    <t xml:space="preserve">סעיפים 9(12), 10, 12 (ארנונה לנכס הרוס) מתוך הצעת חוק התוכנית הכלכלית (תיקוני חקיקה ליישום המדיניות הכלכלית לשנת התקציב 2025), התשפ"ה-2024 [פוצל לפי סעיף 84(ב) לתקנון] </t>
  </si>
  <si>
    <t xml:space="preserve">29.06.2026</t>
  </si>
  <si>
    <t xml:space="preserve">הצעת חוק לתיקון פקודת התעבורה (אכיפת עבירות תעבורה על ידי רשויות מקומיות),  התשפ"ו-2026</t>
  </si>
  <si>
    <t xml:space="preserve"> (פ/6688/25)</t>
  </si>
  <si>
    <t xml:space="preserve">חוק העונשין (תיקון מס' 155), התשפ"ו–2026</t>
  </si>
  <si>
    <t xml:space="preserve"> (פ/978/25)</t>
  </si>
  <si>
    <t xml:space="preserve"> (כ/1142)</t>
  </si>
  <si>
    <t xml:space="preserve">הצעת חוק הוועדה המייעצת למינויים בכירים, התשפ״ו-2026</t>
  </si>
  <si>
    <t xml:space="preserve"> (פ/6789/25)</t>
  </si>
  <si>
    <t xml:space="preserve">הצעת חוק מערכת חינוך ממלכתית אחידה ושוויונית (תיקוני חקיקה), התשפ"ו-2026</t>
  </si>
  <si>
    <t xml:space="preserve"> (פ/6788/25)</t>
  </si>
  <si>
    <t xml:space="preserve">הצעת חוק הביטוח הלאומי (תיקון  - מניעת הטבות הנובעות מריבוי בני זוג), התשפ"ו-2026</t>
  </si>
  <si>
    <t xml:space="preserve"> (פ/6787/25)</t>
  </si>
  <si>
    <t xml:space="preserve">הצעת חוק אספקת החשמל, התשפ"ו-2026</t>
  </si>
  <si>
    <t xml:space="preserve"> (פ/6785/25)</t>
  </si>
  <si>
    <t xml:space="preserve">הצעת חוק לתיקון פקודת בתי הסוהר (מניעת כניסתם של נציגי ארגון הצלב האדום הבין־לאומי והעברת מידע לארגון), התשפ"ו-2026</t>
  </si>
  <si>
    <t xml:space="preserve"> (פ/6784/25)</t>
  </si>
  <si>
    <t xml:space="preserve">הצעת חוק הגנת הצומח (תיקון - שקילת שיקולי שמירה על ביטחון המזון), התשפ"ו-2026</t>
  </si>
  <si>
    <t xml:space="preserve"> (פ/6783/25)</t>
  </si>
  <si>
    <t xml:space="preserve">הצעת חוק הצבת מכשירי החייאה במקומות ציבוריים (תיקון - חובת הצבת מכשיר החייאה בבניין רב-קומות), התשפ"ו-2026</t>
  </si>
  <si>
    <t xml:space="preserve"> (פ/6782/25)</t>
  </si>
  <si>
    <t xml:space="preserve">הצעת חוק לתיקון פקודת בתי הסוהר (מס' 73) (מניעת כניסתם של נציגי ארגון הצלב האדום הבין-לאומי והעברת מידע לארגון), התשפ"ו–2026</t>
  </si>
  <si>
    <t xml:space="preserve"> (פ/4134/25)</t>
  </si>
  <si>
    <t xml:space="preserve"> (כ/1201)</t>
  </si>
  <si>
    <t xml:space="preserve">לדיון במליאה לקראת הקריאה הראשונה</t>
  </si>
  <si>
    <t xml:space="preserve">חוק הספורט (תיקון מס' 17), התשפ"ד-2024 </t>
  </si>
  <si>
    <t xml:space="preserve"> (מ/1547)</t>
  </si>
  <si>
    <t xml:space="preserve">25.06.2026</t>
  </si>
  <si>
    <t xml:space="preserve">החוק כולל תיקונים שמטרתם לטייב ולשפר את מערך הסדרת העיסוק של מאמנים בענפי ספורט שבהם נדרשת תעודת הסמכה לפי החוק, ובכלל זה: יצירת ארבע דרגות הסמכה למאמני ספורט, קביעת תנאים למתן תעודת הסמכה בידי מוסד להכשרה והסמכת משרד התרבות והספורט לערוך בחינות מטעמו; הקמת מרשם בעלי תעודות הסמכה והסמכת הממונה במשרד לבדוק מידע פלילי כתנאי לרישום במרשם; שיפור ההסדרים להכרה במאמנים בעלי תעודות או נסיון מחוץ לישראל; הסדרת ההכרה במוסדות להכשרת מאמנים והקמת מרשם של המוסדות; הוקנו למשרד הספורט סמכויות מנהליות לשם פיקוח ואכיפה של הוראות החוק, כגון סמכויות מפקחים לדרוש מידע והזדהות, אפשרות הסתייעות בבודקים חיצוניים, וסמכות להטיל עיצומים כספיים. תחילת החוק תהיה בתוך שנתיים מיום פרסומו עם אפשרות הארכה של חצי שנה בצו.</t>
  </si>
  <si>
    <t xml:space="preserve">חוק כליאתם של לוחמים בלתי חוקיים (תיקון מס' 4 והוראת שעה – חרבות ברזל) (תיקון מס' 8), התשפ"ו-2026</t>
  </si>
  <si>
    <t xml:space="preserve"> (מ/1958)</t>
  </si>
  <si>
    <t xml:space="preserve">24.06.2026</t>
  </si>
  <si>
    <t xml:space="preserve">חוק כליאתם של לוחמים בלתי חוקיים, התשס"ב–2002, מסדיר את כליאתם של מי שנטלו חלק בפעולות איבה נגד מדינת ישראל או נמנו עם כוחות המבצעים פעולות איבה, ואינם מוגדרים כשבויי מלחמה. החוק קובע הליך מוסדר להוצאת צווי כליאה ומנגנוני בקרה וביקורת שיפוטית, וכולל הסדר מיוחד למקרים שבהם הממשלה הכריזה על מלחמה או על פעולות צבאיות משמעותיות. בשל היקף העצורים הרב במלחמת חרבות ברזל, נקבעה הוראת שעה שהאריכה את התקופות המנויות בחוק והתאימה את הדרגים המאשרים. כעת, במסגרת חוק כליאתם של לוחמים בלתי חוקיים (תיקון מס' 4 והוראת שעה – חרבות ברזל) (תיקון מס' 8), התשפ"ו–2026, הוארך תוקפה של הוראת השעה לעניין כליאתם של לוחמים בלתי חוקיים עד ליום י"ט בתשרי התשפ"ז (30 בספטמבר 2026), ובמקביל הוארך עד לאותו מועד גם תוקפה של ההכרזה מכוח החוק. לצד הארכות אלו, תוקנה הוראת השעה כך שקוצרו פרקי הזמן המרביים הקבועים בה לעניין הוצאת צווי כליאה קבועים, קיום ביקורת שיפוטית, מניעת מפגש של כלוא עם עורך דין וכליאתם של קטינים.</t>
  </si>
  <si>
    <t xml:space="preserve">הצעת חוק המכינות הקדם-צבאיות (תיקון - תקציב ייעודי להנגשה ולשילוב חניכים עם מוגבלות), התשפ״ו-2026</t>
  </si>
  <si>
    <t xml:space="preserve"> (פ/6676/25)</t>
  </si>
  <si>
    <t xml:space="preserve">הצעת חוק ביטוח בריאות ממלכתי (תיקון - הפחתה בדמי ביטוח בריאות לתושבי הפריפריה), התשפ"ו-2026</t>
  </si>
  <si>
    <t xml:space="preserve"> (פ/6599/25)</t>
  </si>
  <si>
    <t xml:space="preserve">הצעת חוק סדר הדין הפלילי (סמכויות אכיפה - חיפוש בגוף ונטילת אמצעי זיהוי) (תיקון - הגדרת חיפוש בעירום מלא כחיפוש פנימי), התשפ"ו-2026</t>
  </si>
  <si>
    <t xml:space="preserve"> (פ/6568/25)</t>
  </si>
  <si>
    <t xml:space="preserve"> הצעת חוק הביטוח הלאומי (תיקון - שיקום בעלי חיים כעבודה מועדפת),   התשפ"ו-2026</t>
  </si>
  <si>
    <t xml:space="preserve"> (פ/6523/25)</t>
  </si>
  <si>
    <t xml:space="preserve">הצעת חוק להשבת כפיפות בתי הדין למשרד המשפטים, התשפ״ו-2026</t>
  </si>
  <si>
    <t xml:space="preserve"> (פ/6512/25)</t>
  </si>
  <si>
    <t xml:space="preserve">הצעת חוק שירות המילואים (תיקון - טיפול נפשי וזוגי לבני משפחות משרתי המילואים) (הוראת שעה - חרבות ברזל), התשפ"ה-2024</t>
  </si>
  <si>
    <t xml:space="preserve"> (פ/5302/25)</t>
  </si>
  <si>
    <t xml:space="preserve">הצעת חוק פיקוח על רווחי שיווק בתוצרת חקלאית, התשפ"ה-2024</t>
  </si>
  <si>
    <t xml:space="preserve"> (פ/5229/25)</t>
  </si>
  <si>
    <t xml:space="preserve">הצעת חוק שירות אזרחי (תיקון - שירות מילואים אזרחי לבוגרי שירות לאומי ושירות אזרחי בעיתות חירום), התשפ"ד-2024</t>
  </si>
  <si>
    <t xml:space="preserve"> (פ/4880/25)</t>
  </si>
  <si>
    <t xml:space="preserve">חוק הסדרת העיסוק במקצועות הבריאות (תיקון מס' 8), התשפ"ג-2023 </t>
  </si>
  <si>
    <t xml:space="preserve"> (מ/1552)</t>
  </si>
  <si>
    <t xml:space="preserve">ועדת הבריאות</t>
  </si>
  <si>
    <t xml:space="preserve">23.06.2026</t>
  </si>
  <si>
    <t xml:space="preserve">חוק זה מסדיר במסגרת חוק הסדרת העיסוק במקצועות הבריאות, התשסח-2008 שני מקצועות בריאות חדשים: א. מקצוע הבריאות "עמית רופא" – שמהותו היא ביצוע מגוון של פעולות רפואיות בפיקוח רופא מומחה ולפי הרשאה אישית ממנו, בהתאם להוראות בפקודת הרופאים. החוק קובע את דרישות ההשכלה האקדמית – במקצוע עמית רופא או במקצוע הרפואה בתנאים מסוימים, ההכשרה המעשית והבחינות לשם קבלת תעודת המקצוע, וקובע את ההסדרים למתן ההרשאה האישית ולפיקוח על עבודת עמית הרופא ועוד תנאים בנוגע לפעולת עמית הרופא, וכן קובעת הוראות מעבר לגבי מי שכבר מועסקים היום בישראל כעמיתי רופא. ב. מקצוע הבריאות "דימותן רפואי" - שלגביו נקבעו בחוק התנאים לקבלת תעודת דימותן רפואי, וכן נקבעו פעולות יחודיות לדימותן רפואי, מקרים שבהם פעולות ייחודיות אלה יותרו לגורמים נוספים, והוראות מעבר. החוק גם מאפשר לאחות מוסמכת לתת מרשם אפילו אם זה ניתן לראשונה למטופל ובתנאי שזה בתחום מומחיותה ושלא חלפה שנה מהיום שבו המטופל נבדק על ידי רופא מאותו התחום. שנית, החוק מאפשר גם לעמית רופא לתת מרשם לתרופות ולהשתמש בתרופה במהלך הטיפול. כמו כן תוקנה ההגדרה "מרפאה" שבפקודת בריאות העם כך שתכלול גם מתן שירותים מקוונים או טלפוניים או טיפול בבית החולה, וגם מקום שאינו בית חולים ובו מקבלים נשים ללידה. עוד נקבעו בחוק הוראות לעניין הבטחת טוהר המידות בוועדות המייעצות של מקצועות הבריאות השונים, תקופת הכהונה של חברי הוועדות המיעצות והפסקת הכהונה. </t>
  </si>
  <si>
    <t xml:space="preserve">הצעת חוק הגנת הסייבר הלאומית, התשפ"ו-2026</t>
  </si>
  <si>
    <t xml:space="preserve"> (מ/1955)</t>
  </si>
  <si>
    <t xml:space="preserve">22.06.2026</t>
  </si>
  <si>
    <t xml:space="preserve">הצעת חוק המאבק בחרמות ובנידוי חברתי בקרב ילדים ובני נוער, התשפ"ו-2026</t>
  </si>
  <si>
    <t xml:space="preserve"> (פ/6781/25)</t>
  </si>
  <si>
    <t xml:space="preserve">הצעת חוק חובת גילוי תוכן מטעה מבוסס בינה מלאכותית, התשפ״ו-2026</t>
  </si>
  <si>
    <t xml:space="preserve"> (פ/6780/25)</t>
  </si>
  <si>
    <t xml:space="preserve">הצעת חוק התכנון והבנייה (תיקון - ערעור ברשות לחברי ועדה מחוזית), התשפ"ו-2026</t>
  </si>
  <si>
    <t xml:space="preserve"> (פ/6779/25)</t>
  </si>
  <si>
    <t xml:space="preserve">הצעת חוק העונשין (תיקון - החמרת הענישה על תקיפת שופט), התשפ"ו-2026</t>
  </si>
  <si>
    <t xml:space="preserve"> (פ/6778/25)</t>
  </si>
  <si>
    <t xml:space="preserve">הצעת חוק הזכות לתקן, התשפ"ו-2026</t>
  </si>
  <si>
    <t xml:space="preserve"> (פ/6777/25)</t>
  </si>
  <si>
    <t xml:space="preserve">הצעת חוק מוזאון יד מרדכי והמכון להוראת השואה והגבורה, התשפ"ו-2026</t>
  </si>
  <si>
    <t xml:space="preserve"> (פ/6776/25)</t>
  </si>
  <si>
    <t xml:space="preserve">הצעת חוק דמי מחלה (היעדרות בשל טיפול בהורה או בבן זוג החולה בדמנציה) (תיקוני חקיקה), התשפ"ו-2026</t>
  </si>
  <si>
    <t xml:space="preserve"> (פ/6775/25)</t>
  </si>
  <si>
    <t xml:space="preserve">הצעת חוק מעמד המשרת בשירות צבאי, התשפ"ו-2026</t>
  </si>
  <si>
    <t xml:space="preserve"> (פ/6774/25)</t>
  </si>
  <si>
    <t xml:space="preserve">הצעת חוק הבנקאות (שירות ללקוח) (תיקון - שמירה על הסדר הלוואה לאחר פיגור זמני בתשלום), התשפ"ו-2026</t>
  </si>
  <si>
    <t xml:space="preserve"> (פ/6773/25)</t>
  </si>
  <si>
    <t xml:space="preserve">הצעת חוק הגנת הצרכן (תיקון - ביטול החרגת תאגידים בנקאיים וביטוחיים), התשפ"ו-2026</t>
  </si>
  <si>
    <t xml:space="preserve"> (פ/6772/25)</t>
  </si>
  <si>
    <t xml:space="preserve">הצעת חוק חדלות פירעון ושיקום כלכלי (תיקון מס' 10) (הליכי חדלות פירעון לגבי יחיד בעל חובות בסכום נמוך), התשפ"ו–2026</t>
  </si>
  <si>
    <t xml:space="preserve"> (מ/1959)</t>
  </si>
  <si>
    <t xml:space="preserve">חוק המאבק בכלי הנשק הבלתי חוקיים (תיקון חקיקה והוראת שעה), התשפ"ג–2023</t>
  </si>
  <si>
    <t xml:space="preserve"> (פ/2392/25)</t>
  </si>
  <si>
    <t xml:space="preserve"> (כ/955)</t>
  </si>
  <si>
    <t xml:space="preserve">17.06.2026</t>
  </si>
  <si>
    <t xml:space="preserve">חוק  המאבק בכלי הנשק הבלתי חוקיים, התשפ"ג–2023 אושר בקריאה שניה ושלישית ביום 28/03/2023.  ראשית, החוק מוסיף שתי עילות חדשות לביצוע חיפוש ללא צו שופט במטרה להקנות למשטרה כלי אכיפה יעילים למיגור תופעת כלי הנשק הבלתי חוקיים. העילה הראשונה שנוספה תאפשר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תאפשר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שופט יהיה רשאי לתפוס את החפץ ולהביאו לבחינת שופט, אשר יצווה מה ייעשה בו. הסדרים אלו נקבעו כהוראת שעה לתקופה של שנה, החל מיום כ"ד באייר התשפ"ג (15 במאי 2023), זאת בכדי לאפשר בחינה של ההסדרים המוצעים. במסגרת זאת, נקבעו חובות דיווח מפורטות לוועדה לביטחון לאומי של הכנסת וליועץ המשפטי לממשלה, אודות השימוש בעילות החיפוש החדשות ותוצאותיהן, ואלו יימסרו בשלושה מועדים שונים בתקופת הוראת השעה. בנוסף, לפני תום הוראת השעה, ידווח פרקליט המדינה לוועדה לביטחון לאומי של הכנסת על מספר כתבי האישום שהוגשו בתיקי חקירה בהם בוצע חיפוש כאמור.  שנית, נקבעה החמרת ענישה ביחס לעבירות נשק. במסגרת זאת, הוחמר העונש על עבירת רכישת נזק בלתי חוקי לעשר שנים, בדומה לעבירות של נשיאה והובלה של נשק שלא כדין. בנוסף, נקבעה הבחנה בענישה בין חלקי נשק מהותיים לחלקי נשק שאינם מהותיים, כך שהעונש על עבירת החזקה או הובלה של חלקי נשק מהותיים יהיה חמש שנות מאסר, ושל חלקי נשק לא מהותיים – שלוש שנות מאסר.  לבסוף, נקבע הסדר חילוט לעניין עבירות של סחר בנשק, המפרט הסדר חילוט מיוחד לגבי אדם שהורשע בעבירת סחר בנשק לא חוקי ומנהל אורח חיים עברייני (המבוסס על תקבולי עבירה), לפי תנאים שנקבעו בחוק. במסגרת זאת, יחולט לאוצר המדינה כל רכוש של נידון שהורשע בעבירת סחר בנשק, אלא אם סבר בית המשפט שלא לעשות כן מנימוקים מיוחדים.  </t>
  </si>
  <si>
    <t xml:space="preserve">הצעת חוק הבנקאות (שירות ללקוח) (תיקון - קורס חינוך פיננסי ללקוח בחריגה ממסגרת האשראי או בחריגה תזרימית), התשפ"ו-2026</t>
  </si>
  <si>
    <t xml:space="preserve"> (פ/6652/25)</t>
  </si>
  <si>
    <t xml:space="preserve">הצעת חוק הביטוח הלאומי (תיקון - תשלום קצבת שארים לעגונה ולמסורבי גט שהתאלמנו), התשפ"ה-2025</t>
  </si>
  <si>
    <t xml:space="preserve"> (פ/6096/25)</t>
  </si>
  <si>
    <t xml:space="preserve">הצעת חוק העונשין (תיקון מס' 156) התשפ"ו-2026</t>
  </si>
  <si>
    <t xml:space="preserve"> (מ/1583)</t>
  </si>
  <si>
    <t xml:space="preserve">פרק י"ג (ייעול וקידום התחרות במשק הדלק) מתוך הצעת חוק התוכנית הכלכלית (תיקוני חקיקה ליישום המדיניות הכלכלית לשנת התקציב 2026), התשפ"ו-2026 [פוצלה לפי סעיף 84(ב) לתקנון]</t>
  </si>
  <si>
    <t xml:space="preserve">הצעת חוק-יסוד: הממשלה (תיקון - מינויים בכירים בשירות המדינה)</t>
  </si>
  <si>
    <t xml:space="preserve"> (פ/6551/25)</t>
  </si>
  <si>
    <t xml:space="preserve">16.06.2026</t>
  </si>
  <si>
    <t xml:space="preserve">הצעת חוק העונשין (תיקון - ביטול עבירת המטרד על ידי עיסוק בזנות), התשפ"ה-2025</t>
  </si>
  <si>
    <t xml:space="preserve"> (פ/5946/25)</t>
  </si>
  <si>
    <t xml:space="preserve">הצעת חוק הרשות השנייה לטלוויזיה ורדיו (תיקון - הנגשת רדיו בשפה הערבית בכל הארץ), התשפ"ד-2024</t>
  </si>
  <si>
    <t xml:space="preserve"> (פ/4505/25)</t>
  </si>
  <si>
    <t xml:space="preserve">15.06.2026</t>
  </si>
  <si>
    <t xml:space="preserve"> הצעת חוק הקמת תחנות נוחות בכבישים בין-עירוניים (תיקוני חקיקה), התשפ"ו-2026</t>
  </si>
  <si>
    <t xml:space="preserve"> (פ/6771/25)</t>
  </si>
  <si>
    <t xml:space="preserve">הצעת חוק חופש הנחת תפילין, התשפ"ו-2026</t>
  </si>
  <si>
    <t xml:space="preserve"> (פ/6770/25)</t>
  </si>
  <si>
    <t xml:space="preserve">הצעת חוק הרשות הארצית למדידה ולהערכה בחינוך, התשפ"ו-2026</t>
  </si>
  <si>
    <t xml:space="preserve"> (פ/6769/25)</t>
  </si>
  <si>
    <t xml:space="preserve">הצעת חוק המרכז להנצחת מורשתו של הנשיא יצחק נבון, התשפ"ו-2026</t>
  </si>
  <si>
    <t xml:space="preserve"> (פ/6768/25)</t>
  </si>
  <si>
    <t xml:space="preserve">חוק לתיקון פקודת המשטרה (מס' 45), התשפ"ו–2026</t>
  </si>
  <si>
    <t xml:space="preserve"> (פ/586/25)</t>
  </si>
  <si>
    <t xml:space="preserve"> (כ/1172)</t>
  </si>
  <si>
    <t xml:space="preserve">10.06.2026</t>
  </si>
  <si>
    <t xml:space="preserve">החוק קובע כי תוקם המחלקה לחקירות שוטרים כגוף עצמאי במשרד המשפטים, בעל תקציב נפרד, ותוסמך לחקור ולהעמיד לדין שוטרים בגין עבירות פליליות, לרבות עבירות קלות, וכן לטפל בעבירות שבוצעו בידי מתנדבים במשטרת ישראל. עוד קובע החוק מנגנון חדש למינוי מנהל המחלקה באמצעות ועדת איתור ייעודית, וכן יוצר תפקיד של ממונה על תיאום בעניין חקירת שוטרים, שיהיה מוסמך להכריע במחלוקות בין מח"ש לבין גופי חקירה ותביעה אחרים ולהורות, במקרים המתאימים, על העברת תיקים בין הגופים. בנוסף, החוק קובע הפרדה בין מח"ש לבין מערך הייעוץ המשפטי לממשלה, כך שתובעי המחלקה יוסמכו בידי מנהל המחלקה, והסמכויות הפליליות הנתונות כיום ליועץ המשפטי לממשלה או לפרקליטות בתיקים המטופלים במח"ש יועברו למנהל המחלקה. עוד קובע החוק כי עררים על החלטות מח"ש לסגור תיק יוגשו לממונה על התיאום. לצד זאת, המחלקה תהיה כפופה להנחיות הכלליות של היועץ המשפטי לממשלה ושל פרקליט המדינה, למעט כאשר ההנחיות מעניקות סמכות לגורם חיצוני למחלקה. כמו כן, החוק כולל תיקונים הנוגעים לאזרוח מלא של מח"ש, וכתוצאה מכך גם הוראות בעניין הגישה של עובדי מח"ש למערכות המידע של המשטרה.  לבסוף, החוק קובע הוראות תחילה והיערכות ליישומו, וכן חובת דיווח של שר המשפטים והשר לביטחון לאומי לכנסת על הטיפול בתלונות ובעבירות המיוחסות לשוטרים ועל תוצאות הטיפול בהן. </t>
  </si>
  <si>
    <t xml:space="preserve">הצעת חוק בתי המשפט (תיקון - חוות דעת פסיכיאטר לעניין איסור פרסומים), התשפ"ו-2026</t>
  </si>
  <si>
    <t xml:space="preserve"> (פ/6707/25)</t>
  </si>
  <si>
    <t xml:space="preserve">הצעת חוק לימוד חובה (תיקון - חובת דיווח על אירועי אלימות על רקע גזעני), התשפ"ו-2026</t>
  </si>
  <si>
    <t xml:space="preserve"> (פ/6601/25)</t>
  </si>
  <si>
    <t xml:space="preserve">הצעת חוק שירות המדינה (מינויים) (תיקון - מינויים בכירים בשירות המדינה), התשפ"ו-2026</t>
  </si>
  <si>
    <t xml:space="preserve"> (פ/6552/25)</t>
  </si>
  <si>
    <t xml:space="preserve">הצעת חוק העונשין (תיקון - החמרת ענישה על פגיעה בקטין או בחסר ישע), התשפ"ו-2026</t>
  </si>
  <si>
    <t xml:space="preserve"> (פ/6435/25)</t>
  </si>
  <si>
    <t xml:space="preserve">הצעת חוק מס ערך מוסף (תיקון - מס בשיעור אפס על ספרי לימוד וחומרי לימוד), התשפ"ו-2025</t>
  </si>
  <si>
    <t xml:space="preserve"> (פ/6409/25)</t>
  </si>
  <si>
    <t xml:space="preserve">הוסבה להצעה לסדר היום</t>
  </si>
  <si>
    <t xml:space="preserve">הצעת חוק שירות המדינה (תיקון - דרך המינוי), התשפ"ה-2025</t>
  </si>
  <si>
    <t xml:space="preserve"> (פ/5800/25)</t>
  </si>
  <si>
    <t xml:space="preserve">הצעת חוק הפסקת כהונה של נושאי משרה בכירים בתקופת הכהונה הראשונית של ממשלה חדשה, התשפ"ה-2025</t>
  </si>
  <si>
    <t xml:space="preserve"> (פ/5733/25)</t>
  </si>
  <si>
    <t xml:space="preserve">הצעת חוק לתיקון פקודת מס הכנסה (תרומה למוסד ציבורי באזורי עדיפות לאומית), התשפ"ה-2025</t>
  </si>
  <si>
    <t xml:space="preserve"> (פ/5329/25)</t>
  </si>
  <si>
    <t xml:space="preserve">הצעת חוק לעידוד השקעות הון (תיקון - תחולה על מפעל תעשייתי ביישובים הסמוכים לגבול העימות בצפון, בשדרות וביישובי עוטף עזה), התשפ"ה-2024</t>
  </si>
  <si>
    <t xml:space="preserve"> (פ/5189/25)</t>
  </si>
  <si>
    <t xml:space="preserve">ההצעת חוק קבלת ילד למעון יום והשתתפות המדינה בעלות שכר הלימוד בו, התשפ"ו–2026</t>
  </si>
  <si>
    <t xml:space="preserve"> (פ/4931/25)</t>
  </si>
  <si>
    <t xml:space="preserve"> (כ/1199)</t>
  </si>
  <si>
    <t xml:space="preserve">הצעת חוק הגשמת הזהות היהודית במרחב הציבורי, התשפ"ה-2025</t>
  </si>
  <si>
    <t xml:space="preserve"> (פ/5807/25)</t>
  </si>
  <si>
    <t xml:space="preserve">09.06.2026</t>
  </si>
  <si>
    <t xml:space="preserve">הצעת חוק ההתיישנות (תיקון - הרחבת הגדרת בן משפחה לעניין תקופת ההתיישנות של תביעה בשל תקיפה מינית או התעללות), התשפ"ג-2023</t>
  </si>
  <si>
    <t xml:space="preserve"> (פ/2569/25)</t>
  </si>
  <si>
    <t xml:space="preserve">חוק הגבלת שכר טרחה (נכי צבא הגנה לישראל וכוחות הביטחון ונפגעי פעולות איבה), התשפ"ו-2026</t>
  </si>
  <si>
    <t xml:space="preserve"> (מ/1736)</t>
  </si>
  <si>
    <t xml:space="preserve">החוק קובע הגבלה על סכום התשלום המרבי שרשאים לגבות עורכי דין וחברות למימוש זכויות מנכי צה"ל וכוחות הביטחון ומנפגעי פעולות איבה בעד טיפול בתביעות או בבקשות שונות לפי חוק הנכים או חוק התגמולים לנפגעי פעולות איבה, לפי העניין, ובכלל זה בעד הליכי ערעור שונים. כמו כן קובע החוק כי לא יגבה תשלום בעד טיפול בבקשה לתגמול חודשי שאינו תגמול עיקרי ובבקשות לזכאויות נוספות אלא אם כן קבע שר המשפטים אחרת בתקנות.  יוזכר כי הגבלת התשלום הקבועה בחוק לא תחול על טיפול בערר או בערעור על החלטה של קצין תגמולים או של הרשות המאשרת לעניין הכרה, אולם משנקבעה הכרה בהליך כאמור, תחול המגבלה שבחוק על המשך ההליכים שלאחר ההכרה.  נוסף על כך נקבעו הוראות שונות לעניין פריסת התשלום וכן הוראות צרכניות לעניין ההתקשרות שמטרתן להגן על נכים ונפגעים כאמור. בנוסף, נקבעה זכאות לסיוע משפטי ללא מבחן הכנסה בקשר להסכמי התקשרות לגביית תשלום בעד טיפול בתביעה או בבקשה כאמור. לגבי חוזים שנחתמו טרם יום התחילה – נקבע כי יחולו לגביהם חלק מההוראות הצרכניות שנקבעו בחוק. לגבי הסכמים שנחתמו מה-7.10.23 ועד יום התחילה נקבע איסור על גביית תשלום מופרז שהוא תשלום העולה על 140% מהסכום המרבי שמותר לגבות לפי החוק בעד טיפול שבשלו נקבעה דרגת נכות קבועה של 20% לפחות. כמו כן נקבע מהו סכום מופרז לגבי הליכים שהסתיימו בדרגת נכות זמנית של 10% לפחות או שמהטפל הפסיק את ההתקשרות לאחר שנקבעה דרגת נכות זמנית ובטרם נקבעה דרגת נכות קבועה. מי שגבה יותר מהסכום המופרז לפני יום התחילה ישיבו לנכה או לנפגע, בתוך שישה חודשים מיום שהתבקש לכך בכתב על ידיו, ובלבד שהבקשה הוגשה תוך שנה מיום התחילה. ההשבה לא תידרש אם המטפל פנה לבית המשפט המוסמך – לעניין נכה, או לבית הדין האזורי לעבודה – לעניין נפגע, ונפסק כי ההשבה כולה או חלקה אינה צודקת בנסיבות העניין, או אם המטפל קיזז את הסכום המופרז מסכומים נוספים שמגיעים לו כחוק מהנכה או מהנפגע. כמו כן המטפל יכול לפנות לבית משפט או לבית הדין האזורי לעבודה כאמור על מנת שיקבע כי הסכום אינו מופרז וכי ניתן לגבות אותו או סכום אחר כפי שיקבע. </t>
  </si>
  <si>
    <t xml:space="preserve">חוק הכרה בתרומתם של כלבים ששירתו בגופים ביטחוניים, התשפ"ו–2026</t>
  </si>
  <si>
    <t xml:space="preserve"> (פ/4647/25)</t>
  </si>
  <si>
    <t xml:space="preserve"> (כ/1138)</t>
  </si>
  <si>
    <t xml:space="preserve">במסגרת חוק הכרה בתרומתם של כלבים ששירתו בגופים ביטחוניים, התשפ"ו–2026, נקבע כי בעליו של כלב (למעט תאגיד) ששירת בצבא הגנה לישראל, משטרת ישראל, שירות בתי הסוהר או משמר הכנסת, יהיה זכאי להחזר מהמדינה בעד ההוצאות הרפואיות הנדרשות לטיפול בכלבו, לרבות ביטוח רפואי. החזר ההוצאות לא יעלה על 5,000 שקלים חדשים בשנה, יותנה בהוכחת תשלום בפועל, וסכומו יעודכן מדי שנה, ב-16 בפברואר, בהתאם לשיעור עליית מדד המחירים לצרכן. בנוסף, נקבע כי שר הביטחון, השר לביטחון לאומי ויושב ראש הכנסת ימונו על ביצוע החוק בגופים שבאחריותם, והם רשאים להתקין תקנות המסדירות את אופן הגשת הבקשות להחזר רפואי ואת הטיפול בהן.</t>
  </si>
  <si>
    <t xml:space="preserve">חוק בתי המשפט (תיקון מס' 107), התשפ"ו–2026</t>
  </si>
  <si>
    <t xml:space="preserve"> (פ/612/25)</t>
  </si>
  <si>
    <t xml:space="preserve"> (כ/1187)</t>
  </si>
  <si>
    <t xml:space="preserve">הצעת חוק שכר נושאי משרה ברשויות השלטון, התשפ"ו–2026</t>
  </si>
  <si>
    <t xml:space="preserve"> (פ/5532/25)</t>
  </si>
  <si>
    <t xml:space="preserve"> (כ/1197)</t>
  </si>
  <si>
    <t xml:space="preserve">חוק להקפאת כספים ששילמה הרשות הפלסטינית בזיקה לטרור מהכספים המועברים אליה מממשלת ישראל (תיקון), התשפ"ו–2026</t>
  </si>
  <si>
    <t xml:space="preserve"> (פ/4800/25)</t>
  </si>
  <si>
    <t xml:space="preserve"> (כ/1124)</t>
  </si>
  <si>
    <t xml:space="preserve">08.06.2026</t>
  </si>
  <si>
    <t xml:space="preserve">חוק להקפאת כספים ששילמה הרשות הפלסטינית בזיקה לטרור מהכספים המועברים אליה מממשלת ישראל, התשע"ח–2018, קבע מנגנון לפיו ממשלת ישראל מקפיאה מתוך הכספים שהיא גובה ומעבירה לרשות הפלסטינית בהתאם להוראות חוקי היישום, סכום השווה לכספים שהרשות משלמת לפעילי טרור ולבני משפחותיהם. כעת, במסגרת חוק להקפאה וניכוי של כספים ששילמה הרשות הפלסטינית בזיקה לטרור מהכספים המועברים אליה מממשלת ישראל (תיקון), התשפ"ו–2026 (ששמו המקורי שונה במסגרת תיקון זה), נוספה לחוק מטרה מפורשת של שיפוי המדינה ונפגעי הטרור בשל נזק שנגרם מפעילות טרור. על פי התיקון לחוק, שר האוצר יגיש בכל שנה לוועדת השרים לענייני ביטחון לאומי דוח המפרט את סך התגמולים ששילם המוסד לביטוח לאומי ופיצויים שניתנו ממס רכוש בשנה הקודמת לנפגעי פעולות איבה שבוצעו על ידי מי שבהתאם למדיניות התשלומים של הרש"פ, יש יסוד סביר להניח שהיא משלמת לו או לבן משפחתו כספים בזיקה לטרור, וכן חובות פיצויים שנפסקו לזכות הנפגעים. על בסיס מידע זה, תקבע ועדת השרים סכום נוסף שינוכה מדי שנה מהכספים שמעבירה ישראל לרשות הפלסטינית, מעבר לסכומים המוקפאים ממילא לפי החוק המקורי. ככלל, הכספים שינוכו יועברו לאוצר המדינה; עם זאת, החוק קובע קדימות לנפגעי טרור, כך שמתוך סכום הניכוי יכוסו תחילה חובות פיצויים לנפגעים וסכומים שנפסקו לזכותם בבתי המשפט. בנוסף, החוק מעגן חובת דיווח שנתית של שר האוצר לוועדת השרים ולוועדת החוץ והביטחון של הכנסת על סך הכספים המוקפאים בגין העברות כספים שמבצעת הרשות הפלסטינית לרצועת עזה.</t>
  </si>
  <si>
    <t xml:space="preserve">חוק הכרה בשפת הסימנים הישראלית, התשפ"ו-2026</t>
  </si>
  <si>
    <t xml:space="preserve"> (פ/5693/25)</t>
  </si>
  <si>
    <t xml:space="preserve"> (כ/1182)</t>
  </si>
  <si>
    <t xml:space="preserve">מטרת החוק היא להכיר בשפת הסימנים הישראלית, על ידי הסמכת האקדמיה ללשון העברית לשמר, לפתח ולקדם את שפת הסימנים הישראלית. שר התרבות והספורט ממונה על ביצוע החוק.</t>
  </si>
  <si>
    <t xml:space="preserve">חוק העונשין (תיקון מס' 154), התשפ"ו-2026</t>
  </si>
  <si>
    <t xml:space="preserve"> (מ/1911)</t>
  </si>
  <si>
    <t xml:space="preserve">תיקון מספר 154 לחוק העונשין מוסיף לחוק סימן חדש של פגיעה בריבונות המדינה באמצעות הכנסה או הוצאה של דבר בגבולות, וקובע בו עבירה של פגיעה בריבונות המדינה בגבולות, האוסרת על הכנסת דבר לישראל או הוצאתו ממנה שלא כדין ושלא דרך תחנת גבול, שעונשה יעמוד על 9 שנות מאסר. בנוסף, החוק מתקן את חוק סדר הדין הפלילי (מעצרים), כך שיחולו על עבירה זו הוראות המעצר הייעודיות לעבירות ביטחון.</t>
  </si>
  <si>
    <t xml:space="preserve">הצעת חוק העונשין (תיקון - איסור פרסום הסתה לעוינות כלפי ציבור), התשפ"ו-2026</t>
  </si>
  <si>
    <t xml:space="preserve"> (פ/6767/25)</t>
  </si>
  <si>
    <t xml:space="preserve">הצעת חוק המאבק בנטילת דמי חסות (תיקוני חקיקה), התשפ"ו-2026</t>
  </si>
  <si>
    <t xml:space="preserve"> (פ/6766/25)</t>
  </si>
  <si>
    <t xml:space="preserve">הצעת חוק המפלגות (תיקון - איסור תרומה על ידי שדלן), התשפ"ו-2026</t>
  </si>
  <si>
    <t xml:space="preserve"> (פ/6765/25)</t>
  </si>
  <si>
    <t xml:space="preserve">הצעת חוק סדר הדין הפלילי (תיקון - המצאה מלאה), התשפ"ו-2026</t>
  </si>
  <si>
    <t xml:space="preserve"> (פ/6764/25)</t>
  </si>
  <si>
    <t xml:space="preserve">הצעת חוק הקמת מאגר מידע גנטי לכלבים (תיקון - הסמכת מפקחים, אכיפה ועונשין), התשפ"ו-2026</t>
  </si>
  <si>
    <t xml:space="preserve"> (פ/6763/25)</t>
  </si>
  <si>
    <t xml:space="preserve">הצעת חוק הדרכונים (תיקון - מתן דרכון לעולה), התשפ״ו-2026</t>
  </si>
  <si>
    <t xml:space="preserve"> (פ/6762/25)</t>
  </si>
  <si>
    <t xml:space="preserve">הצעת חוק-יסוד: לימוד תורה</t>
  </si>
  <si>
    <t xml:space="preserve"> (פ/6761/25)</t>
  </si>
  <si>
    <t xml:space="preserve">הצעת חוק הרשויות המקומיות (בחירות) (תיקון - הארכת תקופת הכהונה), התשפ"ו-2026</t>
  </si>
  <si>
    <t xml:space="preserve"> (פ/6760/25)</t>
  </si>
  <si>
    <t xml:space="preserve">הצעת חוק משפחות חיילים שנספו במערכה (תגמולים ושיקום) (תיקון - הכרה במי ששלח יד בנפשו כחייל שנספה במערכה) (הוראת שעה - חרבות ברזל), התשפ"ו-2026</t>
  </si>
  <si>
    <t xml:space="preserve"> (פ/6759/25)</t>
  </si>
  <si>
    <t xml:space="preserve">הצעת חוק הרשות השנייה לטלוויזיה ורדיו (תיקון - תקופת זיכיון), התשפ"ו-2026</t>
  </si>
  <si>
    <t xml:space="preserve"> (פ/6758/25)</t>
  </si>
  <si>
    <t xml:space="preserve">הצעת חוק משפחות חיילים שנספו במערכה (תגמולים ושיקום) (תיקון - זכאות להיתר העסקת עובד זר למשפחות שכולות), התשפ"ו-2026</t>
  </si>
  <si>
    <t xml:space="preserve"> (פ/6757/25)</t>
  </si>
  <si>
    <t xml:space="preserve">הצעת חוק הרשויות המקומיות (בחירות) (תיקון - הגבלת הזכות להיבחר בשל כתב אישום),  התשפ"ו-2026</t>
  </si>
  <si>
    <t xml:space="preserve"> (פ/6756/25)</t>
  </si>
  <si>
    <t xml:space="preserve">הצעת חוק משפחות חיילים שנספו במערכה (תגמולים ושיקום) (תיקון - השוואת זכויות של יתום עצמאי ליתום משני הורים), התשפ"ו-2026</t>
  </si>
  <si>
    <t xml:space="preserve"> (פ/6755/25)</t>
  </si>
  <si>
    <t xml:space="preserve">הצעת חוק הסדרת העיסוק בייעוץ משכנתאות, התשפ"ו–2026</t>
  </si>
  <si>
    <t xml:space="preserve"> (פ/5070/25)</t>
  </si>
  <si>
    <t xml:space="preserve"> (כ/1196)</t>
  </si>
  <si>
    <t xml:space="preserve">פרק י"ד (שדות תעופה בשיתוף המגזר הפרטי) מתוך הצעת חוק התוכנית הכלכלית (תיקוני חקיקה ליישום המדיניות הכלכלית לשנת התקציב 2026), התשפ"ו-2026 [פוצלה לפי סעיף 84(ב) לתקנון]</t>
  </si>
  <si>
    <t xml:space="preserve">07.06.2026</t>
  </si>
  <si>
    <t xml:space="preserve">חוק הטבות מס ליישוב אזור קו עימות מזרחי (הוראת שעה), התשפ"ו–2026</t>
  </si>
  <si>
    <t xml:space="preserve"> (פ/5890/25)</t>
  </si>
  <si>
    <t xml:space="preserve"> (כ/1185)</t>
  </si>
  <si>
    <t xml:space="preserve">03.06.2026</t>
  </si>
  <si>
    <t xml:space="preserve">הצעת חוק כלי הירייה (תיקון - הודעה על מסוכנות על ידי משרד הרווחה והביטחון החברתי), התשפ"ו-2026 </t>
  </si>
  <si>
    <t xml:space="preserve"> (פ/6620/25)</t>
  </si>
  <si>
    <t xml:space="preserve">הצעת חוק האזרחים הוותיקים (תיקון - תגמול מחיה לאזרחים ותיקים), התשפ"ו-2026</t>
  </si>
  <si>
    <t xml:space="preserve"> (פ/6596/25)</t>
  </si>
  <si>
    <t xml:space="preserve">הצעת חוק חסינות חברי הכנסת, זכויותיהם וחובותיהם (תיקון - סייג לחסינות בפני מעצר בשל אי-התייצבות לחקירה), התשפ"ו-2026</t>
  </si>
  <si>
    <t xml:space="preserve"> (פ/6578/25)</t>
  </si>
  <si>
    <t xml:space="preserve">הצעת חוק הרשתות החברתיות והגנה על קטינים, התשפ"ו-2026</t>
  </si>
  <si>
    <t xml:space="preserve"> (פ/6543/25)</t>
  </si>
  <si>
    <t xml:space="preserve">הצעת חוק לעידוד השימוש בתחבורה ציבורית על ידי עובדים (תיקוני חקיקה), התשפ"ו-2026</t>
  </si>
  <si>
    <t xml:space="preserve"> (פ/6520/25)</t>
  </si>
  <si>
    <t xml:space="preserve"> (פ/5948/25)</t>
  </si>
  <si>
    <t xml:space="preserve"> (פ/5947/25)</t>
  </si>
  <si>
    <t xml:space="preserve">הצעת חוק קרן לאזרחי ישראל (תיקון - הבטחת תקצוב הנגב), התשפ"ה-2025</t>
  </si>
  <si>
    <t xml:space="preserve"> (פ/5371/25)</t>
  </si>
  <si>
    <t xml:space="preserve">הצעת חוק החקלאות, התשפ"ג-2023</t>
  </si>
  <si>
    <t xml:space="preserve"> (פ/2152/25)</t>
  </si>
  <si>
    <t xml:space="preserve">הצעת חוק צער בעלי חיים (הגנה על בעלי חיים) (תיקון - קביעת עונש מינימום בגין התעללות בבעלי חיים), התשפ"ג-2023</t>
  </si>
  <si>
    <t xml:space="preserve"> (פ/2013/25)</t>
  </si>
  <si>
    <t xml:space="preserve">הצעת חוק העונשין (תיקון - ביטול עבירת המטרד על ידי עיסוק בזנות), התשפ"ג-2023</t>
  </si>
  <si>
    <t xml:space="preserve"> (פ/1242/25)</t>
  </si>
  <si>
    <t xml:space="preserve">הצעת חוק בתי המשפט (תיקון - קביעת הרכבים בבית המשפט העליון וקביעת דיון נוסף), התשפ"ה-2025</t>
  </si>
  <si>
    <t xml:space="preserve"> (פ/5401/25)</t>
  </si>
  <si>
    <t xml:space="preserve">02.06.2026</t>
  </si>
  <si>
    <t xml:space="preserve">הצעת חוק רשות המורשת ביהודה והשומרון, התשפ"ו–2026</t>
  </si>
  <si>
    <t xml:space="preserve"> (פ/2346/25)</t>
  </si>
  <si>
    <t xml:space="preserve"> (כ/1184)</t>
  </si>
  <si>
    <t xml:space="preserve">01.06.2026</t>
  </si>
  <si>
    <t xml:space="preserve">הצעת חוק לתיקון פקודת מס הכנסה (הטבות במס ליישוב מאוים ביהודה והשומרון), התשפ"ה-2025</t>
  </si>
  <si>
    <t xml:space="preserve"> (פ/5592/25)</t>
  </si>
  <si>
    <t xml:space="preserve">הצעת חוק התפזרות הכנסת העשרים וחמש, התשפ"ו-2026</t>
  </si>
  <si>
    <t xml:space="preserve"> (פ/6710/25)</t>
  </si>
  <si>
    <t xml:space="preserve"> (פ/6704/25)</t>
  </si>
  <si>
    <t xml:space="preserve"> (כ/1195)</t>
  </si>
  <si>
    <t xml:space="preserve">הצעת חוק התפזרות הכנסת העשרים וחמש, התשפ"ה-2025</t>
  </si>
  <si>
    <t xml:space="preserve"> (פ/6036/25)</t>
  </si>
  <si>
    <t xml:space="preserve">הצעת חוק הבחירות לכנסת (תיקון - ייצוג נשים ברשימות מועמדים), התשפ״ו-2026</t>
  </si>
  <si>
    <t xml:space="preserve"> (פ/6754/25)</t>
  </si>
  <si>
    <t xml:space="preserve">הצעת חוק העונשין (תיקון - השחתת מודעות על רקע מגדר), התשפ"ו-2026</t>
  </si>
  <si>
    <t xml:space="preserve"> (פ/6753/25)</t>
  </si>
  <si>
    <t xml:space="preserve">הצעת חוק החמרת ענישה למורשעים במגע עם סוכן חוץ מטעם מדינת איראן, התשפ"ו-2026</t>
  </si>
  <si>
    <t xml:space="preserve"> (פ/6752/25)</t>
  </si>
  <si>
    <t xml:space="preserve">הצעת חוק העונשין (תיקון - ביטול סעיף העלבת עובד ציבור), התשפ"ו-2026</t>
  </si>
  <si>
    <t xml:space="preserve"> (פ/6751/25)</t>
  </si>
  <si>
    <t xml:space="preserve">הצעת חוק העונשין (תיקון - הפקרה אחרי אירוע אלים), התשפ״ו-2026</t>
  </si>
  <si>
    <t xml:space="preserve"> (פ/6750/25)</t>
  </si>
  <si>
    <t xml:space="preserve">הצעת חוק מרשם האוכלוסין (תיקון - רישום בן זוג שנפטר בספח תעודת הזהות), התשפ"ו-2026</t>
  </si>
  <si>
    <t xml:space="preserve"> (פ/6749/25)</t>
  </si>
  <si>
    <t xml:space="preserve">הצעת חוק-יסוד: הכנסת (תיקון - תמיכה במדינת אויב בעת מאבק מזוין) </t>
  </si>
  <si>
    <t xml:space="preserve"> (פ/6748/25)</t>
  </si>
  <si>
    <t xml:space="preserve">הצעת חוק-יסוד: הממשלה (תיקון - קביעת ממלא מקום ראש הממשלה)</t>
  </si>
  <si>
    <t xml:space="preserve"> (פ/6747/25)</t>
  </si>
  <si>
    <t xml:space="preserve">הצעת חוק הבטחת קשר בין ילדים והוריהם, התשפ"ו-2026</t>
  </si>
  <si>
    <t xml:space="preserve"> (פ/6746/25)</t>
  </si>
  <si>
    <t xml:space="preserve">הצעת חוק העונשין (תיקון - אלימות קבוצתית כנסיבה מחמירה של רצח והחמרת ענישה על המתה בקלות דעת), התשפ"ו-2026</t>
  </si>
  <si>
    <t xml:space="preserve"> (פ/6745/25)</t>
  </si>
  <si>
    <t xml:space="preserve">הצעת חוק-יסוד: חובת שירות לכל</t>
  </si>
  <si>
    <t xml:space="preserve"> (פ/6744/25)</t>
  </si>
  <si>
    <t xml:space="preserve">הצעת חוק העונשין (תיקון - ביטול עבירת המטרד על ידי עיסוק בזנות), התשפ"ו-2026</t>
  </si>
  <si>
    <t xml:space="preserve"> (פ/6743/25)</t>
  </si>
  <si>
    <t xml:space="preserve">הצעת חוק זכויות נפגעי עבירה (תיקון - התרת פרסום שמו של פוגע), התשפ"ו-2026</t>
  </si>
  <si>
    <t xml:space="preserve"> (פ/6742/25)</t>
  </si>
  <si>
    <t xml:space="preserve">הצעת חוק שיקום נרחב לחבל תנופה כאזור מיקוד לאומי, התשפ"ו-2026</t>
  </si>
  <si>
    <t xml:space="preserve"> (פ/6741/25)</t>
  </si>
  <si>
    <t xml:space="preserve">הצעת חוק הפיקוח על שירותים פיננסיים (ביטוח) (תיקון - כתב שירות ללא מעורבות מבטח) (הוראת שעה), התשפ"ו-2026</t>
  </si>
  <si>
    <t xml:space="preserve"> (פ/6740/25)</t>
  </si>
  <si>
    <t xml:space="preserve"> (פ/6739/25)</t>
  </si>
  <si>
    <t xml:space="preserve">הצעת חוק הפעלת תחבורה ציבורית בשבת, התשפ"ו-2026</t>
  </si>
  <si>
    <t xml:space="preserve"> (פ/6738/25)</t>
  </si>
  <si>
    <t xml:space="preserve">הצעת חוק אמצעי מצוקה לאנשים עם מוגבלות ואזרחים ותיקים (תיקוני חקיקה), התשפ"ו-2026</t>
  </si>
  <si>
    <t xml:space="preserve"> (פ/6737/25)</t>
  </si>
  <si>
    <t xml:space="preserve">הצעת חוק קרן לאזרחי ישראל (תיקון - הבטחת תקצוב הנגב), התשפ"ו-2026</t>
  </si>
  <si>
    <t xml:space="preserve"> (פ/6736/25)</t>
  </si>
  <si>
    <t xml:space="preserve">הצעת חוק ההתנתקות והפיצויים לנפגעיה (תיקון - נוכחות וחופש תנועה לישראלים בחבל עזה), התשפ"ו-2026 </t>
  </si>
  <si>
    <t xml:space="preserve"> (פ/6735/25)</t>
  </si>
  <si>
    <t xml:space="preserve"> הצעת חוק ההתגוננות האזרחית (תיקון - פיקוח על מחירי הבנייה של מרחבים מוגנים דירתיים), התשפ"ו-2026</t>
  </si>
  <si>
    <t xml:space="preserve"> (פ/6734/25)</t>
  </si>
  <si>
    <t xml:space="preserve">הצעת חוק לטיפול בכתות פוגעניות, התשפ"ו-2026</t>
  </si>
  <si>
    <t xml:space="preserve"> (פ/6733/25)</t>
  </si>
  <si>
    <t xml:space="preserve">הצעת חוק רשויות מרחביות לתחבורה, התשפ"ו-2026</t>
  </si>
  <si>
    <t xml:space="preserve"> (פ/6732/25)</t>
  </si>
  <si>
    <t xml:space="preserve">הצעת חוק ההוצאה לפועל (תיקון - השהיית הליך ואי-נקיטתו כלפי אסירים משוחררים), התשפ"ו-2026</t>
  </si>
  <si>
    <t xml:space="preserve"> (פ/6731/25)</t>
  </si>
  <si>
    <t xml:space="preserve">הצעת חוק ארגון הפיקוח על העבודה (תיקון - הארכת הוראת שעה), התשפ"ו-2026</t>
  </si>
  <si>
    <t xml:space="preserve"> (פ/6730/25)</t>
  </si>
  <si>
    <t xml:space="preserve">הצעת חוק לתיקון פקודת המשטרה (חיזוק עצמאות המשטרה והגבלת המעורבות הפוליטית בעבודתה), התשפ״ו-2026</t>
  </si>
  <si>
    <t xml:space="preserve"> (פ/6729/25)</t>
  </si>
  <si>
    <t xml:space="preserve">הצעת חוק הממשלה (תיקון - קיום מסיבת עיתונאים עיתית לגופי התקשורת בישראל), התשפ"ו-2026</t>
  </si>
  <si>
    <t xml:space="preserve"> (פ/6728/25)</t>
  </si>
  <si>
    <t xml:space="preserve">הצעת חוק קידום החקלאות, התשפ"ו-2026</t>
  </si>
  <si>
    <t xml:space="preserve"> (פ/6727/25)</t>
  </si>
  <si>
    <t xml:space="preserve">הצעת חוק העונשין (תיקון - תקיפת עיתונאים), התשפ"ו-2026</t>
  </si>
  <si>
    <t xml:space="preserve"> (פ/6726/25)</t>
  </si>
  <si>
    <t xml:space="preserve">הצעת חוק למניעת חרם חברתי בבתי ספר, התשפ"ו-2026</t>
  </si>
  <si>
    <t xml:space="preserve"> (פ/6725/25)</t>
  </si>
  <si>
    <t xml:space="preserve"> (פ/6724/25)</t>
  </si>
  <si>
    <t xml:space="preserve">הצעת חוק הבנקאות (שירות ללקוח) (תיקון מס' 41), התשפ"ו–2026</t>
  </si>
  <si>
    <t xml:space="preserve"> (פ/960/25)</t>
  </si>
  <si>
    <t xml:space="preserve"> (כ/1177)</t>
  </si>
  <si>
    <t xml:space="preserve">הצעת חוק שלילת הטבות מבכירים במערכת הביטחון, התשפ"ה-2025</t>
  </si>
  <si>
    <t xml:space="preserve"> (פ/5831/25)</t>
  </si>
  <si>
    <t xml:space="preserve">27.05.2026</t>
  </si>
  <si>
    <t xml:space="preserve">הצעת חוק שלילת הטבות מבכירים במערכת הביטחון, התשפ"ה-2025 </t>
  </si>
  <si>
    <t xml:space="preserve"> (פ/5423/25)</t>
  </si>
  <si>
    <t xml:space="preserve">הצעת חוק עסקאות גופים ציבוריים (תיקון מס' 12) (איסור התקשרות עם ספק בשל מעורבות בפשיעה חמורה), התשפ"ה-2025 </t>
  </si>
  <si>
    <t xml:space="preserve"> (מ/1885)</t>
  </si>
  <si>
    <t xml:space="preserve">הצעת חוק חוסן לישראל - הרשות הלאומית לחוסן נפשי ולטראומה, התשפ"ו-2026</t>
  </si>
  <si>
    <t xml:space="preserve"> (פ/6629/25)</t>
  </si>
  <si>
    <t xml:space="preserve">הצעת חוק מחיקת חובות שמקורם בתגמולי מילואים במלחמת חרבות ברזל (תיקוני חקיקה), התשפ"ו-2026</t>
  </si>
  <si>
    <t xml:space="preserve"> (פ/6508/25)</t>
  </si>
  <si>
    <t xml:space="preserve">הצעת חוק השידור הציבורי הישראלי (תיקון מס' 11) (תקציב תאגיד השידור הישראלי),  התשפ"ו–2026</t>
  </si>
  <si>
    <t xml:space="preserve"> (פ/4736/25)</t>
  </si>
  <si>
    <t xml:space="preserve"> (כ/1194)</t>
  </si>
  <si>
    <t xml:space="preserve">הצעת חוק העונשין (תיקון - איסור הנפת דגל של מדינת אויב או של הרשות הפלסטינית בגופים המתוקצבים או הנתמכים על ידי המדינה), התשפ"ד-2024</t>
  </si>
  <si>
    <t xml:space="preserve"> (פ/4779/25)</t>
  </si>
  <si>
    <t xml:space="preserve">26.05.2026</t>
  </si>
  <si>
    <t xml:space="preserve">הצעת חוק השמירה על המקומות הקדושים (תיקון - ייעוץ הרבנות הראשית), התשפ"ג-2023</t>
  </si>
  <si>
    <t xml:space="preserve"> (פ/2788/25)</t>
  </si>
  <si>
    <t xml:space="preserve">25.05.2026</t>
  </si>
  <si>
    <t xml:space="preserve">חוק הכניסה לישראל (תיקון מס' 41), התשפ"ה–2025</t>
  </si>
  <si>
    <t xml:space="preserve"> (פ/5255/25)</t>
  </si>
  <si>
    <t xml:space="preserve"> (כ/1102)</t>
  </si>
  <si>
    <t xml:space="preserve">מוצע לקבוע כי במקרים שבהם יקבע שר הפנים, בהתבסס על חוות דעת של מנהל רשות האוכלוסין וההגירה, כי מסתנן תומך בממשל מדינתו, תקום חזקה כי לא נשקפת סכנה המונעת את החזרתו למדינתו. במקרה כאמור, שר הפנים ייתן לאותו אדם הזדמנות להשמיע את טענותיו לעניין זה. כמו כן, ניתן יהיה לסתור את החזקה בתוך 30 ימים מיום ההודעה על קביעה כאמור. אם לא נסתרה החזקה בתוך התקופה האמורה, יבוטל רישיון הישיבה שניתן לאותו אדם, והוא יורחק מישראל למדינתו, בהתאם להוראות סעיף 13 לחוק הכניסה לישראל. עוד מוצע לקבוע כי בכל מקרה בו מסתנן הורשע בעבירה שדינה שלוש שנות מאסר ומעלה שר הפנים יבטל את רישיון הישיבה שניתן לו וירחיקו מישראל לאחר שהמסתנן ריצה את עונשו, אם מצא כי שהייתו מסכנת את בטחון המדינה או את שלום הציבור במדינת ישראל.</t>
  </si>
  <si>
    <t xml:space="preserve">חוק התכנון והבנייה (תיקון מס' 162 - הוראת שעה), התשפ"ה-2025</t>
  </si>
  <si>
    <t xml:space="preserve"> (פ/4592/25)</t>
  </si>
  <si>
    <t xml:space="preserve"> (כ/1122)</t>
  </si>
  <si>
    <t xml:space="preserve">מוצע להוסיף סמכויות לוועדות מקומיות בהוראת שעה לתקופה של חמש שנים לשנות ייעוד של קרקעות לייעוד מגורים, ולאשר תוספת שטח של עד 5,000 מ"ר בכל יישוב קיים בתחום מועצה האזורית בצפון ובדרום למטרות מגורים בלבד או לשימושים נלווים למגורים, ובכלל זה לצורכי ציבור, בהתקיים מספר תנאים: ראשית, הוועדה המחוזית אישרה ליישוב תוכנית כוללנית הקובעת מסגרת תכנונית מוסכמת ומקיפה או שהוועדה המקומית הוסמכה כוועדה עצמאית. לחלופין, למשך שנתיים בלבד, התקבלה חוות דעת תומכת ממתכנן המחוז או שהוא לא העביר חוות דעת  בתוך פרק הזמן המוקצב לכך; שנית, השטח שייעודו ישונה לא יעלה על 20 דונם ותוספת השטח לבנייה תשמש ל־40 יחידות דיור חדשות לכל היותר בכל יישוב, ולפחות 30% מהן יהיו דירות קטנות; שלישית, יחידות הדיור שיתווספו לפי תיקון זה יהיה יחידות דיור חדשות בלבד וכן לא יהיה ניתן לעשות שימוש בסמכות זו לשם הקמת יישוב חדש אלא רק לשם הרחבתו.</t>
  </si>
  <si>
    <t xml:space="preserve">הצעת חוק פינוי ובינוי של אזורי שיקום (הוראת שעה - כפר שלם), התשפ"ו-2026 </t>
  </si>
  <si>
    <t xml:space="preserve"> (פ/6723/25)</t>
  </si>
  <si>
    <t xml:space="preserve">הצעת חוק עובדים זרים (תיקון - זכאות להיתר להעסקת עובד זר בסיעוד ליחיד שמלאו לו 85 שנים),  התשפ"ו-2026</t>
  </si>
  <si>
    <t xml:space="preserve"> (פ/6722/25)</t>
  </si>
  <si>
    <t xml:space="preserve">הצעת חוק מלחמת שמחת תורה, התשפ"ו-2026</t>
  </si>
  <si>
    <t xml:space="preserve"> (פ/6721/25)</t>
  </si>
  <si>
    <t xml:space="preserve">הצעת חוק לתיקון פקודת האגודות השיתופיות (זכויות חבר שאינו מתגורר בתחום האגודה), התשפ"ו-2026</t>
  </si>
  <si>
    <t xml:space="preserve"> (פ/6720/25)</t>
  </si>
  <si>
    <t xml:space="preserve">הצעת חוק לתיקון פקודת המשטרה (חובת לבישת מדים בהפגנות), התשפ"ו-2026</t>
  </si>
  <si>
    <t xml:space="preserve"> (פ/6719/25)</t>
  </si>
  <si>
    <t xml:space="preserve">הצעת חוק השבות (תיקון - הוספת המילה כהלכה), התשפ"ו-2026</t>
  </si>
  <si>
    <t xml:space="preserve"> (פ/6718/25)</t>
  </si>
  <si>
    <t xml:space="preserve">הצעת חוק השיפוט הצבאי (תיקון - הארכת תחולת החוק על עבירות מין), התשפ"ו-2026</t>
  </si>
  <si>
    <t xml:space="preserve"> (פ/6717/25)</t>
  </si>
  <si>
    <t xml:space="preserve">הצעת חוק לתיקון פקודת המשטרה (מינוי קצינים), התשפ"ו-2026</t>
  </si>
  <si>
    <t xml:space="preserve"> (פ/6716/25)</t>
  </si>
  <si>
    <t xml:space="preserve">הצעת חוק שקיפות אינטרסים כספיים וגילוי עניינים של חברי הכנסת והשרים, התשפ"ו-2026</t>
  </si>
  <si>
    <t xml:space="preserve"> (פ/6715/25)</t>
  </si>
  <si>
    <t xml:space="preserve">הצעת חוק שיקום נזקי מלחמה בדרך של התחדשות עירונית (תיקון - מימון בניית מרחב מוגן והוראות נוספות), התשפ"ו-2026</t>
  </si>
  <si>
    <t xml:space="preserve"> (פ/6714/25)</t>
  </si>
  <si>
    <t xml:space="preserve">הצעת חוק השיפוט הצבאי (תיקון - הבטחת תנאי דת לעצורים ולכלואים), התשפ"ו-2026</t>
  </si>
  <si>
    <t xml:space="preserve"> (פ/6713/25)</t>
  </si>
  <si>
    <t xml:space="preserve">הצעת חוק מימון הוצאות למשפחות שבויים, חטופים ונעדרים (תיקון - מענקי סיוע לטובת שיקום), התשפ"ו-2026</t>
  </si>
  <si>
    <t xml:space="preserve"> (פ/6712/25)</t>
  </si>
  <si>
    <t xml:space="preserve">הצעת חוק מעונות יום שיקומיים (תיקון - הוספת טיפול רגשי לפעוטות עם מוגבלות), התשפ"ו-2026</t>
  </si>
  <si>
    <t xml:space="preserve"> (פ/6711/25)</t>
  </si>
  <si>
    <t xml:space="preserve">הצעת חוק הכשרות המשפטית והאפוטרופסות (תיקון מס' 25), התשפ"ו-2026</t>
  </si>
  <si>
    <t xml:space="preserve"> (מ/1954)</t>
  </si>
  <si>
    <t xml:space="preserve">הצעת חוק לתיקון פקודת הרופאים (תיקון מס' 19), התשפ"ו-2026</t>
  </si>
  <si>
    <t xml:space="preserve"> (מ/1952)</t>
  </si>
  <si>
    <t xml:space="preserve">הצעת חוק לתיקון פקודת הסמים המסוכנים (מס' 23)(חילוט סם מסוכן והשמדתו), התשפ"ו–2026</t>
  </si>
  <si>
    <t xml:space="preserve"> (מ/1953)</t>
  </si>
  <si>
    <t xml:space="preserve">הצעת חוק יום לציון עליית יהודי מרוקו לישראל ולהנצחת זכרם של הנספים בדרך לישראל, התשפ"ו-2025</t>
  </si>
  <si>
    <t xml:space="preserve"> (פ/6382/25)</t>
  </si>
  <si>
    <t xml:space="preserve">24.05.2026</t>
  </si>
  <si>
    <t xml:space="preserve">הצעת חוק רשות העתיקות (תיקון - סמכות רשות העתיקות ביהודה והשומרון), התשפ"ד-2024</t>
  </si>
  <si>
    <t xml:space="preserve"> (פ/4879/25)</t>
  </si>
  <si>
    <t xml:space="preserve">20.05.2026</t>
  </si>
  <si>
    <t xml:space="preserve">חוק סיוע לבני משפחה של נעדרים, התשפ"ו–2026</t>
  </si>
  <si>
    <t xml:space="preserve"> (פ/4861/25)</t>
  </si>
  <si>
    <t xml:space="preserve"> (כ/1140)</t>
  </si>
  <si>
    <t xml:space="preserve">חוק סיוע לבני משפחה של נעדרים, התשפ"ו–2026, מסדיר מנגנון לקידום הסיוע למשפחות נעדרים ולייעול שיתוף הפעולה בין רשויות המדינה. על פי החוק, "נעדר" מוגדר כאזרח או תושב ישראל שנעדר מביתו או ממסגרת שהייתו לפחות 60 ימים מיום הדיווח למשטרה, מקום הימצאו אינו ידוע, לא ניתן ליצור עימו קשר, אין ראיה לכך שאינו בחיים, ויש לגביו הכרזה תקפה כנעדר על ידי המשטרה. ההגדרה כוללת חייל שנעדר משירות צבאי, למעט במקרים של חשד לעבירות עריקות או היעדר מן השירות. החוק קובע כי שר העבודה ימנה ועדה בין-משרדית, בראשות נציג משרדו, שתכלול נציגים ממגוון משרדי ממשלה, מהמוסד לביטוח לאומי ומהאפוטרופוס הכללי. תפקידה של הוועדה לתכלל את המענים הניתנים למשפחות, לגבש נהלי עבודה קבועים בין הרשויות ולבחון מקרים פרטניים לשם שיפור הטיפול. לשם כך, חויבו משטרת ישראל וצבא הגנה לישראל להודיע לוועדה על אדם כנעדר, באופן שלא יפגע בצורכי חקירה, ביחסי החוץ או בביטחון המדינה, והוסדרו סמכויות למסירת מידע רלוונטי לוועדה מגופים ציבוריים, בכפוף להסכמת המשפחה ושמירה על פרטיות. עוד קובע החוק כי המשטרה או צה"ל יחויבו ליידע את בני המשפחה של נעדר בדבר אפשרותם לפנות למחלקה לשירותים חברתיים ברשות המקומית וללשכת הסיוע המשפטי, לשם בחינת זכויותיהם. בנוסף לכך, במסגרת החוק תוקן חוק הסיוע המשפטי, כך שמשפחת נעדר תהיה זכאית לסיוע משפטי בהליכים אזרחיים בישראל הקשורים לענייניו, ללא צורך בעמידה במבחן זכאות כלכלית. וכן תוקנו חוק הביטוח הלאומי וחוק ביטוח בריאות ממלכתי, כך שיינתן פטור מתשלום דמי ביטוח בעד התקופה שבה האדם נעדר, בתנאי שאין לו הכנסה אחרת, ונקבע כי לא תשולם גמלה בעדו בחלוף שישה חודשים מהמועד שבו נקבע כי הוא נעדר, וכל עוד לא אותר.</t>
  </si>
  <si>
    <t xml:space="preserve">הצעת חוק קידום הליכי הקמת יישוב חדש, התשפ"ו-2026</t>
  </si>
  <si>
    <t xml:space="preserve"> (פ/6614/25)</t>
  </si>
  <si>
    <t xml:space="preserve"> (פ/6563/25)</t>
  </si>
  <si>
    <t xml:space="preserve">הצעת חוק הפיקוח על שירותים פיננסיים (שירותים פיננסיים מוסדרים) (תיקון - מתן רישיון לנותן שירות זר),  התשפ"ו-2026</t>
  </si>
  <si>
    <t xml:space="preserve"> (פ/6505/25)</t>
  </si>
  <si>
    <t xml:space="preserve">הצעת חוק הליכים מזורזים להקמת יישובים חדשים (תיקוני חקיקה), התשפ"ה-2025</t>
  </si>
  <si>
    <t xml:space="preserve"> (פ/6141/25)</t>
  </si>
  <si>
    <t xml:space="preserve"> (פ/6035/25)</t>
  </si>
  <si>
    <t xml:space="preserve"> (פ/5950/25)</t>
  </si>
  <si>
    <t xml:space="preserve"> (פ/5928/25)</t>
  </si>
  <si>
    <t xml:space="preserve"> (פ/5927/25)</t>
  </si>
  <si>
    <t xml:space="preserve">הצעת חוק התפזרות הכנסת העשרים וחמש, התשפ"ד-2023</t>
  </si>
  <si>
    <t xml:space="preserve"> (פ/4115/25)</t>
  </si>
  <si>
    <t xml:space="preserve"> (פ/4071/25)</t>
  </si>
  <si>
    <t xml:space="preserve">הצעת חוק התפזרות הכנסת העשרים וחמש, התשפ"ג-2023</t>
  </si>
  <si>
    <t xml:space="preserve"> (פ/2547/25)</t>
  </si>
  <si>
    <t xml:space="preserve">הצעת חוק התפזרות הכנסת העשרים וחמש, התשפ"ג-2022</t>
  </si>
  <si>
    <t xml:space="preserve"> (פ/535/25)</t>
  </si>
  <si>
    <t xml:space="preserve">הצעת חוק פיצול תפקיד היועץ המשפטי לממשלה, התשפ"ה-2025</t>
  </si>
  <si>
    <t xml:space="preserve"> (פ/5808/25)</t>
  </si>
  <si>
    <t xml:space="preserve">19.05.2026</t>
  </si>
  <si>
    <t xml:space="preserve">הצעת חוק עצמאות היועץ המשפטי של משרד ממשלתי, מעמדו וסמכויותיו, התשפ"ה-2025</t>
  </si>
  <si>
    <t xml:space="preserve"> (פ/5782/25)</t>
  </si>
  <si>
    <t xml:space="preserve">18.05.2026</t>
  </si>
  <si>
    <t xml:space="preserve">הצעת חוק פיצול תפקיד היועץ המשפטי לממשלה, התשפ"ה-2024</t>
  </si>
  <si>
    <t xml:space="preserve"> (פ/5289/25)</t>
  </si>
  <si>
    <t xml:space="preserve"> (פ/5287/25)</t>
  </si>
  <si>
    <t xml:space="preserve"> (פ/5262/25)</t>
  </si>
  <si>
    <t xml:space="preserve">הצעת חוק פיצול תפקיד היועץ המשפטי לממשלה, התשפ"ד-2024</t>
  </si>
  <si>
    <t xml:space="preserve"> (פ/4625/25)</t>
  </si>
  <si>
    <t xml:space="preserve">הצעת חוק פיצול תפקיד היועץ המשפטי לממשלה, התשפ"ג-2023</t>
  </si>
  <si>
    <t xml:space="preserve"> (פ/3825/25)</t>
  </si>
  <si>
    <t xml:space="preserve">הצעת חוק התובע הכללי, התשפ"ג-2023</t>
  </si>
  <si>
    <t xml:space="preserve"> (פ/3198/25)</t>
  </si>
  <si>
    <t xml:space="preserve"> (פ/2785/25)</t>
  </si>
  <si>
    <t xml:space="preserve">הצעת חוק שירותי הדת היהודיים (תיקון - התקנת תקנות באישור ועדה), התשפ"ו-2026</t>
  </si>
  <si>
    <t xml:space="preserve"> (פ/6709/25)</t>
  </si>
  <si>
    <t xml:space="preserve">הצעת חוק הרבנות הראשית לישראל (תיקון - סמכות לעריכת בחינות), התשפ"ו-2026</t>
  </si>
  <si>
    <t xml:space="preserve"> (פ/6708/25)</t>
  </si>
  <si>
    <t xml:space="preserve">הצעת חוק הביטוח הלאומי (תיקון - הבטחת רצף זכאות לקצבת שאירים ליתומים צעירים), התשפ"ו-2026</t>
  </si>
  <si>
    <t xml:space="preserve"> (פ/6706/25)</t>
  </si>
  <si>
    <t xml:space="preserve">הצעת חוק ייצוג ארגונים וגופים ציבוריים, התשפ"ו-2026</t>
  </si>
  <si>
    <t xml:space="preserve"> (פ/6705/25)</t>
  </si>
  <si>
    <t xml:space="preserve">הצעת חוק הפסיכולוגים (תיקון - הכרה בפסיכולוגים מחוץ לישראל על בסיס ניסיון מקצועי), התשפ״ו-2026</t>
  </si>
  <si>
    <t xml:space="preserve"> (פ/6703/25)</t>
  </si>
  <si>
    <t xml:space="preserve">הצעת חוק משפחות חיילים שנספו במערכה (תגמולים ושיקום) (תיקון - הטבות לאח הנספה), התשפ"ו-2026</t>
  </si>
  <si>
    <t xml:space="preserve"> (פ/6702/25)</t>
  </si>
  <si>
    <t xml:space="preserve">הצעת חוק איסור טיפול המרה לקטין, התשפ"ו-2026</t>
  </si>
  <si>
    <t xml:space="preserve"> (פ/6701/25)</t>
  </si>
  <si>
    <t xml:space="preserve">הצעת חוק תאגידי מים וביוב (תיקון - הנחה בתשלום דמי הקמה לתאגיד שהוא מוסד ללא כוונת רווח), התשפ"ו-2026</t>
  </si>
  <si>
    <t xml:space="preserve"> (פ/6700/25)</t>
  </si>
  <si>
    <t xml:space="preserve">הצעת חוק הגנת הצרכן (תיקון - הגנה על אזרחי ישראל מפני טובין מהרשות הפלסטינית), התשפ״ו-2026</t>
  </si>
  <si>
    <t xml:space="preserve"> (פ/6699/25)</t>
  </si>
  <si>
    <t xml:space="preserve">הצעת חוק מס ערך מוסף (תיקון - הפחתת שיעור המס), התשפ"ו-2026</t>
  </si>
  <si>
    <t xml:space="preserve"> (פ/6698/25)</t>
  </si>
  <si>
    <t xml:space="preserve">הצעת חוק הפיקוח על שירותים פיננסיים (קופות גמל) (תיקון - מסלול הלכה), התשפ"ו-2026</t>
  </si>
  <si>
    <t xml:space="preserve"> (פ/6697/25)</t>
  </si>
  <si>
    <t xml:space="preserve">הצעת חוק זכות יוצרים (תיקון - שימוש אדם בתצלום בו הוא מופיע ופסיקת פיצויים על הפרת זכות יוצרים), התשפ״ו-2026</t>
  </si>
  <si>
    <t xml:space="preserve"> (פ/6696/25)</t>
  </si>
  <si>
    <t xml:space="preserve">הצעת חוק רשות מקרקעי ישראל (תיקון - הרחבת ייעודי הקרן לשמירה על שטחים פתוחים), התשפ"ו-2026</t>
  </si>
  <si>
    <t xml:space="preserve"> (פ/6695/25)</t>
  </si>
  <si>
    <t xml:space="preserve">הצעת חוק לתיקון פקודת מס הכנסה (פטור ממס על מלגות קיום לספורטאי הישג פאראלימפיים), התשפ"ו-2026</t>
  </si>
  <si>
    <t xml:space="preserve"> (פ/6694/25)</t>
  </si>
  <si>
    <t xml:space="preserve">הצעת חוק הביטוח הלאומי (תיקון - גמלת ניידות לילד מונשם מגיל שלושה חודשים), התשפ"ו-2026</t>
  </si>
  <si>
    <t xml:space="preserve"> (פ/6692/25)</t>
  </si>
  <si>
    <t xml:space="preserve">הצעת חוק העסקת עובדים על ידי קבלני כוח אדם (תיקון - תגמול מבוסס איכות בענף ההעסקה הקבלנית), התשפ״ו-2026</t>
  </si>
  <si>
    <t xml:space="preserve"> (פ/6691/25)</t>
  </si>
  <si>
    <t xml:space="preserve">הצעת חוק לימוד חובה (תיקון - מספר תלמידים מרבי בכיתה בבית ספר יסודי), התשפ"ו-2026</t>
  </si>
  <si>
    <t xml:space="preserve"> (פ/6690/25)</t>
  </si>
  <si>
    <t xml:space="preserve">הצעת חוק רשות העתיקות (תיקון - סמכות רשות העתיקות ביהודה והשומרון), התשפ"ו-2026</t>
  </si>
  <si>
    <t xml:space="preserve"> (פ/6689/25)</t>
  </si>
  <si>
    <t xml:space="preserve">הצעת חוק סמכויות מיוחדות למאבק בארגוני פשיעה (הוראות שעה), התשפ"ו–2026</t>
  </si>
  <si>
    <t xml:space="preserve"> (פ/6158/25)</t>
  </si>
  <si>
    <t xml:space="preserve"> (כ/1190)</t>
  </si>
  <si>
    <t xml:space="preserve">הצעת חוק שמירה על גבולות המדינה (תיקוני חקיקה), התשפ"ה-2025</t>
  </si>
  <si>
    <t xml:space="preserve"> (פ/5737/25)</t>
  </si>
  <si>
    <t xml:space="preserve">14.05.2026</t>
  </si>
  <si>
    <t xml:space="preserve">חוק זכויות מבצעים ומשדרים (תיקון מס' 10), התשפ"ו–2026</t>
  </si>
  <si>
    <t xml:space="preserve"> (פ/3177/25)</t>
  </si>
  <si>
    <t xml:space="preserve"> (כ/1115)</t>
  </si>
  <si>
    <t xml:space="preserve">13.05.2026</t>
  </si>
  <si>
    <t xml:space="preserve">התיקון לחוק זכויות משדרים ומבצעים, התשמ"ד–1984, מתאים את זכויותיהם של המבצעים בישראל לעידן המודרני. מבצעים הם מי שמבצעים יצירה ספרותית, אמנותית, דרמטית או מוסיקלית במשחק, בשירה, בנגינה, במחול או בדרך אחרת, וזכויות המבצעים הן זכויות נפרדות מזכויות היוצרים. התיקון עורך כמה שינויים משמעותיים בזכויות המבצעים ביחס לחוק הקיים: ראשית, התיקון לחוק קובע שתתווסף לסל הזכויות של מבצעים גם זכות בלעדית להעמדה לרשות הציבור של ביצועיהם. הזכות הבלעדית להעמדה לרשות הציבור היא זכותו של המבצע למנוע הנגשה של עותק של הביצוע שלו לציבור, כך שלאנשים מקרב הציבור תהיה גישה אליו מכל מקום ובכל מועד לפי בחירתם. עם הוספת זכות זו, מבצעים יוכלו למנוע העמדה של הביצוע שלהם לרשות הציבור ללא הסכמתם, או לדרוש תשלום עבור העמדתו לרשות הציבור, למשל מפלטפורמות שמאפשרות צריכת תוכן לפי דרישה, מה שמוכר למשל כ-Video on Demand (VOD).  שנית, לפי החוק הקיים, למבצעים אמנם אין זכות בלעדית למנוע השמעה או הצגה של ביצוע שלהם בציבור – למשל באולמות אירועים, במסעדות וכדומה (זכות ל"ביצוע פומבי"), אך יש להם זכות לקבל תמלוג ראוי בשל ביצוע פומבי של הביצוע שלהם (הזכות לתמלוג ראוי). התמלוג משולם ל"ארגון התמלוגים היציג" המייצג את המספר הגדול ביותר של מבצעים ובעלי זכויות מבצעים, והארגון מעביר את התמלוגים למבצעים, בין אם הם חברים בו ובין אם אינם חברים בו. התיקון לחוק קובע הוראות לעניין חובות שוויון ושקיפות שיחולו על הארגון האמור, הן כלפי מי שמשתמשים בביצועים והן כלפי המבצעים. בנוסף קובע התיקון לחוק שרק עמותה או חברה לתועלת הציבור יוכלו לשמש כארגון כאמור.  שלישית, התיקון לחוק קובע מגבלות לעניין האפשרות להעביר את הזכות לתמלוג ראוי. ככלל, לעניין ביצוע של יצירה מוסיקלית הכלול בתקליט, נקבע שזכותו של המבצע לתמלוג ראוי אינה ניתנת להעברה או לוויתור במשך שבע השנים הראשונות מיום הקלטת הביצוע. לעניין ביצוע הכלול ביצירה קולנועית, נקבע שהמבצע זכאי לתמורה הולמת בשל העברת זכותו לתמלוג ראוי או ויתור עליה. למגבלות אלה נקבעו מספר חריגים. בין השאר, נקבע כי מבצע רשאי לוותר על זכותו לתמלוג ראוי בשל ביצוע פומבי שנעשה בידי גוף כגון עמותה, מלכ"ר, מוסד חינוך, ספריה, ארכיון או מוזיאון, או להעביר לגוף כאמור את זכותו לתמלוג ראוי. רביעית, התיקון לחוק מבקש להקל על עסקים קטנים, וקובע שהשמעה או הצגה בציבור של ביצוע בידי בעל עסק זעיר איננה כלולה בהגדרה "ביצוע פומבי", ולכן בעל עסק כאמור לא יידרש לשלם תמלוגים בשל כך, אלא אם כן חלק מהותי מעיסוקו הוא השמעה או הצגה בציבור של ביצועים. "בעל עסק זעיר" מוגדר לעניין זה כבעל עסק שמחזור העסקאות השנתי שלו אינו עולה על הסכום הקבוע בהגדרה "עוסק פטור" בחוק מס ערך מוסף, התשל"ו–1975 (כלומר, כ-120,000 ש"ח כיום).  נוסף על כך, התיקון לחוק קובע כי בתובענה בשל הפרת הזכות לתמלוג ראוי יהיה בית המשפט רשאי לפסוק סעד כספי בלבד, כלומר בית המשפט לא יהיה רשאי לתת צו מניעה להפסקת השימוש. זאת, משום שגם הזכות המוקנית למבצעים לעניין זה היא זכות לקבלת תמלוג ראוי, ומלכתחילה אין להם זכות למנוע את השמעת או הצגת הביצוע בציבור. בית המשפט יהיה רשאי לפסוק פיצוי בלא הוכחת נזק בתובענה כאמור, אולם סכום הפיצוי כאמור יוגבל, כך שבמקום סכום של עד 100,000 שקלים חדשים לכל הפרה, שרשאי בית המשפט לפסוק לפי הדין הקיים (אלא אם מדובר במסכת אחת של מעשים), בית המשפט יוכל לפסוק פיצוי בסכום שלא יעלה על פי שלושה מהתעריף השנתי של התמלוג הראוי או פי עשרה מהתעריף של התמלוג הראוי בעד פעילות מסוימת במועד מסוים, או על 25,000 שקלים חדשים, לפי הגבוה. אם בעל הזכות סבור כי שווי הנזק שנגרם לו גבוה יותר, פתוחה בפניו כמובן הדרך להוכיח את נזקו ולבקש מבית המשפט שיפסוק לו פיצויים עבור הנזק שנגרם לו בפועל.  בנוסף, התיקון מאמץ את השימושים המותרים הקבועים בחוק זכות יוצרים, התשס"ח–2007, כך שיחולו בשינויים המחויבים גם לגבי זכויות מבצעים. שימושים מותרים הם שימושים שניתן לעשותם גם ללא קבלת הסכמה מבעלי הזכויות וללא תשלום תמורה לבעלי הזכויות, למטרות שיש בהן חשיבות ציבורית. בהמשך לכך, יתאפשר למשל שימוש הוגן בביצוע, שימוש בביצוע בהליכים משפטיים או בהליכים מינהליים לפי דין וכדומה, בלא שהמשתמש יידרש לקבל את הסכמת המבצע לכך או לשלם תמלוגים בשל שימושים אלה.  עוד קובע התיקון לחוק שמדי שנה יוקצה תקציב לתמיכה באמנים במצוקה, מתוך תקציב משרד התרבות והספורט, והוא ישמש לתמיכה באמנים לפי אמות מידה שוויוניות שיפרסם שר התרבות והספורט באתר משרדו. התקציב יעמוד על סך של 2.5 מיליון ש"ח בשנת 2026, על סך של 5 מיליון ש"ח בשנת 2027, ועל סך של 7 מיליון ש"ח החל משנת 2028 ובכל שנה לאחר מכן.  נוסף על כך, התיקון לחוק כולל תיקון עקיף לחוק זכות יוצרים, התשס"ח–2007, שבמסגרתו נקבע כי השמעה או הצגה בציבור של יצירה  בידי בעלי עסקים זעירים לא תיכלל בהגדרה "ביצוע פומבי" בחוק האמור, ולפיכך בעלי עסקים כאמור לא יידרשו לקבל הסכמה לפעולות האמורות או לשלם תמלוגים בשל ביצוען. בנוסף, התיקון העקיף לחוק מרחיב את השימוש המותר הקבוע כיום בחוק זכות יוצרים לעניין ביצוע פומבי של יצירות במהלך הפעילות החינוכית של מוסדות חינוך, כך שיחול גם לגבי מסגרות חינוכיות-חברתיות מסוימות נוספות, דוגמת מועדוניות שמנהלות רשויות מקומיות, צהרונים שאינם פרטיים וקייטנות ציבוריות, וגם אם השימוש נעשה בידי אדם שאינו עובד המוסד או מסגרת החינוך או תלמיד הלומד בהם, בתנאים המנויים בתיקון לחוק. השימוש המותר האמור יחול גם לגבי זכויות מבצעים. כמו כן, התיקון לחוק קובע תמריץ לארגוני הניהול המשותף בתחום זכויות היוצרים וזכויות המבצעים הפועלים כיום בשוק, לקיים מנגנון של גבייה משותפת של תמלוגים עבור ביצוע פומבי ממשתמשים. זאת, כדי להפוך את תהליך תשלום התמלוגים בעד ביצוע פומבי של יצירות וביצועים לפשוט יותר עבור בעלי עסקים, שכיום נדרשים לשלם עבור שימוש כאמור למספר ארגונים שונים שכל אחד מהם מייצג בעלי זכויות שונים,  וכדי לחסוך בעלויות התפעול של מנגנון גביית התמלוגים כאמור. התיקון לחוק קובע כי ארגון שלא יצטרף לגבייה המשותפת בתוך 18 חודשים מה-20 במאי 2027 (מועד התחילה של התיקון לחוק), לא יהיה רשאי לבקש מבית המשפט לפסוק לו פיצוי בלא הוכחת נזק בשל הפרת הזכות לביצוע פומבי. בנוסף, לגבי אותו ארגון יורחב הפטור שיחול לעניין בעלי עסקים זעירים כך שהצגה או השמעה של ביצוע או יצירה בציבור בידי בעל עסק שמחזור העסקאות השנתי שלו אינו עולה על פי ארבעה מהסכום הקבוע בהגדרה "עוסק פטור" בחוק מס ערך מוסף (כלומר, כ-480,000 ש"ח כיום) – לא תיחשב "ביצוע פומבי" ולכן בעל עסק כאמור לא יידרש לשלם תמלוגים עבור ביצוע פומבי ולא יהיה חשוף לתביעות בעניין.</t>
  </si>
  <si>
    <t xml:space="preserve">חוק ביטוח בריאות ממלכתי (תיקון מס' 75), התשפ"ו–2026</t>
  </si>
  <si>
    <t xml:space="preserve"> (פ/41/25)</t>
  </si>
  <si>
    <t xml:space="preserve"> (כ/1137)</t>
  </si>
  <si>
    <t xml:space="preserve">הצעת חוק דחיית מועדים (תשלומים של בעל עסק המשרת בשירות מילואים פעיל), התשפ"ה-2025</t>
  </si>
  <si>
    <t xml:space="preserve"> (פ/6043/25)</t>
  </si>
  <si>
    <t xml:space="preserve">הצעת חוק לתיקון פקודת מס הכנסה (נקודות זיכוי להורי חיילים), התשפ"ה-2024</t>
  </si>
  <si>
    <t xml:space="preserve"> (פ/5256/25)</t>
  </si>
  <si>
    <t xml:space="preserve">חוק כלי הירייה (תיקון מס' 25), התשפ"ה–2025</t>
  </si>
  <si>
    <t xml:space="preserve"> (פ/4813/25)</t>
  </si>
  <si>
    <t xml:space="preserve"> (כ/1084)</t>
  </si>
  <si>
    <t xml:space="preserve">12.05.2026</t>
  </si>
  <si>
    <t xml:space="preserve">חוק כלי הירייה, התש"ט–1949, מגביל מתן רישיונות או הרשאה להחזקת כלי נשק למי שטרם מלאו לו 21 שנים. לצד זאת, השר לביטחון פנים רשאי באישור הוועדה לביטחון לאומי של הכנסת, לקבוע כי הגבלה זו לא תחול ביחס לסוגי פעילויות או נסיבות לאדם שמלאו לו 18 שנים וטרם מלאו לו 21 שנים, לרבות בנסיבה של סיום שירות סדיר.  במסגרת התיקון, נקבע כי יותר לרשות מוסמכת לתת רישיון נשק לאדם שמלאו לו 18 שנים אף אם לא השלים את תקופת השירות הסדיר שהוא חייב בה, ובלבד שוועדה רפואית קבעה כי הוא בלתי כשיר לשירות בשל מצבו הרפואי, ושקצין שהוסמך על ידי ראש אגף כוח אדם בצבא ההגנה לישראל הודיעה לוועדה כי שירותו הסתיים בשל פציעה בפעילות מבצעית או שהיה לוחם ושוחרר מסיבות רפואיות. עוד נקבע, כי במסגרת הודעת הקצין המוסמך, יצוין אם אי הכשירות הרפואית נבעה גם מסיבות נפשיות, וכי אדם המבקש רישוי כאמור, יידרש לצרף לבקשתו מסמכים רפואיים הנוגעים לפציעתו או לסיבות הרפואיות שהביאו לסיום שירותו. </t>
  </si>
  <si>
    <t xml:space="preserve">חוק דיווח לכנסת על הטרדות מיניות בכוחות הביטחון והטיפול בהן (תיקוני חקיקה), התשפ"ו-2025</t>
  </si>
  <si>
    <t xml:space="preserve"> (פ/605/25)</t>
  </si>
  <si>
    <t xml:space="preserve"> (כ/978)</t>
  </si>
  <si>
    <t xml:space="preserve">במסגרת החוק הוטלה על משטרת ישראל, שירות בתי הסוהר וצבא הגנה לישראל חובת דיווח שנתית לכנסת בנושא הטרדות מיניות והטיפול בהן. נקבע כי המפקח הכללי של המשטרה ונציב בתי הסוהר יגישו לוועדה לביטחון לאומי, ואילו ראש המטה הכללי של צה"ל יגיש לוועדת החוץ והביטחון, דין וחשבון שנתי עד ל-31 במרץ בכל שנה. הדיווח יתייחס לשנה הקלנדרית שקדמה לו ויכלול פירוט של הפעולות שנקטו הגופים למניעת הטרדות מיניות בארגונים, את מספר הדיווחים שהוגשו לממונה על הטיפול בנושא ואת אופן הטיפול בהם. לשם הגנה על פרטיות המעורבים, נקבע איסור מפורש לכלול בדוח פרטי מידע שיאפשרו את זיהוי המדווחים, המתלוננים, הנילונים או אנשים אחרים המעורבים בדיווח.</t>
  </si>
  <si>
    <t xml:space="preserve">פרק י"ב (פיקוח על מוצרי עישון לצורכי מס) מתוך הצעת חוק התוכנית הכלכלית (תיקוני חקיקה ליישום המדיניות הכלכלית לשנת התקציב 2026), התשפ"ו-2026</t>
  </si>
  <si>
    <t xml:space="preserve">11.05.2026</t>
  </si>
  <si>
    <t xml:space="preserve">חוק העמדה לדין בשל אירועי טבח 7 באוקטובר 2023 (טבח שמיני עצרת), התשפ"ו–2026</t>
  </si>
  <si>
    <t xml:space="preserve"> (פ/5020/25)</t>
  </si>
  <si>
    <t xml:space="preserve"> (כ/1170)</t>
  </si>
  <si>
    <t xml:space="preserve">החוק מסדיר את העמדתם לדין של מי שביצעו עבירות במסגרת אירועי מתקפת הטרור ב-7 באוקטובר 2023. נקבע כי כתבי האישום יוגשו לבית משפט צבאי ייעודי שמושבו בירושלים, אשר יהיה מוסמך לדון בעבירות לפי כל דין. בכלל זה, בית המשפט יהיה מוסמך לדון בעבירות לפי החוק בדבר מניעתו וענישתו של פשע השמדת עם, פגיעה בריבונות המדינה, גרם למלחמה ועבירות טרור. בית המשפט יורכב משתי ערכאות, ערכאה ראשונה וערכאת ערעור, וידון ככלל, בהרכבים של שלושה שופטים. החוק קובע הסדרים ספציפיים למינוי השופטים מקרב שופטים מכהנים, שופטים בדימוס ומשפטנים שיבחרו במיוחד לצורך הליכים אלו. באשר לבעלי הדין, התובעים בהליכים ימונו על ידי הרמטכ"ל בהמלצת הפרקליט הצבאי הראשי, ולעניין ההגנה, הנאשם יוכל לבחור סניגור, אך נקבע כי ככל שבית המשפט ימנה לנאשם סניגור, הוא לא יהיה מטעם הסניגוריה הציבורית ומימונו לא יהיה מקופת המדינה. על ההליכים יחולו דיני סדר הדין הפלילי ודיני הראיות הרגילים. עם זאת, לבית המשפט מוקנית סמכות כללית לסטות מדינים אלה מטעמים שיירשמו, אם הדבר דרוש לבירור האמת ולעשיית צדק ואינו פוגע פגיעה ממשית בהגינות ההליך. כמו כן, הותאמו דיני המעצרים לאחר הגשת כתב אישום כך שבית המשפט הוסמך להורות על הארכות מעצר של הנאשמים לתקופות ארוכות יותר מאלה הקבועות בדין הרגיל. לעניין נוכחות הנאשמים בדיונים, נקבע כי ככלל, ישתתפו בדיוני בית המשפט שלא בנוכחותם הפיזית באולם אלא בדרך של היוועדות חזותית למעט בדיונים מהותיים. עוד נקבעו בחוק הסדרים מיוחדים הנוגעים להבטחת זכויותיהם של נפגעי העבירה באמצעות מערך ייעודי שיקים התובע הצבאי הראשי, וכן מוסדרת פומביות הדיון, לרבות תיעוד חזותי וקולי של הדיונים ושידור חלקים מהם לציבור. בהיבט של ההיערכות המינהלית, נקבע כי הרמטכ"ל יקים מפקדה ייעודית שתהיה אחראית להיערכות להליכים. כמו כן תוקם ועדת היגוי ממשלתית בראשות המנהל הכללי של משרד הביטחון להתוויית ההיערכות ופיקוח עליה, ומוסדרת הקמת יחידת משמר מיוחדת בשירות בתי הסוהר לבית המשפט הצבאי. נוסף על כך, החוק מסמיך את שר הביטחון לקבוע הוראות בדבר ביצוע גזר דין המטיל עונש מוות, וקובע איסור על שחרור מוקדם של אסירים המעורבים באירועים אלה.</t>
  </si>
  <si>
    <t xml:space="preserve">חוק לתיקון פקודת המשטרה (מס' 44), התשפ"ו-2026</t>
  </si>
  <si>
    <t xml:space="preserve"> (פ/4723/25)</t>
  </si>
  <si>
    <t xml:space="preserve"> (כ/1144)</t>
  </si>
  <si>
    <t xml:space="preserve">במסגרת חוק לתיקון פקודת המשטרה (מס' 44), התשפ"ו–2026, נקבע כי שימוש במכונית להתזת מים (מכת"זית) לשם פיזור הפגנה ייעשה באמצעות מים נקיים בלבד, ללא כל תוספת חומר, ובכלל זה ללא תוספת של צבע או ריח. בנוסף, נקבע כי המשטרה תתעד את השימוש במכת"זית בתיעוד חזותי, בשילוב של תמונה וקול, באופן המאפשר צפייה ושמיעה באיכות הולמת, ונקבע כי תיעוד זה יישמר למשך שנה לפחות. כמו כן, הוסדר כי אדם הטוען כי נפגע או ניזוק מפעולת מכת"זית בהפגנה יהיה רשאי לפנות למשטרה לשם קבלת התיעוד החזותי מהאירוע, והתיעוד יימסר לו במספר סייגים הקבועים בחוק חופש המידע. ההוראות הנוגעות לחובת התיעוד ולזכות הגישה לחומר ייכנסו לתוקף ביום ח' באדר א' התשפ"ז (15 בפברואר 2027).</t>
  </si>
  <si>
    <t xml:space="preserve">הצעת חוק חובת גילוי בדבר עוצמת הקרינה מכלי רכב בפרסומות ובעסקים, התשפ"ו-2026</t>
  </si>
  <si>
    <t xml:space="preserve"> (פ/6687/25)</t>
  </si>
  <si>
    <t xml:space="preserve">הצעת חוק עבודת נשים (תיקון - הרחבת הזכות להיעדר מעבודה במקרים של הורות משותפת עם משרת מילואים), התשפ"ו-2026</t>
  </si>
  <si>
    <t xml:space="preserve"> (פ/6686/25)</t>
  </si>
  <si>
    <t xml:space="preserve">הצעת חוק סיוע למשפחות אזרחים נעדרים, התשפ"ו-2026</t>
  </si>
  <si>
    <t xml:space="preserve"> (פ/6685/25)</t>
  </si>
  <si>
    <t xml:space="preserve">הצעת חוק שלילת הטבות מאדם שלא מילא חובת שירות, התשפ"ו-2026</t>
  </si>
  <si>
    <t xml:space="preserve"> (פ/6684/25)</t>
  </si>
  <si>
    <t xml:space="preserve">הצעת חוק הכרזה על תנועת האחים המוסלמים ועל הפלג הדרומי בתנועה האסלאמית כארגוני טרור ומחיקת מפלגות התומכות בטרור מפנקס המפלגות, התשפ"ו-2026</t>
  </si>
  <si>
    <t xml:space="preserve"> (פ/6683/25)</t>
  </si>
  <si>
    <t xml:space="preserve"> (פ/6682/25)</t>
  </si>
  <si>
    <t xml:space="preserve">הצעת חוק עיטור הפציעה הקרבית, התשפ"ו-2026</t>
  </si>
  <si>
    <t xml:space="preserve"> (פ/6681/25)</t>
  </si>
  <si>
    <t xml:space="preserve"> (פ/6680/25)</t>
  </si>
  <si>
    <t xml:space="preserve">הצעת חוק חישוב התשלום בעד נסיעה בתחבורה ציבורית (תיקוני חקיקה), התשפ"ו-2026</t>
  </si>
  <si>
    <t xml:space="preserve"> (פ/6679/25)</t>
  </si>
  <si>
    <t xml:space="preserve"> (פ/6678/25)</t>
  </si>
  <si>
    <t xml:space="preserve">הצעת חוק למאבק באלימות במוסד חינוכי (תיקוני חקיקה), התשפ"ו-2026</t>
  </si>
  <si>
    <t xml:space="preserve"> (פ/6677/25)</t>
  </si>
  <si>
    <t xml:space="preserve">הצעת חוק עיגון החלטות ממשלה ארוכות טווח, התשפ״ו-2026 </t>
  </si>
  <si>
    <t xml:space="preserve"> (פ/6675/25)</t>
  </si>
  <si>
    <t xml:space="preserve">הצעת חוק ההוצאה לפועל (תיקון - מתן הפטר לחייב מוגבל באמצעים) (הוראת שעה), התשפ"ו-2026</t>
  </si>
  <si>
    <t xml:space="preserve"> (פ/6674/25)</t>
  </si>
  <si>
    <t xml:space="preserve">הצעת חוק העונשין (תיקון - פיצויים בגין הרשעה בעבירות מין ואלימות חמורה), התשפ"ו-2026</t>
  </si>
  <si>
    <t xml:space="preserve"> (פ/6673/25)</t>
  </si>
  <si>
    <t xml:space="preserve">הצעת חוק האקלים, התשפ"ו-2026</t>
  </si>
  <si>
    <t xml:space="preserve"> (פ/6672/25)</t>
  </si>
  <si>
    <t xml:space="preserve"> (פ/6671/25)</t>
  </si>
  <si>
    <t xml:space="preserve">הצעת חוק מניעת רעש בלתי סביר של המואזין, התשפ״ו-2026</t>
  </si>
  <si>
    <t xml:space="preserve"> (פ/6670/25)</t>
  </si>
  <si>
    <t xml:space="preserve">הצעת חוק מניעת סבל מחסרי חוליות מסוימים  (תיקוני חקיקה), התשפ"ו-2026</t>
  </si>
  <si>
    <t xml:space="preserve"> (פ/6669/25)</t>
  </si>
  <si>
    <t xml:space="preserve">הצעת חוק לתיקון פקודת התעבורה (הסדר חניה לאופנוע - איסור העמדה במקביל למדרכה), התשפ"ו-2026</t>
  </si>
  <si>
    <t xml:space="preserve"> (פ/6668/25)</t>
  </si>
  <si>
    <t xml:space="preserve">הצעת חוק להגברת האכיפה של דיני העבודה (תיקון - אחריות מזמיני שירות וקבלנים בשרשורי העסקה), התשפ"ו-2026</t>
  </si>
  <si>
    <t xml:space="preserve"> (פ/6667/25)</t>
  </si>
  <si>
    <t xml:space="preserve">הצעת חוק עידוד הקמת יקבים בקרקעות חקלאיות, התשפ"ו-2026</t>
  </si>
  <si>
    <t xml:space="preserve"> (פ/6666/25)</t>
  </si>
  <si>
    <t xml:space="preserve">הצעת חוק העובדים הסוציאליים (תיקון - איסור העסקת בוגרי הרשות הפלסטינית), התשפ"ו-2026</t>
  </si>
  <si>
    <t xml:space="preserve"> (פ/6665/25)</t>
  </si>
  <si>
    <t xml:space="preserve">הצעת חוק להסדרת הפיקוח על כלבים (תיקון - הסדרת עיסוק באילוף כלבים), התשפ"ו-2026</t>
  </si>
  <si>
    <t xml:space="preserve"> (פ/6664/25)</t>
  </si>
  <si>
    <t xml:space="preserve">הצעת חוק לתיקון פקודת התעבורה (מתן עדיפות תכנונית לקווי אוטובוס שבהם שיעור הנוסעים גבוה), התשפ"ו-2026</t>
  </si>
  <si>
    <t xml:space="preserve"> (פ/6663/25)</t>
  </si>
  <si>
    <t xml:space="preserve">הצעת חוק מדד לזכות לקיום אנושי בכבוד, התשפ"ו-2026</t>
  </si>
  <si>
    <t xml:space="preserve"> (פ/6662/25)</t>
  </si>
  <si>
    <t xml:space="preserve">הצעת חוק לתיקון פקודת בריאות העם (חובת אחזקת מכשיר איתור ורידים), התשפ"ו-2026</t>
  </si>
  <si>
    <t xml:space="preserve"> (פ/6661/25)</t>
  </si>
  <si>
    <t xml:space="preserve"> (פ/6660/25)</t>
  </si>
  <si>
    <t xml:space="preserve">הצעת חוק לתיקון פקודת התעבורה (יידוע הציבור על צילום לצורכי אכיפה), התשפ"ו-2026</t>
  </si>
  <si>
    <t xml:space="preserve"> (פ/6659/25)</t>
  </si>
  <si>
    <t xml:space="preserve">הצעת חוק בתי קברות צבאיים (תיקון - חיילים זכאי חוק השבות), התשפ"ו-2026</t>
  </si>
  <si>
    <t xml:space="preserve"> (פ/6658/25)</t>
  </si>
  <si>
    <t xml:space="preserve">הצעת חוק ההתגוננות האזרחית (תיקון - איסור הצבת צופר על גג מוסד חינוכי לצרכים מיוחדים), התשפ"ו-2026</t>
  </si>
  <si>
    <t xml:space="preserve"> (פ/6657/25)</t>
  </si>
  <si>
    <t xml:space="preserve">הצעת חוק אחריות במרחב הרשת, התשפ"ו-2026</t>
  </si>
  <si>
    <t xml:space="preserve"> (פ/6656/25)</t>
  </si>
  <si>
    <t xml:space="preserve">הצעת חוק הרשות השנייה לטלוויזיה ורדיו (תיקון - הארכת תקופת המעבר), התשפ"ו-2026</t>
  </si>
  <si>
    <t xml:space="preserve"> (פ/6655/25)</t>
  </si>
  <si>
    <t xml:space="preserve">הצעת חוק לתיקון פקודת התעבורה (נסיעת רכב שבו שני נוסעים לפחות בנתיב תחבורה ציבורית), התשפ"ו-2026</t>
  </si>
  <si>
    <t xml:space="preserve"> (פ/6654/25)</t>
  </si>
  <si>
    <t xml:space="preserve">הצעת חוק לתיקון פקודת הרוקחים (מתן מרשם על ידי פודיאטר ופודיאטר מנתח), התשפ"ו-2026</t>
  </si>
  <si>
    <t xml:space="preserve"> (פ/6653/25)</t>
  </si>
  <si>
    <t xml:space="preserve">הצעת חוק הבחירות (דרכי תעמולה) (תיקון - תעמולה דיגיטלית, תעמולה מבוססת בינה מלאכותית והחמרת ענישה), התשפ"ו-2026</t>
  </si>
  <si>
    <t xml:space="preserve"> (פ/6651/25)</t>
  </si>
  <si>
    <t xml:space="preserve">הצעת חוק בתי קברות צבאיים (תיקון מס' 5) (תיקון - תחולה למפרע), התשפ"ו-2026</t>
  </si>
  <si>
    <t xml:space="preserve"> (פ/6650/25)</t>
  </si>
  <si>
    <t xml:space="preserve">הצעת חוק השמירה על המקומות הקדושים (תיקון - סמכות הרבנות הראשית לישראל), התשפ"ו-2026</t>
  </si>
  <si>
    <t xml:space="preserve"> (פ/6649/25)</t>
  </si>
  <si>
    <t xml:space="preserve">הצעת חוק רישוי עסקים (תיקון - התקנת מכשיר לבדיקת רמת אלכוהול), התשפ"ו-2026</t>
  </si>
  <si>
    <t xml:space="preserve"> (פ/6648/25)</t>
  </si>
  <si>
    <t xml:space="preserve">הצעת חוק זכויות הסטודנט (תיקון - איסור הפליה מחמת נטייה מינית או זהות מגדרית), התשפ"ו-2026</t>
  </si>
  <si>
    <t xml:space="preserve"> (פ/6647/25)</t>
  </si>
  <si>
    <t xml:space="preserve">הצעת חוק שירותי הדת היהודיים (תיקון - הכרזה על בית עלמין סגור), התשפ"ו-2026</t>
  </si>
  <si>
    <t xml:space="preserve"> (פ/6646/25)</t>
  </si>
  <si>
    <t xml:space="preserve">הצעת חוק לימוד חובה (תיקון - מנהל מוסד חינוך), התשפ"ו-2026</t>
  </si>
  <si>
    <t xml:space="preserve"> (פ/6645/25)</t>
  </si>
  <si>
    <t xml:space="preserve">הצעת חוק לתיקון פקודת מס הכנסה (שינוי הקריטריונים ליישוב מוטב), התשפ"ו-2026</t>
  </si>
  <si>
    <t xml:space="preserve"> (פ/6644/25)</t>
  </si>
  <si>
    <t xml:space="preserve">הצעת חוק ביטוח בריאות ממלכתי (תיקון - הרחבת חופש הבחירה ושוויון בנגישות בפריפריה), התשפ"ו-2026</t>
  </si>
  <si>
    <t xml:space="preserve"> (פ/6643/25)</t>
  </si>
  <si>
    <t xml:space="preserve">הצעת חוק המועצה להשכלה גבוהה (תיקון - מימון לימודים לתואר ראשון לסטודנט תושב קריית שמונה) (הוראת שעה), התשפ״ו-2026</t>
  </si>
  <si>
    <t xml:space="preserve"> (פ/6641/25)</t>
  </si>
  <si>
    <t xml:space="preserve">הצעת חוק הכניסה לישראל (תיקון מס' 45) (סמכויות פיקוח כלפי מגישי בקשה להסדרת מעמד בן זוג), התשפ"ו-2026</t>
  </si>
  <si>
    <t xml:space="preserve"> (מ/1949)</t>
  </si>
  <si>
    <t xml:space="preserve">הצעת חוק הפיקוח על שירותים פיננסיים (שירותים פיננסיים מוסדרים) (תיקון מס' 18), התשפ"ו-2026</t>
  </si>
  <si>
    <t xml:space="preserve"> (מ/1948)</t>
  </si>
  <si>
    <t xml:space="preserve">הצעת חוק הוועדה לטיפול במשפחות נעדרים וחטופים, התשפ"ה-2024</t>
  </si>
  <si>
    <t xml:space="preserve"> (פ/5258/25)</t>
  </si>
  <si>
    <t xml:space="preserve">06.05.2026</t>
  </si>
  <si>
    <t xml:space="preserve">הצעת חוק הוועדה לטיפול במשפחות נעדרים אזרחיים, התשפ"ה-2024</t>
  </si>
  <si>
    <t xml:space="preserve"> (פ/5010/25)</t>
  </si>
  <si>
    <t xml:space="preserve">הצעת חוק הוועדה לטיפול במשפחות נעדרים אזרחיים, התשפ"ד-2024</t>
  </si>
  <si>
    <t xml:space="preserve"> (פ/4488/25)</t>
  </si>
  <si>
    <t xml:space="preserve">הצעת חוק הוועדה לטיפול במשפחות נעדרים אזרחיים, התשפ"ד-2023</t>
  </si>
  <si>
    <t xml:space="preserve"> (פ/4059/25)</t>
  </si>
  <si>
    <t xml:space="preserve">הצעת חוק הוועדה לטיפול במשפחות נעדרים אזרחיים, התשפ"ג-2023</t>
  </si>
  <si>
    <t xml:space="preserve"> (פ/3072/25)</t>
  </si>
  <si>
    <t xml:space="preserve">הצעת חוק הוועדה לטיפול במשפחות נעדרים אזרחיים, התשפ"ג-2022</t>
  </si>
  <si>
    <t xml:space="preserve"> (פ/339/25)</t>
  </si>
  <si>
    <t xml:space="preserve">חוק הכניסה לישראל (תיקון מס' 38), התשפ"ד–2024</t>
  </si>
  <si>
    <t xml:space="preserve"> (פ/3510/25)</t>
  </si>
  <si>
    <t xml:space="preserve"> (כ/1002)</t>
  </si>
  <si>
    <t xml:space="preserve">05.05.2026</t>
  </si>
  <si>
    <t xml:space="preserve">חוק הכניסה לישראל, התשי"ב–1952, מתייחס בין היתר לעבירות העוסקות בהסעה, הלנה והעסקה של תושבי אזור יהודה והשומרון שנכנסו לישראל או שוהים במדינה שלא כדין, וזאת על מנת לצמצם את התופעה זו. בעקבות הגידול שחל בשנים האחרונות בהיקף התופעה לצד השלכותיה על ביטחון אזרחי ישראל, תוקן חוק הכניסה לישראל כך שהוחמרה הענישה בעבירות הרלוונטיות, נקבעו מנגנונים לאכיפתן וקנסות מזעריים.  במסגרת תיקון מספר 38, הוחלט לשנות את עונש המאסר הקבוע בין היתר, בעבירת הסעה, הלנה והעסקה של שוהה שלא כדין כאמור, משנתיים לארבע שנות מאסר, וכן להחמיר את עונשי המאסר הקבועים לאותן עבירות בנסיבות מחמירות, מחמש לשבע שנות מאסר. כמו כן, נקבע כהוראת שעה עד ליום כ"ד בניסן התשפ"ז (1 במאי 2027), עונש מזערי על עבירות הסעה, העסקה והלנה של שוהה שלא כדין, כך שהעונש שיטיל בית המשפט לא יפחת מרבע העונש המרבי הקבוע לעבירות אלו, אלא אם ראה לנכון לסטות מכך לפי שיקול דעתו בנסיבות מתאימות ומטעמים מיוחדים. בנוסף, נקבעה מחדש הוראת השעה בעניין הטלת קנסות מזעריים, לתקופה שעד יום כ"ד בניסן התשפ"ז (1 במאי 2027), תוך קביעת שיעור קנסות מינימלי לצד מתן סמכות לבית המשפט להקל ולסטות מסכומים אלו, אם סבר כי קיימים טעמים מיוחדים לכך. בהוראת שעה נוספת עד ליום כ"ד בניסן התשפ"ז (1 במאי 2027), נקבע גובה מזערי לקנס המוטל על ידי בית המשפט על אדם שהורשע בעבירות הסעת שוהה שלא כדין, כך שלא יפחת ממחצית שווי הרכב, אלא אם סבר בית המשפט שיש לסטות מכך מטעמים מיוחדים.  מעבר לכך, נקבעו הסדרים נוספים שנועדו להיטיב את הטיפול בתופעה כאמור ולצמצמה, לרבות מתן סמכות לבית המשפט להתלות רישיון של חשוד בעבירות הסעה שלא כדין, הטלת חובה על בעל רכב לנקוט באמצעים סבירים למניעת עבירה הכוללת מתן הרשאה לשימוש ברכבו שלא כדין על ידי תושב זר וחובת דיווח שנתית לוועדה לביטחון לאומי.  </t>
  </si>
  <si>
    <t xml:space="preserve">חוק התוכנית לסיוע כלכלי (הוראת שעה) (סיוע לעסקים ולמוסדות ציבור), התשפ"ו-2026</t>
  </si>
  <si>
    <t xml:space="preserve"> (מ/1947)</t>
  </si>
  <si>
    <t xml:space="preserve">04.05.2026</t>
  </si>
  <si>
    <t xml:space="preserve">חוק השמות (תיקון מס' 9), התשפ"ו-2026</t>
  </si>
  <si>
    <t xml:space="preserve"> (מ/1928)</t>
  </si>
  <si>
    <t xml:space="preserve">27.04.2026</t>
  </si>
  <si>
    <t xml:space="preserve">החוק קובע כי הכלל שלפיו יישמרו שמות ההורים המולידים לאחר האימוץ, יחול רק במקרים שבהם האימוץ נעשה בשל פטירת הורים, תוך שמירה על סמכותו של בית המשפט להורות אחרת אם מצא שנכון לעשות זאת בהתאם לטובתו של הקטין. עוד קובע החוק כי ניתן לאפשר את שימור רישומם של שמות שני הורים שנפטרו, גם במקרה של אימוץ שנעשה על ידי בני זוג שהם קרובי משפחה של הקטין.  זאת ועוד, נקבע כי במקרה חריג שבו אחד מהורי הקטין או שניהם נפטרו, והוא מאומץ על ידי אדם שאינו קרוב משפחתו ואינו בן זוגו של ההורה שנותר בחיים, לא יחול הכלל האמור בדבר שמירת שמות ההורה או ההורים שנפטרו ושם משפחתם, ובית המשפט יקבע אם יש לשמר את שם המשפחה ושמות ההורים כאמור בהתאם לטובת הילד.  </t>
  </si>
  <si>
    <t xml:space="preserve">חוק הביטוח הלאומי (תיקון מס' 265), התשפ"ו-2026</t>
  </si>
  <si>
    <t xml:space="preserve"> (מ/1945)</t>
  </si>
  <si>
    <t xml:space="preserve">חוק חובת דיווח על מלאי מזון לבעלי חיים ומלאי חיטה לשם היערכות למחסור משמעותי, התשפ"ו-2026</t>
  </si>
  <si>
    <t xml:space="preserve"> (מ/1914)</t>
  </si>
  <si>
    <t xml:space="preserve">החוק קובע כי בעלי מלאי בהיקף משמעותי של גרעיני חיטה למאכל אדם, מזון יבש לבעלי חיים ושמנים מסוימים המפורטים בתוספת הראשונה לחוק, יחויבו בדיווח חודשי ושנתי למנהל הכללי של משרד החקלאות וביטחון המזון, בדבר כמויות המלאי שבבעלותם ומיקומו, וזאת במטרה לאפשר היערכות מיטבית לתרחישים של מחסור משמעותי במוצרים כאמור ולהבטיח את אספקתם בעת משבר או אירוע חירום מתמשך. כמו כן, החוק קובע שאם שוכנע המנהל הכללי של משרד החקלאות (להלן – המנהל) כי קיים חשש ממשי למחסור משמעותי במוצרים האמורים, רשאי הוא, באישור שר החקלאות וביטחון המזון (להלן – השר), לדרוש מבעלי מלאי כאמור, אם הדבר דרוש לשם הערכת היקף המחסור או לשם התמודדות עם המחסור, להגיש דיווחים כאמור במועדים נוספים, למסור מידע נוסף בקשר למוצרים שבבעלותם, וכן להגיש דיווחים בנוגע לסוגי מזון לבעלי חיים שבבעלותם היכולים לשמש כחלופה למוצרים כאמור. בנוסף, החוק קובע שהשר יהיה רשאי להסמיך מפקחים שבסמכותם לדרוש מכל אדם להזדהות בפניהם, לדרוש ידיעות ומסמכים וכן להיכנס למקומות כדי לאכוף את הוראות החוק, ובלבד שלא ייכנסו למקומות מגורים, אלא על פי צו של בית משפט. לשם אכיפת הוראות החוק, נקבע שהמנהל יהיה רשאי להטיל עיצום כספי בשל הפרת חובות הדיווח, בסכומים כמפורט להלן: לגבי יחיד – 8,000 שקלים חדשים; לגבי תאגיד שבשנה שקדמה לשנה שבה בוצעה ההפרה, מחזור המכירות השנתי שלו היה עד 100 מיליון שקלים חדשים – 40,000 שקלים חדשים; לגבי תאגיד גדול יותר, שבשנה שקדמה לשנה שבה בוצעה ההפרה, מחזור המכירות השנתי שלו עלה על 100 מיליון שקלים חדשים –  80,000 שקלים חדשים; כמו כן, החוק קובע שהמנהל יהיה רשאי למסור התראה מינהלית במקום עיצום כספי בנסיבות מסוימות, שיקבע המנהל בנהלים, באישור היועץ המשפטי לממשלה. החוק קובע חובת סודיות על מי שיקבלו מידע מבעלי מלאי וכן כי המנהל יחויב למחוק את המידע לא יאוחר משנתיים ממועד קבלתו, כך שלא יהיה ניתן לעשות שימוש במידע העסקי האמור אלא לשם התכנון והניהול של מלאי החירום. החוק ייכנס לתוקף בתום ארבעה חודשים מיום פרסומו ברשומות, אולם השר רשאי לדחות את מועד התחילה האמור, בצו באישור ועדת הכלכלה של הכנסת, בתקופות נוספות שלא יעלו במצטבר על שנה.</t>
  </si>
  <si>
    <t xml:space="preserve">חוק שיקום נזקי מלחמה בדרך של התחדשות עירונית, התשפ"ו-2026</t>
  </si>
  <si>
    <t xml:space="preserve"> (מ/1907)</t>
  </si>
  <si>
    <t xml:space="preserve">החוק קובע מנגנון ייחודי לשיקום אזורים שנפגעו מנזקי מלחמה בדרך של התחדשות עירונית, במטרה לאפשר שיקום מהיר, יעיל ומקיף, תוך איזון בין האינטרס הציבורי לבין שמירה על זכויות הקניין של הפרט .  במסגרת החוק הממשלה רשאית להכריז, בתוך פרק זמן מוגבל, על “אזור לשיקום והתחדשות”, בהתבסס על המלצה מקצועית של צוות מייעץ, באזור זה יכולים להיכלל בניינים שנהרסו בשל נזק מלחמה, בניינים שדורשים שיקום משמעותי,  וכן מגרשים ריקים ובניינים שלא נפגעו כלל במגבלה הקבועה בחוק.  בנוסף, החוק קובע מנגנון לבחירת יזם שיקום בפיקוח המדינה בפרק זמן מוגבל, בכפוף להסכמת רוב מיוחד של בעלי הדירות, וכן מאפשר לבעלי דירות לבחור בין השתתפות בפרויקט לבין מכירת זכויותיהם בתמורה כספית מיידית לפי שומה, בתוספת תמריצים למקדימים . עוד נקבע כי המדינה תסייע במימון הפרויקטים באמצעות קרן הפיצויים, לרבות מתן גב כלכלי לפרויקטים שאינם "כדאיים כלכלית", וכן נקבעו הליכי רישוי ותכנון מהירים והעדפה להליכים אלו בערכאות ובגופים מקצועיים.</t>
  </si>
  <si>
    <t xml:space="preserve">חוק עונש מוות למחבלים, התשפ"ו-2026</t>
  </si>
  <si>
    <t xml:space="preserve"> (פ/1738/25)</t>
  </si>
  <si>
    <t xml:space="preserve"> (כ/1159)</t>
  </si>
  <si>
    <t xml:space="preserve">30.03.2026</t>
  </si>
  <si>
    <t xml:space="preserve">במסגרת חוק עונש מוות למחבלים, התשפ"ו-2026, נקבע כי שר הביטחון יורה למפקד כוחות צה"ל באזור יהודה והשומרון לתקן את הצו בדבר הוראות ביטחון, כך שעל תושב האזור (למעט אזרח ישראלי או תושב ישראל) שגרם בכוונה למותו של אדם במסגרת מעשה טרור, כהגדרתו בחוק המאבק בטרור, יוטל עונש מוות בלבד – אלא אם מצא בית המשפט הצבאי, מנימוקים מיוחדים, כי מתקיימות נסיבות מיוחדות שבשלן ראוי להטיל עונש מאסר עולם. סמכותו של בית המשפט הצבאי לגזור עונש מוות לא תותנה בבקשת התביעה, בהחלטה פה אחד של הרכב השופטים, או בכך שדרגת השופטים אינה פחותה מסגן אלוף. מפקד כוחות צה"ל באזור לא יהיה רשאי לחון, להקל או להמיר עונש מוות שנגזר על מחבל. כמו כן, נקבעה הוראה ייחודית לעניין סמכות השיפוט של תושבי יהודה ושומרון, ולפיה מקום העמדתם לדין – בבתי המשפט האזרחיים בישראל או בבתי המשפט הצבאיים ביהודה והשומרון, ייקבע בהתאם למדיניות שיקבע שר הביטחון בנושא. בנוסף, תוקן חוק העונשין כך שאדם הגורם למותו של אדם מתוך מטרה לשלול את קיומה של מדינת ישראל בנסיבות של מעשה טרור, דינו יהיה מיתה או מאסר עולם בלבד. סמכות בית המשפט האזרחי להטיל עונש מוות בעבירות אלו, ולפי החוק בדבר מניעתו וענישתו של הפשע השמדת עם, לא תותנה בכך שהתביעה ביקשה זאת. עוד נקבע כי גזר דין מוות יבוצע בתלייה בתוך 90 ימים מיום שהפך לחלוט. החוק מסמיך את ראש הממשלה לבקש מבית המשפט לעכב את ביצוע גזר הדין מסיבות מיוחדות שיירשמו ולתקופה מצטברת שלא תעלה על 180 ימים. עוד תוקן חוק הממשלה, כך שאם תחליט לשחרר אסיר מטעמים של ניהול יחסי החוץ והביטחון של המדינה, היא לא תוכל להורות על שחרור ממאסר של אדם שהורשע, חשוד או נאשם בעבירה שדינה מיתה. לבסוף, תוקנה פקודת בתי הסוהר לשם הסדרת תנאי החזקתו של נידון למוות בנפרד משאר האסירים ותוך הגבלת הגישה אליו למורשים בלבד. החוק מחיל הוראות סודיות מחמירות על זהות הסוהרים והנהלים, שהפרתן ופרסום פרטים ללא היתר מהווים עבירה פלילית, ומעגן את זכותם של משפחות נפגעי העבירה לקבל עדכון בעניין ההוצאה להורג ולנציגיהן להיות נוכחים בעת ביצוע גזר הדין.</t>
  </si>
  <si>
    <t xml:space="preserve">חוק הפצת שידורים באמצעות תחנות שידור ספרתיות (תיקון מס' 8 – הוראת שעה), התשפ"ו–2026</t>
  </si>
  <si>
    <t xml:space="preserve"> (מ/1902)</t>
  </si>
  <si>
    <t xml:space="preserve">הוראת השעה קובעת הסדר חדש לעניין תשלום דמי ההפצה שמשלמים גופים משדרים בעד הפצת שידוריהם במערך הפצת שידורים באמצעות תחנות שידור ספרתיות, הידוע כמערך "עידן פלוס".  ראשית, נקבע כי מיום 1.4.2026 עד ליום 1.4.2029 או עד המועד שבו תופסק פעילותן של תחנות השידור הספרתיות לפי חוק, לפי המוקדם מביניהם, תחול הוראת שעה שבמהלכה הגורם המפעיל את תחנות השידור הספרתיות, שכיום הוא הרשות השנייה לטלוויזיה ולרדיו (להלן – הגורם המפעיל), יעשה שימוש במרבב אחד בלבד לשם הפצת השידורים באמצעותן. בתקופה זו, גוף ששידורי הטלוויזיה שלו מופצים באמצעות המערך ישלם דמי הפצה בהתאם לגובה ההכנסה השנתית שלו בשנת 2024 מביצוע שידורים ומתן שירותים, לפי מדרגות הכנסה כמפורט להלן:  גוף כאמור שהכנסתו לא עלתה על 40 מיליון שקלים חדשים יהיה פטור מתשלום דמי הפצה; גוף שהכנסתו עלתה על 40 מיליון שקלים חדשים ולא עלתה על 220 מיליון שקלים חדשים – ישלם 120,000 שקלים חדשים; גוף שהכנסתו עלתה על 220 מיליון שקלים חדשים ולא עלתה על 600 מיליון שקלים חדשים – ישלם 600,000 שקלים חדשים; גוף שהכנסתו עלתה על 600 מיליון שקלים חדשים – ישלם 1,300,000 שקלים חדשים; כמו כן, הכנסת תמשיך לשלם סכום של 5,488,000 שקלים חדשים בשנה עבור הפצת שידורי ערוץ הכנסת באמצעות המערך.  זאת ועוד, תאגיד השידור הישראלי יישא ביתרת התשלומים הכרוכים בהפעלתן ותחזוקתן של תחנות השידור הספרתיות, אולם לגבי הרבעונים השני עד הרביעי בשנת 2026, יישא אוצר המדינה בתשלום של 790,000 שקלים חדשים לכל רבעון. כמו כן, בתקופת הוראת השעה נקבע כי אוצר המדינה יישא בהוצאות שהוציאו הגורם המפעיל או משרד התקשורת לשם טיפול בתקלות שבשלן לא ניתן לצפות או להאזין לשידורים המופצים באמצעות המערך, כך שמיום 1.3.2026 ועד 31.12.2026 – ישלם עד 600,000 שקלים חדשים, ומיום 1.1.2027 עד תום תקופת הוראת השעה (בתאריך 1.4.2029) – ישלם עד 200,000 שקלים חדשים. הוראת השעה אינה משנה את המצב החוקי הקיים, שלפיו על הערוצים הזעירים והזעירים-הייעודיים לא חלה חובה להפיץ את שידוריהם באמצעות המערך, וחובה זו חלה רק על תאגיד השידור הישראלי, על בעלי הרישיונות לשידורי טלוויזיה שהם הערוצים המסחריים הוותיקים (כיום ערוצים 12 ו-13) ועל ערוץ הכנסת. הוראת השעה גם אינה משנה את המצב החוקי לעניין זה בקשר לתחנות הרדיו האזורי, ולפיו שידוריהן יופצו באמצעות המערך אם ביקשו זאת.   בנוסף, נקבעה הוראת מעבר, שתחול מיום 15.6.2025 ועד ליום 31.3.2026, שלפיה על תשלום דמי ההפצה בתקופה זו יחול ההסדר שנקבע בהוראת השעה שפקעה ב-15.6.2025 (הוראת השעה שנקבעה בתיקון מס' 7 לחוק שנחקק בשנת 2024) כלומר כל ערוצי הטלוויזיה המסחריים ובעלי הזיכיונות לשידורי רדיו אזורי פטורים מתשלום דמי הפצה, והגורמים המשלמים את דמי ההפצה הם תאגיד השידור הישראלי והכנסת לגבי ערוץ הכנסת, כאשר אוצר המדינה ישלם את יתרת דמי ההפצה כמפורט בחוק. </t>
  </si>
  <si>
    <t xml:space="preserve">חוק ביטוח בריאות ממלכתי (תיקון מס' 74), התשפ"ו–2026</t>
  </si>
  <si>
    <t xml:space="preserve"> (פ/5881/25)</t>
  </si>
  <si>
    <t xml:space="preserve"> (כ/1176)</t>
  </si>
  <si>
    <t xml:space="preserve">החוק קובע כי בני נוער בגילאי 15 עד 18 יוכלו להיות זכאים לכיסא גלגלים ממונע הניתן להנעה בבטיחות על ידי מלווה, למרות שמצבם הקוגניטיבי, הרפואי או התפקודי אינו מאפשר להם להפעילו בעצמם בבטיחות. הזכאות לתיקונים בכיסא הממונע או להחלפת הכיסא הממונע תסתיים בגיל 18.</t>
  </si>
  <si>
    <t xml:space="preserve">חוק להסדרת אירוע הילולת רבי שמעון בר יוחאי בהר מירון (הוראת שעה), התשפ"ו–2026</t>
  </si>
  <si>
    <t xml:space="preserve"> (מ/1935)</t>
  </si>
  <si>
    <t xml:space="preserve">במסגרת החוק נקבעו הסדרים לארגון ולביצוע של אירוע הילולת רבי שמעון בר יוחאי בהר מירון, שיתקיים כהוראת שעה בשנת התשפ"ו-2026. זמן ההילולה נקבע החל מיום י"ז באייר התשפ"ו (4 במאי 2026) בשעה 06:00 ועד ליום י"ט באייר התשפ"ו (6 במאי 2026) בשעה 08:00. במסגרת זאת, נקבע כי ייערך אירוע הדלקה מרכזי אחד בלבד במתחם קבר רבי שמעון בר יוחאי, שיכלול שני מתקני הדלקה. קיום אירועים נוספים יתאפשר במתחמים מוכרים או מחוץ להם, בכפוף לאישור השר הממונה ולאישורי בטיחות מטעם המשטרה, הרשות הארצית לכבאות והצלה וגורמי תברואה. השר הוסמך לפטור מביצוע התאמות נגישות מסוימות במקרים שבהם ההתאמות יפגעו מהותית בבטיחות או ימנעו אישור מהנדס, ורק לאחר שבחן חלופות להתאמת נגישות. עבודות להכשרת קרקע והקמת תשתיות ומבנים זמניים במתחם הוחרגו מתחולת חוק התכנון והבנייה, בכפוף לאישורי בטיחות ויציבות ממהנדסים, ובתנאי שהקרקע תושב לקדמותה עד ליום ח' בסיוון התשפ"ו (24 במאי 2026). נקבעה הגבלה על כניסה ושהייה במתחם מירון בזמן ההילולה, כך שכל כניסה ושהייה יחייבו החזקה של היתר רשמי אשר יכלול את מספר תעודת הזהות של השוהה, המתחם המדויק אליו הוא רשאי להיכנס ומשך תוקפו. המספר המרבי של השוהים בכל מתחם ייקבע בצו על ידי השר. מרבית היתרי הכניסה והשהייה יינתנו לציבור הרחב בשיטת "כל הקודם זוכה", באמצעות רכישת כרטיסי נסיעה ייעודיים לתחבורה ציבורית, כאשר הגעה אל מתחם מירון תתאפשר אך ורק באמצעות תחבורה זו, למעט חריגים המוגדרים בחוק. השר הוסמך להקצות עד 20 אחוזים מההיתרים שלא באמצעות כרטיסי נסיעה אלו, עבור קהילות שלהן קשר ייחודי ארוך שנים להילולה, קרובי נספים מאסון מירון בשנת התשפ"א, וכן לאנשים בעלי תג נכה אשר יוכלו להגיע ברכבם יחד עם עד שני מלווים. מאיסור הכניסה הכללי הוחרגו גורמים הנדרשים להגיע למקום לשם עבודתם או מילוי תפקידם, ומי שנדרש לסייע לאדם במצוקה, אדם עם מוגבלות או קטין. תושבי מירון פטורים מאיסור הכניסה הכללי, אך נדרשים להיתר ייעודי לכניסה למתחם הקבר, בעוד תושבי היישובים הסמוכים למירון יידרשו להיתר ספציפי לכניסה למתחם מירון. סמכות חלוקת ההיתרים לתושבי האזור יכולה להיות מואצלת על ידי השר לידי ראש המועצה האזורית מרום הגליל. בשעת התקפה או בעת מצב מיוחד בעורף, הוסמך ראש הג"א לקבוע הוראות בנוגע לסגירת שטחים במתחם או לקבוע כי האירוע לא יתקיים כלל. במקרה כזה יבוטלו ההיתרים הרגילים ויופעל מתווה היתרי שהייה מיוחדים לשם השתתפות באירועים, קיום תפילה, ולעיתונאים ונציגי משפחות הנספים. המתווה יופעל תוך שמירה על ייצוג שוויוני לקהילות השונות וייצוג הולם לנשים, ועיקריו יוגשו לוועדה לביטחון לאומי 8 ימים לפני ההילולה. נקבע כי אדם שהורשע בעבירה מסוג פשע, עבירת מין או עבירת אלימות במשפחה, או שהוגש נגדו כתב אישום טרם פסק דין סופי, מנוע מלמלא תפקיד מרכזי בהילולה, אלא אם חלפו עשר שנים ממועד הרשעתו או מסיום ריצוי עונש המאסר. הממונה על ההילולה יהיה אחראי ליידוע הציבור, ניהול הסדרי התנועה וספירת הקהל, וידווח למשטרה על חריגות מהמספר המרבי של השוהים. לשוטרים ניתנו סמכויות להורות על הפסקת הדלקות, מניעת כניסה והוצאת אנשים ורכבים מהמתחמים אף תוך שימוש בכוח סביר. העונש על שהייה במתחם בניגוד להגבלות ללא היתר תקף או על ארגון אירוע הדלקה או אירוע נוסף ללא אישור הינו קנס. </t>
  </si>
  <si>
    <t xml:space="preserve">חוק שירות לאומי-אזרחי (תיקון מס' 9), התשפ"ו-2026</t>
  </si>
  <si>
    <t xml:space="preserve"> (מ/1929)</t>
  </si>
  <si>
    <t xml:space="preserve">חוק שירות לאומי-אזרחי, התשע"ד–2014, הינו הוראת שעה המסדירה את שירותם של בוגרי ישיבות ומוסדות חינוך חרדיים שמלאו להם 21 שנים, המשרתים בשירות לאומי־אזרחי כתחליף לשירותם בצבא הגנה לישראל. השירות מתבצע בשני מסלולים עיקריים: שירות אזרחי-חברתי בתחומי הבריאות, הרווחה, החינוך, ביטחון הפנים והגנת העורף; ושירות אזרחי-ביטחוני בגופים דוגמת משטרת ישראל, שירות בתי הסוהר והרשות הארצית לכבאות והצלה. החוק כולל הוראות מפורטות לעניין ביצוע השירות, תקופתו, תנאיו וחובות הגופים המפעילים, ומסמיך את הרשות לשירות לאומי-אזרחי על ניהול המערך והפיקוח עליו. כדי להמשיך ולאפשר למי ששירותו הצבאי נדחה להשתלב בשירות לאומי-אזרחי, הוארך תוקפו של החוק מעת לעת. כעת, במסגרת תיקון מספר 9 לחוק, נקבע כי תוקף הוראת השעה יוארך פעם נוספת, כך שהחוק יעמוד בתוקפו עד ליום י"ח באלול התשפ"ו (31 באוגוסט 2026).</t>
  </si>
  <si>
    <t xml:space="preserve">חוק עידוד יישוב עירוני מעורב (הוראת שעה), התשפ"ו–2026</t>
  </si>
  <si>
    <t xml:space="preserve"> (פ/5997/25)</t>
  </si>
  <si>
    <t xml:space="preserve"> (כ/1165)</t>
  </si>
  <si>
    <t xml:space="preserve">חוק הטבות מס ליישובים (תיקוני חקיקה), התשפ"ו-2026</t>
  </si>
  <si>
    <t xml:space="preserve"> (מ/1901)</t>
  </si>
  <si>
    <t xml:space="preserve">חוק התוכנית לסיוע כלכלי (הוראת שעה) (תעסוקה), התשפ"ו-2026</t>
  </si>
  <si>
    <t xml:space="preserve"> (מ/1946)</t>
  </si>
  <si>
    <t xml:space="preserve">חוק זה קובע את ההסדר לתשלום ביטוח אבטלה לעובדים שפוטרו או הוצאו לחופשה ללא תשלום (חל"ת) במהלך מבצע שאגת הארי. על פי החוק זכאות לתשלום דמי אבטלה תעמוד למי  שיצא לתקופת חל"ת רצופה של 10 ימים בלבד. בנוסף, במסגרת החוק קוצרה תקופת האכשרה הנדרשת לצורך הזכאות ל-6 חודשים, בוטלו ימי המתנה, ונקבעו הקלות מיוחדות של שלושה חודשי אכשרה בלבד לאוכלוסיות כגון אנשים עם מוגבלות, מפונים, ובני זוג של משרתי מילואים או פצועי מלחמה, תוך מתן זכאות מחודשת גם למי שמיצו את תקופת האבטלה המרבית בעבר תחת הסדרים קודמים במלחמה. במקביל, ניתנה זכאות דומה למענק מיוחד לבני 67 ומעלה מכיוון שאינם זכאים לדמי אבטלה בשל גילם, וכן נקבעו תיקונים בחוק עבודת נשים המבטיחים זכאות לדמי לידה למבוטחות שקיבלו דמי אבטלה בתקופה זו והגנות מפני פיטורים, ובכלל זה נקבע כי תקופת חופשה ללא תשלום לפי ההסדר הנוכחי לא תובא במניין התקופה המוגנת מפני פיטורים לאחר חופשת לידה, וכי היעדרות מעבודה מכוח הוראות חירום לא תיחשב כפגיעה בהיקף המשרה או בהכנסה. עוד נקבע כי לשרי האוצר והעבודה תהיה סמכות להחיל את ההסדר שבחוק זה בצו במידה ויוכרז מצב מיוחד בעורף פעמים נוספות עד לסוף שנת 2027. לבסוף נקבע כי אוצר המדינה ישפה את המוסד לביטוח לאומי בגין העלויות לפי חוק זה.</t>
  </si>
  <si>
    <t xml:space="preserve">הצעת חוק העונשין (תיקון מס' 162) (תקיפת חייל), התשפ"ו–2026</t>
  </si>
  <si>
    <t xml:space="preserve"> (פ/5249/25)</t>
  </si>
  <si>
    <t xml:space="preserve"> (כ/1174)</t>
  </si>
  <si>
    <t xml:space="preserve">חוק התקציב לשנת הכספים 2026, התשפ"ו-2026</t>
  </si>
  <si>
    <t xml:space="preserve"> (מ/1923)</t>
  </si>
  <si>
    <t xml:space="preserve">29.03.2026</t>
  </si>
  <si>
    <t xml:space="preserve">חוק מסגרות תקציב המדינה (הוראות מיוחדות לשנת 2026) (תיקוני חקיקה), התשפ"ו-2026</t>
  </si>
  <si>
    <t xml:space="preserve"> (מ/1944)</t>
  </si>
  <si>
    <t xml:space="preserve">חוק ההתייעלות הכלכלית (תיקוני חקיקה להשגת יעדי התקציב לשנת התקציב 2026), התשפ"ו-2026</t>
  </si>
  <si>
    <t xml:space="preserve">חוק התוכנית הכלכלית (תיקוני חקיקה ליישום המדיניות הכלכלית לשנת התקציב 2026), התשפ"ו-2026</t>
  </si>
  <si>
    <t xml:space="preserve">חוק לתיקון פקודת מס הכנסה (מס' 285), התשפ"ו-2026</t>
  </si>
  <si>
    <t xml:space="preserve"> (מ/1940)</t>
  </si>
  <si>
    <t xml:space="preserve">חוק כליאתם של לוחמים בלתי חוקיים (תיקון מס' 4 והוראת שעה - חרבות ברזל) (תיקון מס' 7), התשפ"ו-2026</t>
  </si>
  <si>
    <t xml:space="preserve"> (מ/1943)</t>
  </si>
  <si>
    <t xml:space="preserve">25.03.2026</t>
  </si>
  <si>
    <t xml:space="preserve">חוק כליאתם של לוחמים בלתי חוקיים, התשס"ב–2002, מסדיר את כליאתם של מי שנטלו חלק בפעולות איבה נגד מדינת ישראל או נמנו עם כוחות המבצעים פעולות איבה, ואינם מוגדרים כשבויי מלחמה. החוק קובע הליך מוסדר להוצאת צווי כליאה ומנגנוני בקרה וביקורת שיפוטית, וכולל הסדר מיוחד למקרים שבהם הממשלה הכריזה על מלחמה או על פעולות צבאיות משמעותיות. בשל היקף העצורים הרב במלחמת חרבות ברזל, נקבעה הוראת שעה שהאריכה את התקופות המנויות בחוק והתאימה את הדרגים המאשרים. כעת, במסגרת חוק כליאתם של לוחמים בלתי חוקיים (תיקון מס' 4 והוראת שעה – חרבות ברזל) (תיקון מס' 7), התשפ"ו-2026, הוארך תוקפה של הוראת השעה בשלושה חודשים נוספים. נקבע כי נוכח הצרכים המבצעיים, ההסדרים המיוחדים לתקופת הלחימה יעמדו בתוקפם עד ליום ט"ו בתמוז התשפ"ו (30 ביוני 2026). כמו כן, על מנת לשמור על רצף חקיקתי, נקבע כי התיקון ייכנס לתוקפו ביום י"ד בניסן התשפ"ו (1 באפריל 2026).</t>
  </si>
  <si>
    <t xml:space="preserve">חוק זכויות הסטודנט (תיקון מס' 10), התשפ"ו–2026</t>
  </si>
  <si>
    <t xml:space="preserve"> (מ/1932)</t>
  </si>
  <si>
    <t xml:space="preserve">חוק זכויות הסטודנט (תיקון מס' 11) קובע מספר הקלות והטבות באקדמיה למשרתי מילואים ובני זוגם, ללוחמים ולאוכלוסיות אחרות שנפגעו בעקבות מלחמת "חרבות ברזל" וה-7 באוקטובר:  1. הסמכה למוסדות להשכלה גבוהה ולמוסדות אחרים הנכללים בהגדרת "מוסד" לפי חוק זכויות הסטודנט לתת הקלות בתנאי קבלה ללימודים למועמדים ששירתו בשירות מילואים בהתחשב באופי השירות, תקופתו וסמיכותו למועד הקבלה ללימודים. ההסמכה חלה לשנות הלימודים תשפ"ז ותשפ"ח, והחל משנת הלימודים התשפ"ט היא תהיה מותנית בקביעה של שר החינוך שיש הצדקה להקלות לאור היקפו ואופיו של שירות המילואים שאליו נקראו המועמדים. הקביעה תהיה בצו בהתייעצות עם המועצה להשכלה גבוהה ובאישור ועדת החינוך של הכנסת.  2. הסמכה למוסדות האמורים ביחס לשנות הלימודים תשפ"ז ותשפ"ח - לתת הקלות גם למועמדות ולמועמדים שבן זוגם שירת בשירות מילואים לפחות 42 ימים בשנה שקדמה למועד הרישום ללימודים בהתחשב באמות המידה המפורטות לעיל.  3. הארכת העדיפות שניתנה בשנים תשפ"ה ותשפ"ו לעניין זכאות במעונות סטודנטים למשרתי מילואים, ללוחמים ולמי שנפגעו במלחמת חרבות ברזל וה-7 באוקטובר - לשנתיים נוספות - שנות הלימודים התשפ"ז ו-התשפ"ח.</t>
  </si>
  <si>
    <t xml:space="preserve">חוק הארכת תקופות ודחיית מועדים (הוראת שעה - חרבות ברזל) (אישורים רגולטוריים, עיצומים כספיים ובדיקות מיתקני גז) (תיקון), התשפ"ו-2026</t>
  </si>
  <si>
    <t xml:space="preserve"> (מ/1941)</t>
  </si>
  <si>
    <t xml:space="preserve">נקבע כי הסדרי ההקלה שנקבעו בעקבות המלחמה יוארכו כך שהארכת תוקפם של אישורים רגולטוריים ודחיית מועדים הקשורים לעיצומים כספיים יחולו גם על תקופה קובעת שנייה, שתחילתה ביום 28 בפברואר 2026 וסופה ביום 31 במאי 2026. כמו כן, נקבע מנגנון חדש לדחיית מועדים הקשורים למיסוי מקרקעין, ולפיו יום אחרון של תקופה מוגדרת בחוק שחל בתוך התקופה הקובעת השנייה יידחה בשלושה חודשים. שר האוצר רשאי, בצו, באישור ועדה, להאריך את התקופה הקובעת לעניין זה בתקופות נוספות, ובלבד שסך ההארכות לא יעלה על תשעה חודשים. נוסף על כך, תוקנה רשימת האישורים הרגולטוריים שהארכת התקופות לא תחול עליהם, והתווספו אליה בין היתר רישיון להפעלת מכון בקרה, תעודת הכשר, היתרי צידה והיתרים שונים הנוגעים לשמורות ולערכי טבע.</t>
  </si>
  <si>
    <t xml:space="preserve">חוק הכניסה לישראל (תיקון מס' 44 - הוראת שעה), התשפ"ו-2026</t>
  </si>
  <si>
    <t xml:space="preserve"> (מ/1942)</t>
  </si>
  <si>
    <t xml:space="preserve">החוק קובע, כהוראת שעה לתקופה של שנה, כי ניתן להרחיק שוהים שלא כדין שהשתתפו במשט לרצועת עזה בתוך 24 שעות ממסירת צו ההרחקה, זאת במקום פרק הזמן של שלושה ימים שנקבע בדין הקיים. עוד קובע החוק כי הממשלה רשאית להאריך את תוקף הוראת השעה בתקופות נוספות של עד שנה בכל פעם, ובלבד שסך כל תקופות ההארכה לא יעלה על שנתיים. הארכה כאמור תיעשה בכפוף להמלצת ועדת הפנים והגנת הסביבה ולאישור הכנסת. </t>
  </si>
  <si>
    <t xml:space="preserve">הצעת חוק שיקום, חיזוק ופיתוח העיר קריית שמונה, התשפ"ו-2026</t>
  </si>
  <si>
    <t xml:space="preserve"> (פ/6533/25)</t>
  </si>
  <si>
    <t xml:space="preserve">הצעת חוק הכרזה על קטאר כמדינת אויב, התשפ"ו-2026</t>
  </si>
  <si>
    <t xml:space="preserve"> (פ/6528/25)</t>
  </si>
  <si>
    <t xml:space="preserve">הצעת חוק לפיתוח העיר קריית שמונה ומתן עדיפות למשרתי מילואים ונכי צה"ל בדיור, התשפ״ו-2026</t>
  </si>
  <si>
    <t xml:space="preserve"> (פ/6482/25)</t>
  </si>
  <si>
    <t xml:space="preserve">הצעת חוק הביטוח הלאומי (תיקון - עבודה מועדפת ביישובי קו העימות בצפון ובדרום), התשפ"ו-2025</t>
  </si>
  <si>
    <t xml:space="preserve"> (פ/6348/25)</t>
  </si>
  <si>
    <t xml:space="preserve">הצעת חוק לימוד חובה (תיקון - מנהל מוסד חינוך), התשפ"ה-2025</t>
  </si>
  <si>
    <t xml:space="preserve"> (פ/5932/25)</t>
  </si>
  <si>
    <t xml:space="preserve">הצעת חוק דיווח לכנסת על העברת סיוע הומניטרי מכספי המדינה, התשפ"ה-2025</t>
  </si>
  <si>
    <t xml:space="preserve"> (פ/5874/25)</t>
  </si>
  <si>
    <t xml:space="preserve">הצעת חוק משפחות חיילים שנספו במערכה (תגמולים ושיקום) (תיקון - זכויות ילדים במשפחות אומנה), התשפ"ה-2024</t>
  </si>
  <si>
    <t xml:space="preserve"> (פ/4966/25)</t>
  </si>
  <si>
    <t xml:space="preserve">הצעת חוק ביטוח בריאות ממלכתי (תיקון - צמצום פערים בין הפריפריה למרכז), התשפ"ג-2023</t>
  </si>
  <si>
    <t xml:space="preserve"> (פ/1871/25)</t>
  </si>
  <si>
    <t xml:space="preserve">הצעת חוק העונשין (תיקון מס' 160) (עונש מוות למחבלים), התשפ"ו-2025</t>
  </si>
  <si>
    <t xml:space="preserve"> (פ/2198/25)</t>
  </si>
  <si>
    <t xml:space="preserve">24.03.2026</t>
  </si>
  <si>
    <t xml:space="preserve">הצעת חוק להנצחת זכרה של גולדה מאיר, התשפ"ה-2024</t>
  </si>
  <si>
    <t xml:space="preserve"> (פ/4905/25)</t>
  </si>
  <si>
    <t xml:space="preserve">חוק הגנה על עובדים בשעת חירום (תיקון מס' 6 והוראת שעה), התשפ"ו-2026</t>
  </si>
  <si>
    <t xml:space="preserve"> (מ/1938)</t>
  </si>
  <si>
    <t xml:space="preserve">החוק קובע שלוש הגנות, ותחולתו רטרואקטיבית החל מיום 28.2.2026: א. אסור למעסיק לפטר עובד שנאלץ להיעדר או לא לבצע את עבודתו בשל פינוי מביתו עקב נזק שנגרם לביתו מהתקפה, וזאת למשך שלושה חודשים מיום הפינוי ובלבד שמסר למעסיק אישור על כך כפי שיקבע שר העבודה (לעניין מבצע שאגת הארי  - האישור הנדרש הוא מהרשות המקומית בתחומה נמצא הבית).  ב. בתקופת ההכרזה על מצב מיוחד בעורף שהוכרזה ביום 28.2.2026 תינתן הגנה מפני פיטורים להורים לילדים עד גיל 14 (כולל ילדי אומנה) שבן זוגם או ההורה האחר של ילדם משרת כחייל בסדיר או בקבע או בשירותי חירום מסוימים אחרים כגון שירות עבודה בשעת חירום. החוק כולל הסמכה לשר העבודה, באישור ועדה של הכנסת, להחיל הגנה זו גם בתקופה נוספת אם יוכרז בה על מצב מיוחד בעורף שמשפיע על השירות. ג. בתקופה שעד תום חצי שנה מסיום תוקפה של ההכרזה על מצב מיוחד בעורף שהוכרזה ביום 28.2.2026, ההגנה מפני פיטורים למי שנאלץ להיעדר מעבודה או לא לבצע בשל סגירת מוסד החינוך של ילדו תקפה גם כאשר מוסד החינוך נסגר בהוראת הרשות המקומית או המוסד עצמו. </t>
  </si>
  <si>
    <t xml:space="preserve">הצעת חוק לתיקון פקודת התעבורה (קידום התחרות באמצעות תחבורה שיתופית מקוונת), התשפ"ו-2025</t>
  </si>
  <si>
    <t xml:space="preserve"> (פ/6249/25)</t>
  </si>
  <si>
    <t xml:space="preserve">הצעת חוק לתיקון פקודת התעבורה (מס' 143) (קידום התחרות באמצעות תחבורה שיתופית מקוונת), התשפ"ו–2026 </t>
  </si>
  <si>
    <t xml:space="preserve"> (פ/6038/25)</t>
  </si>
  <si>
    <t xml:space="preserve"> (כ/1186)</t>
  </si>
  <si>
    <t xml:space="preserve">הצעת חוק לתיקון פקודת התעבורה (מס' 142) (קידום התחרות באמצעות תחבורה שיתופית מקוונת), התשפ"ו–2026</t>
  </si>
  <si>
    <t xml:space="preserve"> (פ/5648/25)</t>
  </si>
  <si>
    <t xml:space="preserve">חוק הסכמים קיבוציים (תיקון מס' 12 - הוראת שעה) (הוראות מיוחדות לעניין הרחבת הסכם קיבוצי כללי שנעשה בשל המצב המיוחד בעורף), התשפ"ו-2026</t>
  </si>
  <si>
    <t xml:space="preserve"> (מ/1939)</t>
  </si>
  <si>
    <t xml:space="preserve">23.03.2026</t>
  </si>
  <si>
    <t xml:space="preserve">החוק קובע בהוראת שעה הליך מקוצר כמפורט להלן למתן צווי הרחבה להסכמים קיבוציים שנחתמו בשל המצב המיוחד בעורף שהוכרז ביום 28.2.2026. תוקף הוראת השעה עד שלושה חודשים מסיום ההכרזה על המצב המיוחד בעורף. לפי הוראת השעה, הודעה על כוונה לתת צו הרחבה להסכם קיבוצי שנעשה בשל המצב המיוחד בעורף תפורסם ברשומות ותציין כי ההסכם נעשה בשל המצב המיוחד בעורף וכי יש דחיפות בהרחבתו, ערר לעניין הכוונה לתת צו הרחבה יוגש בתוך 4 ימים מפרסום ההודעה ושר העבודה רשאי לחתום על צו ההרחבה בחלוף  7 ימים מפרסום ההודעה. שהמועד להגשת טענת כשרות בקשר לרישום ההסכם הקיבוצי יהיה לכל המאוחר המועד להגשת ערר על מתן צו ההרחבה, ורישום ההסכם הקיבוצי יוכל להתבצע עד למועד מתן צו ההרחבה. ההליכים המקוצרים הוחלו, בשינויים מסוימים, גם על ההסכם הקיבוצי בעניין משרתי מילואים, בני זוגם וצבירת חופשה שהודעה על כוונה לתת צו הרחבה לגביו פורסמה ביום 3.3.2026.  </t>
  </si>
  <si>
    <t xml:space="preserve">הצעת חוק הסדרת העיסוק במקצועות הטיפול הרפואי, התשפ"ג-2023</t>
  </si>
  <si>
    <t xml:space="preserve"> (פ/680/25)</t>
  </si>
  <si>
    <t xml:space="preserve"> (כ/972)</t>
  </si>
  <si>
    <t xml:space="preserve">חוק שיפוט בתי דין דתיים (בוררות), התשפ"ו–2026</t>
  </si>
  <si>
    <t xml:space="preserve"> (פ/1178/25)</t>
  </si>
  <si>
    <t xml:space="preserve"> (כ/1141)</t>
  </si>
  <si>
    <t xml:space="preserve">נקבע כי בית דין רבני או שרעי רשאי לדון כבורר בעניינים אזרחיים בהתאם לדין הדתי החל בו, וזאת בכפוף להסכמת הצדדים בחתימה על טופס בוררות ייעודי ולכך שלבית הדין יש סמכות שיפוט אישית כלפי אחד מהם או שכל הצדדים הם תאגידים. סמכות זו אינה חלה על עניינים פליליים, מינהליים, סכסוכי משפחה, עניינים שהמדינה או רשות מקומית צד להם, עניינים מסוימים מתחום משפט העבודה, ועניינים הנוגעים להליכים משמעתיים.  עוד נקבע כי אם הוגשה בקשה בצירוף טופס חתום רק בידי חלק מן הצדדים, מזכירות בית הדין רשאית לשלוח לצדדים שלא חתמו, הודעה על האפשרות לחתום, וכי עד לקבלת טופס חתום בידי כל הצדדים לא יתקיימו דיונים ולא תינתן החלטה מהותית, למעט החלטה טכנית שאינה נוגעת לגוף הסכסוך. כמו כן, בתחילת הדיון יברר בית הדין שהחתימה נעשתה מרצון חופשי ויבהיר לצדדים כי מדובר בהליך בוררות ולא בהליך שיפוטי. בעניין הנמצא בסמכות בית הדין לעבודה כשקיימים יחסי עבודה בין הצדדים יברר בית הדין אם היוזמה להבאת ההליך הייתה של העובד. בית הדין יהיה רשאי לסרב לדון בבוררות מטעמים שיירשמו. במסגרת הבוררות, פסיקת בית הדין לא תפגע בזכויות מהותיות המוקנות לצדדים בחוקים שנמנו בסעיף ובכלל זה, אלו שבחוק שיווי זכויות האישה, חוק החוזים האחידים, חוק המגן על אנשים עם מוגבלות וחוקים קוגנטיים אחרים. עוד נקבע כי על ההליך יחולו דיני הבוררות בשינויים מסוימים, לרבות אפשרות לביטול פסק שניתן בניגוד להוראות חוק זה, ואכיפת פסק הבוררות כפסק דין ללא צורך באישורו על ידי בית המשפט.</t>
  </si>
  <si>
    <t xml:space="preserve">הצעת חוק סיוע לנוטלי הלוואות לדיור עקב עליית הריבית (הוראת שעה), התשפ"ו-2026</t>
  </si>
  <si>
    <t xml:space="preserve"> (פ/6640/25)</t>
  </si>
  <si>
    <t xml:space="preserve">הצעת חוק החלת ריבונות על ערי יהודה והשומרון, התשפ"ו-2026</t>
  </si>
  <si>
    <t xml:space="preserve"> (פ/6639/25)</t>
  </si>
  <si>
    <t xml:space="preserve">הצעת חוק-יסוד: הכנסת (תיקון - הצהרת האמונים של חברי הכנסת)</t>
  </si>
  <si>
    <t xml:space="preserve"> (פ/6638/25)</t>
  </si>
  <si>
    <t xml:space="preserve">הצעת חוק חומרי נפץ (תיקון - אסדרת חומרים הודפים), התשפ"ו-2026</t>
  </si>
  <si>
    <t xml:space="preserve"> (פ/6637/25)</t>
  </si>
  <si>
    <t xml:space="preserve">הצעת חוק לתיקון פקודת מס הכנסה (נקודות זיכוי למשפחות אומנה), התשפ"ו-2026</t>
  </si>
  <si>
    <t xml:space="preserve"> (פ/6636/25)</t>
  </si>
  <si>
    <t xml:space="preserve">הצעת חוק הטיס (תיקון - פיקוח על מכירה ורכישה של רחפנים בעלי יכולת נשיאה), התשפ"ו-2026</t>
  </si>
  <si>
    <t xml:space="preserve"> (פ/6635/25)</t>
  </si>
  <si>
    <t xml:space="preserve">הצעת חוק הביטוח הלאומי (תיקון - פיקוח פרלמנטרי על שינויים בהסכם הניידות), התשפ"ו-2026</t>
  </si>
  <si>
    <t xml:space="preserve"> (פ/6633/25)</t>
  </si>
  <si>
    <t xml:space="preserve">הצעת חוק למניעת אלימות במשפחה (תיקון - תנאים למתן צו הגנה בפיקוח טכנולוגי), התשפ"ו-2026</t>
  </si>
  <si>
    <t xml:space="preserve"> (פ/6632/25)</t>
  </si>
  <si>
    <t xml:space="preserve"> (פ/6631/25)</t>
  </si>
  <si>
    <t xml:space="preserve">הצעת חוק לתיקון פקודת מס הכנסה (יישוב מוטב), התשפ"ו-2026</t>
  </si>
  <si>
    <t xml:space="preserve"> (פ/6630/25)</t>
  </si>
  <si>
    <t xml:space="preserve">פרק ז' (מס מיוחד על רווחי בנקים) מתוך הצעת חוק ההתייעלות הכלכלית (תיקוני חקיקה להשגת יעדי התקציב לשנת התקציב 2026), התשפ"ו-2026</t>
  </si>
  <si>
    <t xml:space="preserve">22.03.2026</t>
  </si>
  <si>
    <t xml:space="preserve">סעיפים 52 עד 60, 63 (הגברת התחרות בשירותי תאגידים בנקאיים) מתוך הצעת חוק התוכנית הכלכלית (תיקוני חקיקה ליישום המדיניות הכלכלית לשנת התקציב 2026), התשפ"ו-2026 [מתוך פרק ט' קידום התחרות בשוק הבנקאות]</t>
  </si>
  <si>
    <t xml:space="preserve">19.03.2026</t>
  </si>
  <si>
    <t xml:space="preserve">סעיפים 61, 62 (חוק מע"מ) מתוך הצעת חוק התוכנית הכלכלית (תיקוני חקיקה ליישום המדיניות הכלכלית לשנת התקציב 2026), התשפ"ו-2026</t>
  </si>
  <si>
    <t xml:space="preserve">פרק ד' (התחשבנות בין בתי חולים לקופות חולים לשנים 2026 עד 2030) (למעט סעיף 16) מתוך הצעת חוק ההתייעלות הכלכלית (תיקוני חקיקה להשגת יעדי התקציב לשנת התקציב 2026) התשפ"ו-2026 [פוצלה לפי סעיף 84(ב) לתקנון]</t>
  </si>
  <si>
    <t xml:space="preserve">18.03.2026</t>
  </si>
  <si>
    <t xml:space="preserve">פרק י"ט (שונות), סעיפים 97 עד 98 (חוק הביטוח הלאומי) מתוך הצעת חוק התוכנית הכלכלית (תיקוני חקיקה ליישום המדיניות הכלכלית לשנת התקציב 2026), התשפ"ו-2026 [פוצלה לפי סעיף 84(ב) לתקנון]</t>
  </si>
  <si>
    <t xml:space="preserve">פרק ד' (התחשבנות בין בתי חולים לקופות חולים לשנים 2026 עד 2030) (רק סעיף 16) מתוך הצעת חוק ההתייעלות הכלכלית (תיקוני חקיקה להשגת יעדי התקציב לשנת התקציב 2026) התשפ"ו-2026 [פוצלה לפי סעיף 84(ב) לתקנון] </t>
  </si>
  <si>
    <t xml:space="preserve">הצעת חוק המועצה להשכלה גבוהה (תיקון - מימון לימודים לתואר ראשון לסטודנט תושב קריית שמונה - הוראת שעה), התשפ״ו-2026</t>
  </si>
  <si>
    <t xml:space="preserve"> (פ/6492/25)</t>
  </si>
  <si>
    <t xml:space="preserve">הצעת חוק משפחות חיילים שנספו במערכה (תגמולים ושיקום) (תיקון - חובת העסקה של יתומים אחרי גיל הפרישה), התשפ"ה-2025</t>
  </si>
  <si>
    <t xml:space="preserve"> (פ/5784/25)</t>
  </si>
  <si>
    <t xml:space="preserve">הצעת חוק ההתגוננות האזרחית (תיקון - פיקוח על מקלטים משותפים), התשפ"ה-2025</t>
  </si>
  <si>
    <t xml:space="preserve"> (פ/5338/25)</t>
  </si>
  <si>
    <t xml:space="preserve">הצעת חוק עבודת הנשים (תיקון - תגמול לעובדת עצמאית שבן זוגה משרת במילואים), התשפ"ה-2024</t>
  </si>
  <si>
    <t xml:space="preserve"> (פ/5099/25)</t>
  </si>
  <si>
    <t xml:space="preserve">הצעת חוק הביטוח הלאומי (תיקון - הצמדת הסכום הבסיסי לשכר הממוצע במשק), התשפ"ג-2023</t>
  </si>
  <si>
    <t xml:space="preserve"> (פ/1433/25)</t>
  </si>
  <si>
    <t xml:space="preserve"> (פ/2735/25)</t>
  </si>
  <si>
    <t xml:space="preserve">17.03.2026</t>
  </si>
  <si>
    <t xml:space="preserve">פרק ו' (עידוד עלייה לישראל וחזרה אליה) מתוך הצעת חוק ההתייעלות הכלכלית (תיקוני חקיקה להשגת יעדי התקציב לשנת התקציב 2026), התשפ"ו-2026</t>
  </si>
  <si>
    <t xml:space="preserve">פרק ב' ייעול הליכי התכנון והבנייה (חוק התכנון והבנייה) סעיפים 2(12), (13), 5 (בקר מורשה הגנת הסביבה במכון בקרה) מתוך הצעת חוק התוכנית הכלכלית (תיקוני חקיקה ליישום המדיניות הכלכלית לשנת התקציב 2026), התשפ"ו-2026</t>
  </si>
  <si>
    <t xml:space="preserve">פרק ב' ייעול הליכי התכנון והבנייה (חוק התכנון והבנייה) סעיף 2(11) (הכשרת בקרים) מתוך הצעת חוק התוכנית הכלכלית (תיקוני חקיקה ליישום המדיניות הכלכלית לשנת התקציב 2026), התשפ"ו-2026</t>
  </si>
  <si>
    <t xml:space="preserve">פרק י"א (טיוב האסדרה בתחום בטיחות אש) מתוך הצעת חוק התוכנית הכלכלית (תיקוני חקיקה ליישום המדיניות הכלכלית לשנת התקציב 2026), התשפ"ו-2026 [פוצלה לפי סעיף 84(ב) לתקנון]</t>
  </si>
  <si>
    <t xml:space="preserve">16.03.2026</t>
  </si>
  <si>
    <t xml:space="preserve">הצעת חוק היעדרות קרוב משפחה מעבודה ביום האזכרה הפרטית (תיקוני חקיקה), התשפ"ו-2026</t>
  </si>
  <si>
    <t xml:space="preserve"> (פ/6628/25)</t>
  </si>
  <si>
    <t xml:space="preserve">הצעת חוק לתיקון פקודת מס הכנסה (יישוב עירוני בעל השפעה מטרופולינית) (הוראת שעה), התשפ"ו-2026</t>
  </si>
  <si>
    <t xml:space="preserve"> (פ/6627/25)</t>
  </si>
  <si>
    <t xml:space="preserve">הצעת חוק מניעת שידורים של גוף זר הפוגע בביטחון המדינה, התשפ"ו-2026</t>
  </si>
  <si>
    <t xml:space="preserve"> (פ/6626/25)</t>
  </si>
  <si>
    <t xml:space="preserve">הצעת חוק-יסוד: הממשלה (תיקון - כשירות שר וסגן שר)</t>
  </si>
  <si>
    <t xml:space="preserve"> (פ/6625/25)</t>
  </si>
  <si>
    <t xml:space="preserve">הצעת חוק כלי הירייה (תיקון - הליך הוגן במתן רישיון נשק אישי), התשפ"ו-2026</t>
  </si>
  <si>
    <t xml:space="preserve"> (פ/6624/25)</t>
  </si>
  <si>
    <t xml:space="preserve">הצעת חוק העונשין (תיקון - מעמד אנשי כוחות הביטחון), התשפ״ו-2026</t>
  </si>
  <si>
    <t xml:space="preserve"> (פ/6623/25)</t>
  </si>
  <si>
    <t xml:space="preserve"> (פ/6621/25)</t>
  </si>
  <si>
    <t xml:space="preserve">הצעת חוק מימון והקלות בלימודי רפואה ללוחמים ולתומכי לחימה (תיקוני חקיקה), התשפ"ו-2026</t>
  </si>
  <si>
    <t xml:space="preserve"> (פ/6619/25)</t>
  </si>
  <si>
    <t xml:space="preserve">הצעת חוק התכנון והבנייה (תיקון - ביטול התניית חיבור לחשמל, מים וטלפון באישור תאגיד המים), התשפ"ו-2026</t>
  </si>
  <si>
    <t xml:space="preserve"> (פ/6618/25)</t>
  </si>
  <si>
    <t xml:space="preserve">הצעת חוק חינוך ממלכתי (תיקון - שלילת השתתפות בתקציב עקב הפליה), התשפ"ו-2026</t>
  </si>
  <si>
    <t xml:space="preserve"> (פ/6617/25)</t>
  </si>
  <si>
    <t xml:space="preserve">פרק ה' (ריווח מדרגות מס הכנסה) מתוך הצעת חוק ההתייעלות הכלכלית (תיקוני חקיקה להשגת יעדי התקציב לשנת התקציב 2026), התשפ"ו-2026</t>
  </si>
  <si>
    <t xml:space="preserve">15.03.2026</t>
  </si>
  <si>
    <t xml:space="preserve">פרק ב' (מיסוי של קופות גמל) מתוך הצעת חוק ההתייעלות הכלכלית (תיקוני חקיקה להשגת יעדי התקציב לשנת התקציב 2026), התשפ"ו-2026</t>
  </si>
  <si>
    <t xml:space="preserve">פרק י' (עידוד ותמרוץ של מחקר ופיתוח) מתוך הצעת חוק התוכנית הכלכלית (תיקוני חקיקה ליישום המדיניות הכלכלית לשנת התקציב 2026), התשפ"ו-2026</t>
  </si>
  <si>
    <t xml:space="preserve">סעיפים 85, 87, 89 עד 91 (חוק תכנון משק החלב) מתוך הצעת חוק התוכנית הכלכלית (תיקוני חקיקה ליישום המדיניות הכלכלית לשנת התקציב 2026), התשפ"ו-2026 [פוצלה לפי סעיף 84(ב) לתקנון הכנסת]</t>
  </si>
  <si>
    <t xml:space="preserve">11.03.2026</t>
  </si>
  <si>
    <t xml:space="preserve">סעיפים 86, 88 (חוק התחרות הכלכלית) מתוך הצעת חוק התוכנית הכלכלית (תיקוני חקיקה ליישום המדיניות הכלכלית לשנת התקציב 2026), התשפ"ו-2026 - [פוצלה לפי סעיף 84(ב) לתקנון הכנסת]</t>
  </si>
  <si>
    <t xml:space="preserve">פרק ח' (מס רכוש) מתוך הצעת חוק ההתייעלות הכלכלית (תיקוני חקיקה להשגת יעדי התקציב לשנת התקציב 2026), התשפ"ו-2026</t>
  </si>
  <si>
    <t xml:space="preserve">פרק ג' (צמצום ההון השחור), סימן ב' (הגבלה על החלפת שטר במזומן) מתוך הצעת חוק ההתייעלות הכלכלית (תיקוני חקיקה להשגת יעדי התקציב לשנת התקציב 2026), התשפ"ו-2026</t>
  </si>
  <si>
    <t xml:space="preserve">פרק ג' (צמצום ההון השחור), סימן ג' (חובת הצהרה של נותני שירותים פיננסיים) מתוך הצעת חוק ההתייעלות הכלכלית (תיקוני חקיקה להשגת יעדי התקציב לשנת התקציב 2026), התשפ"ו-2026 [פוצלה לפי סעיף 84(ב) לתקנון]</t>
  </si>
  <si>
    <t xml:space="preserve">הצעת חוק-יסוד: הממשלה (תיקון - הגבלות על כהונת שר ביותר ממשרד אחד)</t>
  </si>
  <si>
    <t xml:space="preserve"> (פ/6350/25)</t>
  </si>
  <si>
    <t xml:space="preserve">הצעת חוק הרשות לטיפול בנפגעי הלם קרב, התשפ"ו-2025</t>
  </si>
  <si>
    <t xml:space="preserve"> (פ/6260/25)</t>
  </si>
  <si>
    <t xml:space="preserve">הצעת חוק רשות מקרקעי ישראל (תיקון - העדפת רכישת קרקע בפריפריה לחיילי מילואים), התשפ"ד-2024</t>
  </si>
  <si>
    <t xml:space="preserve"> (פ/4658/25)</t>
  </si>
  <si>
    <t xml:space="preserve">פרק ב ייעול הליכי התכנון והבנייה (חוק התכנון והבנייה) סעיף 2(15) (הרחבת סמכות למתן היתר לרשות רישוי ארצית) מתוך הצעת חוק התוכנית הכלכלית (תיקוני חקיקה ליישום המדיניות הכלכלית לשנת התקציב 2026), התשפ"ו-2026</t>
  </si>
  <si>
    <t xml:space="preserve">10.03.2026</t>
  </si>
  <si>
    <t xml:space="preserve">סעיף 10 (משק הגז הטבעי) מתוך הצעת חוק התוכנית הכלכלית (תיקוני חקיקה ליישום המדיניות הכלכלית לשנת התקציב 2026), התשפ"ו-2026</t>
  </si>
  <si>
    <t xml:space="preserve">09.03.2026</t>
  </si>
  <si>
    <t xml:space="preserve">פרק ז' (קידום התחרות בשוק מתן הערבויות) מתוך הצעת חוק התוכנית הכלכלית (תיקוני חקיקה ליישום המדיניות הכלכלית לשנת התקציב 2026), התשפ"ו-2026</t>
  </si>
  <si>
    <t xml:space="preserve">הצעת חוק הבנקאות (שירות ללקוח) (תיקון - קיצור משך זמן לביטול שעבוד), התשפ"ו-2026</t>
  </si>
  <si>
    <t xml:space="preserve"> (פ/6616/25)</t>
  </si>
  <si>
    <t xml:space="preserve">הצעת חוק התכנון והבנייה (תיקון - ועדת משנה להתחדשות עירונית), התשפ"ו-2026</t>
  </si>
  <si>
    <t xml:space="preserve"> (פ/6615/25)</t>
  </si>
  <si>
    <t xml:space="preserve">הצעת חוק שמירת הקדושה של הכותל המערבי ורחבתו, התשפ"ו-2026</t>
  </si>
  <si>
    <t xml:space="preserve"> (פ/6613/25)</t>
  </si>
  <si>
    <t xml:space="preserve">הצעת חוק חדלות פירעון ושיקום כלכלי (תיקון - נסיבות המצדיקות מתן הפטר על חוב מזונות), התשפ"ו-2026</t>
  </si>
  <si>
    <t xml:space="preserve"> (פ/6612/25)</t>
  </si>
  <si>
    <t xml:space="preserve">הצעת חוק המועצה להשכלה גבוהה (תיקון - מניעת השבתה פוליטית במוסדות מתוקצבים), התשפ"ו-2026</t>
  </si>
  <si>
    <t xml:space="preserve"> (פ/6611/25)</t>
  </si>
  <si>
    <t xml:space="preserve">הצעת חוק לתיקון פקודת התעבורה (שינוי שיטת החישוב של דמי חניה בחניון), התשפ"ו-2026</t>
  </si>
  <si>
    <t xml:space="preserve"> (פ/6610/25)</t>
  </si>
  <si>
    <t xml:space="preserve">הצעת חוק המרכז לגביית קנסות, אגרות והוצאות (תיקון - חובת איתור חייבים ומועד מינימום לתשלום), התשפ"ו-2026</t>
  </si>
  <si>
    <t xml:space="preserve"> (פ/6609/25)</t>
  </si>
  <si>
    <t xml:space="preserve">הצעת חוק-יסוד: העדה הדרוזית </t>
  </si>
  <si>
    <t xml:space="preserve"> (פ/6608/25)</t>
  </si>
  <si>
    <t xml:space="preserve">הצעת חוק לתיקון פקודת התעבורה (השגה וערר על דרישה לתשלום תעריף מוגדל), התשפ"ו-2026</t>
  </si>
  <si>
    <t xml:space="preserve"> (פ/6607/25)</t>
  </si>
  <si>
    <t xml:space="preserve">הצעת חוק התקשורת (בזק ושידורים) (תיקון - תיעוד מכירת כרטיסי SIM אנונימיים), התשפ"ו-2026</t>
  </si>
  <si>
    <t xml:space="preserve"> (פ/6606/25)</t>
  </si>
  <si>
    <t xml:space="preserve">הצעת חוק שמירת הסביבה החופית (תיקון - איסור הכנסת מוצרים חד-פעמיים לתחום הסביבה החופית), התשפ"ו-2026</t>
  </si>
  <si>
    <t xml:space="preserve"> (פ/6605/25)</t>
  </si>
  <si>
    <t xml:space="preserve"> (פ/6604/25)</t>
  </si>
  <si>
    <t xml:space="preserve">הצעת חוק להגדרת רצועת עזה כאזור עוין ואיסור יחסי מסחר, התשפ"ו-2026</t>
  </si>
  <si>
    <t xml:space="preserve"> (פ/6603/25)</t>
  </si>
  <si>
    <t xml:space="preserve">הצעת חוק לפיתוח העיר קריית שמונה ומתן עדיפות לבני מקום בדיור, התשפ"ו-2026</t>
  </si>
  <si>
    <t xml:space="preserve"> (פ/6602/25)</t>
  </si>
  <si>
    <t xml:space="preserve"> (פ/6600/25)</t>
  </si>
  <si>
    <t xml:space="preserve">הצעת חוק איחוד המועצות האזוריות מגידו ועמק יזרעאל, התשפ״ו-2026</t>
  </si>
  <si>
    <t xml:space="preserve"> (פ/6598/25)</t>
  </si>
  <si>
    <t xml:space="preserve"> הצעת חוק הבנקאות (שירות ללקוח) (תיקון - מנגנונים פיננסיים להגנה על עולים חדשים מבוגרים) (הוראת שעה), התשפ"ו-2026</t>
  </si>
  <si>
    <t xml:space="preserve"> (פ/6597/25)</t>
  </si>
  <si>
    <t xml:space="preserve">הצעת חוק הקאדים (תיקון מס' 20) (ייצוג הולם לנשים בוועדה לבחירת קאדים), התשפ"ו-2026 </t>
  </si>
  <si>
    <t xml:space="preserve"> (מ/1937)</t>
  </si>
  <si>
    <t xml:space="preserve">הצעת חוק הירושה (תיקון מס' 23), התשפ"ו-2026 </t>
  </si>
  <si>
    <t xml:space="preserve"> (מ/1936)</t>
  </si>
  <si>
    <t xml:space="preserve">הצעת חוק הפחתת הגירעון והגבלת ההוצאה התקציבית (תיקון מס' 30), התשפ"ו-2026</t>
  </si>
  <si>
    <t xml:space="preserve">05.03.2026</t>
  </si>
  <si>
    <t xml:space="preserve">סעיפים 15, 16 (פקודת היערות) מתוך הצעת חוק התוכנית הכלכלית (תיקוני חקיקה ליישום המדיניות הכלכלית לשנת התקציב 2026), התשפ"ו-2026 [פוצלה לפי סעיף 84(ב) לתקנון]</t>
  </si>
  <si>
    <t xml:space="preserve">26.02.2026</t>
  </si>
  <si>
    <t xml:space="preserve">חוק קיום דיונים בהיוועדות חזותית בעת הכרזה על הגבלה (עצורים, אסירים וכלואים) (הוראת שעה), התשפ"ו-2026</t>
  </si>
  <si>
    <t xml:space="preserve"> (פ/6253/25)</t>
  </si>
  <si>
    <t xml:space="preserve"> (כ/1169)</t>
  </si>
  <si>
    <t xml:space="preserve">25.02.2026</t>
  </si>
  <si>
    <t xml:space="preserve">פרק ה' (גיוון שיטות העסקה במשטרת ישראל), סעיף 22 (תיקון פקודת המשטרה) מתוך הצעת חוק התוכנית הכלכלית (תיקוני חקיקה ליישום המדיניות הכלכלית לשנת התקציב 2026), התשפ"ו-2026</t>
  </si>
  <si>
    <t xml:space="preserve">הצעת חוק-יסוד: הממשלה (תיקון מס' 13)</t>
  </si>
  <si>
    <t xml:space="preserve"> (פ/2314/25)</t>
  </si>
  <si>
    <t xml:space="preserve"> (כ/953)</t>
  </si>
  <si>
    <t xml:space="preserve">הוועדה המיוחדת לתיקונים לחוק יסוד: הממשלה</t>
  </si>
  <si>
    <t xml:space="preserve">חוק הביטוח הלאומי (תיקון מס' 262  – הוראת שעה), התשפ"ו–2026</t>
  </si>
  <si>
    <t xml:space="preserve"> (פ/592/25)</t>
  </si>
  <si>
    <t xml:space="preserve"> (כ/1023)</t>
  </si>
  <si>
    <t xml:space="preserve">החוק קובע בהוראת שעה שתחול מיום י"ב בטבת התשפ"ו (1 בינואר 2026) ועד יום ל' בכסלו התשצ"ו (31 בדצמבר 2035), כי תושב ישראל שהוא עולה חדש ממדינה המנויה בלוח ט"ז לחוק יהיה פטור מתשלום דמי ביטוח לאומי בעד הכנסה מעבודה או ממשלח יד שהוא משלם בעדה דמי ביטוח סוציאלי במדינה שממנה עלה, וזאת למשך חמש שנים מהעלייה. בלוח ט"ז נקבע כי הפטור האמור חל על העולים מארה"ב ושר העבודה, בהסכמת שר האוצר ובהתייעצות עם שר העלייה והקליטה ובאישור ועדת העבודה והרווחה, מוסמך לקבוע כי ההסדר יחול על עולים ממדינות נוספות לאחר ששוכנע כי הדבר יסייע לעידוד עליה ולאחר שהביא בחשבון את גובה דמי הביטוח הסוציאלי באותה מדינה ואת קיומה של אמנה לביטחון סוציאלי עימה. כמו כן, השר מוסמך כאמור להאריך בצו את הוראת השעה בשתי תקופות נוספות שכל אחת מהן לא תעלה על חמש שנים. הפטור האמור לא ישפיע על הזכאות לגמלה או לתוספת לגמלה המותנית בתשלום דמי ביטוח לאומי ולא יחול לגבי החיוב בדמי ביטוח בריאות.  </t>
  </si>
  <si>
    <t xml:space="preserve">הצעת חוק הכנסת (תיקון - בחירת יושב ראש ועדה), התשפ"ו-2026</t>
  </si>
  <si>
    <t xml:space="preserve"> (פ/6428/25)</t>
  </si>
  <si>
    <t xml:space="preserve"> (פ/6225/25)</t>
  </si>
  <si>
    <t xml:space="preserve">הצעת חוק חינוך ממלכתי (תיקון - שלילת השתתפות בתקציב עקב הפליה), התשפ"ג-2022</t>
  </si>
  <si>
    <t xml:space="preserve"> (פ/568/25)</t>
  </si>
  <si>
    <t xml:space="preserve">הצעת חוק צער בעלי חיים (הגנה על בעלי חיים) (תיקון - איסור ביצוע פעולות השחתה וריסון בבהמות), התשפ"ג-2022</t>
  </si>
  <si>
    <t xml:space="preserve"> (פ/540/25)</t>
  </si>
  <si>
    <t xml:space="preserve">פרק ה' (גיוון שיטות העסקה במשטרת ישראל), סעיפים 23, 24 (חוק שירות המדינה (גמלאות)) מתוך הצעת חוק התוכנית הכלכלית (תיקוני חקיקה ליישום המדיניות הכלכלית לשנת התקציב 2026), התשפ"ו-2026 [פוצלה לפי סעיף 84(ב) לתקנון]</t>
  </si>
  <si>
    <t xml:space="preserve">24.02.2026</t>
  </si>
  <si>
    <t xml:space="preserve">פרק ג האצת מיזמי תשתית לאומיים (חוק לקידום תשתיות לאומיות) סעיפים 6(1), 7 (מגבלת גובה למרכז למיפוי) מתוך הצעת חוק התוכנית הכלכלית (תיקוני חקיקה ליישום המדיניות הכלכלית לשנת התקציב 2026), התשפ"ו-2026</t>
  </si>
  <si>
    <t xml:space="preserve">הצעת חוק תגמול למשרתים בשירות צבאי או אזרחי באקדמיה, התשפ"ה-2024</t>
  </si>
  <si>
    <t xml:space="preserve"> (פ/5094/25)</t>
  </si>
  <si>
    <t xml:space="preserve">הצעת חוק עידוד שירות צבאי, לאומי או לאומי-אזרחי במוסדות להשכלה גבוהה, התשפ"ה-2024</t>
  </si>
  <si>
    <t xml:space="preserve"> (פ/5031/25)</t>
  </si>
  <si>
    <t xml:space="preserve">הצעת חוק זכויות הסטודנט (תיקון - העדפה מתקנת ללוחמים), התשפ"ג-2022</t>
  </si>
  <si>
    <t xml:space="preserve"> (פ/713/25)</t>
  </si>
  <si>
    <t xml:space="preserve">פרק ב' ייעול הליכי התכנון והבנייה (חוק התכנון והבנייה) סעיף 2(16)(א) (תכנית טעונה אישור ולחו"ף) מתוך הצעת חוק התוכנית הכלכלית (תיקוני חקיקה ליישום המדיניות הכלכלית לשנת התקציב 2026), התשפ"ו-2026</t>
  </si>
  <si>
    <t xml:space="preserve">הצעת חוק לתיקון פקודת התעבורה (שירותי תחבורה שיתופית מקוונת), התשפ"ה-2025</t>
  </si>
  <si>
    <t xml:space="preserve"> (פ/6014/25)</t>
  </si>
  <si>
    <t xml:space="preserve">פרק ג' האצת מיזמי תשתית לאומיים (חוק התכנון והבנייה) סעיף 17(2), (3) (תכנית השינוי) מתוך הצעת חוק התוכנית הכלכלית (תיקוני חקיקה ליישום המדיניות הכלכלית לשנת התקציב 2026), התשפ"ו-2026</t>
  </si>
  <si>
    <t xml:space="preserve">פרק ג' האצת מיזמי תשתית לאומיים (חוק התכנון והבנייה) סעיף 17(6) (הקלה למבנה דרך) מתוך הצעת חוק התוכנית הכלכלית (תיקוני חקיקה ליישום המדיניות הכלכלית לשנת התקציב 2026), התשפ"ו-2026</t>
  </si>
  <si>
    <t xml:space="preserve">פרק ג' האצת מיזמי תשתית לאומיים  סעיפים 11, 13(2) מתוך הצעת חוק התוכנית הכלכלית (תיקוני חקיקה ליישום המדיניות הכלכלית לשנת התקציב 2026), התשפ"ו-2026 (חוק רכבת תחתית (מטרו), חוק בתי משפט מינהליים)</t>
  </si>
  <si>
    <t xml:space="preserve">23.02.2026</t>
  </si>
  <si>
    <t xml:space="preserve">פרק ג' האצת מיזמי תשתיות לאומיים (חוק לקידום תשתיות לאומיות) סעיף 6(3) (הטמנת פסולת) מתוך הצעת חוק התוכנית הכלכלית (תיקוני חקיקה ליישום המדיניות הכלכלית לשנת התקציב 2026), התשפ"ו-2026</t>
  </si>
  <si>
    <t xml:space="preserve">פרק י"ט (שונות), סעיף 99 (חוק המים) מתוך הצעת חוק התוכנית הכלכלית (תיקוני חקיקה ליישום המדיניות הכלכלית לשנת התקציב 2026), התשפ"ו-2026</t>
  </si>
  <si>
    <t xml:space="preserve">סעיף 9 (פקודת מסילות הברזל) מתוך הצעת חוק התוכנית הכלכלית (תיקוני חקיקה ליישום המדיניות הכלכלית לשנת התקציב 2026), התשפ"ו-2026</t>
  </si>
  <si>
    <t xml:space="preserve">חוק המידע הפלילי ותקנת השבים (תיקון מס' 10), התשפ"ו–2026</t>
  </si>
  <si>
    <t xml:space="preserve"> (פ/3891/25)</t>
  </si>
  <si>
    <t xml:space="preserve"> (כ/1120)</t>
  </si>
  <si>
    <t xml:space="preserve">נקבע כי מעסיק רשאי לבקש מהמשטרה הודעה המציינת אם יש או אין למועמד בגיר לעבודה רישום פלילי בגין עבירת טרור חמורה, הסתה לטרור או הזדהות עם ארגון טרור. בקשה לקבלת ההודעה מותנית בהסכמת המועמד בכתב, וההודעה תינתן רק על עבירות שבוצעו בהיותו בגיר וטרם התיישנו, ללא פירוט העבירות עצמן. ככל שקיים רישום פלילי, המעסיק מחויב לאפשר למועמד להציג מידע על מהות העבירה, נסיבותיו האישיות ושיקומו בטרם יקבל החלטה על העסקתו. עוד נקבע כי על המעסיק תחול חובת סודיות לגבי המידע, ונאסר עליו לצלמו, להעתיקו, למסור אותו לאחר או להשתמש בו לכל מטרה אחרת שאינה בחינת העסקתו של המועמד. במקביל, המשטרה תשמור למשך שבע שנים תיעוד של פרטי המעסיקים והמועמדים שלגביהם התבקש המידע. לשם יישום החוק, הוסמכו שרי המשפטים והביטחון הלאומי להתקין תקנות שיאפשרו בין היתר למעסיק לבקש ולקבל את ההודעה במערכת ממשלתית מקוונת.</t>
  </si>
  <si>
    <t xml:space="preserve">הצעת חוק לתיקון פקודת בריאות העם (הוספת מכשור רפואי לפריפריה), התשפ"ו-2026</t>
  </si>
  <si>
    <t xml:space="preserve"> (פ/6595/25)</t>
  </si>
  <si>
    <t xml:space="preserve">הצעת חוק למניעת הפצת תוכן פוגעני ברשת החברתית, התשפ״ו-2026</t>
  </si>
  <si>
    <t xml:space="preserve"> (פ/6594/25)</t>
  </si>
  <si>
    <t xml:space="preserve">הצעת חוק-יסוד: השפיטה (תיקון - מניעת התערבות בית המשפט בסמכות החקיקה של הכנסת)</t>
  </si>
  <si>
    <t xml:space="preserve"> (פ/6592/25)</t>
  </si>
  <si>
    <t xml:space="preserve">הצעת חוק ביטוח בריאות ממלכתי (תיקון - הגדרת שנת היעדרות לגבי לימודים אקדמיים בחו"ל), התשפ"ו-2026</t>
  </si>
  <si>
    <t xml:space="preserve"> (פ/6591/25)</t>
  </si>
  <si>
    <t xml:space="preserve">הצעת חוק-יסוד: הכנסת (תיקון - הצהרת אמונים בפני מליאת הכנסת ועיצומים נגד מי שלא הצהיר)</t>
  </si>
  <si>
    <t xml:space="preserve"> (פ/6590/25)</t>
  </si>
  <si>
    <t xml:space="preserve">הצעת חוק שירות המדינה (מינויים) (תיקון - ייצוג הולם למשרתים בשירות צבאי), התשפ"ו-2026</t>
  </si>
  <si>
    <t xml:space="preserve"> (פ/6589/25)</t>
  </si>
  <si>
    <t xml:space="preserve">הצעת חוק אסדרת משק הפסולת בישראל והקמת הרשות הארצית לטיפול בפסולת, התשפ"ו-2025</t>
  </si>
  <si>
    <t xml:space="preserve"> (פ/6588/25)</t>
  </si>
  <si>
    <t xml:space="preserve">הצעת חוק לתיקון פקודת בריאות העם (עדכון על זכאות אפשרית לגמלה), התשפ"ו-2026</t>
  </si>
  <si>
    <t xml:space="preserve"> (פ/6587/25)</t>
  </si>
  <si>
    <t xml:space="preserve">הצעת חוק הפסקת היריון, התשפ"ו-2026</t>
  </si>
  <si>
    <t xml:space="preserve"> (פ/6585/25)</t>
  </si>
  <si>
    <t xml:space="preserve">הצעת חוק לטיפול סביבתי בציוד חשמלי ואלקטרוני ובסוללות (תיקון - חובת מיחזור פסולת רכב חשמלי ורכב היברידי), התשפ"ו-2026</t>
  </si>
  <si>
    <t xml:space="preserve"> (פ/6584/25)</t>
  </si>
  <si>
    <t xml:space="preserve">הצעת חוק הפסקת כהונה של נושאי משרה בכירים בתקופת הכהונה הראשונית של ממשלה חדשה, התשפ"ו-2026</t>
  </si>
  <si>
    <t xml:space="preserve"> (פ/6583/25)</t>
  </si>
  <si>
    <t xml:space="preserve">הצעת חוק זכויות נפגעי עבירה (תיקון - הוספת סרסור והבאת אדם לידי זנות להגדרת עבירת מין או אלימות), התשפ"ו-2026</t>
  </si>
  <si>
    <t xml:space="preserve"> (פ/6582/25)</t>
  </si>
  <si>
    <t xml:space="preserve">הצעת חוק הביטוח הלאומי (תיקון - מענק מוגדל לעבודה מועדפת בחקלאות ובתיירות בקו העימות הצפוני) (הוראת שעה), התשפ"ו-2026</t>
  </si>
  <si>
    <t xml:space="preserve"> (פ/6581/25)</t>
  </si>
  <si>
    <t xml:space="preserve">הצעת חוק לתיקון פקודת המשטרה (מערכת דיווח מאובטחת לקבלת מידע על מחזיקי אמצעי לחימה בלתי חוקיים), התשפ"ו-2026</t>
  </si>
  <si>
    <t xml:space="preserve"> (פ/6579/25)</t>
  </si>
  <si>
    <t xml:space="preserve">הצעת חוק לקידום ולפיתוח העדה הדרוזית בישראל (תיקוני חקיקה), התשפ"ו-2026</t>
  </si>
  <si>
    <t xml:space="preserve"> (פ/6577/25)</t>
  </si>
  <si>
    <t xml:space="preserve">הצעת חוק סדר הדין הפלילי (חילוט תקבולי עבירה), התשפ"ו-2026</t>
  </si>
  <si>
    <t xml:space="preserve"> (מ/1934)</t>
  </si>
  <si>
    <t xml:space="preserve">הצעת חוק מקרקעי ציבור (פינוי קרקע) (תיקון מס' 5), התשפ"ו-2026</t>
  </si>
  <si>
    <t xml:space="preserve">פרק ו' (ייעול וקיצור הליכי הניהול של נכסים עזובים והעברתם לקניין המדינה) מתוך הצעת חוק התוכנית הכלכלית (תיקוני חקיקה ליישום המדיניות הכלכלית לשנת התקציב 2026), התשפ"ו-2026</t>
  </si>
  <si>
    <t xml:space="preserve">22.02.2026</t>
  </si>
  <si>
    <t xml:space="preserve">פרק ח' (חברות ממשלתיות ביטחוניות-תחרותיות) מתוך הצעת חוק התוכנית הכלכלית (תיקוני חקיקה ליישום המדיניות הכלכלית לשנת התקציב 2026), התשפ"ו-2026</t>
  </si>
  <si>
    <t xml:space="preserve">הצעת חוק התקשורת (בזק ושידורים) (תיקון - תיעוד מכירת כרטיסי  SIM אנונימיים), התשפ"ו-2026</t>
  </si>
  <si>
    <t xml:space="preserve"> (פ/6436/25)</t>
  </si>
  <si>
    <t xml:space="preserve">18.02.2026</t>
  </si>
  <si>
    <t xml:space="preserve">הצעת חוק-יסוד: הממשלה (תיקון - תקופה מרבית לכהונה בתפקיד כראש הממשלה)</t>
  </si>
  <si>
    <t xml:space="preserve"> (פ/6371/25)</t>
  </si>
  <si>
    <t xml:space="preserve">הצעת חוק העונשין (תיקון - השחתת מודעות על רקע מגדר), התשפ"ה-2025</t>
  </si>
  <si>
    <t xml:space="preserve"> (פ/5331/25)</t>
  </si>
  <si>
    <t xml:space="preserve">הצעת חוק הממשלה (תיקון - קיום מסיבת עיתונאים עיתית לגופי התקשורת בישראל), התשפ"ה-2024</t>
  </si>
  <si>
    <t xml:space="preserve"> (פ/5186/25)</t>
  </si>
  <si>
    <t xml:space="preserve">הצעת חוק העונשין (תיקון - השחתת מודעות על רקע מגדר), התשפ"ד-2024</t>
  </si>
  <si>
    <t xml:space="preserve"> (פ/4782/25)</t>
  </si>
  <si>
    <t xml:space="preserve">הצעת חוק העונשין (תיקון - השחתת מודעות על רקע מגדר), התשפ"ד-2023</t>
  </si>
  <si>
    <t xml:space="preserve"> (פ/3963/25)</t>
  </si>
  <si>
    <t xml:space="preserve">הצעת חוק לתיקון פקודת בריאות העם (הוספת מכשור רפואי לפריפריה), התשפ"ג-2023</t>
  </si>
  <si>
    <t xml:space="preserve"> (פ/2760/25)</t>
  </si>
  <si>
    <t xml:space="preserve">הצעת חוק קליטת חיילים משוחררים (תיקון מס' 26) (הארכת תקופת זכאות להשתתפות במימון שכר לימוד בשל מלחמה), התשפ"ו–2026</t>
  </si>
  <si>
    <t xml:space="preserve"> (פ/6074/25)</t>
  </si>
  <si>
    <t xml:space="preserve">17.02.2026</t>
  </si>
  <si>
    <t xml:space="preserve">הצעת חוק הרשות לגיל הרך, התשפ"ד-2024</t>
  </si>
  <si>
    <t xml:space="preserve"> (פ/4873/25)</t>
  </si>
  <si>
    <t xml:space="preserve">16.02.2026</t>
  </si>
  <si>
    <t xml:space="preserve">פרק ט"ז (שמירה על זכויות מבוטחים בסיעוד) מתוך הצעת חוק התוכנית הכלכלית (תיקוני חקיקה ליישום המדיניות הכלכלית לשנת התקציב 2026), התשפ"ו-2026 [פוצלה לפי סעיף 84(ב) לתקנון]</t>
  </si>
  <si>
    <t xml:space="preserve"> (פ/6576/25)</t>
  </si>
  <si>
    <t xml:space="preserve">הצעת חוק המאבק בטרור (תיקון - חילוט רכוש פעילי טרור ובעלי זיקה לפעולת טרור), התשפ״ו-2026</t>
  </si>
  <si>
    <t xml:space="preserve"> (פ/6575/25)</t>
  </si>
  <si>
    <t xml:space="preserve">הצעת חוק הקמת שדה תעופה בצקלג (הוראות מיוחדות), התשפ"ו-2026</t>
  </si>
  <si>
    <t xml:space="preserve"> (פ/6574/25)</t>
  </si>
  <si>
    <t xml:space="preserve"> (פ/6573/25)</t>
  </si>
  <si>
    <t xml:space="preserve">הצעת חוק העונשין (תיקון - איסור על עינויים ועל יחס אכזרי, בלתי אנושי ומשפיל),  התשפ"ו-2026</t>
  </si>
  <si>
    <t xml:space="preserve"> (פ/6572/25)</t>
  </si>
  <si>
    <t xml:space="preserve">הצעת חוק העונשין (תיקון - התחזות לעובד ציבור בכוונה לבצע פשע), התשפ״ו-2026</t>
  </si>
  <si>
    <t xml:space="preserve"> (פ/6571/25)</t>
  </si>
  <si>
    <t xml:space="preserve">הצעת חוק הפרשנות (תיקון - הגדרת הפליה על רקע נטייה מינית או זהות מגדרית),  התשפ"ו-2026</t>
  </si>
  <si>
    <t xml:space="preserve"> (פ/6570/25)</t>
  </si>
  <si>
    <t xml:space="preserve">הצעת חוק הרשות הלאומית לתכנון אוכלוסין ומניעת ירידה מהארץ, התשפ"ו-2026</t>
  </si>
  <si>
    <t xml:space="preserve"> (פ/6569/25)</t>
  </si>
  <si>
    <t xml:space="preserve">הצעת חוק התקשורת (בזק ושידורים) (תיקון - גיל משתמשים ברשתות חברתיות), התשפ"ו-2026</t>
  </si>
  <si>
    <t xml:space="preserve"> (פ/6567/25)</t>
  </si>
  <si>
    <t xml:space="preserve">הצעת חוק הביטוח הלאומי (תיקון - הארכת המועד להגשת תביעות ליקוי שמיעה), התשפ"ו-2026</t>
  </si>
  <si>
    <t xml:space="preserve"> (פ/6564/25)</t>
  </si>
  <si>
    <t xml:space="preserve">הצעת חוק העונשין (תיקון - מרמה והפרת אמונים), התשפ"ו-2026</t>
  </si>
  <si>
    <t xml:space="preserve"> (פ/6562/25)</t>
  </si>
  <si>
    <t xml:space="preserve">הצעת חוק הממשלה (תיקון - ועדת שרים לענייני ביטחון לאומי), התשפ״ו-2026</t>
  </si>
  <si>
    <t xml:space="preserve"> (פ/6561/25)</t>
  </si>
  <si>
    <t xml:space="preserve">הצעת חוק קופת חולים (עידוד תרומת תרופות), התשפ"ו-2026</t>
  </si>
  <si>
    <t xml:space="preserve"> (פ/6560/25)</t>
  </si>
  <si>
    <t xml:space="preserve">הצעת חוק הרשויות המקומיות (פטור חיילים, נפגעי מלחמה ושוטרים מארנונה) (תיקון - הנחה בארנונה למשרת בשירות מילואים פעיל) (הוראת שעה),התשפ''ו-2026</t>
  </si>
  <si>
    <t xml:space="preserve"> (פ/6559/25)</t>
  </si>
  <si>
    <t xml:space="preserve"> (פ/6558/25)</t>
  </si>
  <si>
    <t xml:space="preserve">הצעת חוק יום לציון מורשת יהדות הודו, התשפ"ו-2026</t>
  </si>
  <si>
    <t xml:space="preserve"> (פ/6557/25)</t>
  </si>
  <si>
    <t xml:space="preserve">הצעת חוק הרשות הלאומית לתרבות ולשפה המרוקאית יהודית, התשפ"ו-2026</t>
  </si>
  <si>
    <t xml:space="preserve"> (פ/6556/25)</t>
  </si>
  <si>
    <t xml:space="preserve">הצעת חוק נציב תלונות הציבור על שופטים (תיקון - נציבות תלונות הציבור על דיינים וקאדים), התשפ"ו-2026</t>
  </si>
  <si>
    <t xml:space="preserve"> (פ/6555/25)</t>
  </si>
  <si>
    <t xml:space="preserve">הצעת חוק לתיקון פקודת בתי הסוהר (איסור טיפול רפואי באסירים ביטחוניים בבתי חולים ציבוריים), התשפ"ו-2026</t>
  </si>
  <si>
    <t xml:space="preserve"> (פ/6554/25)</t>
  </si>
  <si>
    <t xml:space="preserve">הצעת חוק שירות התעסוקה (תיקון - הסבה מקצועית לעובדי עבודת כפיים), התשפ"ו-2026</t>
  </si>
  <si>
    <t xml:space="preserve"> (פ/6553/25)</t>
  </si>
  <si>
    <t xml:space="preserve">הצעת חוק לתיקון פקודת המכס (מס' 31) (עבירות ההברחה), התשפ"ו-2026</t>
  </si>
  <si>
    <t xml:space="preserve"> (מ/1933)</t>
  </si>
  <si>
    <t xml:space="preserve">הצעת חוק זיכרון אירועי הטרור של כ"ב בתשרי (7 באוקטובר) ומלחמת חרבות ברזל, התשפ"ה-2024</t>
  </si>
  <si>
    <t xml:space="preserve"> (פ/4900/25)</t>
  </si>
  <si>
    <t xml:space="preserve">11.02.2026</t>
  </si>
  <si>
    <t xml:space="preserve">הצעת חוק זיכרון הטבח והנצחת הגבורה ביום כ"ב בתשרי (שמחת תורה) – 7 באוקטובר, התשפ"ה–2025</t>
  </si>
  <si>
    <t xml:space="preserve"> (פ/4043/25)</t>
  </si>
  <si>
    <t xml:space="preserve"> (כ/1153)</t>
  </si>
  <si>
    <t xml:space="preserve">הצעת חוק יסודות התקציב (תיקון - תמיכה בתאגידי חינוך חרדיים), התשפ"ו-2025</t>
  </si>
  <si>
    <t xml:space="preserve"> (פ/6399/25)</t>
  </si>
  <si>
    <t xml:space="preserve">הצעת חוק להגדרת רצועת עזה כאזור עוין ואיסור יחסי מסחר, התשפ"ה-2025</t>
  </si>
  <si>
    <t xml:space="preserve"> (פ/6114/25)</t>
  </si>
  <si>
    <t xml:space="preserve">הצעת חוק העונשין (תיקון - הגדרת סוכן חוץ), התשפ"ה-2025</t>
  </si>
  <si>
    <t xml:space="preserve"> (פ/5871/25)</t>
  </si>
  <si>
    <t xml:space="preserve">חוק תאגידי מים וביוב (תיקון מס' 19), התשפ"ו-2026</t>
  </si>
  <si>
    <t xml:space="preserve"> (מ/1915)</t>
  </si>
  <si>
    <t xml:space="preserve">09.02.2026</t>
  </si>
  <si>
    <t xml:space="preserve">התיקון דוחה ל-1.1.2027 את המועד הקובע, שהוא המועד המחייב להקמה של תאגידי מים וביוב אזוריים שיספקו שירותי מים וביוב למספר רשויות מקומיות. החל במועד הקובע, תאגיד מים וביוב ורשות מקומית לא יספקו שירותי מים וביוב לצרכנים, אלא באמצעות תאגיד אזורי, ובלבד שלא ניתן פטור מהחובה להקים תאגיד אזורי בהתאם לתנאים הקבועים בחוק. כמו כן, ובהתאמה לדחיית המועד הקובע, התיקון דוחה את לוחות הזמנים שבהם על רשות מקומית או תאגיד כאמור, לפי העניין, לבצע כל אחד משלבי ההקמה של תאגיד אזורי, כך שיחולו החל מיום 1.9.2026.</t>
  </si>
  <si>
    <t xml:space="preserve">הצעת חוק שיקום מתמודדי נפש בקהילה (תיקון - תוכנית השיקום ומימושה), התשפ"ו-2026</t>
  </si>
  <si>
    <t xml:space="preserve"> (פ/6550/25)</t>
  </si>
  <si>
    <t xml:space="preserve">הצעת חוק נישואים אזרחיים, התשפ"ו-2026</t>
  </si>
  <si>
    <t xml:space="preserve"> (פ/6549/25)</t>
  </si>
  <si>
    <t xml:space="preserve">הצעת חוק שקיפות בשימוש באמצעים אוטומטיים בפעילות פוליטית מקוונת (הוראת שעה), התשפ״ו-2026</t>
  </si>
  <si>
    <t xml:space="preserve"> (פ/6548/25)</t>
  </si>
  <si>
    <t xml:space="preserve">הצעת חוק לתיקון פקודת העיריות (תקופת כהונה של יועץ משפטי), התשפ״ו-2026</t>
  </si>
  <si>
    <t xml:space="preserve"> (פ/6547/25)</t>
  </si>
  <si>
    <t xml:space="preserve">הצעת חוק הביטוח הלאומי (תיקון - גמלת שאירים לאלמנה שנישאה מחדש), התשפ"ו-2026</t>
  </si>
  <si>
    <t xml:space="preserve"> (פ/6546/25)</t>
  </si>
  <si>
    <t xml:space="preserve">הצעת חוק המוסד העליון ללשון העברית (תיקון - מעמד החלטות המוסד וועדת השמות הממשלתית), התשפ"ו-2026</t>
  </si>
  <si>
    <t xml:space="preserve"> (פ/6545/25)</t>
  </si>
  <si>
    <t xml:space="preserve">הצעת חוק איסור טיפול המרה לקטין, התשפ"ו-2026 ‏  </t>
  </si>
  <si>
    <t xml:space="preserve"> (פ/6544/25)</t>
  </si>
  <si>
    <t xml:space="preserve"> (פ/6542/25)</t>
  </si>
  <si>
    <t xml:space="preserve">הצעת חוק שימור פוריות לאלמנות של חיילים שנספו, התשפ"ו-2026</t>
  </si>
  <si>
    <t xml:space="preserve"> (פ/6541/25)</t>
  </si>
  <si>
    <t xml:space="preserve"> (פ/6539/25)</t>
  </si>
  <si>
    <t xml:space="preserve">הצעת חוק הנכים (תגמולים ושיקום) (תיקון - התאמה של שירותי אגף השיקום לנכים מהציבור הדתי והחרדי), התשפ"ו-2026</t>
  </si>
  <si>
    <t xml:space="preserve"> (פ/6537/25)</t>
  </si>
  <si>
    <t xml:space="preserve">הצעת חוק הסיוע המשפטי (תיקון - פטור מעמידה במבחן הכנסה לשם סיוע משפטי להלומי קרב), התשפ"ו-2026</t>
  </si>
  <si>
    <t xml:space="preserve"> (פ/6536/25)</t>
  </si>
  <si>
    <t xml:space="preserve"> (פ/6535/25)</t>
  </si>
  <si>
    <t xml:space="preserve">הצעת חוק לתיקון פקודת המשטרה (הסדרת הפעלת מכת"זית ותיעוד חזותי של ההפעלה), התשפ"ה-2025</t>
  </si>
  <si>
    <t xml:space="preserve"> (פ/6121/25)</t>
  </si>
  <si>
    <t xml:space="preserve">04.02.2026</t>
  </si>
  <si>
    <t xml:space="preserve"> (פ/5665/25)</t>
  </si>
  <si>
    <t xml:space="preserve">הצעת חוק לתיקון פקודת המשטרה (תיעוד חזותי של השימוש באמצעים לפיזור הפגנות), התשפ"ד-2023</t>
  </si>
  <si>
    <t xml:space="preserve"> (פ/4040/25)</t>
  </si>
  <si>
    <t xml:space="preserve">הצעת חוק לתיקון פקודת המשטרה (תיעוד חזותי של השימוש באמצעים לפיזור הפגנות), התשפ"ג-2023</t>
  </si>
  <si>
    <t xml:space="preserve"> (פ/3862/25)</t>
  </si>
  <si>
    <t xml:space="preserve">הצעת חוק לתיקון פקודת המשטרה (תיעוד חזותי של השימוש במכת"זית), התשפ"ג-2022</t>
  </si>
  <si>
    <t xml:space="preserve"> (פ/333/25)</t>
  </si>
  <si>
    <t xml:space="preserve">חוק המועצה לענף הלול (ייצור ושיווק) (תיקון מס' 18 והוראת שעה) (תיקון), התשפ"ו–2026</t>
  </si>
  <si>
    <t xml:space="preserve"> (פ/5415/25)</t>
  </si>
  <si>
    <t xml:space="preserve"> (כ/1125)</t>
  </si>
  <si>
    <t xml:space="preserve">התיקון לחוק קובע שביטול משטר התכנון בענף ההטלה (ענף ייצור ביצי מאכל), יידחה וייכנס לתוקף ב–1.1.2042, במקום ב–29.6.2032. לאחר שיבוטל משטר התכנון, לא תיקבע עוד מכסה ארצית לייצור ביצי מאכל בכל שנה וכן לא תיקבע מכסה אישית לכל מגדל. כמו כן, מוצע לבטל את סמכותו של שר החקלאות וביטחון המזון לדחות את מועד התחילה בתקופות מצטברות שלא יעלו על 3 שנים, הקבועה כיום בחוק. ביטול משטר התכנון בענף ההטלה נקבע במסגרת תיקון מס' 18 לחוק המועצה לענף הלול, שנחקק בשנת 2022. לפי תיקון מס' 18, ביום 29.6.2032 אמור היה להתבטל משטר התכנון, ושר החקלאות וביטחון המזון הוסמך כאמור לדחות את ביטולו בתקופות מצטברות שלא יעלו בסך הכל על 3 שנים. כמו כן, בתיקון מס' 18 לחוק נקבע שהחל ב-1.1.2023 ועד לכניסתו לתוקף של ביטול משטר התכנון, יחולו הוראות מעבר להסדרת התכנון בענף. בהתאם לכך, בתקופת המעבר, המכסה הארצית לגידול ביצי מאכל לשיווק היא 2.5 מיליארד ביצים, ושר החקלאות ופיתוח הכפר רשאי להגדילה בצו אם נוצרו תנאים המצדיקים זאת, בשיעור של עד 6% בשנה, או בשיעור של יותר מ-6% באישור ועדת הכלכלה. בנוסף, המגדלים שנקבעו להם מכסות אישיות ערב פרסום התיקון רשאים להמשיך ולגדל את מכסותיהם לאורך כל תקופת המעבר, ויהיו זכאים לפיצוי מהמדינה אם המשיכו לייצר את מכסותיהם עד תום תקופת המעבר. על כן, לאור דחיית מועד ביטול משטר התכנון, הוראות המעבר האמורות ימשיכו לחול עד 31.12.2041. </t>
  </si>
  <si>
    <t xml:space="preserve">חוק איסור אלימות בספורט (תיקון מס' 4), התשפ"ו–2026</t>
  </si>
  <si>
    <t xml:space="preserve"> (פ/5460/25)</t>
  </si>
  <si>
    <t xml:space="preserve"> (כ/1168)</t>
  </si>
  <si>
    <t xml:space="preserve">במסגרת חוק זה נקבעה עבירה פלילית חדשה וייעודית האוסרת על יידוי אמצעים פירוטכניים באירועי ספורט. החוק מגדיר "אמצעי פירוטכני" ככזה הכולל מכלול אמצעים כימיים שהפעלתם גורמת לקולות נפץ, עשן או אור, ובכלל זה חזיזים. על פי החוק, חל איסור מוחלט ליידות אמצעים אלו בזמן קיומו של אירוע ספורט או בסמוך אליו, בין אם היידוי מתבצע בתוך המקום שבו מתקיים האירוע ובין אם הוא מכוון לעבר מקום כזה מבחוץ. נקבע כי אדם שיורשע ביידוי אמצעי פירוטכני באירוע ספורט או לעברו צפוי לעונש של שלוש שנות מאסר, זאת בשונה מהעונש שהיה קבוע עד כה בחוק בגין עבירה כללית של יידוי חפץ שהסתכם בקנס כספי בלבד.</t>
  </si>
  <si>
    <t xml:space="preserve">הצעת חוק זכויות החולה (תיקון - מסירת מידע למניעת פגיעה), התשפ"ו-2025</t>
  </si>
  <si>
    <t xml:space="preserve"> (פ/6365/25)</t>
  </si>
  <si>
    <t xml:space="preserve">הצעת חוק לתיקון פקודת בריאות העם (מרכזים אקוטיים), התשפ"ו-2025</t>
  </si>
  <si>
    <t xml:space="preserve"> (פ/6333/25)</t>
  </si>
  <si>
    <t xml:space="preserve">הצעת חוק כביש אגרה (כביש ארצי לישראל) (תיקון - תשלום מופחת לתושבי אזורי עדיפות לאומית), התשפ"ו-2025</t>
  </si>
  <si>
    <t xml:space="preserve"> (פ/6285/25)</t>
  </si>
  <si>
    <t xml:space="preserve">הצעת חוק ביטוח בריאות ממלכתי (תיקון - שירותי רפואת שיניים), התשפ"ו-2025</t>
  </si>
  <si>
    <t xml:space="preserve"> (פ/6252/25)</t>
  </si>
  <si>
    <t xml:space="preserve">הצעת חוק לתיקון פקודת המשטרה (מינוי קצינים), התשפ"ה-2025</t>
  </si>
  <si>
    <t xml:space="preserve"> (פ/6069/25)</t>
  </si>
  <si>
    <t xml:space="preserve">הצעת חוק שירות ביטחון (תיקון - עיצום כספי), התשפ"ה-2025</t>
  </si>
  <si>
    <t xml:space="preserve"> (פ/5969/25)</t>
  </si>
  <si>
    <t xml:space="preserve">הצעת חוק הביטוח הלאומי (תיקון - שלילת קצבת ילדים ממשפחות פוליגמיות), התשפ"ה-2025</t>
  </si>
  <si>
    <t xml:space="preserve"> (פ/5952/25)</t>
  </si>
  <si>
    <t xml:space="preserve">הצעת חוק מעמד המשרת בשירות צבאי, התשפ"ה-2024</t>
  </si>
  <si>
    <t xml:space="preserve"> (פ/5175/25)</t>
  </si>
  <si>
    <t xml:space="preserve">הצעת חוק הרשות הלאומית לתרבות ולשפה המרוקאית יהודית, התשפ"ה-2024</t>
  </si>
  <si>
    <t xml:space="preserve"> (פ/4983/25)</t>
  </si>
  <si>
    <t xml:space="preserve">הצעת חוק הרבנות הראשית לישראל (תיקון - רב ראשי אחד), התשפ"ג-2023</t>
  </si>
  <si>
    <t xml:space="preserve"> (פ/3782/25)</t>
  </si>
  <si>
    <t xml:space="preserve">הצעת חוק עובדים זרים (תיקון מס' 25) (חובת בדיקה של רישיון עובד זר), התשפ"ו–2026</t>
  </si>
  <si>
    <t xml:space="preserve"> (פ/3363/25)</t>
  </si>
  <si>
    <t xml:space="preserve"> (כ/1179)</t>
  </si>
  <si>
    <t xml:space="preserve">הצעת חוק מדד לזכות לקיום אנושי בכבוד, התשפ"ג-2023</t>
  </si>
  <si>
    <t xml:space="preserve"> (פ/1191/25)</t>
  </si>
  <si>
    <t xml:space="preserve">הצעת חוק מורשי בטיחות באירועים מרובי קהל, התשפ"ו-2026</t>
  </si>
  <si>
    <t xml:space="preserve"> (מ/1930)</t>
  </si>
  <si>
    <t xml:space="preserve">חוק לתיקון פקודת התעבורה (מס' 136), התשפ"ה–2024</t>
  </si>
  <si>
    <t xml:space="preserve"> (פ/234/25)</t>
  </si>
  <si>
    <t xml:space="preserve"> (כ/989)</t>
  </si>
  <si>
    <t xml:space="preserve">02.02.2026</t>
  </si>
  <si>
    <t xml:space="preserve">חוק זה קובע שמפעיל חניון יגבה דמי חנייה בחניון לפי זמן החנייה המחושב לפי מספר הדקות שחנה הרכב החל מהשעה הראשונה. בכך, החוק משנה את ההסדר שהיה קבוע בפקודה, לפיו בשעת החנייה הראשונה נגבו דמי חנייה על כל השעה, ללא תלות במשך הזמן שהרכב חנה בחניון, והחל משעת החנייה השנייה דמי החנייה נגבו לפי זמן החנייה, המחושב לפי כמות פרקי זמן של 15 דקות שהרכב חנה בחניון. בנוסף, החוק מסמיך את שר הפנים, בהסכמת שר התחבורה והבטיחות בדרכים ובאישור ועדת הכלכלה של הכנסת, לקבוע כי ההוראה האמורה לא תחול לגבי חניונים שגובים דמי חנייה הנמוכים מסכום שיקבע בתקנות. </t>
  </si>
  <si>
    <t xml:space="preserve">חוק הנוטריונים (תיקון מס' 12), התשפ"ו-2026</t>
  </si>
  <si>
    <t xml:space="preserve"> (מ/1872)</t>
  </si>
  <si>
    <t xml:space="preserve">נקבע כי ייפוי כוח שניתן לתאגיד בנקאי לביצוע עסקת משכנתה יהיה תקף גם אם לא נערך על ידי נוטריון וגם אם החתימות שעליו לא אומתו על ידו. ייפוי הכוח האמור יהיה תקף לכלל הפעולות הכרוכות ברישום עסקת המשכנתה, ובכלל זה ביטולה, העברתה או עריכת שינוי בתנאיה.</t>
  </si>
  <si>
    <t xml:space="preserve">הצעת חוק איסור שימוש בבוטים להטעיית הציבור ולהטיית הליכים דמוקרטיים, התשפ"ו-2026</t>
  </si>
  <si>
    <t xml:space="preserve"> (פ/6534/25)</t>
  </si>
  <si>
    <t xml:space="preserve">הצעת חוק איסור לשון הרע (תיקון - פיצוי ללא הוכחת נזק, חובת פנייה מוקדמת ותביעות השתקה), התשפ״ו-2026</t>
  </si>
  <si>
    <t xml:space="preserve"> (פ/6532/25)</t>
  </si>
  <si>
    <t xml:space="preserve"> (פ/6531/25)</t>
  </si>
  <si>
    <t xml:space="preserve">הצעת חוק העונשין (תיקון - מניעת קבלת טיפול רפואי במסגרת יחסי ניצול ושליטה), התשפ"ו-2026</t>
  </si>
  <si>
    <t xml:space="preserve"> (פ/6530/25)</t>
  </si>
  <si>
    <t xml:space="preserve">הצעת חוק מרשם האוכלוסין (תיקון - זכות של אזרח ישראלי המתגורר מחוץ לישראל לקבל תעודת זהות), התשפ"ו-2026</t>
  </si>
  <si>
    <t xml:space="preserve"> (פ/6529/25)</t>
  </si>
  <si>
    <t xml:space="preserve">הצעת חוק חובת קבלת דיווח של קרוב משפחה בעניין חייל במצוקה נפשית, התשפ"ו-2026</t>
  </si>
  <si>
    <t xml:space="preserve"> (פ/6527/25)</t>
  </si>
  <si>
    <t xml:space="preserve">הצעת חוק מעמד המשרת בשירות צבאי או לאומי, התשפ"ו-2026</t>
  </si>
  <si>
    <t xml:space="preserve"> (פ/6526/25)</t>
  </si>
  <si>
    <t xml:space="preserve">הצעת חוק רישוי עסקים (תיקון - היערכות עסקים המחזיקים חומרים מסוכנים לצמצום סיכונים באירועי חירום), התשפ"ו-2026</t>
  </si>
  <si>
    <t xml:space="preserve"> (פ/6525/25)</t>
  </si>
  <si>
    <t xml:space="preserve">הצעת חוק הסכמים קיבוציים (תיקון - הגבלת כהונה), התשפ"ו-2026</t>
  </si>
  <si>
    <t xml:space="preserve"> (פ/6524/25)</t>
  </si>
  <si>
    <t xml:space="preserve">הח"כ המציע חזר בו לפני דיון מוקדם</t>
  </si>
  <si>
    <t xml:space="preserve">הצעת חוק ביטוח פיקדונות בתאגיד בנקאי, התשפ"ו-2026</t>
  </si>
  <si>
    <t xml:space="preserve"> (פ/6522/25)</t>
  </si>
  <si>
    <t xml:space="preserve">הצעת חוק העיטורים בצבא הגנה לישראל (תיקון - הכרה בגיבורי מלחמת השחרור), התשפ"ו-2026</t>
  </si>
  <si>
    <t xml:space="preserve"> (פ/6521/25)</t>
  </si>
  <si>
    <t xml:space="preserve">הצעת חוק הפיקוח על שירותים פיננסיים (ביטוח) (תיקון - שקיפות, כללי אתיקה וחובת התקשרות עם סוכני ביטוח), התשפ"ו-2026</t>
  </si>
  <si>
    <t xml:space="preserve"> (פ/6519/25)</t>
  </si>
  <si>
    <t xml:space="preserve">הצעת חוק תרגום תעודות ציבוריות, התשפ"ו-2026</t>
  </si>
  <si>
    <t xml:space="preserve"> (פ/6518/25)</t>
  </si>
  <si>
    <t xml:space="preserve">הצעת חוק עובדים זרים (תיקון - הפחתת אגרות), התשפ"ו-2026</t>
  </si>
  <si>
    <t xml:space="preserve"> (פ/6517/25)</t>
  </si>
  <si>
    <t xml:space="preserve">הצעת חוק התגמולים לנפגעי פעולות איבה (תיקון - הארכת מועד לתביעת גמלה והתקופה שבעדה תשולם), התשפ"ו-2026</t>
  </si>
  <si>
    <t xml:space="preserve"> (פ/6516/25)</t>
  </si>
  <si>
    <t xml:space="preserve">הצעת חוק הכרה בשפת הסימנים הישראלית, התשפ"ה-2025</t>
  </si>
  <si>
    <t xml:space="preserve"> (פ/5829/25)</t>
  </si>
  <si>
    <t xml:space="preserve">28.01.2026</t>
  </si>
  <si>
    <t xml:space="preserve">חוק לתיקון ולהארכת תוקפן של תקנות שעת חירום (חרבות ברזל) (פגישה עם עורך דין של עצור בעבירת ביטחון) (תיקון מס' 7), התשפ"ו-2026</t>
  </si>
  <si>
    <t xml:space="preserve"> (מ/1927)</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</si>
  <si>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עד ליום 31 ביולי 2026. בנוסף, החוק מקצר את התקופות למניעת המפגש שנקבעו בחוק הקודם להארכת תקנות שעת חירום, כך שבמקום שהתקופה המקסימלית של מניעת המפגש תהיה לתקופה של עד 60 ימים, ניתן להאריך את תקופת המניעה כל פעם בתקופה שלא עולה על 45 יום; ובמקום הארכה לתקופה של 120 ימים בשל חשש לפגיעה בחיי אדם, ניתן להאריך את המניעה לתקופה של עד 90 ימים. ואולם, כדי לתת מענה למצבים שבהם יש שינוי נסיבות וחשש ממשי לפגיעה בחיי אדם, יהיה רשאי בית המשפט להורות על מניעת מפגש לתקופה מקסימלית של 120 יום.</t>
  </si>
  <si>
    <t xml:space="preserve">הצעת חוק הביטוח הלאומי (תיקון - דמי לידה לעצמאיות - מתן זכות לעבודה חלקית), התשפ"ו-2025</t>
  </si>
  <si>
    <t xml:space="preserve"> (פ/6408/25)</t>
  </si>
  <si>
    <t xml:space="preserve">הצעת חוק הביטוח הלאומי (תיקון - חישוב תגמולי מילואים בתקופת חירום), התשפ"ו-2025</t>
  </si>
  <si>
    <t xml:space="preserve"> (פ/6393/25)</t>
  </si>
  <si>
    <t xml:space="preserve"> (פ/6379/25)</t>
  </si>
  <si>
    <t xml:space="preserve">הצעת חוק סמכויות לשם מניעת ביצוע עבירות באמצעות אתר אינטרנט (תיקון - מניעת הונאות באמצעי תשלום), התשפ"ו-2025</t>
  </si>
  <si>
    <t xml:space="preserve"> (פ/6296/25)</t>
  </si>
  <si>
    <t xml:space="preserve">הצעת חוק השיפוט הצבאי (תיקון - כפיפות הפרקליט הצבאי הראשי), התשפ"ו-2025</t>
  </si>
  <si>
    <t xml:space="preserve"> (פ/6281/25)</t>
  </si>
  <si>
    <t xml:space="preserve">הצעת חוק הביטוח הלאומי (תיקון - גמלת שאירים לאלמנה שנישאה מחדש), התשפ"ו-2025</t>
  </si>
  <si>
    <t xml:space="preserve"> (פ/6240/25)</t>
  </si>
  <si>
    <t xml:space="preserve">הצעת חוק משפחות חיילים שנספו במערכה (תגמולים ושיקום) (תיקון - ועדת חריגים להכרה בנספה), התשפ"ו-2025</t>
  </si>
  <si>
    <t xml:space="preserve"> (פ/6203/25)</t>
  </si>
  <si>
    <t xml:space="preserve">הצעת חוק המרכז להנצחת זכרו ומורשתו של זאב ז'בוטינסקי, התשפ"ה-2025</t>
  </si>
  <si>
    <t xml:space="preserve"> (פ/5978/25)</t>
  </si>
  <si>
    <t xml:space="preserve"> (פ/5972/25)</t>
  </si>
  <si>
    <t xml:space="preserve">הצעת חוק להנצחת זכרו של הרב מאיר נסים מאזוז, התשפ"ה-2025</t>
  </si>
  <si>
    <t xml:space="preserve"> (פ/5821/25)</t>
  </si>
  <si>
    <t xml:space="preserve">הצעת חוק העונשין (תיקון - פרשנות מקלה בפלילים), התשפ"ה-2025</t>
  </si>
  <si>
    <t xml:space="preserve"> (פ/5805/25)</t>
  </si>
  <si>
    <t xml:space="preserve">הצעת חוק השידור הציבורי הישראלי (תיקון - הפסקת שידורי חדשות ועידוד הפקות מקור ויצירה ישראלית בתאגיד השידור הישראלי), התשפ"ה-2025</t>
  </si>
  <si>
    <t xml:space="preserve"> (פ/5609/25)</t>
  </si>
  <si>
    <t xml:space="preserve">הצעת חוק לשינוי מתכונת השידור הציבורי ולהסדרת שידורי רדיו ארציים (תיקוני חקיקה), התשפ"ה-2025</t>
  </si>
  <si>
    <t xml:space="preserve"> (פ/5585/25)</t>
  </si>
  <si>
    <t xml:space="preserve">הצעת חוק מענה אנושי ללא תשלום לאזרחים ותיקים (תיקוני חקיקה), התשפ"ה-2024</t>
  </si>
  <si>
    <t xml:space="preserve"> (פ/5250/25)</t>
  </si>
  <si>
    <t xml:space="preserve">הצעת חוק חינוך ממלכתי (תיקון - חינוך ממלכתי חרדי), התשפ"ה-2024</t>
  </si>
  <si>
    <t xml:space="preserve"> (פ/5185/25)</t>
  </si>
  <si>
    <t xml:space="preserve">הצעת חוק הבנקאות (שירות ללקוח) (תיקון - ביטול עמלת שורה ודמי משמרת), התשפ"ה-2024 </t>
  </si>
  <si>
    <t xml:space="preserve"> (פ/4955/25)</t>
  </si>
  <si>
    <t xml:space="preserve">הצעת חוק שירות הביטחון הכללי (תיקון - קיום בדיקת פוליגרף תקופתית לעובדי מערכת אכיפת החוק), התשפ"ד-2024</t>
  </si>
  <si>
    <t xml:space="preserve"> (פ/4700/25)</t>
  </si>
  <si>
    <t xml:space="preserve">הצעת חוק רשות מקרקעי ישראל (תיקון - ייצוג הולם לאוכלוסייה החרדית במועצת הרשות), התשפ"ג-2023</t>
  </si>
  <si>
    <t xml:space="preserve"> (פ/1633/25)</t>
  </si>
  <si>
    <t xml:space="preserve">הצעת חוק מועצת עורכי הדין בישראל, התשפ"ג-2022</t>
  </si>
  <si>
    <t xml:space="preserve"> (פ/464/25)</t>
  </si>
  <si>
    <t xml:space="preserve">הצעת חוק החברות הממשלתיות (תיקון - הרחבת הייצוג והגיוון בחברות הממשלתיות), התשפ"ה-2025</t>
  </si>
  <si>
    <t xml:space="preserve"> (פ/6154/25)</t>
  </si>
  <si>
    <t xml:space="preserve">27.01.2026</t>
  </si>
  <si>
    <t xml:space="preserve">הצעת חוק אומנה לילדים (תיקון - העלאת גיל אומן), התשפ"ה-2025</t>
  </si>
  <si>
    <t xml:space="preserve"> (פ/5933/25)</t>
  </si>
  <si>
    <t xml:space="preserve">הצעת חוק החברות הממשלתיות (תיקון - כשירות מיוחדת), התשפ"ג-2022</t>
  </si>
  <si>
    <t xml:space="preserve"> (פ/565/25)</t>
  </si>
  <si>
    <t xml:space="preserve">חוק לתיקון ולהארכת תוקפן של תקנות שעת חירום (חרבות ברזל) (הארכת מעצר לחשוד בעבירת ביטחון) (תיקון מס' 8), התשפ"ו-2026</t>
  </si>
  <si>
    <t xml:space="preserve"> (מ/1926)</t>
  </si>
  <si>
    <t xml:space="preserve">26.01.2026</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</si>
  <si>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ה-31 ביולי 2026.</t>
  </si>
  <si>
    <t xml:space="preserve">הצעת חוק העונשין (תיקון - החמרת ענישה בעבירות החזקת נשק שלא כדין), התשפ"ה-2025</t>
  </si>
  <si>
    <t xml:space="preserve"> (פ/5515/25)</t>
  </si>
  <si>
    <t xml:space="preserve">הצעת חוק העונשין (תיקון - החמרת ענישה בגין ירי מנשק חם שלא כדין), התשפ"ג-2023</t>
  </si>
  <si>
    <t xml:space="preserve"> (פ/3408/25)</t>
  </si>
  <si>
    <t xml:space="preserve">חוק משפחות חיילים שנספו במערכה (תגמולים ושיקום) (תיקון מס' 47), התשפ"ו-2026</t>
  </si>
  <si>
    <t xml:space="preserve"> (מ/1852)</t>
  </si>
  <si>
    <t xml:space="preserve">חוק זה מתקן את חוק משפחות חיילים שנספו במערכה (תגמולים ושיקום), התש"י-1959 וקובע הסדרים חדשים והוראות לעניין המעטפת, ההטבות והזכויות שניתנות למשפחות השכולות של חללי צה"ל, כוחות הביטחון ונפגעי פעולות איבה. החוק קובע הוראות שונות ובהן - העלאת "גיל היתמות" מ-21 ל-30, מתן תגמול חודשי ליתום מגיל 21 ועד גיל 40, ומענק חד-פעמי של 50,000 ש"ח ליתומים מעל גיל 30. בנוסף, הוגדל משמעותית סכום מענק הדיור והנישואין לו זכאים יתומים לכ-300,000 ש"ח, הורחב סל הסיוע הרגשי והטיפולים שניתנים במסגרתו, הורחבו המענקים והסיוע בתחום החינוך והלימודים, ונקבע סיוע מיוחד למי שהוכר כ"יתום עצמאי" לפני גיל 18. עוד נקבע כי ליתום עד גיל 30 שאינו משתכר, יינתן סל שיקום תעסוקתי הכולל תגמול והכשרה מקצועית. בנוסף נקבע שיתום שהתייתם, בכל גיל, משני הוריו, כשאחד מהם הוא חלל צה"ל או נרצח בפעולת איבה, יהיה זכאי לתגמול במשך כ13 שנים או עד גיל 50, לפי המאוחר. החוק כולל גם שינויים ותיקונים ביחס לאלמנות ובהם - תגמול חודשי נוסף בגובה השכר הממוצע במשק בשנה הראשונה לשכול, הגדלת הסיוע החודשי והתגמול לאלמנות עם ילדים עד גיל 6, ושיפור במענקי רכב ודיור. להורה שכול ואלמנה נקבע מענק מיוחד למקרי מצוקה וקשיים כלכליים. החוק מעניק גם תגמול חודשי למשפחות המלוות יתומים שהתייתמו משני הוריהם עד גיל 25, לאפוטרופוס ליתום שטרם מלאו לו 6 שנים, וכן סיוע להורים שכולים לילדים קטנים. </t>
  </si>
  <si>
    <t xml:space="preserve">חוק התמודדות עם תקיפות סייבר חמורות במגזר השירותים הדיגיטליים ושירותי האחסון (הוראת שעה) (תיקון מס' 4), התשפ"ו-2026</t>
  </si>
  <si>
    <t xml:space="preserve"> (מ/1921)</t>
  </si>
  <si>
    <t xml:space="preserve">חוק התמודדות עם תקיפות סייבר חמורות במגזר השירותים הדיגיטליים ושירותי האחסון (הוראת שעה), התשפ"ד-2023, מסדיר את הסמכויות להתמודדות עם תקיפות סייבר נגד ספקים אלה. החוק מסמיך את מערך הסייבר הלאומי, שירות הביטחון הכללי, הממונה על הביטחון במשרד הביטחון וצה"ל להכריז על תקיפת סייבר כחמורה, לדרוש מהספקים להציג כל ידיעה או מסמך הנדרשים לשם בחינת חומרת התקיפה, ולהורות להם על נקיטת פעולות לאיתור ולבלימת התקיפה. החוק קובע חובת דיווח מצד החברות בעת זיהוי תקיפה, ומחייב שמירה על פרטיות הלקוחות, מחיקת מידע בתום הטיפול, ודיווח חודשי לכנסת וליועצת המשפטית לממשלה לשם פיקוח. כעת, במסגרת תיקון מס' 4 לחוק, הוארך תוקפה של הוראת השעה בשנה נוספת, כך שהיא תעמוד בתוקפה עד ליום כ"ג בשבט התשפ"ז (31 בינואר 2027). בנוסף, בוצע תיקון טכני בסעיף הדיווח שבחוק, העוסק בעילות שבהן מנהל מוסמך קובע כי תקיפה היא חמורה, על מנת להתאימו להחמרה שנקבעה בתיקון קודם, לפיה תקיפה חמורה היא כזו שעלולה לפגוע באופן חמור ברציפות אספקתם הנאותה של שירותים חיוניים.</t>
  </si>
  <si>
    <t xml:space="preserve">הצעת חוק איסור לשון הרע (תיקון - פיצוי ללא הוכחת נזק), התשפ"ו-2026</t>
  </si>
  <si>
    <t xml:space="preserve"> (פ/6515/25)</t>
  </si>
  <si>
    <t xml:space="preserve">הצעת חוק בתי קברות צבאיים (תיקון - קבורה לחיילים שהתאבדו לאחר שירותם עקב הלם קרב), התשפ"ו-2026</t>
  </si>
  <si>
    <t xml:space="preserve"> (פ/6514/25)</t>
  </si>
  <si>
    <t xml:space="preserve"> (פ/6513/25)</t>
  </si>
  <si>
    <t xml:space="preserve">הצעת חוק איסור טיפולי המרה לקטין, התשפ"ו-2026</t>
  </si>
  <si>
    <t xml:space="preserve"> (פ/6511/25)</t>
  </si>
  <si>
    <t xml:space="preserve">הצעת חוק הרבנות הראשית לישראל (תיקון - שירות צבאי כתנאי כשירות), התשפ"ו-2026</t>
  </si>
  <si>
    <t xml:space="preserve"> (פ/6510/25)</t>
  </si>
  <si>
    <t xml:space="preserve">הצעת חוק מרשם האוכלוסין (תיקון - הגדרת יהודי), התשפ"ו-2026</t>
  </si>
  <si>
    <t xml:space="preserve"> (פ/6507/25)</t>
  </si>
  <si>
    <t xml:space="preserve">הצעת חוק הגנת הצרכן (תיקון - רכישת מוצרי חשמל, אלקטרוניקה וגז בהנחה ללא תקופת אחריות), התשפ"ו-2026</t>
  </si>
  <si>
    <t xml:space="preserve"> (פ/6506/25)</t>
  </si>
  <si>
    <t xml:space="preserve">הצעת חוק חובת דיווח שנתי על מצב הטבע והמגוון הביולוגי בישראל, התשפ"ו-2026</t>
  </si>
  <si>
    <t xml:space="preserve"> (פ/6504/25)</t>
  </si>
  <si>
    <t xml:space="preserve">הצעת חוק העמותות (תיקון - הסדרת מעמדן של אגודות עותמאניות כעמותות רשומות),  התשפ"ו-2026</t>
  </si>
  <si>
    <t xml:space="preserve"> (פ/6503/25)</t>
  </si>
  <si>
    <t xml:space="preserve">הצעת חוק העמותות (תיקון - הסדרת מעמדן של אגודות עותמאניות כעמותות רשומות), התשפ"ו-2026</t>
  </si>
  <si>
    <t xml:space="preserve"> (פ/6502/25)</t>
  </si>
  <si>
    <t xml:space="preserve">הצעת חוק להנצחת האדמו"ר מצאנז - הרב יקותיאל יהודה הלברשטאם, התשפ"ו-2026</t>
  </si>
  <si>
    <t xml:space="preserve"> (פ/6501/25)</t>
  </si>
  <si>
    <t xml:space="preserve">הצעת חוק גמלאות לנושאי משרה ברשויות השלטון (תיקון - התניית זכאות להטבות בשהייה רצופה בישראל), התשפ"ו-2026</t>
  </si>
  <si>
    <t xml:space="preserve"> (פ/6500/25)</t>
  </si>
  <si>
    <t xml:space="preserve">הצעת חוק יום לציון המאבק לעליית יהודי ברית המועצות לשעבר, התשפ"ו-2026</t>
  </si>
  <si>
    <t xml:space="preserve"> (פ/6499/25)</t>
  </si>
  <si>
    <t xml:space="preserve">הצעת חוק לתיקון פקודת מחלות בעלי חיים (שיקולי שמירה על ביטחון המזון של מדינת ישראל), התשפ"ו-2026</t>
  </si>
  <si>
    <t xml:space="preserve"> (פ/6498/25)</t>
  </si>
  <si>
    <t xml:space="preserve">הצעת חוק חובת המכרזים (תיקון - העדפה למעסיק משרתי מילואים), התשפ"ו-2026</t>
  </si>
  <si>
    <t xml:space="preserve"> (פ/6497/25)</t>
  </si>
  <si>
    <t xml:space="preserve">הצעת חוק שימוש חוזר במים אפורים, התשפ"ו-2026</t>
  </si>
  <si>
    <t xml:space="preserve"> (פ/6496/25)</t>
  </si>
  <si>
    <t xml:space="preserve">הצעת חוק הבטחת גישה למזון בשעת חירום, התשפ"ו-2026</t>
  </si>
  <si>
    <t xml:space="preserve"> (פ/6495/25)</t>
  </si>
  <si>
    <t xml:space="preserve"> (פ/6494/25)</t>
  </si>
  <si>
    <t xml:space="preserve">הצעת חוק עידוד העיתונות המקומית והקהילתית, התשפ"ו-2026</t>
  </si>
  <si>
    <t xml:space="preserve"> (פ/6493/25)</t>
  </si>
  <si>
    <t xml:space="preserve">הצעת חוק לתיקון פקודת המשטרה (ביטול הכפיפות לשר וסמכותו להתוות מדיניות), התשפ"ו-2026</t>
  </si>
  <si>
    <t xml:space="preserve"> (פ/6491/25)</t>
  </si>
  <si>
    <t xml:space="preserve">הצעת חוק סמכויות לשם מניעת ביצוע עבירות באמצעות אתר אינטרנט (תיקון - מניעת הונאות באמצעי תשלום), התשפ"ו-2026</t>
  </si>
  <si>
    <t xml:space="preserve"> (פ/6490/25)</t>
  </si>
  <si>
    <t xml:space="preserve">הצעת חוק-יסוד: הממשלה (תיקון - הגבלת כהונת ראש הממשלה לשתי תקופות כהונה רצופות)</t>
  </si>
  <si>
    <t xml:space="preserve"> (פ/6489/25)</t>
  </si>
  <si>
    <t xml:space="preserve">הצעת חוק העונשין (תיקון - הוספת עבירת חרם חברתי חמור על קטין), התשפ"ו-2026</t>
  </si>
  <si>
    <t xml:space="preserve"> (פ/6488/25)</t>
  </si>
  <si>
    <t xml:space="preserve">הצעת חוק ביטוח סיעוד ממלכתי (הקמת ועדה ממלכתית), התשפ"ו-2026</t>
  </si>
  <si>
    <t xml:space="preserve"> (פ/6487/25)</t>
  </si>
  <si>
    <t xml:space="preserve">הצעת חוק התחרות הכלכלית (תיקון - חזקת מחיר מופרז), התשפ"ו-2026</t>
  </si>
  <si>
    <t xml:space="preserve"> (פ/6486/25)</t>
  </si>
  <si>
    <t xml:space="preserve">הצעת חוק הבנקאות (שירות ללקוח) (תיקון - חובת הדרכה פיננסית), התשפ"ו-2026</t>
  </si>
  <si>
    <t xml:space="preserve"> (פ/6485/25)</t>
  </si>
  <si>
    <t xml:space="preserve">הצעת חוק הביטוח הלאומי (תיקון - חישוב תגמולי מילואים בתקופת חירום), התשפ"ו-2026</t>
  </si>
  <si>
    <t xml:space="preserve"> (פ/6484/25)</t>
  </si>
  <si>
    <t xml:space="preserve">חוק מניעת העסקת עובד הוראה שיש לו תואר אקדמי ממוסד ברשות הפלסטינית (תיקוני חקיקה), התשפ"ו–2026</t>
  </si>
  <si>
    <t xml:space="preserve"> (פ/4451/25)</t>
  </si>
  <si>
    <t xml:space="preserve"> (כ/1106)</t>
  </si>
  <si>
    <t xml:space="preserve">21.01.2026</t>
  </si>
  <si>
    <t xml:space="preserve">החוק קובע תיקונים בחוק חינוך ממלכתי ובחוק הפיקוח על בתי ספר, לפיהם בעל תואר אקדמי ממוסד להשכלה גבוהה ברשות הפלסטינית לא יועסק כמורה, כמנהל או כמפקח במוסד חינוך בישראל. מוסד להשכלה גבוהה ברשות הפלסטינית כולל מוסדות הנמצאים ביהודה, שומרון וחבל עזה, שלוחה או סניף של מוסד כאמור וכן מוסד המפוקח על ידי הרשות הפלסטינית או גורם מטעמה. לצד האיסור נקבע סייג ולפיו מנכ"ל משרד החינוך יהיה רשאי להעסיק אדם עם תואר כאמור, אם יש לו גם תואר ראשון ממוסד אקדמי בישראל ותעודת הוראה ממוסד בישראל, אלא אם כן הוכח לו שתהיה להעסקתו השפעה מזיקה על תלמידים או על קטינים. החלטה לסרב להעסקת אדם בשל השפעה מזיקה מחייבת לתת לו זכות שימוע, והוא גם יוכל להגיש לשר החינוך ערר על החלטת הסירוב. החוק לא חל על מי שהועסק כמורה לפני תחילתו. החוק לא חל גם על מי שכבר השלים תואר אקדמי ממוסד ברשות הפלסטינית לפני שהחוק נכנס לתוקף או השלים לפחות שנת לימודים מלאה לתואר כאמור, וזאת גם אם עדיין לא היה מועסק, אך במקרים אלה הוא יהיה מחויב להשלים תעודת הוראה במוסד בישראל בתוך שנתיים ממועד ההחלטה להעסיק אותו. לגבי העסקה כמנהל בית ספר או כמפקח - האיסור יחול רק בחלוף שלוש שנים מתחילת החוק, ובכל מקרה לא יחול על מי שיש לו תואר ראשון או תואר שני נוסף ממוסד אקדמי בישראל.שר החינוך יפרסם הודעה לציבור בדבר הוראות החוק בעברית ובערבית, וידווח על יישומו לוועדת החינוך של הכנסת במשך 5 שנים. </t>
  </si>
  <si>
    <t xml:space="preserve">חוק אומנה לילדים (תיקון מס' 7), התשפ"ו-2026</t>
  </si>
  <si>
    <t xml:space="preserve"> (פ/992/25)</t>
  </si>
  <si>
    <t xml:space="preserve"> (כ/1074)</t>
  </si>
  <si>
    <t xml:space="preserve">תיקון זה לחוק אומנה לילדים מחיל הוראות הקבועות בחוק לעניין הזכות לחינוך והזכות לשירותים ולהטבות, גם לגבי ילדים השוהים במסגרות השמה חוץ־ביתיות שאינן אומנה. במסגרת התיקון נקבע, בין היתר, כי זכותו של ילד שלא להיות מופלה במוסד חינוך, לרבות בכל הנוגע לרישומו למוסד חינוך או קבלתו למוסד חינוך, תחול גם לגבי ילד במסגרת השמה חוץ-ביתית שאינה אומנה. כמו כן, נקבע כי גם ילד המושם במסגרת השמה חוץ-ביתית שאינה אומנה, יהיה זכאי לכל הזכויות, השירותים וההטבות שזכאי להם ילד שהוא תושב הרשות המקומית שבה נמצאת מסגרת ההשמה החוץ-ביתית שבה הושם, לרבות בכל הנוגע לשיוכו למוסדות חינוכיים ברשות המקומית האמורה, בדומה לילד שהושם באומנה. נוסף על כך, תוקן סעיף 3(ב) לחוק, כך שגם ילד שנמצא במסגרת השמה חוץ-ביתית שאינה אומנה או בתהליך השמה במסגרת כאמור, זכאי לכל הזכויות שזכאי להן כל ילד בישראל</t>
  </si>
  <si>
    <t xml:space="preserve">הצעת חוק איסור הכחשת אירועי טבח 7 באוקטובר 2023 (טבח שמיני עצרת) (תיקון - איסור הכחשת חטיפה והחזקת חטוף בשבי), התשפ"ו-2025</t>
  </si>
  <si>
    <t xml:space="preserve"> (פ/6327/25)</t>
  </si>
  <si>
    <t xml:space="preserve">הצעת חוק הממשלה (תיקון - ועדת שרים לענייני ביטחון לאומי), התשפ״ו-2025</t>
  </si>
  <si>
    <t xml:space="preserve"> (פ/6323/25)</t>
  </si>
  <si>
    <t xml:space="preserve">הצעת חוק לתיקון פקודת בתי הסוהר (איסור טיפול רפואי באסירים ביטחוניים בבתי חולים ציבוריים), התשפ"ו-2025</t>
  </si>
  <si>
    <t xml:space="preserve"> (פ/6321/25)</t>
  </si>
  <si>
    <t xml:space="preserve">הצעת חוק מס ערך מוסף (תיקון - מס בשיעור אפס לבעלי עסקים בחבל תקומה ובקו העימות) (הוראת שעה), התשפ"ה-2024</t>
  </si>
  <si>
    <t xml:space="preserve"> (פ/5054/25)</t>
  </si>
  <si>
    <t xml:space="preserve">הצעת חוק התגמולים לנפגעי פעולות איבה (תיקון - זכאות לטיפול פסיכולוגי), התשפ"ה-2024</t>
  </si>
  <si>
    <t xml:space="preserve"> (פ/4987/25)</t>
  </si>
  <si>
    <t xml:space="preserve">הצעת חוק לתיקון פקודת הבנקאות (מס' 36) (חשבונות ללא תנועה), התשפ"ו–2026</t>
  </si>
  <si>
    <t xml:space="preserve"> (פ/4904/25)</t>
  </si>
  <si>
    <t xml:space="preserve">הצעת חוק דמי מחלה (היעדרות בשל מחלת ילד) (תיקון - היעדרות בשל טיפול במי שנפצע בעת שירותו הצבאי, שירותו בכוחות הביטחון או בפגיעת איבה), התשפ"ד-2024</t>
  </si>
  <si>
    <t xml:space="preserve"> (פ/4729/25)</t>
  </si>
  <si>
    <t xml:space="preserve">הצעת חוק לעיגון מעמדה של העדה הדרוזית, התשפ"ג-2023</t>
  </si>
  <si>
    <t xml:space="preserve"> (פ/3619/25)</t>
  </si>
  <si>
    <t xml:space="preserve"> (פ/1578/25)</t>
  </si>
  <si>
    <t xml:space="preserve">הצעת חוק איסור הפליה במוצרים, בשירותים ובכניסה למקומות בידור ולמקומות ציבוריים (תיקון - איסור הפליה בדיור), התשפ"ג-2022</t>
  </si>
  <si>
    <t xml:space="preserve"> (פ/297/25)</t>
  </si>
  <si>
    <t xml:space="preserve">חוק חדלות פירעון ושיקום כלכלי (תיקון מס' 9), התשפ"ו-2026</t>
  </si>
  <si>
    <t xml:space="preserve"> (מ/1807)</t>
  </si>
  <si>
    <t xml:space="preserve">19.01.2026</t>
  </si>
  <si>
    <t xml:space="preserve">החוק מסדיר את האפשרות של חייבים, תאגידים ויחידים, לקבל צו שיפוטי של "עיכוב הליכים" במסגרת הליך לגיבוש הסדר חוב הקבוע בחלק י' לחוק חדלות פירעון. תיקון זה לחוק מעגן כהסדר קבע, בשינויים מסוימים, את הוראת השעה שנקבעה בעבר בתיקון מספר 4 לחוק. לפי החוק, צו עיכוב ההליכים ניתן כאשר החייב נקלע לקשיים כלכליים, ובמקום להיכנס להליך מלא של חדלות פירעון הוא מבקש להגיע עם הנושים שלו להסדר חוב מוסכם. הצו מביא להקפאה של הליכים משפטיים והליכי גבייה נגד החייב. הוא ניתן כדי שהחייב יוכל בתקופה שההליכים כלפיו מעוכבים לנהל משא ומתן עם הנושים במטרה להצליח להגיע להסדר שיאפשר לו לחזור למסלול עסקים תקין. משכו של הצו מוגבל: לגבי תאגידים, הצו ניתן לתקופה ראשונה של עד 45 ימים וניתן להאריכו לתקופה כוללת של עד 120 ימים, ולגבי יחידים, הצו ניתן לתקופה ראשונה של עד 90 ימים וניתן להאריכו מעת לעת בלי שהוא מוגבל בתקופה כוללת מקסימלית. במהלך תקופת עיכוב ההליכים, החייב ממשיך לשלוט בנכסיו ולנהל את ענייניו הכלכליים ללא מינוי נאמן חיצוני, ובמקום זאת, כדי להגן על הנושים ממנה בית המשפט "מנהל הסדר" שתפקידו לפקח על ההליך ולסייע לצדדים בגיבוש ההסכמות.</t>
  </si>
  <si>
    <t xml:space="preserve"> (פ/6483/25)</t>
  </si>
  <si>
    <t xml:space="preserve">הצעת חוק רישום קבלנים לעבודות הנדסה בנאיות (תיקון - עיצומים כספיים), התשפ"ו-2026</t>
  </si>
  <si>
    <t xml:space="preserve"> (פ/6481/25)</t>
  </si>
  <si>
    <t xml:space="preserve">הצעת חוק התכנון והבנייה (תיקון - סמכות עיכוב ביצוע צווי הריסה), התשפ"ו-2026</t>
  </si>
  <si>
    <t xml:space="preserve"> (פ/6480/25)</t>
  </si>
  <si>
    <t xml:space="preserve">הצעת חוק החזר רווח עודף למבוטחים בביטוח רכב, התשפ"ו-2026</t>
  </si>
  <si>
    <t xml:space="preserve"> (פ/6479/25)</t>
  </si>
  <si>
    <t xml:space="preserve">הצעת חוק רכזי ביטחון שוטף צבאיים, התשפ"ו-2026</t>
  </si>
  <si>
    <t xml:space="preserve"> (פ/6478/25)</t>
  </si>
  <si>
    <t xml:space="preserve">הצעת חוק גמול לחיילים בשירות סדיר, התשפ"ו-2026</t>
  </si>
  <si>
    <t xml:space="preserve"> (פ/6477/25)</t>
  </si>
  <si>
    <t xml:space="preserve">הצעת חוק הירושה (תיקון - צוואה לטובת מטפל), התשפ"ו-2026</t>
  </si>
  <si>
    <t xml:space="preserve"> (פ/6476/25)</t>
  </si>
  <si>
    <t xml:space="preserve">הצעת חוק הכנסת (תיקון - מסירת מידע למרכז המחקר והמידע), התשפ"ו-2026</t>
  </si>
  <si>
    <t xml:space="preserve"> (פ/6475/25)</t>
  </si>
  <si>
    <t xml:space="preserve">הצעת חוק לתיקון פקודת ביטוח רכב מנועי (איסור ביטוח רכב הרשום בישראל על ידי חברת ביטוח מהאזור), התשפ״ו-2026</t>
  </si>
  <si>
    <t xml:space="preserve"> (פ/6474/25)</t>
  </si>
  <si>
    <t xml:space="preserve">הצעת חוק איסור קבלת תמורה וחובת דיווח על קשרים עם מדינה זרה, התשפ״ו-2026</t>
  </si>
  <si>
    <t xml:space="preserve"> (פ/6473/25)</t>
  </si>
  <si>
    <t xml:space="preserve">הצעת חוק הטבות לניצולי שואה (תיקון - זכאות למענק הטבות שנתי לבן זוג של ניצול שואה שנפטר), התשפ"ו-2026</t>
  </si>
  <si>
    <t xml:space="preserve"> (פ/6472/25)</t>
  </si>
  <si>
    <t xml:space="preserve">הצעת חוק חסינות חברי הכנסת, זכויותיהם וחובותיהם (תיקון - סמכויות ועדת האתיקה בשל הפרעה בבית משפט וסמכויות בית משפט ביחס לחבר הכנסת), התשפ"ו-2026</t>
  </si>
  <si>
    <t xml:space="preserve"> (פ/6471/25)</t>
  </si>
  <si>
    <t xml:space="preserve">הצעת חוק החלת ריבונות על ביתר עילית, התשפ"ו-2026</t>
  </si>
  <si>
    <t xml:space="preserve"> (פ/6470/25)</t>
  </si>
  <si>
    <t xml:space="preserve">הצעת חוק התגמולים לנפגעי פעולות שנאה, התשפ"ו-2026</t>
  </si>
  <si>
    <t xml:space="preserve"> (פ/6469/25)</t>
  </si>
  <si>
    <t xml:space="preserve">הצעת חוק לתיקון פקודת מס הכנסה (מס' 285) (נכס דיגיטלי), התשפ"ו-2026</t>
  </si>
  <si>
    <t xml:space="preserve"> (מ/1925)</t>
  </si>
  <si>
    <t xml:space="preserve">הצעת חוק הבנקאות (שירות ללקוח) (תיקון - שירות מקוון ללקוח), התשפ"ג-2023</t>
  </si>
  <si>
    <t xml:space="preserve"> (פ/1819/25)</t>
  </si>
  <si>
    <t xml:space="preserve">14.01.2026</t>
  </si>
  <si>
    <t xml:space="preserve">חוק יום הוקרה ממלכתי לפצועי מערכות ישראל ונפגעי פעולות איבה, התשפ"ו–2026</t>
  </si>
  <si>
    <t xml:space="preserve"> (פ/4835/25)</t>
  </si>
  <si>
    <t xml:space="preserve"> (כ/1109)</t>
  </si>
  <si>
    <t xml:space="preserve">החוק קובע כי מדי שנה ביום י"ז בכסלו, יקוים יום הוקרה ממלכתי לפצועי מערכות ישראל ונפגעי פעולות איבה. יום ההוקרה יצוין, בין השאר, בקיום דיון מיוחד במליאת הכנסת, בקיום אירוע הוקרה לפצועי מערכות ישראל שיערוך משרד הביטחון, ובאירוע הוקרה לנפגעי פעולות האיבה שיערוך המוסד לביטוח לאומי. שני האירועים יתקיימו בהשתתפות נשיא המדינה; היום  יצויין גם בצה"ל, במשטרת ישראל ובשירות בתי הסוהר. כן ייערכו פעילויות חינוכיות ערכיות במוסדות החינוך, כגון טקסים ופעילויות לעידוד גיוס לצה"ל, אם יחליט על כך שר החינוך, ובמסגרות החינוך הבלתי פורמלי ובמוסדות להשכלה גבוהה, ככל שיבחרו בכך. משרד המורשת יפיק תכנים להנצחת גבורתם של הפצועים והנפגעים, שישמשו בפעילויות שייערכו ביום ההוקרה. האחריות ליישום החוק נתונה לשר הביטחון לעניין פצועי מערכות ישראל ולשר העבודה לעניין נפגעי פעולות האיבה.</t>
  </si>
  <si>
    <t xml:space="preserve">חוק הכשרות המשפטית והאפוטרופסות (תיקון מס' 24), התשפ"ו–2026</t>
  </si>
  <si>
    <t xml:space="preserve"> (פ/4054/25)</t>
  </si>
  <si>
    <t xml:space="preserve"> (כ/1146)</t>
  </si>
  <si>
    <t xml:space="preserve">נקבע בחוק (לצורך הבהרה) כי אפוטרופוס רשאי לפתוח או לנהל חשבון תשלום עבור האדם שהוא אפוטרופסו, וכן להשתמש בעבורו באמצעי תשלום, בשיקים ובהרשאות לחיוב, לרבות באמצעים מקוונים. עוד נקבע כי נותן שירותי תשלום שאליו פנה אפוטרופוס לשם קבלת שירותים אלו לא יסרב לבקשתו, ולא יתנה את מתן השירות בתנאים בלתי סבירים בנסיבות העניין רק בשל העובדה שמדובר בחשבון של אדם שמונה לו אפוטרופוס. כמו כן, הוחלו הוראות אלו גם על מיופה כוח, כך שיוכל לפעול באותו אופן לעניין הממנה.</t>
  </si>
  <si>
    <t xml:space="preserve">חוק הרשויות המקומיות (בחירות) (תיקון מס' 58), התשפ"ו–2026</t>
  </si>
  <si>
    <t xml:space="preserve"> (פ/1011/25)</t>
  </si>
  <si>
    <t xml:space="preserve"> (כ/1118)</t>
  </si>
  <si>
    <t xml:space="preserve">החוק קובע כי ניתן למנוע את השתתפותה של רשימת מועמדים בבחירות לרשויות המקומיות אם יש במטרותיה או במעשיה תמיכה במאבק מזוין של מדינת אויב או של ארגון טרור נגד מדינת ישראל. כמו כן, החוק מאפשר למנוע את השתתפותם של מועמדים מסוימים מתוך רשימת המועמדים. בנוסף, החוק קובע כי הן לעניין רשימה מנועה והן לעניין מועמד מנוע, רשאית ועדת הבחירות של הרשות המקומית, או היועץ המשפטי לממשלה או אחד ממשניו, להגיש עתירה ליושב ראש ועדת הבחירות האזורית וכי לעניין רשימה מנועה, יידרש רוב מחבריי ועדת הבחירות, ולעניין מועמד מנוע, שני שליש. לבסוף, החוק קובע כי על החלטה כאמור ניתן יהיה לערור לפני יושב ראש ועדת הבחירות המרכזית לכנסת, ולאחר מכן לבית המשפט העליון בשאלה משפטית בלבד.</t>
  </si>
  <si>
    <t xml:space="preserve">חוק קצבאות שאירים של משרתי שירות הקבע ושירות המדינה וגמלאיהם (תיקוני חקיקה), התשפ"ו-2026</t>
  </si>
  <si>
    <t xml:space="preserve"> (מ/1893)</t>
  </si>
  <si>
    <t xml:space="preserve">החוק עורך מספר תיקונים לעניין זכאות שארים לקצבה בהסדר פנסיה תקציבית לפי חוק שירות הקבע בצבא הגנה לישראל (גמלאות) וחוק שירות המדינה (גמלאות): א. החוק מבטל את ההוראה שהפסיקה את זכאותם של אלמנים ואלמנות או בני זוג לשעבר לקצבת שאירים בשל נישואיהם מחדש. ב. החוק מבטל הגבלות שחלו במקרים שבהם עקב הפטירה היו השאירים זכאים גם לקצבת השאירים בפנסיה תקציבית אמור וגם לתגמולים לפי חוקי השיקום ובהם חוק משפחות חיילים שנספו במערכה (תגמולים ושיקום) או חוק התגמולים לנפגעי פעולות איבה (ובכלל זה הגבלות על קבלת קצבה ותגמולים יחד, תקרה לסך כל  התגמולים והקצבה, והגבלה על זכאות לקצבת שאירים לבן זוג שאין עמו ילד וטרם הגיע לגיל 35) . כך יתאפשר לשאירים של חללי מערכות ישראל ומי שנפטרו מפגיעת איבה, שבחייהם שירתו בשירות קבע או עבדו בשירות המדינה או היו גמלאים משירות כאמור, לקבל הן את קצבת השאירים והן את התגמולים ממשרד הביטחון או מהמוסד לביטוח לאומי.  ג. החוק מגדיל את הסכום הכולל של קצבת כל השאירים (השיעור המרבי או השיעור הקיצוני) כך שיעמוד על מלוא המשכורת הקובעת שהייתה לפעיל או מלוא הקצבה ששולמה לגמלאי.   הוראות החוק חלות גם על שאירים של מי שנפטר לפני כניסת החוק לתוקף (18.1.2026) לגבי תשלומים מכאן ואילך. אם במועדים סמוכים לתחילתו של החוק משולם מענק בשל נישואים מחדש או בשל גיל צעיר מגיל 35 – תחול התאמה במועד תחילת התשלומים והשלמת הסכומים לחישוב המענק. כמו כן נקבעה הוראת מעבר שמאפשרת למי שלא פנה לקבל קצבת שאירים בשל ההגבלות שחלו, לפנות עתה למרות תקופת ההתיישנות. התיקונים יחולו גם לעניין שאירים של חיילי מילואים הזכאים לתשלומים לפי חוק תשלום קצבאות לחיילי מילואים ולבני משפחותיהם, התשס"ב-2002.  </t>
  </si>
  <si>
    <t xml:space="preserve">הצעת חוק-יסוד: הכנסת (תיקון - הזכות להיבחר)</t>
  </si>
  <si>
    <t xml:space="preserve"> (פ/6315/25)</t>
  </si>
  <si>
    <t xml:space="preserve">הצעת חוק יום המודעות לתרומת איברים, התשפ"ו-2025</t>
  </si>
  <si>
    <t xml:space="preserve"> (פ/6295/25)</t>
  </si>
  <si>
    <t xml:space="preserve">הצעת חוק-יסוד: הממשלה (תיקון - הגבלת תקופת כהונה של ראש הממשלה) </t>
  </si>
  <si>
    <t xml:space="preserve"> (פ/6062/25)</t>
  </si>
  <si>
    <t xml:space="preserve">הצעת חוק איסור טיפולי המרה לקטין, התשפ"ה-2025</t>
  </si>
  <si>
    <t xml:space="preserve"> (פ/5983/25)</t>
  </si>
  <si>
    <t xml:space="preserve">הצעת חוק הבטחת גישה למזון בשעת חירום, התשפ"ה-2025</t>
  </si>
  <si>
    <t xml:space="preserve"> (פ/5967/25)</t>
  </si>
  <si>
    <t xml:space="preserve">הצעת חוק לציון אירועי ליל הבדולח, התשפ"ה-2025</t>
  </si>
  <si>
    <t xml:space="preserve"> (פ/5909/25)</t>
  </si>
  <si>
    <t xml:space="preserve">הצעת חוק חובת המכרזים (תיקון - העדפה למעסיק משרתי מילואים), התשפ"ה-2025</t>
  </si>
  <si>
    <t xml:space="preserve"> (פ/5880/25)</t>
  </si>
  <si>
    <t xml:space="preserve">הצעת חוק שירות המדינה (מינויים) (תיקון - מינוי נציב והטלת תפקיד זמני), התשפ״ה-2025</t>
  </si>
  <si>
    <t xml:space="preserve"> (פ/5838/25)</t>
  </si>
  <si>
    <t xml:space="preserve">הצעת חוק הגנה על בתי תפילה ותיקים (תיקוני חקיקה), התשפ"ה-2025</t>
  </si>
  <si>
    <t xml:space="preserve"> (פ/5556/25)</t>
  </si>
  <si>
    <t xml:space="preserve">הצעת חוק שירות ביטחון (תיקון - התמודדות עם הסתה נגד חיילים חרדים), התשפ"ה-2025</t>
  </si>
  <si>
    <t xml:space="preserve"> (פ/5339/25)</t>
  </si>
  <si>
    <t xml:space="preserve">הצעת חוק איסור טיפול המרה לקטין, התשפ"ד-2023 </t>
  </si>
  <si>
    <t xml:space="preserve"> (פ/3951/25)</t>
  </si>
  <si>
    <t xml:space="preserve">הצעת חוק הגנת הצרכן (תיקון מס' 73) (קבלה דיגיטלית ושובר זיכוי דיגיטלי), התשפ"ה–2025</t>
  </si>
  <si>
    <t xml:space="preserve"> (פ/3785/25)</t>
  </si>
  <si>
    <t xml:space="preserve"> (כ/1149)</t>
  </si>
  <si>
    <t xml:space="preserve">הצעת חוק להפחתת סכום הפיצוי הכספי בשל נסיעה ללא תיקוף כרטיס בתחבורה הציבורית (תיקוני חקיקה), התשפ"ו–2026</t>
  </si>
  <si>
    <t xml:space="preserve"> (פ/3404/25)</t>
  </si>
  <si>
    <t xml:space="preserve"> (כ/1103)</t>
  </si>
  <si>
    <t xml:space="preserve"> (פ/2970/25)</t>
  </si>
  <si>
    <t xml:space="preserve">הצעת חוק מרשם האוכלוסין (תיקון - הגדרת יהודי), התשפ"ג-2023</t>
  </si>
  <si>
    <t xml:space="preserve"> (פ/2881/25)</t>
  </si>
  <si>
    <t xml:space="preserve">הצעת חוק איסור טיפול המרה לקטין, התשפ"ג-2022</t>
  </si>
  <si>
    <t xml:space="preserve"> (פ/295/25)</t>
  </si>
  <si>
    <t xml:space="preserve">הצעת חוק משפחות חיילים שנספו במערכה (תגמולים ושיקום) (תיקון - עדכון הסיוע וההטבות לאלמנה), התשפ"ה-2025</t>
  </si>
  <si>
    <t xml:space="preserve"> (פ/5463/25)</t>
  </si>
  <si>
    <t xml:space="preserve">13.01.2026</t>
  </si>
  <si>
    <t xml:space="preserve">הצעת חוק העמותות (תיקון - תרומה מישות מדינית זרה), התשפ"ה-2024</t>
  </si>
  <si>
    <t xml:space="preserve"> (פ/5222/25)</t>
  </si>
  <si>
    <t xml:space="preserve">הצעת חוק משפחות חיילים שנספו במערכה (תגמולים ושיקום) (תיקון - תגמולי יתומים, אלמנות וגרושות), התשפ"ד-2024</t>
  </si>
  <si>
    <t xml:space="preserve"> (פ/4749/25)</t>
  </si>
  <si>
    <t xml:space="preserve">הצעת חוק משפחות חיילים שנספו במערכה (תגמולים ושיקום) (תיקון - תגמולי הורים, יתומים ואחים שכולים), התשפ"ד-2024</t>
  </si>
  <si>
    <t xml:space="preserve"> (פ/4587/25)</t>
  </si>
  <si>
    <t xml:space="preserve">הצעת חוק תגמולים ליתום משני הוריו שאחד מהם נספה במלחמת חרבות ברזל (תיקוני חקיקה), התשפ"ד-2024</t>
  </si>
  <si>
    <t xml:space="preserve"> (פ/4547/25)</t>
  </si>
  <si>
    <t xml:space="preserve">הצעת חוק שירות המדינה (גימלאות) (תיקון - קצבה ליתום משני הוריו), התשפ"ד-2024</t>
  </si>
  <si>
    <t xml:space="preserve"> (פ/4369/25)</t>
  </si>
  <si>
    <t xml:space="preserve">הצעת חוק משפחות חיילים שנספו במערכה (תגמולים ושיקום) (תיקון - הסדרת הזכויות של יתומים בוגרים), התשפ"ד-2024</t>
  </si>
  <si>
    <t xml:space="preserve"> (פ/4287/25)</t>
  </si>
  <si>
    <t xml:space="preserve">הצעת חוק משפחות חיילים שנספו במערכה (תגמולים ושיקום) (תיקון - הרחבת הזכאות ליתומים שמלאו להם 21 שנים), התשפ"ג-2023 </t>
  </si>
  <si>
    <t xml:space="preserve"> (פ/3779/25)</t>
  </si>
  <si>
    <t xml:space="preserve">הצעת חוק משפחות חיילים שנספו במערכה (תיקון - יתומי צה"ל), התשפ"ג-2022</t>
  </si>
  <si>
    <t xml:space="preserve"> (פ/709/25)</t>
  </si>
  <si>
    <t xml:space="preserve">הצעת חוק מסירת מידע סודי לראש הממשלה ולשרים (תיקוני חקיקה), התשפ"ה-2024</t>
  </si>
  <si>
    <t xml:space="preserve"> (פ/5083/25)</t>
  </si>
  <si>
    <t xml:space="preserve">12.01.2026</t>
  </si>
  <si>
    <t xml:space="preserve">הצעת חוק-יסוד: השפיטה (תיקון - רשות ערעור למדינה על זיכוי אדם בפלילים)</t>
  </si>
  <si>
    <t xml:space="preserve"> (פ/6053/25)</t>
  </si>
  <si>
    <t xml:space="preserve"> (פ/5180/25)</t>
  </si>
  <si>
    <t xml:space="preserve">חוק הקולנוע (תיקון מס' 7), התשפ"ו-2026</t>
  </si>
  <si>
    <t xml:space="preserve"> (מ/1854)</t>
  </si>
  <si>
    <t xml:space="preserve">החוק קובע תיקון לחוק הקולנוע כך שיבוטל מאגר הלקטורים המועסקים על ידי קרנות הקולנוע, אשר תפקידם להעריך תסריטים המוגשים לקרנות הקולנוע במסגרת בקשה לסיוע כספי. עוד נקבע כי קרנות הקולנוע יוכלו להתקשר עם לקטורים או להעסיקם באופן עצמאי, בכפוף להוראות שרשאי לקבוע השר במסגרת מבחני תמיכה לפי חוק הקולנוע. הוראות אלו יתייחסו לגיוון בהרכב הלקטורים, תקופת העסקתם, מניעת ניגוד עניינים ושקיפות בעבודתם.</t>
  </si>
  <si>
    <t xml:space="preserve">הצעת חוק השיפוט הצבאי (תיקון - גבולות המעורבות המשפטית בצה״ל), התשפ"ו-2026</t>
  </si>
  <si>
    <t xml:space="preserve"> (פ/6468/25)</t>
  </si>
  <si>
    <t xml:space="preserve">הצעת חוק ביטוח סיעודי ממלכתי (תיקוני חקיקה), התשפ"ו-2026</t>
  </si>
  <si>
    <t xml:space="preserve"> (פ/6467/25)</t>
  </si>
  <si>
    <t xml:space="preserve">הצעת חוק ועדות חקירה (תיקון - הקמת ועדה בהצבעה חשאית בכנסת), התשפ"ו-2026</t>
  </si>
  <si>
    <t xml:space="preserve"> (פ/6466/25)</t>
  </si>
  <si>
    <t xml:space="preserve"> הצעת חוק קבלת ילד של משרת מילואים למעון יום והשתתפות המדינה בעלות שכר הלימוד בו, התשפ"ו-2026</t>
  </si>
  <si>
    <t xml:space="preserve"> (פ/6465/25)</t>
  </si>
  <si>
    <t xml:space="preserve">הצעת חוק-יסוד: משאל עם לאישור חוקת מדינת ישראל</t>
  </si>
  <si>
    <t xml:space="preserve"> (פ/6464/25)</t>
  </si>
  <si>
    <t xml:space="preserve">הצעת חוק למניעת הטרדה מינית (תיקון - הרחבת תחולה על עובדים עצמאים ועובדי כלכלת הפלטפורמה), התשפ״ו-2026</t>
  </si>
  <si>
    <t xml:space="preserve"> (פ/6463/25)</t>
  </si>
  <si>
    <t xml:space="preserve"> (פ/6462/25)</t>
  </si>
  <si>
    <t xml:space="preserve">הצעת חוק הגבלת מכירת מוצרי עישון, התשפ"ו-2026</t>
  </si>
  <si>
    <t xml:space="preserve"> (פ/6461/25)</t>
  </si>
  <si>
    <t xml:space="preserve">הצעת חוק העדפה מתקנת לבני העדה הדרוזית, התשפ"ו-2026</t>
  </si>
  <si>
    <t xml:space="preserve"> (פ/6460/25)</t>
  </si>
  <si>
    <t xml:space="preserve">הצעת חוק שירות המדינה (מינויים) (תיקון - תואר אקדמי רלוונטי), התשפ"ו-2026</t>
  </si>
  <si>
    <t xml:space="preserve"> (פ/6459/25)</t>
  </si>
  <si>
    <t xml:space="preserve">הצעת חוק העונשין (תיקון - עבירת הפרת אמונים), התשפ"ו-2026</t>
  </si>
  <si>
    <t xml:space="preserve"> (פ/6458/25)</t>
  </si>
  <si>
    <t xml:space="preserve">הצעת חוק הפרשנות (תיקון - הגדרת  הפליה על רקע נטייה מינית או זהות מגדרית), התשפ"ו-2026</t>
  </si>
  <si>
    <t xml:space="preserve"> (פ/6457/25)</t>
  </si>
  <si>
    <t xml:space="preserve">הצעת חוק העונשין (תיקון - ביטול עבירת מרמה והפרת אמונים), התשפ"ו-2026</t>
  </si>
  <si>
    <t xml:space="preserve"> (פ/6456/25)</t>
  </si>
  <si>
    <t xml:space="preserve"> (פ/6455/25)</t>
  </si>
  <si>
    <t xml:space="preserve">הצעת חוק מוסר תשלומים לספקים (תיקון - מועדי תשלום בעד ביצוע עבודות הנדסה בנאיות),  התשפ"ו-2026 </t>
  </si>
  <si>
    <t xml:space="preserve"> (פ/6454/25)</t>
  </si>
  <si>
    <t xml:space="preserve">הצעת חוק הפרשנות (תיקון - הגדרת הפליה על רקע זהות מגדרית, נטייה מינית או אמונה דתית), התשפ"ו-2026</t>
  </si>
  <si>
    <t xml:space="preserve"> (פ/6453/25)</t>
  </si>
  <si>
    <t xml:space="preserve">הצעת חוק יום לציון המאבק באלימות נגד נשים, התשפ"ו-2026</t>
  </si>
  <si>
    <t xml:space="preserve"> (פ/6452/25)</t>
  </si>
  <si>
    <t xml:space="preserve">הצעת חוק שחרור על-תנאי ממאסר (תיקון - שינוי ברירת המחדל בהחלטה על שחרור על-תנאי ממאסר), התשפ"ו-2026</t>
  </si>
  <si>
    <t xml:space="preserve"> (פ/6451/25)</t>
  </si>
  <si>
    <t xml:space="preserve">הצעת חוק הכרה בשפת הסימנים הישראלית, התשפ"ו-2026</t>
  </si>
  <si>
    <t xml:space="preserve"> (פ/6449/25)</t>
  </si>
  <si>
    <t xml:space="preserve">הצעת חוק לקידום הבנייה במתחמים מועדפים (הוראת שעה) (תיקון מס' 10) (הוספת נציג האוכלוסייה החרדית לוועדה למתחמים מועדפים), התשפ"ו–2026</t>
  </si>
  <si>
    <t xml:space="preserve"> (פ/3654/25)</t>
  </si>
  <si>
    <t xml:space="preserve"> (כ/1173)</t>
  </si>
  <si>
    <t xml:space="preserve">הצעת חוק קרן קיימת לישראל (תיקון - מעבר לחברה ממשלתית), התשפ"ו-2025</t>
  </si>
  <si>
    <t xml:space="preserve"> (פ/6294/25)</t>
  </si>
  <si>
    <t xml:space="preserve">07.01.2026</t>
  </si>
  <si>
    <t xml:space="preserve">הצעת חוק יסודות התקציב (תיקון - מניעת תמיכה במוסדות המסיתים להשתמטות), התשפ"ו-2025</t>
  </si>
  <si>
    <t xml:space="preserve"> (פ/6292/25)</t>
  </si>
  <si>
    <t xml:space="preserve">הצעת חוק כביש אגרה (כביש ארצי לישראל) (תיקון - פטור מאגרה לתחבורה ציבורית), התשפ"ו-2025</t>
  </si>
  <si>
    <t xml:space="preserve"> (פ/6286/25)</t>
  </si>
  <si>
    <t xml:space="preserve">הצעת חוק התגמולים לנפגעי פעולות שנאה, התשפ"ה-2025</t>
  </si>
  <si>
    <t xml:space="preserve"> (פ/6028/25)</t>
  </si>
  <si>
    <t xml:space="preserve">הצעת חוק שירות המדינה (מינויים) (תיקון - הצהרת אמונים), התשפ"ד-2024</t>
  </si>
  <si>
    <t xml:space="preserve"> (פ/4449/25)</t>
  </si>
  <si>
    <t xml:space="preserve">הצעת חוק שירות הציבור (הגבלות לאחר פרישה) (תיקון מס' 6) (תקופת צינון לעובד ציבור ברשויות פיקוח על גופים פיננסיים), התשפ"ו–2026</t>
  </si>
  <si>
    <t xml:space="preserve"> (פ/3753/25)</t>
  </si>
  <si>
    <t xml:space="preserve"> (כ/1171)</t>
  </si>
  <si>
    <t xml:space="preserve">הצעת חוק התגמולים לנפגעי פעולות איבה (תיקון - פשעי שנאה), התשפ"ג-2023</t>
  </si>
  <si>
    <t xml:space="preserve"> (פ/2508/25)</t>
  </si>
  <si>
    <t xml:space="preserve">הצעת חוק התגמולים לנפגעי פעולות שנאה, התשפ"ג-2023</t>
  </si>
  <si>
    <t xml:space="preserve"> (פ/2389/25)</t>
  </si>
  <si>
    <t xml:space="preserve">הצעת חוק לתיקון פקודת התעבורה (איסור נהיגת שטח בדרך שאינה ייעודית לנסיעת שטח), התשפ"ג-2023</t>
  </si>
  <si>
    <t xml:space="preserve"> (פ/1145/25)</t>
  </si>
  <si>
    <t xml:space="preserve">הצעת חוק משכן הכנסת, רחבתו ומשמר הכנסת (תיקון מס' 20) (גבולות רחבת הכנסת), התשפ"ו–2025</t>
  </si>
  <si>
    <t xml:space="preserve"> (כ/1167)</t>
  </si>
  <si>
    <t xml:space="preserve">הצעת חוק שירות הקבע בצבא הגנה לישראל (גמלאות) (תיקון - קצבאות שאירים - תיקונים שונים), התשפ"ה-2025</t>
  </si>
  <si>
    <t xml:space="preserve"> (פ/5574/25)</t>
  </si>
  <si>
    <t xml:space="preserve">06.01.2026</t>
  </si>
  <si>
    <t xml:space="preserve">הצעת חוק שירות הקבע בצבא הגנה לישראל (גמלאות) (תיקון - ביטול ניכוי מקצבה), התשפ"ג-2023</t>
  </si>
  <si>
    <t xml:space="preserve"> (פ/2195/25)</t>
  </si>
  <si>
    <t xml:space="preserve">חוק עבודת נשים (תיקון מס' 67), התשפ"ו–2026</t>
  </si>
  <si>
    <t xml:space="preserve"> (פ/497/25)</t>
  </si>
  <si>
    <t xml:space="preserve"> (כ/1114)</t>
  </si>
  <si>
    <t xml:space="preserve">הצעת חוק סדר הדין הפלילי (תיקון - הגבלת משך זמן החקירה המשטרתית וטיפול התביעה בתיק החקירה עד להגשת כתב אישום), התשפ"ה-2024</t>
  </si>
  <si>
    <t xml:space="preserve"> (פ/5191/25)</t>
  </si>
  <si>
    <t xml:space="preserve">05.01.2026</t>
  </si>
  <si>
    <t xml:space="preserve">חוק החוזים (חלק כללי) (תיקון מס' 3), התשפ"ו-2026</t>
  </si>
  <si>
    <t xml:space="preserve"> (מ/1707)</t>
  </si>
  <si>
    <t xml:space="preserve">החוק קובע כי כלל היסוד בפרשנות חוזים הוא שחוזים יפורשו "ככל אשר הסכימו הצדדים", כלומר: בהתאם לשיטת הפרשנות שעליה הסכימו הצדדים. לצד הכלל היסודי של פרשנות לפי הסכמה, נקבע כיצד יפורש החוזה במקרה שהצדדים לא הסכימו על כך ביניהם. נקבע כי יהיו שני כללי פרשנות שונים: כלל אחד לחוזה עסקי, וכלל אחר לחוזים אחרים. הכלל הראשון הוא כלל הפרשנות הלשונית. החוק קובע כי חוזה עסקי שלא נקבעו בו הוראות לעניין אופן הפרשנות, יפורש בהתאם ללשונו בלבד. לצד זאת, מוצעים שני חריגים לפרשנות הלשונית: אם מלשון החוזה בלבד נובעת תוצאה שאינה מתקבלת על הדעת, או אם מלשון החוזה בלבד עולה סתירה בין הוראות שונות בו. הכלל השני, הוא כלל פרשנות לפי אומד דעת הצדדים. נקבע כי על חוזה שאינו עסקי, על חוזה אחיד ועל חוזה עבודה, ימשיך לחול כלל הפרשנות המרכזי הנוהג ערב כניסת החוק לתוקף, והם יפורשו לפי אומד דעתם של הצדדים, כפי שהוא משתמע מתוך החוזה ומנסיבות העניין. לעניין כלל פרשנות זה, החוק עיגן את הכללים הנוהגים בפסיקה ערב כניסת החוק לתוקף, כדי להבנות את שיקול הדעת של בית המשפט כשהוא נדרש לקבוע את המשקל היחסי של לשון החוזה ושל נסיבות העניין. לבסוף, החוק מבהיר שני עניינים באשר לעיקרון הבסיסי של הסכמת הצדדים: עניין ראשון הוא שצדדים שאינם מיוצגים על ידי עורך דין לעניין עריכת החוזה – יראו אותם ככאלו שלא הסכימו על אופן הפרשנות, כך שפירוש החוזה ביניהם ייעשה לפי הכללים האחרים שהוסברו לעיל. עניין שני הוא שלא יהיה תוקף להסכמה של הצדדים שנוגדת את הכלל של פרשנות נגד המנסח.</t>
  </si>
  <si>
    <t xml:space="preserve">הצעת חוק שירות ביטחון (תיקון - השוואת תהליכי המיון, השיבוץ, התקינה וההכשרה, המסלולים המקצועיים ואופקי הקידום לנשים וגברים), התשפ"ו-2026</t>
  </si>
  <si>
    <t xml:space="preserve"> (פ/6448/25)</t>
  </si>
  <si>
    <t xml:space="preserve">הצעת חוק הכנסת נשק ברישיון למקומות ציבוריים, התשפ"ו-2026</t>
  </si>
  <si>
    <t xml:space="preserve"> (פ/6447/25)</t>
  </si>
  <si>
    <t xml:space="preserve">הצעת חוק הסרת תכנים מיניים שמפורסמים ללא הסכמה מרשת חברתית, התשפ״ו-2026</t>
  </si>
  <si>
    <t xml:space="preserve"> (פ/6446/25)</t>
  </si>
  <si>
    <t xml:space="preserve"> (פ/6445/25)</t>
  </si>
  <si>
    <t xml:space="preserve">הצעת חוק האזרחים הוותיקים (תיקון - גיל המקנה אי-המתנה בתור), התשפ״ו-2026</t>
  </si>
  <si>
    <t xml:space="preserve"> (פ/6444/25)</t>
  </si>
  <si>
    <t xml:space="preserve">הצעת חוק הקמת חדר מיון בקריית שמונה, התשפ"ו-2026</t>
  </si>
  <si>
    <t xml:space="preserve"> (פ/6443/25)</t>
  </si>
  <si>
    <t xml:space="preserve">הצעת חוק לתיקון פקודת בתי הסוהר (העסקת סוהרים בתשלום), התשפ"ו-2026</t>
  </si>
  <si>
    <t xml:space="preserve"> (פ/6442/25)</t>
  </si>
  <si>
    <t xml:space="preserve">הצעת חוק לתיקון פקודת התעבורה (אכיפת עבירות תעבורה על ידי רשויות מקומיות), התשפ"ו-2026</t>
  </si>
  <si>
    <t xml:space="preserve"> (פ/6441/25)</t>
  </si>
  <si>
    <t xml:space="preserve"> (פ/6440/25)</t>
  </si>
  <si>
    <t xml:space="preserve">הצעת חוק סדר הדין הפלילי (סמכויות אכיפה - מעצרים) (תיקון - פיצוי לעצור ששוחרר ממעצר), התשפ"ו-2026</t>
  </si>
  <si>
    <t xml:space="preserve"> (פ/6439/25)</t>
  </si>
  <si>
    <t xml:space="preserve">הצעת חוק סדר הדין הפלילי (סמכויות אכיפה - מעצרים) (תיקון - משך מעצר מרבי ועילות מעצר), התשפ"ו-2026</t>
  </si>
  <si>
    <t xml:space="preserve"> (פ/6438/25)</t>
  </si>
  <si>
    <t xml:space="preserve">הצעת חוק-יסוד: הכנסת (תיקון - ייצוג מינימלי לשני המינים ברשימת מועמדים לכנסת) </t>
  </si>
  <si>
    <t xml:space="preserve"> (פ/6437/25)</t>
  </si>
  <si>
    <t xml:space="preserve">הצעת חוק הבנקאות (שירות ללקוח) (תיקון - מחיקת חוב בנקאי לעסקים זעירים, קטנים, בינוניים ואזרחים חדלי פירעון), התשפ"ו-2026</t>
  </si>
  <si>
    <t xml:space="preserve"> (פ/6434/25)</t>
  </si>
  <si>
    <t xml:space="preserve">הצעת חוק עיון במרשמי המקרקעין ביהודה והשומרון, התשפ"ו-2026</t>
  </si>
  <si>
    <t xml:space="preserve"> (פ/6433/25)</t>
  </si>
  <si>
    <t xml:space="preserve">הצעת חוק שירות מידע פיננסי (תיקון - פטור וגישה למידע לסוכני ביטוח), התשפ״ו-2026</t>
  </si>
  <si>
    <t xml:space="preserve"> (פ/6432/25)</t>
  </si>
  <si>
    <t xml:space="preserve">הצעת חוק שיפוט בתי דין רבניים (נישואין וגירושין) (תיקון - מתן פסק דין במקרי אלימות קשים), התשפ"ו-2026</t>
  </si>
  <si>
    <t xml:space="preserve"> (פ/6431/25)</t>
  </si>
  <si>
    <t xml:space="preserve">הצעת חוק לפיצוי קורבנות טרור (פיצויים לדוגמה) (תיקון - דרכי מימוש והחלה על פסקי דין חלוטים), התשפ"ו-2026</t>
  </si>
  <si>
    <t xml:space="preserve"> (פ/6430/25)</t>
  </si>
  <si>
    <t xml:space="preserve">הצעת חוק דיווח לכנסת על הטרדות מיניות בשירות הביטחון הכללי ובמוסד למודיעין ולתפקידים מיוחדים והטיפול בהן, התשפ״ו-2026</t>
  </si>
  <si>
    <t xml:space="preserve"> (פ/6429/25)</t>
  </si>
  <si>
    <t xml:space="preserve">הצעת חוק זכויות הסטודנט (תיקון - איסור הפליה מחמת מוגבלות), התשפ"ו-2026</t>
  </si>
  <si>
    <t xml:space="preserve"> (פ/6427/25)</t>
  </si>
  <si>
    <t xml:space="preserve">הצעת חוק הביטוח הלאומי (תיקון - דמי לידה לעצמאיות - מתן זכות לעבודה חלקית), התשפ"ה-2025</t>
  </si>
  <si>
    <t xml:space="preserve"> (פ/5433/25)</t>
  </si>
  <si>
    <t xml:space="preserve">31.12.2025</t>
  </si>
  <si>
    <t xml:space="preserve">הצעת חוק העונשין (תיקון - עונש מוות למחבלים), התשפ"ג-2023</t>
  </si>
  <si>
    <t xml:space="preserve"> (פ/2761/25)</t>
  </si>
  <si>
    <t xml:space="preserve">חוק להגדלת היצע הדיור ברשויות מקומיות (תיקוני חקיקה), התשפ"ה-2025</t>
  </si>
  <si>
    <t xml:space="preserve"> (פ/5508/25)</t>
  </si>
  <si>
    <t xml:space="preserve"> (כ/1130)</t>
  </si>
  <si>
    <t xml:space="preserve">מוצע לקבוע כי בקביעת מספר התושבים לעניין קביעת מספר חברי המועצה, אישור שכר של עובדים המביא בחשבון את מספר התושבים ברשות המקומית, המשרות התקניות ברשות המקומית שנקבעות לפי מספר התושבים וסיווגן, ומספר סגני ראש הרשות ושכרם - יובאו בחשבון גם מספר התושבים שעתידים להתגורר ביחידות הדיור החדשות הנבנות ברשות המקומית כך שיחושב מספר התושבים כפי שהוא נקבע לאותו עניין בצירוף מכפלה של שני תושבים לכל יחידת דיור חדשה למגורים שטרם ניתנה לגביה תעודת גמר, ובלבד שיש לגביה היתר בנייה בתוקף ואישור תחילת עבודה. כן, מוצע לקבוע כי מניין התושבים יתעדכן רק אם התוספת במספר התושבים על פי הנוסחה המוצעת תעלה על חמישה אחוזים ממספר התושבים ברשות המקומית בעת החישוב ובתנאי שמספר יחידות הדיור החדשות ברשות הוא 1000 לפחות. לבסוף, מוצע לקבוע כי רשות רישוי מקומית תמסור לגזבר העירייה, לשר הפנים ולשר האוצר את מספר יחידות הדיור החדשות, בתחומה של הרשות המקומית במספר מועדים הקבועים בהצעה.</t>
  </si>
  <si>
    <t xml:space="preserve">חוק לתיקון פקודת בתי הסוהר (מס' 70 והוראת שעה), התשפ"ו-2026</t>
  </si>
  <si>
    <t xml:space="preserve"> (מ/1919)</t>
  </si>
  <si>
    <t xml:space="preserve">פקודת בתי הסוהר מעגנת את מנגנון השחרור המינהלי ככלי לריווח מקומות הכליאה, המאפשר לנציב בתי הסוהר לשחרר אסירים לפני תום תקופת מאסרם לתקופות קצובות הקבועות בחוק. במסגרת החוק תוקנה הפקודה והורחבה רשימת העבירות השוללות זכאות לשחרור מינהלי, כך שגם אסירים שהורשעו בעבירות של בגידה וריגול לא יהיו זכאים לקיצור מאסרם במסגרת מנגנון זה. בנוסף, הוארך תוקפה של הוראת השעה המסדירה את הליכי השחרור המינהלי המורחב בשנה נוספת, עד ליום כ"א בטבת התשפ"ז (31 בדצמבר 2026).</t>
  </si>
  <si>
    <t xml:space="preserve">חוק בתי קברות צבאיים (תיקון מס' 5) (תיקון), התשפ"ו–2026</t>
  </si>
  <si>
    <t xml:space="preserve"> (פ/4591/25)</t>
  </si>
  <si>
    <t xml:space="preserve"> (כ/1154)</t>
  </si>
  <si>
    <t xml:space="preserve">חוק בתי קברות צבאיים, התש"י–1950, מסדיר את זכאותם של חללי צה"ל וכוחות הביטחון, ובהם שוטרים, סוהרים ועובדי שירות הביטחון הכללי והמוסד, להיקבר בבית קברות צבאי. במסגרת תיקון מס' 5 לחוק, שאושר בשנת 2024, הורחבה רשימת הזכאים כך שנוספו אליה גם כבאים שנהרגו בעת שירותם ועקב שירותם. כעת, במסגרת תיקון נוסף, הוחלה הרחבת הזכאות הזו למפרע. נקבע כי כבאי שנהרג בעת שירותו ועקב שירותו החל מיום כ"ו באב התשפ"ג (13 באוגוסט 2023) או לאחריו, יהיה זכאי גם הוא להיקבר בבית קברות צבאי. מועד זה נבחר במטרה להחיל את זכאות הקבורה בבית קברות צבאי גם על הכבאים שקיפחו את חייהם בפעולת החילוץ ב"אסון הבור" בדיר אל־אסד, שאירע בתאריך זה.</t>
  </si>
  <si>
    <t xml:space="preserve">חוק שירות הקבע בצבא הגנה לישראל (גמלאות) (תיקון מס' 37), התשפ"ו-2026</t>
  </si>
  <si>
    <t xml:space="preserve"> (מ/1765)</t>
  </si>
  <si>
    <t xml:space="preserve">חוק שירות הקבע בצבא הגנה לישראל (גמלאות) (תיקון מס' 37), התשפ"ו-2026, מעגן מסגרת נורמטיבית חדשה לתשלום רכיב "השלמת תקופות שירות" בפנסיה התקציבית של פורשי צה"ל. במסגרת החוק נקבע מנגנון שחיקה להתאמת עדכוני המדד העתידיים של גמלאים הזכאים לרכיב ההשלמה, שלפיו החל מינואר 2026 תבוצע הפחתה של עד חצי אחוז בשנה מעדכון הגמלה, עד להפחתה מצטברת מרבית של 4.5%. לאחר הגעה לשיעור זה, יתווסף לגמלה חצי אחוז מדי שנה במשך שלוש שנים, כך שבסופו של התהליך תעמוד ההפחתה הכוללת על 3% במצטבר, כאשר הסדר זה לא יחול על גמלאים שאינם מקבלים את רכיב ההשלמה. בנוסף, החוק מגדיר שלושה הסדרים נפרדים לחישוב תוספת ההשלמה בהתאם לגילם ומעמדם של המשרתים בעת כניסת החוק לתוקף ביום י"ב בטבת התשפ"ו (1 בינואר 2026). גמלאים שכבר פרשו ימשיכו לקבל את השיעור שנקבע להם במועד פרישתם. משרתים שמלאו להם 40 וטרם פרשו יקבלו תוספת המשמרת את ההסדרים הקודמים שנהגו עד כה בצבא. ואילו על משרתים שטרם מלאו להם 40 יחול הסדר חדש שיעניק תוספת של עד 7% לגמלה, תוך מתן עדיפות משמעותית ללוחמים שיזכו ל-4% נוספים, וכן תוספת של עד 3% ללוחמים ששירותם לא היה רציף או למשרתים במסלולי העתודה. הוראות החוק חלות אך ורק על משרתי קבע במסלול הפנסיה התקציבית, ואינן חלות על משרתים בפנסיה צוברת.</t>
  </si>
  <si>
    <t xml:space="preserve">הצעת חוק החלת ריבונות על ביתר עילית, התשפ"ו-2025</t>
  </si>
  <si>
    <t xml:space="preserve"> (פ/6272/25)</t>
  </si>
  <si>
    <t xml:space="preserve">הצעת חוק הפרשנות (תיקון - הגדרת הפליה על רקע נטייה מינית או זהות מגדרית), התשפ"ה-2025</t>
  </si>
  <si>
    <t xml:space="preserve"> (פ/6054/25)</t>
  </si>
  <si>
    <t xml:space="preserve">הצעת חוק איסור קבלת תמורה וחובת דיווח על קשרים עם מדינה זרה, התשפ״ה-2025 </t>
  </si>
  <si>
    <t xml:space="preserve"> (פ/5768/25)</t>
  </si>
  <si>
    <t xml:space="preserve">הצעת חוק הרשות הלאומית למאבק בסמים ובשימוש לרעה באלכוהול, התשפ"ה-2025</t>
  </si>
  <si>
    <t xml:space="preserve"> (פ/5625/25)</t>
  </si>
  <si>
    <t xml:space="preserve">הצעת חוק פטור מאגרה ללוחמים בשירות מילואים בנסיעה בכבישי אגרה ובנתיבים מהירים (תיקוני חקיקה), התשפ"ה-2025 </t>
  </si>
  <si>
    <t xml:space="preserve"> (פ/5420/25)</t>
  </si>
  <si>
    <t xml:space="preserve">הצעת חוק הפרשנות (תיקון - הגדרת הפליה על רקע נטייה מינית או זהות מגדרית), התשפ"ד-2024</t>
  </si>
  <si>
    <t xml:space="preserve"> (פ/4216/25)</t>
  </si>
  <si>
    <t xml:space="preserve">הצעת חוק הפרשנות (תיקון - הגדרת הפליה על רקע זהות מגדרית, נטייה מינית או אמונה דתית), התשפ"ד-2023</t>
  </si>
  <si>
    <t xml:space="preserve"> (פ/4146/25)</t>
  </si>
  <si>
    <t xml:space="preserve">הצעת חוק התכנון והבנייה (תיקון - ייצוג הולם לנשים במוסדות התכנון), התשפ"ג-2023</t>
  </si>
  <si>
    <t xml:space="preserve"> (פ/3381/25)</t>
  </si>
  <si>
    <t xml:space="preserve">דיור והקצאת קרקעות מתוך הצעת חוק למתן הטבות למשרתים במילואים, התשפ"ה-2024</t>
  </si>
  <si>
    <t xml:space="preserve"> (פ/349/25)</t>
  </si>
  <si>
    <t xml:space="preserve">30.12.2025</t>
  </si>
  <si>
    <t xml:space="preserve">הצעת חוק הפטנטים (תיקון מס' 15), התשפ"ו-2025</t>
  </si>
  <si>
    <t xml:space="preserve"> (מ/1920)</t>
  </si>
  <si>
    <t xml:space="preserve">הצעת חוק הגנת השכר (תיקון מס' 32) (הגברת האכיפה – ניכויים משכר עבודה), התשפ"ה–2025</t>
  </si>
  <si>
    <t xml:space="preserve"> (פ/4233/25)</t>
  </si>
  <si>
    <t xml:space="preserve"> (כ/1093)</t>
  </si>
  <si>
    <t xml:space="preserve">29.12.2025</t>
  </si>
  <si>
    <t xml:space="preserve">חוק להפסקת פעילות אונר"א (תיקון), התשפ"ו-2025</t>
  </si>
  <si>
    <t xml:space="preserve"> (מ/1896)</t>
  </si>
  <si>
    <t xml:space="preserve">חוק להפסקת פעילות אונר"א בשטח מדינת ישראל, התשפ"ה-2024, קבע כי ישראל תפעל להפסקת פעילות אונר"א בשטחה הריבוני, וזאת על רקע מעורבותם העמוקה של אונר"א ועובדיה במתקפת הטרור של 7 באוקטובר ובפעילות ארגוני הטרור ובפעילות עוינת למדינת ישראל שקדמה למועד זה. כעת, במסגרת חוק להפסקת פעילות אונר"א (תיקון), התשפ"ו-2025, שנועד לתת מענה לקשיים ביישום החוק המקורי, נקבעו צעדים אופרטיביים נרחבים לניתוק כל מגע עם הסוכנות. בחוק נקבע כי רשויות המדינה יבטלו כל אישור, רישיון, היתר או הטבה שניתנו לאונר"א במישרין או בעקיפין. כמו כן, הוטל איסור על חברות התשתית לספק חשמל, מים או גז לנכסים שבהם אונר"א רשומה כצרכן, והוסדר מנגנון לניתוקם בתוך 15 ימים מקבלת הודעה. בנוסף, נאסר על מתן שירותי תקשורת, וכן על מתן שירותים בנקאיים ופיננסיים לסוכנות. איסורים אלו חלים גם במקרים שבהם אדם או תאגיד מבקשים לקבל את השירות בשמה או מטעמה של אונר"א, ולשם כך הוסמכו ספקי השירותים להסתייע ברשויות המקומיות, במשטרת ישראל ובגופי ביטחון אחרים לשם בירור זהות מבקש השירות. עוד מסמיך התיקון את המדינה ואת הרשויות המקומיות לתפוס חזקה בתוך 30 ימים במקרקעין המוחזקים בידי אונר"א או מי מטעמה במתחמים המפורטים בחוק, וזאת בסיוע משטרת ישראל וצבא הגנה לישראל. במקביל, נקבע כי עיריית ירושלים תשלים את הפעלתו של מערך פינוי האשפה בתוך 60 ימים בשכונות שבהן פעלה אונר"א בתחומה. לבסוף, החוק שולל מאונר"א, מעובדיה ומנכסיה את החסינויות וזכויות היתר שהוקנו להם מתוקף פקודת החסינויות וזכויות היתר של האומות המאוחדות משנת 1947, וקובע במפורש כי ניתן יהיה להגיש נגד הסוכנות תביעות אזרחיות בגין אירועי השבעה באוקטובר ומלחמת חרבות ברזל.</t>
  </si>
  <si>
    <t xml:space="preserve">חוק מס חברות מזערי בקבוצה רב-לאומית, התשפ"ו-2025</t>
  </si>
  <si>
    <t xml:space="preserve"> (מ/1909)</t>
  </si>
  <si>
    <t xml:space="preserve">חוק קידום התחרות בענפי המזון והפארם (תיקון מס' 9), התשפ"ו–2025</t>
  </si>
  <si>
    <t xml:space="preserve"> (פ/5466/25)</t>
  </si>
  <si>
    <t xml:space="preserve"> (כ/1131)</t>
  </si>
  <si>
    <t xml:space="preserve">החוק משנה את ההגדרה של "קמעונאי פארם גדול", הקבועה בחוק קידום התחרות בענפי המזון והפארם, התשע"ד–2014, כדי להתאים את ההגדרה למאפייני שוק הפארם. כיום, לפי החוק, היקף מחזור המכירות שלפיו מוגדר "קמעונאי פארם" כ"קמעונאי פארם גדול", עומד על סכום של כ-287 מיליון שקלים חדשים (סכום זה זהה לסכום שלפיו קמעונאי בתחום המזון מוגדר כ"קמעונאי גדול"). לפי ההסדר החדש, "קמעונאי פארם" יוגדר כ"קמעונאי פארם גדול", אם מחזור ההכנסות שלו עומד על 450 מיליון שקלים חדשים, במקום 287 מיליון שקלים, וכן הוא יידרש להחזיק 12 חנויות פארם לפחות. יצוין כי ההגדרה תחול רק לעניין קמעונאי פארם, בעוד שהגדרת "קמעונאי גדול" בתחום המזון תישאר כשהייתה. שינוי ההגדרה נועד להתאים את החוק הקיים למאפייני שוק הפארם, שמתאפיין בריכוזיות גבוהה ובקשיים בכניסת שחקנים חדשים לשוק. להגדרה של קמעונאי כ"קמעונאי גדול" יש השלכות רחבות, שכן החוק הקיים מטיל שורה של הוראות מחמירות החלות אך ורק על קמעונאי גדול – הוראות אלה כוללות, בין היתר, מגבלות על פעולות שקמעונאי גדול רשאי לבצע במסגרת יחסיו עם ספקים, הוראות שעניינן שמירה על תחרות בין קמעונאים הפועלים באותו אזור גאוגרפי וכן חובות שונות בעניין שקיפות מחירים. כתוצאה מתיקון החוק, יצטמצם מספרם של קמעונאי פארם שעליהם יחולו הוראות מחמירות כאמור, והדבר יקל על שחקנים חדשים להיכנס לשוק ויקדם את התחרות בענף. </t>
  </si>
  <si>
    <t xml:space="preserve">הצעת חוק הסכמים קיבוציים (תיקון - הסדרת גביית דמי טיפול ארגוני-מקצועי לארגון מעבידים), התשפ"ו-2025</t>
  </si>
  <si>
    <t xml:space="preserve"> (פ/6426/25)</t>
  </si>
  <si>
    <t xml:space="preserve">הצעת חוק בתי המשפט (תיקון - סייגים לעניין חברי הכנסת), התשפ"ו-2025</t>
  </si>
  <si>
    <t xml:space="preserve"> (פ/6425/25)</t>
  </si>
  <si>
    <t xml:space="preserve">הצעת חוק הדיינים (תיקון - תנאי הסמכה להליכים מוסכמים והבטחת ייצוג נשים), התשפ"ו-2025</t>
  </si>
  <si>
    <t xml:space="preserve"> (פ/6424/25)</t>
  </si>
  <si>
    <t xml:space="preserve">הצעת חוק הסיוע המשפטי (תיקון - סיוע משפטי לנכי צה"ל ולנפגעי פעולות איבה),  התשפ"ו-2025</t>
  </si>
  <si>
    <t xml:space="preserve"> (פ/6423/25)</t>
  </si>
  <si>
    <t xml:space="preserve">הצעת חוק הפיקוח על שירותים פיננסיים (ביטוח) (תיקון - החלת הוראות חוק חוזה סוכנות (סוכן מסחרי וספק) על חוזה בין מבטח לסוכן), התשפ"ו-2025</t>
  </si>
  <si>
    <t xml:space="preserve"> (פ/6422/25)</t>
  </si>
  <si>
    <t xml:space="preserve">הצעת חוק לתיקון פקודת בריאות העם (עדכון על זכאות אפשרית לגמלה), התשפ"ו-2025</t>
  </si>
  <si>
    <t xml:space="preserve"> (פ/6421/25)</t>
  </si>
  <si>
    <t xml:space="preserve">הצעת חוק שמירת הניקיון (תיקון - טיפול בפסולת בניין), התשפ"ו-2025</t>
  </si>
  <si>
    <t xml:space="preserve"> (פ/6419/25)</t>
  </si>
  <si>
    <t xml:space="preserve">הצעת חוק לתיקון פקודת התעבורה (שינוי שיטת חישוב דמי חניה בחניון ופטור מתשלום עבור עשר הדקות הראשונות),  התשפ"ו-2025</t>
  </si>
  <si>
    <t xml:space="preserve"> (פ/6418/25)</t>
  </si>
  <si>
    <t xml:space="preserve">הצעת חוק רשות מקרקעי ישראל (השגה על שומת מקרקעין), התשפ"ו-2025</t>
  </si>
  <si>
    <t xml:space="preserve"> (פ/6417/25)</t>
  </si>
  <si>
    <t xml:space="preserve">הצעת חוק החברות (תיקון - מכסות ייצוג לנשים בדירקטוריונים של חברות ציבוריות), התשפ"ו-2025</t>
  </si>
  <si>
    <t xml:space="preserve"> (פ/6416/25)</t>
  </si>
  <si>
    <t xml:space="preserve">הצעת חוק הגנה על קטינים ברשת (הגבלת גיל), התשפ״ו-2025</t>
  </si>
  <si>
    <t xml:space="preserve"> (פ/6415/25)</t>
  </si>
  <si>
    <t xml:space="preserve">הצעת חוק מענק לחטוף ששב מן השבי או למשפחתו של חטוף שנרצח בשבי וגופתו הושבה בעקבות מתקפת 7 באוקטובר, התשפ"ו-2025 </t>
  </si>
  <si>
    <t xml:space="preserve"> (פ/6414/25)</t>
  </si>
  <si>
    <t xml:space="preserve"> (פ/6413/25)</t>
  </si>
  <si>
    <t xml:space="preserve">הצעת חוק הגבלת תשלום בעד טיפול בתביעה לגמלת סיעוד ולתגמולי ביטוח סיעודי (תיקוני חקיקה), התשפ"ו-2025</t>
  </si>
  <si>
    <t xml:space="preserve"> (פ/6412/25)</t>
  </si>
  <si>
    <t xml:space="preserve">הצעת חוק הגנה על קטינים (הזכות למחיקת מידע אישי), התשפ"ו-2025</t>
  </si>
  <si>
    <t xml:space="preserve"> (פ/6411/25)</t>
  </si>
  <si>
    <t xml:space="preserve">הצעת חוק נכסי המדינה (תיקון - הרשאת שימוש לשם הקמת מיתקני שידור לתקשורת בשיטה התאית), התשפ"ו-2025</t>
  </si>
  <si>
    <t xml:space="preserve"> (פ/6410/25)</t>
  </si>
  <si>
    <t xml:space="preserve">הצעת חוק לשיקום מהיר של מבנים שניזוקו במלחמת עם כלביא (תיקוני חקיקה), התשפ"ה-2025</t>
  </si>
  <si>
    <t xml:space="preserve"> (פ/5929/25)</t>
  </si>
  <si>
    <t xml:space="preserve">25.12.2025</t>
  </si>
  <si>
    <t xml:space="preserve">חוק כליאתם של לוחמים בלתי חוקיים (תיקון מס' 4 והוראת שעה – חרבות ברזל) (תיקון מס' 6), התשפ"ו-2025</t>
  </si>
  <si>
    <t xml:space="preserve"> (מ/1916)</t>
  </si>
  <si>
    <t xml:space="preserve">24.12.2025</t>
  </si>
  <si>
    <t xml:space="preserve">חוק כליאתם של לוחמים בלתי חוקיים, התשס"ב–2002, מסדיר את כליאתם של מי שנטלו חלק בפעולות איבה נגד מדינת ישראל או נמנו עם כוחות המבצעים פעולות איבה, ואינם מוגדרים כשבויי מלחמה. החוק קובע הליך מוסדר להוצאת צווי כליאה ומנגנוני בקרה וביקורת שיפוטית, וכולל הסדר מיוחד למקרים שבהם הממשלה הכריזה על מלחמה או על פעולות צבאיות משמעותיות. בשל היקף העצורים הרב במלחמת חרבות ברזל, נקבעה הוראת שעה שהאריכה את התקופות המנויות בחוק והתאימה את הדרגים המאשרים. כעת, במסגרת חוק כליאתם של לוחמים בלתי חוקיים (תיקון מס' 4 והוראת שעה – חרבות ברזל) (תיקון מס' 6), התשפ"ו-2025, הוארך תוקפה של הוראת השעה הקובעת הסדרים מיוחדים לתקופת הלחימה עד ליום י"ג בניסן התשפ"ו (31 במרץ 2026). לצד הארכה זו, בוצעו התאמות שנועדו לקצר את המועדים הקבועים בחוק. כך, קוצרה התקופה המרבית להוצאת צו כליאה קבוע מ-30 ל-25 ימים, מועד הביקורת השיפוטית הראשונה קוצר מ-45 ל-40 ימים, והתקופה שבה רשאי הממונה למנוע מפגש של כלוא עם עורך דין קוצרה מ-45 ל-25 ימים. לגבי קטינים, קוצרו המועדים כך שצו כליאה זמני בעניינם יעמוד בתוקפו עד 15 ימים, והבאתם בפני שופט תיעשה לא יאוחר מ-25 ימים מיום הכליאה. בנוסף, עוגן בחוק הסדר עצמאי המאפשר קיום דיונים בעניינם של הכלואים בדרך של היוועדות חזותית, תוך קביעת תנאים מפורטים להבטחת השתתפות הכלוא וזכויותיו בדיון, וזאת במקום ההפניה להוראת שעה כללית שתוקפה פג. הסדר דומה לקיום דיוני מעצר בהיוועדות חזותית עוגן גם במסגרת תיקון משלים לחוק העוסק בהארכת מעצר לחשוד בעבירת ביטחון.</t>
  </si>
  <si>
    <t xml:space="preserve">חוק לתיקון פקודת בתי הסוהר (תיקון מס' 66 – הוראת שעה – חרבות ברזל) (חופשה מיוחדת לאסיר) (תיקון מס' 4), התשפ"ו-2025</t>
  </si>
  <si>
    <t xml:space="preserve"> (מ/1912)</t>
  </si>
  <si>
    <t xml:space="preserve">מנגנון "חופשה מיוחדת לאסיר", שעוגן כהוראת שעה בפקודת בתי הסוהר על רקע משבר הכליאה, מסמיך את נציב בתי הסוהר או סוהר בכיר שהוסמך לכך להעניק לאסירים חופשה מיוחדת לתקופה של עד 45 ימים. הסדר זה חל אך ורק על אסירים שהם אזרחי או תושבי ישראל שיתרת מאסרם ביום היציאה לחופשה אינה עולה על 45 ימים, ואינו חל על אסירים שהורשעו בעבירות חמורות, כגון עבירות ביטחון, אלימות חמורה, עבירות מין ואלימות במשפחה. כעת, במסגרת החוק (תיקון מס' 4), הוארך תוקפה של הוראת השעה המאפשרת מתן חופשות אלו, כך שההסדר יעמוד בתוקפו עד ליום י"ז באב התשפ"ו (31 ביולי 2026).</t>
  </si>
  <si>
    <t xml:space="preserve">חוק שירות ביטחון (תיקון מס' 7 והוראת שעה) (שירות במשטרה ושירות מוכר) (תיקון מס' 19), התשפ"ו-2025</t>
  </si>
  <si>
    <t xml:space="preserve"> (מ/1908)</t>
  </si>
  <si>
    <t xml:space="preserve">במסגרת חוק שירות ביטחון נקבעה הוראת שעה, המוארכת מעת לעת, המאפשרת הצבת חיילים בשירות חובה ביחידות משטרת ישראל שאינן משמר הגבול (מסלול שח"ם), ובלבד שעיקר פעילותן קשור לביטחון המדינה ותושביה. כעת, במסגרת חוק שירות ביטחון (תיקון מס' 7 והוראת שעה) (שירות במשטרה ושירות מוכר) (תיקון מס' 19), התשפ"ו-2025, הוארך תוקפה של הוראת השעה פעם נוספת, כך שתעמוד בתוקפה עד ליום כ"א בטבת התשפ"ז (31 בדצמבר 2026). בנוסף, כדי להגביר את הפיקוח הפרלמנטרי על התהליך, עוגן בחוק מנגנון דיווח חדש שלפיו השר לביטחון לאומי ידווח לוועדת החוץ והביטחון של הכנסת אחת לשישה חודשים על הצבת החיילים במשטרה, תוך פירוט מספר החיילים ששובצו והיחידות הספציפיות שאליהן נשלחושבהן הוצבו.</t>
  </si>
  <si>
    <t xml:space="preserve">חוק הסמכת צבא הגנה לישראל ושירות הביטחון הכללי לביצוע חדירה לחומר מחשב המשמש להפעלת מצלמה נייחת ופעולה בו (הוראת שעה – חרבות ברזל) (תיקון מס' 5), התשפ"ו-2025</t>
  </si>
  <si>
    <t xml:space="preserve"> (מ/1910)</t>
  </si>
  <si>
    <t xml:space="preserve">חוק הסמכת צבא הגנה לישראל ושירות הביטחון הכללי לביצוע חדירה לחומר מחשב המשמש להפעלת מצלמה נייחת ופעולה בו (הוראת שעה), התשפ"ד-2023, מסמיך את צה"ל ושב"כ לחדור למחשבים המפעילים מצלמות אבטחה נייחות ולבצע בהם פעולות, במטרה לסכל ולמנוע גישה של גורמי אויב למידע חזותי. הסמכויות מופעלות בכפוף למנגנוני בקרה, הכוללים חובת שימוש באמצעי שפגיעתו פחותה ולזמן הקצר הנדרש, איסור על שימוש או שמירה של מידע על ענייניו הפרטיים של אדם, וחובת דיווח עיתית לוועדת המשנה למודיעין ולשירותים חשאיים של ועדת החוץ והביטחון של הכנסת. כעת, במסגרת תיקון מס' 5 לחוק, הוארך תוקפה של הוראת השעה בשנה נוספת, כך שהיא תעמוד בתוקפה עד ליום כ"א בטבת התשפ"ז (31 בדצמבר 2026). התיקון מנתק את הסמכויות מהזיקה לפעולות צבאיות משמעותיות, כך שהן ימשיכו לעמוד בתוקפן גם בשגרה, ובהתאם לכך נמחקו המילים "חרבות ברזל" משם החוק. בנוסף לכך, צומצמו העילות להפעלת הסמכויות: סמכות צה"ל הוגדרה ככזו שתופעל רק לשם שמירה על רציפות התפקוד המבצעי שלו, ואילו סמכות השב"כ הוגדרה בהתאם לייעודיו הספציפיים בחוק, בהם סיכול ומניעת פעילות הפוגעת בביטחון המדינה או בסדרי המשטר, ואבטחת אנשים, מידע ומקומות שקבעה הממשלה. כמו כן, בוטלה האפשרות שהייתה קיימת קודם לכן בחוק להאריך את תוקפו בצו של שר הביטחון.</t>
  </si>
  <si>
    <t xml:space="preserve">הצעת חוק מלחמת שמחת תורה, התשפ"ו-2025</t>
  </si>
  <si>
    <t xml:space="preserve"> (פ/6241/25)</t>
  </si>
  <si>
    <t xml:space="preserve">הצעת חוק החברות (תיקון - פרסום דוחות כספיים של מונופול), התשפ"ו-2025</t>
  </si>
  <si>
    <t xml:space="preserve"> (פ/6211/25)</t>
  </si>
  <si>
    <t xml:space="preserve">הצעת חוק-יסוד: הממשלה (תיקון - התניית חברות בוועדת השרים לענייני ביטחון לאומי בשירות צבאי)</t>
  </si>
  <si>
    <t xml:space="preserve"> (פ/6201/25)</t>
  </si>
  <si>
    <t xml:space="preserve">הצעת חוק הליכי שפיטה וייצוג של נוער (תיקוני חקיקה), התשפ"ה-2025</t>
  </si>
  <si>
    <t xml:space="preserve"> (פ/5614/25)</t>
  </si>
  <si>
    <t xml:space="preserve">הצעת חוק קבלת מידע לשם זיהוי חללים ונעדרים בשל אירוע רב-נפגעים, התשפ"ה-2025</t>
  </si>
  <si>
    <t xml:space="preserve"> (פ/5527/25)</t>
  </si>
  <si>
    <t xml:space="preserve">הצעת חוק הכרה אזרחית בהכשרות צבאיות (תיקון - הכרה בניסיון פיקודי כניסיון ניהולי), התשפ"ה-2024</t>
  </si>
  <si>
    <t xml:space="preserve"> (פ/5233/25)</t>
  </si>
  <si>
    <t xml:space="preserve">הצעת חוק הרשויות המקומיות (פטור חיילים, נפגעי מלחמה ושוטרים מארנונה) (תיקון - הנחה בארנונה למשרת בשירות מילואים פעיל) (הוראת שעה), התשפ"ה-2024</t>
  </si>
  <si>
    <t xml:space="preserve"> (פ/5201/25)</t>
  </si>
  <si>
    <t xml:space="preserve">הצעת חוק איסור שימוש בטלפונים חכמים במוסדות חינוך, התשפ"ה-2024</t>
  </si>
  <si>
    <t xml:space="preserve"> (פ/5159/25)</t>
  </si>
  <si>
    <t xml:space="preserve">הצעת חוק זכויות ושירותים לילדים ובני נוער עם קשיים נפשיים, התשפ"ד-2023</t>
  </si>
  <si>
    <t xml:space="preserve"> (פ/3986/25)</t>
  </si>
  <si>
    <t xml:space="preserve">הצעת חוק שיפוט בתי דין רבניים (נישואין וגירושין) (תיקון - מתן פסק דין במקרי אלימות קשים), התשפ"ג-2023</t>
  </si>
  <si>
    <t xml:space="preserve"> (פ/3685/25)</t>
  </si>
  <si>
    <t xml:space="preserve">הצעת חוק שיפוט בתי דין רבניים (נישואין וגירושין) (תיקון - הגבלת משך זמן ההליך), התשפ"ג-2023</t>
  </si>
  <si>
    <t xml:space="preserve"> (פ/3180/25)</t>
  </si>
  <si>
    <t xml:space="preserve">הצעת חוק נישואים אזרחיים, התשפ"ג-2022</t>
  </si>
  <si>
    <t xml:space="preserve"> (פ/1033/25)</t>
  </si>
  <si>
    <t xml:space="preserve">הצעת חוק רישוי שירותים ומקצועות בענף הרכב (תיקון מס' 14) (הוראות לעניין סייבר והעדפת מכס-ארץ המקור), התשפ"ו-2025</t>
  </si>
  <si>
    <t xml:space="preserve"> (מ/1918)</t>
  </si>
  <si>
    <t xml:space="preserve">הצעת חוק תשלומים לפדויי שבי ולחטופים ששוחררו (תיקון - העלאת דרגת הנכות ל-100% לחטופים ששוחררו), התשפ"ה-2025</t>
  </si>
  <si>
    <t xml:space="preserve"> (פ/5759/25)</t>
  </si>
  <si>
    <t xml:space="preserve">22.12.2025</t>
  </si>
  <si>
    <t xml:space="preserve">הצעת חוק תשלומים לפדויי שבי ולחטופים ששוחררו (תיקון - העלאת דרגת הנכות בשנה הראשונה לשחרור), התשפ"ה-2025</t>
  </si>
  <si>
    <t xml:space="preserve"> (פ/5607/25)</t>
  </si>
  <si>
    <t xml:space="preserve">הצעת חוק תשלומים לפדויי שבי ולחטופים ששוחררו (תיקון - הרחבת הזכאויות לחטופים ששוחררו), התשפ"ה-2025 </t>
  </si>
  <si>
    <t xml:space="preserve"> (פ/5526/25)</t>
  </si>
  <si>
    <t xml:space="preserve">הצעת חוק תשלומים לפדויי שבי ולחטופים ששוחררו (תיקון - העלאת דרגת הנכות ל-100% לחטופים ששוחררו), התשפ"ה-2025 </t>
  </si>
  <si>
    <t xml:space="preserve"> (פ/5350/25)</t>
  </si>
  <si>
    <t xml:space="preserve">הצעת חוק תשלומים לפדויי שבי ולחטופים ששוחררו (תיקון מס' 7), התשפ"ה-2025 </t>
  </si>
  <si>
    <t xml:space="preserve"> (מ/1865)</t>
  </si>
  <si>
    <t xml:space="preserve">הצעת חוק הגנת השכר (תיקון - איסור ניכוי חוב או קנס), התשפ"ג-2023</t>
  </si>
  <si>
    <t xml:space="preserve"> (פ/1715/25)</t>
  </si>
  <si>
    <t xml:space="preserve">חוק מניעת פגיעת גוף שידורים זר בביטחון המדינה (הוראת שעה), התשפ"ו–2025</t>
  </si>
  <si>
    <t xml:space="preserve"> (פ/4626/25)</t>
  </si>
  <si>
    <t xml:space="preserve"> (כ/1158)</t>
  </si>
  <si>
    <t xml:space="preserve">במסגרת חוק מניעת פגיעת גוף שידורים זר בביטחון המדינה (הוראת שעה), התשפ"ו-2025, שנקבע כהוראת שעה אשר תעמוד בתוקפה עד ליום א' בטבת התשפ"ח (31 בדצמבר 2027), נקבע כי שר התקשורת רשאי, בהסכמת ראש הממשלה ובאישור הממשלה או ועדת השרים לענייני ביטחון לאומי, להורות על נקיטת אמצעים להגבלת שידורי ערוץ זר ופעילותו. החלטה זו תתקבל אם שוכנע ראש הממשלה, על יסוד חוות דעת מקצועית מאחד או יותר מגורמי הביטחון – צבא הגנה לישראל, שירות הביטחון הכללי, המוסד למודיעין ולתפקידים מיוחדים או משטרת ישראל, כי תכני הערוץ פוגעים באופן ממשי בביטחון המדינה. האמצעים שניתן להפעיל כוללים את הפסקת שידורי הערוץ, סגירת משרדיו בשטח ישראל, תפיסת מכשירים המשמשים לאספקת תוכני הערוץ, הסרת אתר אינטרנט של הערוץ או הגבלת הגישה אליו. בנוסף, הוסמך שר התקשורת להורות לגופים שפעילותם העיקרית היא הפצת תוכני משתמשים באינטרנט להגביל גישה לשידור הערוץ הזר בזמן אמיתי ובאופן רציף. הממשלה או ועדת השרים הוסמכו להנחות את שר הביטחון לבצע פעולות טכנולוגיות למניעת קליטה ישירה של שידורי הערוץ באמצעות לוויין בשטחי ישראל ובאזור יהודה ושומרון, ובלבד שלא יימנעו שידוריו של ערוץ אחר. לעניין סמכות תפיסת המכשירים, הובהר כי לא ייתפס ציוד שעיקר תכליתו היא לשימוש אישי, וכן נקבע איסור מפורש על ביצוע חדירה לציוד קצה (כגון טלפון סלולרי), למחשב או לחומר מחשב שנתפסו. הוראת שר התקשורת תינתן לתקופה שלא תעלה על 90 ימים, עם אפשרות להארכתה לתקופות נוספות של עד 90 ימים בכל פעם, בכפוף להתקיימות התנאים והצגת חוות הדעת הנדרשות. כל הוראה שתינתן, ובפרט החלטה על הארכתה, תובא לביקורת שיפוטית לפני נשיא בית משפט מחוזי או סגנו בהקדם האפשרי, ולא יאוחר מ-24 שעות משעת כניסתה לתוקף. בית המשפט ידון בהוראה בתוך שלושה ימים מיום כניסתה לתוקף, ויקבל החלטה האם לשנותה או לקצוב את תקופת תוקפה.</t>
  </si>
  <si>
    <t xml:space="preserve">הצעת חוק סמכויות לשם שמירה על ביטחון הציבור (תיקון - הסדרת סיירות ביטחון ברשויות המקומיות), התשפ"ו-2025</t>
  </si>
  <si>
    <t xml:space="preserve"> (פ/6407/25)</t>
  </si>
  <si>
    <t xml:space="preserve">הצעת חוק למאבק בהברחות נשק (תיקוני חקיקה), התשפ"ו-2025</t>
  </si>
  <si>
    <t xml:space="preserve"> (פ/6406/25)</t>
  </si>
  <si>
    <t xml:space="preserve">הצעת חוק החלת הריבונות הישראלית על מתחם מערת המכפלה, התשפ"ו-2025</t>
  </si>
  <si>
    <t xml:space="preserve"> (פ/6405/25)</t>
  </si>
  <si>
    <t xml:space="preserve">הצעת חוק להפסקת פעילות אונר"א (תיקון - אי-אספקת חשמל ומים וסמכות תפיסת חזקה במקרקעין), התשפ"ו-2025</t>
  </si>
  <si>
    <t xml:space="preserve"> (פ/6404/25)</t>
  </si>
  <si>
    <t xml:space="preserve">הצעת חוק ביטוח בריאות ממלכתי (תיקון - חידוש חברות בקופת חולים לחייל משוחרר), התשפ״ו-2025</t>
  </si>
  <si>
    <t xml:space="preserve"> (פ/6403/25)</t>
  </si>
  <si>
    <t xml:space="preserve">הצעת חוק חברות ניהול בניין מגורים או משרדים, התשפ"ו-2025</t>
  </si>
  <si>
    <t xml:space="preserve"> (פ/6402/25)</t>
  </si>
  <si>
    <t xml:space="preserve">הצעת חוק סדר הדין הפלילי (סמכויות אכיפה - מעצרים) (תיקון - משך מעצר מרבי ועילות מעצר), התשפ"ו-2025</t>
  </si>
  <si>
    <t xml:space="preserve"> (פ/6401/25)</t>
  </si>
  <si>
    <t xml:space="preserve">הצעת חוק איסור לשון הרע (תיקון - פיצוי ללא הוכחת נזק), התשפ"ו-2025</t>
  </si>
  <si>
    <t xml:space="preserve"> (פ/6400/25)</t>
  </si>
  <si>
    <t xml:space="preserve">הצעת חוק שעות עבודה ומנוחה (תיקון - אי-תחולת החוק על כבאים), התשפ"ו-2025 </t>
  </si>
  <si>
    <t xml:space="preserve"> (פ/6398/25)</t>
  </si>
  <si>
    <t xml:space="preserve">הצעת חוק מינוי תובע מיוחד, התשפ״ו-2025</t>
  </si>
  <si>
    <t xml:space="preserve"> (פ/6397/25)</t>
  </si>
  <si>
    <t xml:space="preserve">הצעת חוק הפיקוח על מוצר ביטוח ארוך טווח, התשפ"ו-2025</t>
  </si>
  <si>
    <t xml:space="preserve"> (פ/6396/25)</t>
  </si>
  <si>
    <t xml:space="preserve">הצעת חוק משפחות חיילים שנספו במערכה (תגמולים ושיקום) (תיקון - הגדלת סכום ההשתתפות בהוצאות אזכרה), התשפ"ו-2025</t>
  </si>
  <si>
    <t xml:space="preserve"> (פ/6395/25)</t>
  </si>
  <si>
    <t xml:space="preserve">הצעת חוק חסינות במילוי תפקיד לראש רשות מקומית (תיקוני חקיקה), התשפ"ו-2025</t>
  </si>
  <si>
    <t xml:space="preserve"> (פ/6394/25)</t>
  </si>
  <si>
    <t xml:space="preserve">הצעת חוק לתיקון פקודת התעבורה (שינוי שיטת החישוב של דמי חניה בחניון), התשפ"ו-2025</t>
  </si>
  <si>
    <t xml:space="preserve"> (פ/6391/25)</t>
  </si>
  <si>
    <t xml:space="preserve">הצעת חוק המזונות (הבטחת תשלום) (תיקון - סכום שלא יובא בחשבון במבחן ההכנסה בשבע השנים הראשונות), התשפ"ו-2025</t>
  </si>
  <si>
    <t xml:space="preserve"> (פ/6390/25)</t>
  </si>
  <si>
    <t xml:space="preserve">הצעת חוק תגמולים לבני משפחה של חטופים ונעדרים בפעולת איבה (תיקון - מתן זכויות של נפגעי איבה לבן משפחה של חטוף), התשפ"ו-2025</t>
  </si>
  <si>
    <t xml:space="preserve"> (פ/6389/25)</t>
  </si>
  <si>
    <t xml:space="preserve">הצעת חוק משפחות חיילים שנספו במערכה (תגמולים ושיקום) (תיקון - שעת הורות בעבודה לאלמן או לאלמנה בשנת האבל הראשונה), התשפ"ו-2025</t>
  </si>
  <si>
    <t xml:space="preserve"> (פ/6388/25)</t>
  </si>
  <si>
    <t xml:space="preserve">הצעת חוק לתיקון פקודת מס הכנסה (פטור ממס למשרת מילואים פעיל) (הוראת שעה - חרבות ברזל), התשפ"ו-2025</t>
  </si>
  <si>
    <t xml:space="preserve"> (פ/6387/25)</t>
  </si>
  <si>
    <t xml:space="preserve">הצעת חוק לימוד חובה (תיקון - הפחתת תקציב בשל אי-גיוס בוגרים), התשפ"ו- 2025</t>
  </si>
  <si>
    <t xml:space="preserve"> (פ/6385/25)</t>
  </si>
  <si>
    <t xml:space="preserve">הצעת חוק מענק לחטופים ולבני משפחות הנרצחים במתקפת 7 באוקטובר, התשפ"ו-2025</t>
  </si>
  <si>
    <t xml:space="preserve"> (פ/6384/25)</t>
  </si>
  <si>
    <t xml:space="preserve"> (פ/6383/25)</t>
  </si>
  <si>
    <t xml:space="preserve">הצעת חוק חסינות חברי הכנסת, זכויותיהם וחובותיהם (תיקון מס' 46) (אבטחת חבר הכנסת בחוץ לארץ), התשפ"ו–2025</t>
  </si>
  <si>
    <t xml:space="preserve"> (כ/1166)</t>
  </si>
  <si>
    <t xml:space="preserve">הצעת חוק העמותות (תיקון מס' 20) (עיצומים כספיים), התשפ"ו- 2025</t>
  </si>
  <si>
    <t xml:space="preserve"> (מ/1917)</t>
  </si>
  <si>
    <t xml:space="preserve">הצעת חוק רמת הגולן (תיקון - פיתוח וחיזוק רמת הגולן, וקביעת יום לציון רמת הגולן), התשפ"ה-2025</t>
  </si>
  <si>
    <t xml:space="preserve"> (פ/5728/25)</t>
  </si>
  <si>
    <t xml:space="preserve">17.12.2025</t>
  </si>
  <si>
    <t xml:space="preserve">הצעת חוק הגנה על קטינים (הזכות למחיקת מידע אישי), התשפ"ה-2025</t>
  </si>
  <si>
    <t xml:space="preserve"> (פ/5705/25)</t>
  </si>
  <si>
    <t xml:space="preserve"> (פ/5654/25)</t>
  </si>
  <si>
    <t xml:space="preserve"> (פ/5596/25)</t>
  </si>
  <si>
    <t xml:space="preserve">הצעת חוק סדר הדין הפלילי (תיקון - מניעת ניגודי עניינים בחקירת היועץ המשפטי לממשלה ופרקליט המדינה), התשפ"ה-2024</t>
  </si>
  <si>
    <t xml:space="preserve"> (פ/5196/25)</t>
  </si>
  <si>
    <t xml:space="preserve">16.12.2025</t>
  </si>
  <si>
    <t xml:space="preserve">הצעת חוק להפסקת פעילות אונר"א (תיקון - אי-הספקת חשמל ומים וסמכות תפיסת חזקה במקרקעין), התשפ"ו-2025</t>
  </si>
  <si>
    <t xml:space="preserve"> (פ/6236/25)</t>
  </si>
  <si>
    <t xml:space="preserve">הצעת חוק להפסקת פעילות אונר"א בשטח מדינת ישראל (תיקון - תפיסת חזקה בכל שטח שהוחזק בידי אונר"א), התשפ"ה-2025</t>
  </si>
  <si>
    <t xml:space="preserve"> (פ/6169/25)</t>
  </si>
  <si>
    <t xml:space="preserve">הצעת חוק הליכי חקירה והעדה (התאמה לאנשים עם מוגבלות שכלית או נפשית) (תיקון - חקירה והעדה מותאמת למתמודדי נפש), התשפ"ה-2025</t>
  </si>
  <si>
    <t xml:space="preserve"> (פ/5632/25)</t>
  </si>
  <si>
    <t xml:space="preserve">חוק מימון מפלגות (תיקון מס' 44), התשפ"ו–2025</t>
  </si>
  <si>
    <t xml:space="preserve"> (כ/921)</t>
  </si>
  <si>
    <t xml:space="preserve">15.12.2025</t>
  </si>
  <si>
    <t xml:space="preserve">החוק מסדיר באופן מפורט את שכרם ותנאי עבודתם של עובדי הסיעות, שאף שאינם עובדי הכנסת, הם מקבלים את שכרם ישירות הכנסת. עד לתיקון קבע סעיף 3א לחוק מימון מפלגות סכום שנתי שאותו קיבלו הסיעות לפי גודלן ואשר שימש למימון תשלומים לעובדי הסיעות, שכונו "עובדי הצוות הפרלמנטרי". לפי התיקון, אין יותר תקציב שנתי לכל סיעה, אלא מספר עובדי הסיעה, שכרם ושאר תנאי עבודתם נקבעו בחוק עצמו, בסעיף 3א שהוחלף ובתוספת מפורטת שהתווספה לחוק.</t>
  </si>
  <si>
    <t xml:space="preserve">הצעת חוק הממשלה (תיקון - נסיעת שר או סגן שר לחוץ לארץ), התשפ"ו-2025</t>
  </si>
  <si>
    <t xml:space="preserve"> (פ/6378/25)</t>
  </si>
  <si>
    <t xml:space="preserve">הצעת חוק שחרור על-תנאי ממאסר (תיקון - שחרור על-תנאי ממאסר), התשפ"ו-2025</t>
  </si>
  <si>
    <t xml:space="preserve"> (פ/6377/25)</t>
  </si>
  <si>
    <t xml:space="preserve">הצעת חוק שימוע למינויים בכירים ושופטים, התשפ״ו-2025</t>
  </si>
  <si>
    <t xml:space="preserve"> (פ/6376/25)</t>
  </si>
  <si>
    <t xml:space="preserve">הצעת חוק לתיקון פקודת הראיות (אי-קבילות ראיה שהושגה שלא כדין), התשפ״ו-2025</t>
  </si>
  <si>
    <t xml:space="preserve"> (פ/6375/25)</t>
  </si>
  <si>
    <t xml:space="preserve">הצעת חוק הקאדים (תיקון - הבטחת ייצוג נשים בוועדה לבחירת קאדים), התשפ"ו-2025</t>
  </si>
  <si>
    <t xml:space="preserve"> (פ/6374/25)</t>
  </si>
  <si>
    <t xml:space="preserve"> (פ/6373/25)</t>
  </si>
  <si>
    <t xml:space="preserve">הצעת חוק סדר הדין הפלילי (סמכויות אכיפה - מעצרים) (תיקון - פיצוי לעצור ששוחרר ממעצר), התשפ"ו-2025</t>
  </si>
  <si>
    <t xml:space="preserve"> (פ/6372/25)</t>
  </si>
  <si>
    <t xml:space="preserve">הצעת חוק-יסוד: הכנסת (תיקון - שלילת זכות הצבעה מאסירים)</t>
  </si>
  <si>
    <t xml:space="preserve"> (פ/6370/25)</t>
  </si>
  <si>
    <t xml:space="preserve">הצעת חוק הביטוח הלאומי (תיקון - פטור מתשלום דמי ביטוח לאומי עד גיל 21), התשפ"ו-2025</t>
  </si>
  <si>
    <t xml:space="preserve"> (פ/6369/25)</t>
  </si>
  <si>
    <t xml:space="preserve"> (פ/6368/25)</t>
  </si>
  <si>
    <t xml:space="preserve">הצעת חוק ביטוח בריאות ממלכתי (תיקון - מינוי ועדה ציבורית להרחבת סל שירותי הבריאות המפורט בתוספת השנייה), התשפ"ו-2025 </t>
  </si>
  <si>
    <t xml:space="preserve"> (פ/6367/25)</t>
  </si>
  <si>
    <t xml:space="preserve">הצעת חוק חינוך ממלכתי (תיקון - חינוך ממלכתי חרדי), התשפ"ו-2025</t>
  </si>
  <si>
    <t xml:space="preserve"> (פ/6366/25)</t>
  </si>
  <si>
    <t xml:space="preserve">הצעת חוק הלוואות לדיור (תיקון - מענק מיוחד לרכישת דירה בירושלים), התשפ"ו-2025</t>
  </si>
  <si>
    <t xml:space="preserve"> (פ/6364/25)</t>
  </si>
  <si>
    <t xml:space="preserve">הצעת חוק מימון הוצאות למשפחות שבויים, חטופים ונעדרים (תיקון - מענק הסתגלות לבני זוג והורים של חטוף שגופתו הושבה), התשפ"ו-2025</t>
  </si>
  <si>
    <t xml:space="preserve"> (פ/6363/25)</t>
  </si>
  <si>
    <t xml:space="preserve">הצעת חוק בתי קברות צבאיים (תיקון - הצהרת חייל בדבר רצונו בקבורה בבית קברות צבאי), התשפ"ו-2025</t>
  </si>
  <si>
    <t xml:space="preserve"> (פ/6362/25)</t>
  </si>
  <si>
    <t xml:space="preserve">הצעת חוק חג הסיגד (תיקון - דרכי קיום), התשפ"ו-2025</t>
  </si>
  <si>
    <t xml:space="preserve"> (פ/6361/25)</t>
  </si>
  <si>
    <t xml:space="preserve">הצעת חוק שירות מידע פיננסי (תיקון - פטור וגישה למידע לסוכני ביטוח), התשפ״ו-2025</t>
  </si>
  <si>
    <t xml:space="preserve"> (פ/6360/25)</t>
  </si>
  <si>
    <t xml:space="preserve">הצעת חוק השבות (תיקון - הוספת המילה כהלכה), התשפ"ו-2025</t>
  </si>
  <si>
    <t xml:space="preserve"> (פ/6359/25)</t>
  </si>
  <si>
    <t xml:space="preserve"> (פ/6358/25)</t>
  </si>
  <si>
    <t xml:space="preserve">הצעת חוק אספקת החשמל (הוראת שעה), התשפ"ו-2025</t>
  </si>
  <si>
    <t xml:space="preserve"> (פ/6357/25)</t>
  </si>
  <si>
    <t xml:space="preserve">הצעת חוק מס ערך מוסף (תיקון - הגדרת עוסק פטור), התשפ"ו-2025</t>
  </si>
  <si>
    <t xml:space="preserve"> (פ/6356/25)</t>
  </si>
  <si>
    <t xml:space="preserve">הצעת חוק המרכז למורשת ארגון אליאנס: כל ישראל חברים, התשפ"ו-2025</t>
  </si>
  <si>
    <t xml:space="preserve"> (פ/6354/25)</t>
  </si>
  <si>
    <t xml:space="preserve">הצעת חוק זכויות החולה (תיקון מס' 20) (מסירת מידע לצורך מניעת פגיעה), התשפ"ו-2025</t>
  </si>
  <si>
    <t xml:space="preserve"> (מ/1913)</t>
  </si>
  <si>
    <t xml:space="preserve">חוק לתיקון פקודת התעבורה (מס' 138), התשפ"ו-2025</t>
  </si>
  <si>
    <t xml:space="preserve"> (פ/5227/25)</t>
  </si>
  <si>
    <t xml:space="preserve"> (כ/1127)</t>
  </si>
  <si>
    <t xml:space="preserve">10.12.2025</t>
  </si>
  <si>
    <t xml:space="preserve">החוק קובע כי נוהג ברכב המיועד להצלת חיי אדם, שמירה על הביטחון, שמירה על שלום הציבור, זיהוי קורבנות אסון או הובלת נפטרים, הנכלל ברשימת סוגי כלי הרכב המפורטת בתוספת השש עשרה לפקודת התעבורה, רשאי לנסוע בנתיב תחבורה ציבורית בכל עת, גם שלא במסגרת נסיעת חירום, וזאת במטרה להקל את ביצוע המשימות שלשמן מיועדים כלי רכב אלה. בין סוגי כלי הרכב המפורטים בתוספת כאמור נכללים אמבולנסים, כבאיות, כלי רכב שמשמשים את שירות בתי הסוהר למשימות מבצעיות או ליווי אסירים, כלי רכב של עמותת זק"א ועוד. יצוין כי לפי הוראות סעיף 41 לפקודת התעבורה, ניתן לשנות את רשימת סוגי כלי הרכב המנויים בתוספת השש עשרה, באמצעות תקנות ששר התחבורה והבטיחות בדרכים מוסמך להתקין באישור ועדת הכלכלה של הכנסת. לצורך אכיפת הוראות החוק, נקבע כי גוף המפעיל כלי רכב מסוגים כאמור יעביר לרשות הרישוי במשרד התחבורה והבטיחות בדרכים רשימה של מספרי הרישום של כלי הרכב האמורים ויעדכן את הרשימה מזמן לזמן. כן נקבע כי מספרי רישום כאמור יהיו זמינים לעיונה של כל רשות מקומית, כדי שזו תוכל להימנע ממתן דוחות תנועה שלא כדין. הוראות החוק לעניין העברת המידע לרשות הרישוי ייכנסו לתוקף בתום שישה חודשים מיום פרסומו של החוק ברשומות. </t>
  </si>
  <si>
    <t xml:space="preserve">הצעת חוק הבנקאות (שירות ללקוח) (תיקון - ביטול פעולה מכוח הרשאה לחיוב בשל היעדר יתרה מספקת בחשבון והגבלת עמלות בשל הרשאה לחיוב), התשפ"ה-2025</t>
  </si>
  <si>
    <t xml:space="preserve"> (פ/5963/25)</t>
  </si>
  <si>
    <t xml:space="preserve">הצעת חוק משפחות חיילים שנספו במערכה (תגמולים ושיקום) (תיקון - שעת הורות בעבודה לאלמן או לאלמנה בשנת האבל הראשונה), התשפ"ה-2025</t>
  </si>
  <si>
    <t xml:space="preserve"> (פ/5898/25)</t>
  </si>
  <si>
    <t xml:space="preserve">הצעת חוק עיון במרשמי המקרקעין ביהודה והשומרון, התשפ"ה-2025</t>
  </si>
  <si>
    <t xml:space="preserve"> (פ/5845/25)</t>
  </si>
  <si>
    <t xml:space="preserve">הצעת חוק למאבק בהברחות נשק (תיקוני חקיקה), התשפ"ה-2025</t>
  </si>
  <si>
    <t xml:space="preserve"> (פ/5832/25)</t>
  </si>
  <si>
    <t xml:space="preserve">הצעת חוק קבלת ילד של משרת מילואים למעון יום והשתתפות המדינה בעלות שכר הלימוד בו, התשפ"ה-2025</t>
  </si>
  <si>
    <t xml:space="preserve"> (פ/5816/25)</t>
  </si>
  <si>
    <t xml:space="preserve">הצעת חוק מניעת חרמות במערכת החינוך, התשפ"ה-2025</t>
  </si>
  <si>
    <t xml:space="preserve"> (פ/5689/25)</t>
  </si>
  <si>
    <t xml:space="preserve"> (פ/5412/25)</t>
  </si>
  <si>
    <t xml:space="preserve">הצעת חוק העונשין (תיקון - תקיפת עיתונאים), התשפ"ה-2024</t>
  </si>
  <si>
    <t xml:space="preserve"> (פ/5048/25)</t>
  </si>
  <si>
    <t xml:space="preserve">הצעת חוק הביטוח הלאומי (תיקון - דמי לידה לעצמאיות - מתן זכות לעבודה חלקית), התשפ"ג-2023</t>
  </si>
  <si>
    <t xml:space="preserve"> (פ/1950/25)</t>
  </si>
  <si>
    <t xml:space="preserve">הצעת חוק לתיקון פקודת התעבורה (הצגת משך הזמן שנותר לאותות ברמזורים), התשפ"ג-2023</t>
  </si>
  <si>
    <t xml:space="preserve"> (פ/1669/25)</t>
  </si>
  <si>
    <t xml:space="preserve">הצעת חוק מינוי תובע מיוחד, התשפ"ו-2025</t>
  </si>
  <si>
    <t xml:space="preserve"> (פ/6353/25)</t>
  </si>
  <si>
    <t xml:space="preserve">08.12.2025</t>
  </si>
  <si>
    <t xml:space="preserve">הצעת חוק קידום הביטחון התזונתי בישראל, התשפ"ו-2025</t>
  </si>
  <si>
    <t xml:space="preserve"> (פ/6352/25)</t>
  </si>
  <si>
    <t xml:space="preserve">הצעת חוק התקשורת (שידורים), התשפ"ו-2025</t>
  </si>
  <si>
    <t xml:space="preserve"> (פ/6351/25)</t>
  </si>
  <si>
    <t xml:space="preserve">הצעת חוק הכללת אמצעי זיהוי ביומטריים ונתוני זיהוי ביומטריים במסמכי זיהוי ובמאגר מידע (תיקון - קבלת תמונת טביעת אצבע של נפטר על ידי יורשו), התשפ"ו-2025</t>
  </si>
  <si>
    <t xml:space="preserve"> (פ/6349/25)</t>
  </si>
  <si>
    <t xml:space="preserve">הצעת חוק לטיפול סביבתי בציוד חשמלי ואלקטרוני ובסוללות (תיקון - חובת מיחזור פסולת סוללות לרכב חשמלי ורכב היברידי), התשפ"ו-2025</t>
  </si>
  <si>
    <t xml:space="preserve"> (פ/6347/25)</t>
  </si>
  <si>
    <t xml:space="preserve">הצעת חוק הרשויות המקומיות (בחירת ראש הרשות וסגניו וכהונתם) (תיקון - סגני ראש הרשות), התשפ״ו-2025</t>
  </si>
  <si>
    <t xml:space="preserve"> (פ/6346/25)</t>
  </si>
  <si>
    <t xml:space="preserve">הצעת חוק מענק לחטוף ששב מן השבי או למשפחתו של חטוף שנרצח בשבי וגופתו הושבה בעקבות מתקפת 7 באוקטובר, התשפ"ו–2025 </t>
  </si>
  <si>
    <t xml:space="preserve"> (פ/6345/25)</t>
  </si>
  <si>
    <t xml:space="preserve"> (פ/6344/25)</t>
  </si>
  <si>
    <t xml:space="preserve">הצעת חוק שירות ביטחון (תיקון - סיוע טיפולי לבוגרי השירות הצבאי), התשפ"ו-2025</t>
  </si>
  <si>
    <t xml:space="preserve"> (פ/6343/25)</t>
  </si>
  <si>
    <t xml:space="preserve">הצעת חוק האזרחות והכניסה לישראל (הוראת שעה) (תיקון - איסור שהייה וישיבה של פעילי טרור וקרוביהם), התשפ"ו-2025</t>
  </si>
  <si>
    <t xml:space="preserve"> (פ/6342/25)</t>
  </si>
  <si>
    <t xml:space="preserve">הצעת חוק הנצחת זכרם של קורבנות הטבח בכפר קאסם, התשפ"ו-2025</t>
  </si>
  <si>
    <t xml:space="preserve"> (פ/6341/25)</t>
  </si>
  <si>
    <t xml:space="preserve">הצעת חוק התכנון והבנייה (תיקון - מורשה להיתר), התשפ"ו-2025</t>
  </si>
  <si>
    <t xml:space="preserve"> (פ/6340/25)</t>
  </si>
  <si>
    <t xml:space="preserve">הצעת חוק האגודות העותומניות (רישום ופיקוח), התשפ"ו-2025</t>
  </si>
  <si>
    <t xml:space="preserve"> (פ/6338/25)</t>
  </si>
  <si>
    <t xml:space="preserve"> (פ/6337/25)</t>
  </si>
  <si>
    <t xml:space="preserve"> (פ/6336/25)</t>
  </si>
  <si>
    <t xml:space="preserve">חוק לתיקון דיני הראיות (הגנת ילדים) (תיקון מס' 20), התשפ"ו-2025</t>
  </si>
  <si>
    <t xml:space="preserve"> (מ/1904)</t>
  </si>
  <si>
    <t xml:space="preserve">03.12.2025</t>
  </si>
  <si>
    <t xml:space="preserve">החוק קובע כי כאשר לקטין שנחקר בידי חוקר ילדים כנפגע עבירה או כעד לה מלאו  14 שנים במועד מתן עדותו אך טרם מלאו לו 15 שנים, יהיה חוקר הילדים רשאי ללוות אותו בעדותו ולקבוע תנאים למתן העדות, בדומה להסדר החל על ילדים שטרם מלאו להם 14 שנים, במטרה לאפשר לו למסור עדות מלאה ולצמצם את הנזק הנפשי שעלול להיגרם לו כתוצאה מהעדות. בנוסף, הוראת השעה שנקבעה בעקבות אירועי 7 באוקטובר ולפיה ילדים עד גיל 14 שנפגעו או היו עדים לעבירות המתה או חטיפה בקשר למעשה טרור או לפגיעת איבה ייחקרו בחקירת ילדים, עוגנה כהוראת קבע. ואולם, נמחקה הוראת השעה בדבר חובה להיוועץ בחוקר ילדים בטרם הזמנת ילד נפגע עבירת טרור או עד לה, שהתייחסה לחקירה על עבירה שבוצעה בתקופה שמיום 7 באוקטובר 2023. בנוסף, החוק מרחיב את האפשרות למסור קלטות חקירה או תמלילי חקירה האסורים בפרסום לצורך הכנת חוות דעת בקשר להליך פלילי.</t>
  </si>
  <si>
    <t xml:space="preserve">הצעת חוק לתיקון דיני הראיות (הגנת ילדים) (תיקון - הרחבת ההסדרים הקבועים בחוק לילדים אשר עברו את גיל 14 במועד העדות), התשפ"ג-2023</t>
  </si>
  <si>
    <t xml:space="preserve"> (פ/2472/25)</t>
  </si>
  <si>
    <t xml:space="preserve">הצעת חוק הביטוח הלאומי (תיקון - הגבלת שכר טרחה עבור טיפול בתביעה לנפגעי איבה), התשפ"ד-2023</t>
  </si>
  <si>
    <t xml:space="preserve"> (פ/4093/25)</t>
  </si>
  <si>
    <t xml:space="preserve">הצעת חוק הנכים (תגמולים ושיקום) (תיקון - הגבלת שכר טרחת עורך דין), התשפ"ג-2023</t>
  </si>
  <si>
    <t xml:space="preserve"> (פ/1662/25)</t>
  </si>
  <si>
    <t xml:space="preserve">הצעת חוק שירות ביטחון (תיקון - מתווה בן-גוריון לדחייה ופטור משירות מטעמי לימודי דת), התשפ"ו-2025</t>
  </si>
  <si>
    <t xml:space="preserve"> (פ/6197/25)</t>
  </si>
  <si>
    <t xml:space="preserve">הצעת חוק התכנון והבנייה (תיקון - הצללת המרחב הציבורי), התשפ"ה-2025</t>
  </si>
  <si>
    <t xml:space="preserve"> (פ/6116/25)</t>
  </si>
  <si>
    <t xml:space="preserve">הצעת חוק-יסוד: הכנסת (תיקון - ייצוג מינימלי לשני המינים ברשימת מועמדים לכנסת)</t>
  </si>
  <si>
    <t xml:space="preserve"> (פ/6058/25)</t>
  </si>
  <si>
    <t xml:space="preserve"> (פ/5562/25)</t>
  </si>
  <si>
    <t xml:space="preserve">הצעת חוק לתיקון פקודת מס הכנסה (פטור ממס למשרת מילואים פעיל) (הוראת שעה - חרבות ברזל), התשפ"ה-2025</t>
  </si>
  <si>
    <t xml:space="preserve"> (פ/5407/25)</t>
  </si>
  <si>
    <t xml:space="preserve">הצעת חוק העונשין (תיקון - החמרת ענישה על סיוע לאויב במלחמה), התשפ"ה-2024</t>
  </si>
  <si>
    <t xml:space="preserve"> (פ/5077/25)</t>
  </si>
  <si>
    <t xml:space="preserve">הצעת חוק משק החשמל (תיקון - תעריף מופחת לבתי חולים בפריפריה), התשפ"ג-2023</t>
  </si>
  <si>
    <t xml:space="preserve"> (פ/2938/25)</t>
  </si>
  <si>
    <t xml:space="preserve"> (פ/1489/25)</t>
  </si>
  <si>
    <t xml:space="preserve">הצעת חוק הטבות לניצולי שואה (תיקון - זכאות למענק הטבות שנתי לבן זוג של ניצול שואה שנפטר), התשפ"ג-2022</t>
  </si>
  <si>
    <t xml:space="preserve"> (פ/366/25)</t>
  </si>
  <si>
    <t xml:space="preserve">הצעת חוק מניעת פגיעת גוף שידורים זר בביטחון המדינה (הוראת שעה - חרבות ברזל) (תיקון - מניעת שידורים), התשפ"ד-2024</t>
  </si>
  <si>
    <t xml:space="preserve"> (פ/4886/25)</t>
  </si>
  <si>
    <t xml:space="preserve">הח"כ המציע חזר בו אחרי דיון מוקדם</t>
  </si>
  <si>
    <t xml:space="preserve">02.12.2025</t>
  </si>
  <si>
    <t xml:space="preserve">חוק הסיוע המשפטי (תיקון מס' 30), התשפ"ו–2025</t>
  </si>
  <si>
    <t xml:space="preserve"> (מ/1859)</t>
  </si>
  <si>
    <t xml:space="preserve">החוק נועד להתמודד עם תופעות של עוקץ וניצול כלכלי של אזרחים ותיקים. על כן הוא קובע זכאות לסיוע משפטי לאדם שמלאו לו 65 שנים בהליכים המבוססים על ניצול קושי, חולשה, מצב קוגניטיבי, בריאותי או קשיי שפה של האדם – בתביעות שעילתן טעות, הטעיה, כפייה או עושק לפי חוק החוזים, השפעה בלתי הוגנת לפי חוק הגנת הצרכן או גזל או תרמית לפי פקודת הנזיקין, וכן בהליכים לפי חוק שירותי תשלום. סעיף 3 לחוק הסיוע המשפטי, התשל"ב–1972, הדורש עמידה במבחן של זכאות כלכלית, לא יחול במקרים אלה.</t>
  </si>
  <si>
    <t xml:space="preserve">חוק בתי המשפט (תיקון מס' 106), התשפ"ו–2025</t>
  </si>
  <si>
    <t xml:space="preserve"> (פ/3786/24)</t>
  </si>
  <si>
    <t xml:space="preserve"> (כ/917)</t>
  </si>
  <si>
    <t xml:space="preserve">החוק נועד להבנות את שיקול הדעת של בית המשפט בנוגע לצילום ולפרסום תצלום של חשוד המוחזק במעצר לפני הגשת כתב אישום באולם בית המשפט, ומבהיר כי על בית המשפט לאשר זאת רק מטעמים מיוחדים שיירשמו ואם הוא שוכנע שיש בכך עניין ציבורי של ממש העולה על הפגיעה בכבוד החשוד. הוראה דומה תחול גם בבתי הדין הצבאיים. כמו כן, נקבע איסור על פרסום צילומים של חשודים כאמור שצולמו בתוך מבנה בית המשפט (מחוץ לאולם הדיונים), אלא אם לא ניתן לזהות את העצור, או שניתנה הסכמה של בית המשפט או של החשוד לפרסום.</t>
  </si>
  <si>
    <t xml:space="preserve">הצעת חוק למניעת אלימות במוסדות למתן טיפול (תיקון - הגברת האכיפה), התשפ״ו-2025</t>
  </si>
  <si>
    <t xml:space="preserve"> (פ/6335/25)</t>
  </si>
  <si>
    <t xml:space="preserve">01.12.2025</t>
  </si>
  <si>
    <t xml:space="preserve"> (פ/6334/25)</t>
  </si>
  <si>
    <t xml:space="preserve"> (פ/6332/25)</t>
  </si>
  <si>
    <t xml:space="preserve">הצעת חוק נציבות תלונות הציבור על עובדים סוציאליים, התשפ"ו-2025</t>
  </si>
  <si>
    <t xml:space="preserve"> (פ/6331/25)</t>
  </si>
  <si>
    <t xml:space="preserve">הצעת חוק סדר הדין הפלילי (תיקון - מניעת ניגודי עניינים בחקירת היועץ המשפטי לממשלה ופרקליט המדינה), התשפ"ו-2025</t>
  </si>
  <si>
    <t xml:space="preserve"> (פ/6330/25)</t>
  </si>
  <si>
    <t xml:space="preserve">הצעת חוק הגנה בסייבר על תלמידי מערכת החינוך, התשפ״ו-2025</t>
  </si>
  <si>
    <t xml:space="preserve"> (פ/6329/25)</t>
  </si>
  <si>
    <t xml:space="preserve">הצעת חוק שלילת הטבות מבכירים במדינת ישראל, התשפ"ו-2025 </t>
  </si>
  <si>
    <t xml:space="preserve"> (פ/6328/25)</t>
  </si>
  <si>
    <t xml:space="preserve">הצעת חוק הטבות לניצולי שואה (תיקון - הגדלת מענק שנתי), התשפ"ו-2025</t>
  </si>
  <si>
    <t xml:space="preserve"> (פ/6326/25)</t>
  </si>
  <si>
    <t xml:space="preserve">הצעת חוק הבנקאות (שירות ללקוח) (תיקון - ביטול פעולה מכוח הרשאה לחיוב בשל היעדר יתרה מספקת בחשבון והגבלת עמלות בשל הרשאה לחיוב), התשפ"ו-2025</t>
  </si>
  <si>
    <t xml:space="preserve"> (פ/6325/25)</t>
  </si>
  <si>
    <t xml:space="preserve">הצעת חוק לתיקון פקודת הבנקאות (חשבונות ללא תנועה), התשפ"ו-2025</t>
  </si>
  <si>
    <t xml:space="preserve"> (פ/6324/25)</t>
  </si>
  <si>
    <t xml:space="preserve">הצעת חוק לביטול ההפליה ברכישת מקרקעין ביהודה והשומרון, התשפ"ו–2025</t>
  </si>
  <si>
    <t xml:space="preserve"> (פ/3468/25)</t>
  </si>
  <si>
    <t xml:space="preserve"> (כ/1164)</t>
  </si>
  <si>
    <t xml:space="preserve">חוק המאבק בטרור (תיקון מס' 9 והוראת שעה) (תיקון), התשפ"ו-2025</t>
  </si>
  <si>
    <t xml:space="preserve"> (מ/1899)</t>
  </si>
  <si>
    <t xml:space="preserve">26.11.2025</t>
  </si>
  <si>
    <t xml:space="preserve">החוק מאריך את הוראת השעה שקובעת עבירה של צריכת פרסומי טרור בחוק המאבק בטרור, עד 30 בנובמבר 2027.</t>
  </si>
  <si>
    <t xml:space="preserve">חוק התכנון והבנייה (תיקון מס' 163), התשפ"ה–2025</t>
  </si>
  <si>
    <t xml:space="preserve"> (פ/4940/25)</t>
  </si>
  <si>
    <t xml:space="preserve"> (כ/1126)</t>
  </si>
  <si>
    <t xml:space="preserve">מוצע להרחיב את תחולת ההסדר שנקבע לעניין אזורי עימות המאפשר  תוספת שטח לצורך חדר שירותים או חדר רחצה למרחב מוגן דירתי , לרבות ההוראות לעניין תשלום פיצויים ופטור מהיטל השבחה והליכי הרישוי המקוצרים, לכל רחבי המדינה. כן, לעניין בניין קיים מוצע לקבוע כי גם תוספת למרחב מוגן דירתי שלא תעלה על 3 מ"ר מעל השטח הקבוע לפי חוק ההתגוננות האזרחית, שאינה נועדה להקמת חדר שירותים או חדר רחצה, לא תיחשב כסטייה מתוכנית, גם על שטח זה יחולו ההוראות כאמור לעניין תשלום פיצויים ופטור מהיטל השבחה והליכי רישוי מקוצרים. כמו כן, לעניין בניין שטרם החלה בנייתו מוצע לקבוע כי הוספת השטח הנוסף שאינו לשירותים או חדר רחצה תתאפשר רק בדירות ששטחם עולה על 80 מ"ר לפני הוספת השטח הנוסף . הוראות אלו יחולו רק לגבי תכניות שהופקדו לפני  יום תחילתו של החוק.  עם זאת, יינתן פטור מהיטל השבחה על השטח הנוסף המורחב, ככל שייקבע בתכנית. בנוסף, מוצע להחיל את הוראות התקנות החלות היום רק לגבי תוספת שטח נוסף לצורך שירותים בממ"דים באזורי עימות גם על השטח הנוסף לשירותים בכל הארץ ולגבי השטח הנוסף שלא נועד לצורך חדר שירותים. לבסוף, מוצע להפוך להוראת קבע הוראות אשר אפשרו הקמת מרחב מוגן דירתי בהליך רישוי מקוצר, ולתקן את ההגדרה "דירה קטנה" ולהגדירה כדירה ששטח הבנייה הכולל שלה אינו עולה על 80 מ"ר.</t>
  </si>
  <si>
    <t xml:space="preserve">הצעת חוק לימוד חובה (תיקון - הפחתת תקציב בשל אי-גיוס בוגרים), התשפ"ה- 2025</t>
  </si>
  <si>
    <t xml:space="preserve"> (פ/5910/25)</t>
  </si>
  <si>
    <t xml:space="preserve">הצעת חוק שירותי אבטחה, התשפ"ה-2025</t>
  </si>
  <si>
    <t xml:space="preserve"> (פ/5875/25)</t>
  </si>
  <si>
    <t xml:space="preserve">הצעת חוק מענק לחטוף ששב מן השבי או למשפחתו של חטוף שנרצח בשבי וגופתו הושבה בעקבות מתקפת 7 באוקטובר, התשפ"ה-2025 </t>
  </si>
  <si>
    <t xml:space="preserve"> (פ/5736/25)</t>
  </si>
  <si>
    <t xml:space="preserve">הצעת חוק איסור הפליה במוצרים, בשירותים ובכניסה למקומות בידור ולמקומות ציבוריים (תיקון - הגדלת סכום הפיצוי בלא הוכחת נזק), התשפ"ה-2024</t>
  </si>
  <si>
    <t xml:space="preserve"> (פ/5247/25)</t>
  </si>
  <si>
    <t xml:space="preserve">הצעת חוק-יסוד: השפיטה (תיקון - סמכויות שיפוט ותקנות סדרי דין באישור ועדה)</t>
  </si>
  <si>
    <t xml:space="preserve"> (פ/435/25)</t>
  </si>
  <si>
    <t xml:space="preserve">25.11.2025</t>
  </si>
  <si>
    <t xml:space="preserve">חוק הסדרים במשק המדינה (תיקוני חקיקה להשגת יעדי התקציב) (תיקון מס' 20), התשפ"ו–2025</t>
  </si>
  <si>
    <t xml:space="preserve"> (פ/521/25)</t>
  </si>
  <si>
    <t xml:space="preserve"> (כ/1133)</t>
  </si>
  <si>
    <t xml:space="preserve">הצעת חוק כליאתם והעמדתם לדין של המשתתפים באירועי 7 באוקטובר, התשפ"ו-2025</t>
  </si>
  <si>
    <t xml:space="preserve"> (פ/6320/25)</t>
  </si>
  <si>
    <t xml:space="preserve">24.11.2025</t>
  </si>
  <si>
    <t xml:space="preserve">הצעת חוק לתיקון פקודת הרופאים (אי-הכרה בלימודי רפואה שנערכו במדינות עוינות או ברשות הפלסטינית), התשפ"ו-2025</t>
  </si>
  <si>
    <t xml:space="preserve"> (פ/6319/25)</t>
  </si>
  <si>
    <t xml:space="preserve">הצעת חוק העדפה מתקנת למשרתים בשירות צבאי או לאומי, התשפ"ו-2025</t>
  </si>
  <si>
    <t xml:space="preserve"> (פ/6318/25)</t>
  </si>
  <si>
    <t xml:space="preserve">הצעת חוק בתי הדין הדתיים הדרוזיים (תיקון - כשירות למינוי קאדי מד'הב), התשפ"ו-2025</t>
  </si>
  <si>
    <t xml:space="preserve"> (פ/6317/25)</t>
  </si>
  <si>
    <t xml:space="preserve">הצעת חוק לתיקון פקודת מס הכנסה (ניכוי ריבית על משכנתה וסיוע ברכישת דירה), התשפ"ו-2025</t>
  </si>
  <si>
    <t xml:space="preserve"> (פ/6316/25)</t>
  </si>
  <si>
    <t xml:space="preserve"> (פ/6314/25)</t>
  </si>
  <si>
    <t xml:space="preserve"> (פ/6313/25)</t>
  </si>
  <si>
    <t xml:space="preserve">הצעת חוק העונשין (תיקון - עבירות זיוף עמוק), התשפ"ו-2025</t>
  </si>
  <si>
    <t xml:space="preserve"> (פ/6312/25)</t>
  </si>
  <si>
    <t xml:space="preserve">הצעת חוק העונשין (תיקון - תקיפת עורך דין), התשפ"ו-2025</t>
  </si>
  <si>
    <t xml:space="preserve"> (פ/6311/25)</t>
  </si>
  <si>
    <t xml:space="preserve">הצעת חוק שמירת הניקיון (תיקון - תמרוץ הקמת מיתקני מיון פסולת להגדלת המחזור), התשפ"ו-2025</t>
  </si>
  <si>
    <t xml:space="preserve"> (פ/6310/25)</t>
  </si>
  <si>
    <t xml:space="preserve">הצעת חוק תכנון משק החלב (תיקון - קביעת מחירים וחישוב עלויות ייצור חלב), התשפ"ו-2025</t>
  </si>
  <si>
    <t xml:space="preserve"> (פ/6309/25)</t>
  </si>
  <si>
    <t xml:space="preserve">הצעת חוק להנצחת תרומתה של עליית מרכז ומזרח אירופה, התשפ"ו-2025</t>
  </si>
  <si>
    <t xml:space="preserve"> (פ/6306/25)</t>
  </si>
  <si>
    <t xml:space="preserve">הצעת חוק הפיקוח על שירותים פיננסיים (קופות גמל) (תיקון - הפקדה עצמאית לקרן השתלמות), התשפ"ו-2025</t>
  </si>
  <si>
    <t xml:space="preserve"> (פ/6305/25)</t>
  </si>
  <si>
    <t xml:space="preserve">הצעת חוק התכנון והבנייה (תיקון - פטור מהיטל השבחה למוסד ללא כוונות רווח), התשפ"ו-2025</t>
  </si>
  <si>
    <t xml:space="preserve"> (פ/6304/25)</t>
  </si>
  <si>
    <t xml:space="preserve">הצעת חוק העונשין (תיקון - ביטול העבירה על העלבת עובד ציבור), התשפ"ו-2025</t>
  </si>
  <si>
    <t xml:space="preserve"> (פ/6303/25)</t>
  </si>
  <si>
    <t xml:space="preserve">הצעת חוק תגמולים לבני משפחה של חטופים ונעדרים בפעולת איבה (תיקון - תגמול הסתגלות כלכלית), התשפ"ו-2025</t>
  </si>
  <si>
    <t xml:space="preserve"> (פ/6302/25)</t>
  </si>
  <si>
    <t xml:space="preserve">הצעת חוק ביטוח בריאות ממלכתי (תיקון - פנייה לנציב קבילות הציבור), התשפ"ו-2025</t>
  </si>
  <si>
    <t xml:space="preserve"> (פ/6301/25)</t>
  </si>
  <si>
    <t xml:space="preserve">הצעת חוק רישוי שירותים ומקצועות בענף הרכב (תיקון - הסרת מגבלות והרחבת אפשרות יבוא כלי רכב), התשפ"ו-2025</t>
  </si>
  <si>
    <t xml:space="preserve"> (פ/6300/25)</t>
  </si>
  <si>
    <t xml:space="preserve">הצעת חוק הבנקאות (שירות ללקוח) (תיקון - שירות מקוון ללקוח), התשפ"ו-2025</t>
  </si>
  <si>
    <t xml:space="preserve"> (פ/6299/25)</t>
  </si>
  <si>
    <t xml:space="preserve">הצעת חוק זכויות הסטודנט (תיקון - מעונות סטודנטים), התשפ"ו-2025</t>
  </si>
  <si>
    <t xml:space="preserve"> (פ/6298/25)</t>
  </si>
  <si>
    <t xml:space="preserve">חוק לתיקון פקודת מס הכנסה (מס' 283), התשפ"ו-2025</t>
  </si>
  <si>
    <t xml:space="preserve"> (מ/1890)</t>
  </si>
  <si>
    <t xml:space="preserve">19.11.2025</t>
  </si>
  <si>
    <t xml:space="preserve">הצעת חוק שירות המילואים, התשפ"ה-2025</t>
  </si>
  <si>
    <t xml:space="preserve"> (פ/5692/25)</t>
  </si>
  <si>
    <t xml:space="preserve">הצעת חוק קליטת חיילים משוחררים (תיקון - מענק דמי מחייה ללוחמות משוחררות), התשפ"ה-2024</t>
  </si>
  <si>
    <t xml:space="preserve"> (פ/5220/25)</t>
  </si>
  <si>
    <t xml:space="preserve">הצעת חוק הפעלת תחבורה ציבורית בשבת, התשפ"ג-2023</t>
  </si>
  <si>
    <t xml:space="preserve"> (פ/2237/25)</t>
  </si>
  <si>
    <t xml:space="preserve">הצעת חוק החובה למתן חינוך בלתי פורמאלי לילדים ולנוער, התשפ"ג-2023</t>
  </si>
  <si>
    <t xml:space="preserve"> (פ/1398/25)</t>
  </si>
  <si>
    <t xml:space="preserve">הצעת חוק הפעלת תחבורה ציבורית בשבת, התשפ"ג-2022</t>
  </si>
  <si>
    <t xml:space="preserve"> (פ/634/25)</t>
  </si>
  <si>
    <t xml:space="preserve">הצעת חוק המרכז לגביית קנסות, אגרות והוצאות (תיקון מס' 29) (פריסת תשלום בעד חוב שטרם חלף המועד לתשלומו), התשפ"ד-2024</t>
  </si>
  <si>
    <t xml:space="preserve"> (מ/1772)</t>
  </si>
  <si>
    <t xml:space="preserve">18.11.2025</t>
  </si>
  <si>
    <t xml:space="preserve">הצעת חוק הדיור הציבורי (זכויות רכישה) (תיקון - הארכת תוקף והוספת תבחינים לרכישת הדירה), התשפ"ג-2023</t>
  </si>
  <si>
    <t xml:space="preserve"> (פ/3039/25)</t>
  </si>
  <si>
    <t xml:space="preserve">הצעת חוק הדיור הציבורי (זכויות רכישה) (תיקון - הארכת תוקף), התשפ"ג-2023</t>
  </si>
  <si>
    <t xml:space="preserve"> (פ/3016/25)</t>
  </si>
  <si>
    <t xml:space="preserve"> (פ/2727/25)</t>
  </si>
  <si>
    <t xml:space="preserve"> (פ/1395/25)</t>
  </si>
  <si>
    <t xml:space="preserve">הצעת חוק הדיור הציבורי (זכויות רכישה) (תיקון - הארכת תוקף), התשפ"ג-2022</t>
  </si>
  <si>
    <t xml:space="preserve"> (פ/1007/25)</t>
  </si>
  <si>
    <t xml:space="preserve">חוק הכניסה לישראל (תיקון מס' 43 והוראת שעה - חרבות ברזל), התשפ"ו-2025</t>
  </si>
  <si>
    <t xml:space="preserve"> (מ/1867)</t>
  </si>
  <si>
    <t xml:space="preserve">מוצע להרחיב את גדרי פעולת הוועדה המייעצת לשר הפנים, לגביי כל בקשות הארכה לישיבת ביקור לשם העסקה של עובד זר במתן טיפול סיעודי למטופל. עוד מוצע לקבוע כהוראת שעה לתקופה של ארבעה חודשים, הסדר שיאפשר בחינה מחדש ואישור בקשות הארכה של מטופלים שנקלטו במערכת הממוחשבת של רשות האוכלוסין וההגירה, בתקופה שמיום כ"ב בתשרי התשפ"ד (7 באוקטובר 2023) עד יום כ"ב באלול התשפ"ה (15 בספטמבר 2025) או שנדחו באותה תקופה, במקרים בהם הקשר הטיפולי בין המטופל לעובד הזר נמשך מעל שלושה חודשים, ובלבד שהבקשה עומדת בתנאים המוצעים- במועד הגשת בקשת ההארכה העובד לא שהה בישראל מעל התקופה המרבית המוצעת, לא הגיש בקשה למעמד בישראל ולא התקבלה לגביו החלטה שלא לחדש את הרישיון או לבטלו. </t>
  </si>
  <si>
    <t xml:space="preserve">חוק שירות לאומי-אזרחי (תיקון מס' 8), התשפ"ו-2025</t>
  </si>
  <si>
    <t xml:space="preserve"> (מ/1900)</t>
  </si>
  <si>
    <t xml:space="preserve">17.11.2025</t>
  </si>
  <si>
    <t xml:space="preserve">חוק שירות לאומי-אזרחי, התשע"ד–2014, הינו הוראת שעה המסדירה את שירותם של בוגרי ישיבות ומוסדות חינוך חרדיים שמלאו להם 21 שנים, המשרתים בשירות לאומי־אזרחי כתחליף לשירותם בצבא הגנה לישראל. השירות מתבצע בשני מסלולים עיקריים: שירות אזרחי-חברתי בתחומי הבריאות, הרווחה, החינוך, ביטחון הפנים והגנת העורף; ושירות אזרחי-ביטחוני בגופים דוגמת משטרת ישראל, שירות בתי הסוהר והרשות הארצית לכבאות והצלה. החוק כולל הוראות מפורטות לעניין ביצוע השירות, תקופתו, תנאיו וחובות הגופים המפעילים, ומסמיך את הרשות לשירות לאומי-אזרחי על ניהול המערך והפיקוח עליו. כדי להמשיך ולאפשר למי ששירותו הצבאי נדחה להשתלב בשירות לאומי-אזרחי, הוארך תוקפו של החוק מעת לעת. כעת, במסגרת תיקון מס' 8 לחוק, נקבע כי תוקף הוראת השעה יוארך פעם נוספת, כך שהחוק יעמוד בתוקפו עד ליום י"ג בניסן התשפ"ו (31 במרץ 2026). </t>
  </si>
  <si>
    <t xml:space="preserve">הצעת חוק העונשין (תיקון - קנס על החזקת נשק בלתי חוקי), התשפ"ה-2024</t>
  </si>
  <si>
    <t xml:space="preserve"> (פ/5135/25)</t>
  </si>
  <si>
    <t xml:space="preserve">חוק הביטוח הלאומי (תיקון מס' 253 והוראות שעה), התשפ"ה-2025 </t>
  </si>
  <si>
    <t xml:space="preserve"> (מ/1826)</t>
  </si>
  <si>
    <t xml:space="preserve">התיקון לחוק קובע כמה הוראות לעניין חישוב תגמולי מילואים: ראשית, התגמול המינימלי ליום מילואים ימשיך לעמוד על שיעור מוגדל של 95% מהסכום הבסיסי לחודש חלקי 30 (כ-321 ש"ח ליום) עד לסוף שנת 2025.  שנית, כהוראת שעה עבור עובדים עצמאיים ששירתו במילואים בין פברואר 2023 לסוף שנת 2025 והחלו לפעול כעצמאים עד סוף שנת 2024, התגמול יחושב לפי הגבוה מבין אלה: ההכנסה המחושבת לפי השומה הסופית או ההכנסה ששימשה בסיס לחישוב גובה המקדמות ששולמו לביטוח הלאומי ועל פיה שולמו תגמולי המילואים. התיקון יביא, בין השאר לביטול חובות שנוצרו לעצמאים שקיבלו תגמולים לפי המקדמות, הגבוהים מהכנסתם לפי השומה הסופית.  שלישית, נקבע בסעיף 274ב לחוק הביטוח הלאומי כללים לחישוב התגמול במקרה של "סבבי מילואים" בתקופת חירום, כך שמי שנקרא לשירות נוסף בתוך פחות מ-90 ימים מסיום שירות קודם במילואים יקבל תגמול המבוסס על השכר שקדם לסבב המילואים הראשון שלו בתקופת החירום. לפי התיקון, עליית שכר של עד 20% בין הסבבים תובא בחשבון, ואילו עלייה גבוהה מכך תוכר רק אם יוכח שהיא נובעת מעבודה ולא מתגמולי המילואים עצמם; גרירת שכר לפי סעיף 279 לחוק הביטוח הלאומי לא תחול לעניין שירות מילואים נוסף שהחל בתקופת החירום,  למעט לגבי מבוטח שחלו לגביו ההוראות של סעיף 279 לפני תחילת תקופת החירום – שלגביו תתאפשר גרירת השכר אך יחולו ההוראות הנוגעות לחישוב עליית השכר עד 20% ומעל 20%. הוראות אלו לגבי סבבי השירות נכנסו לתוקף ב-1 במאי 2025  לגבי שירות מילואים מאותו מועד ואילך, והן יחולו בתקופת חירום כפי שהיא מוגדרת בתיקון – לפי קריאה למילואים בצו 8, אלא אם כן שר העבודה, בהסכמת שר האוצר ושר הביטחון ובאישור ועדת העבודה והרווחה קבע בצו כי ההוראות לא יחולו בתקופת החירום או חלקה. </t>
  </si>
  <si>
    <t xml:space="preserve">חוק שיפוט בתי דין רבניים (נישואין וגירושין) (תיקון מס' 6 - הוראת שעה), התשפ"ו-2025</t>
  </si>
  <si>
    <t xml:space="preserve"> (מ/1851)</t>
  </si>
  <si>
    <t xml:space="preserve">הצעת חוק למניעת חסימת ציר תנועה חיוני, התשפ״ו-2025</t>
  </si>
  <si>
    <t xml:space="preserve"> (פ/6297/25)</t>
  </si>
  <si>
    <t xml:space="preserve">הצעת חוק קרן סיוע לקבוצות כדורגל חובבניות, התשפ"ו-2025</t>
  </si>
  <si>
    <t xml:space="preserve"> (פ/6293/25)</t>
  </si>
  <si>
    <t xml:space="preserve">הצעת חוק הממשלה (תיקון - כללי אתיקה לחברי הממשלה), התשפ"ו-2025</t>
  </si>
  <si>
    <t xml:space="preserve"> (פ/6291/25)</t>
  </si>
  <si>
    <t xml:space="preserve">הצעת חוק-יסוד: ירושלים בירת ישראל (תיקון - שימור ערכי הטבע והמורשת הלאומית)</t>
  </si>
  <si>
    <t xml:space="preserve"> (פ/6290/25)</t>
  </si>
  <si>
    <t xml:space="preserve">הצעת חוק ההוצאה לפועל (תיקון - איסור עיקול כספים המיועדים לקיום זכויות יסוד), התשפ"ו-2025</t>
  </si>
  <si>
    <t xml:space="preserve"> (פ/6289/25)</t>
  </si>
  <si>
    <t xml:space="preserve">הצעת חוק לביטול חובות עבר לרשויות מקומיות מוחלשות, התשפ״ו-2025</t>
  </si>
  <si>
    <t xml:space="preserve"> (פ/6288/25)</t>
  </si>
  <si>
    <t xml:space="preserve">הצעת חוק איסור הלבנת הון (תיקון - הוספת עבירת סחר לא חוקי בערכי טבע מוגנים), התשפ"ו-2025</t>
  </si>
  <si>
    <t xml:space="preserve"> (פ/6287/25)</t>
  </si>
  <si>
    <t xml:space="preserve">הצעת חוק זכויות הסטודנט (תיקון - התאמות לסטודנטים לא יהודים), התשפ"ו-2025</t>
  </si>
  <si>
    <t xml:space="preserve"> (פ/6284/25)</t>
  </si>
  <si>
    <t xml:space="preserve">הצעת חוק-יסוד: הכנסת (תיקון - התניית הצבעה בשירות צבאי או לאומי)</t>
  </si>
  <si>
    <t xml:space="preserve"> (פ/6283/25)</t>
  </si>
  <si>
    <t xml:space="preserve">הצעת חוק המכר (דירות) (תיקון - חובת מסירת מידע על מנגנון שבת במפרט), התשפ"ו-2025</t>
  </si>
  <si>
    <t xml:space="preserve"> (פ/6282/25)</t>
  </si>
  <si>
    <t xml:space="preserve">הצעת חוק יום לציון עליית יהודי צפון אפריקה לישראל במאה ה-19 (עליית הת"ר), התשפ"ו-2025</t>
  </si>
  <si>
    <t xml:space="preserve"> (פ/6280/25)</t>
  </si>
  <si>
    <t xml:space="preserve">הצעת חוק יום המודעות ליתר לחץ דם, התשפ"ו-2025</t>
  </si>
  <si>
    <t xml:space="preserve"> (פ/6279/25)</t>
  </si>
  <si>
    <t xml:space="preserve"> (פ/6278/25)</t>
  </si>
  <si>
    <t xml:space="preserve">הצעת חוק המקרקעין (תיקון מס' 39) (הצמדת חניות נגישות בבית משותף חדש), התשפ"ו-2025</t>
  </si>
  <si>
    <t xml:space="preserve"> (מ/1905)</t>
  </si>
  <si>
    <t xml:space="preserve"> (פ/6215/25)</t>
  </si>
  <si>
    <t xml:space="preserve">12.11.2025</t>
  </si>
  <si>
    <t xml:space="preserve">הצעת חוק לעידוד השקעות הון (תיקון - הטבות למפעל מתחרה בשוק ריכוזי), התשפ"ה-2025</t>
  </si>
  <si>
    <t xml:space="preserve"> (פ/5923/25)</t>
  </si>
  <si>
    <t xml:space="preserve">הצעת חוק לתיקון פקודת הראיות (חיסיון עיתונאי), התשפ"ה-2025</t>
  </si>
  <si>
    <t xml:space="preserve"> (פ/5793/25)</t>
  </si>
  <si>
    <t xml:space="preserve">הצעת חוק הקמת ועדת חקירה ממלכתית לאירועי 7 באוקטובר, התשפ"ה-2025</t>
  </si>
  <si>
    <t xml:space="preserve"> (פ/5690/25)</t>
  </si>
  <si>
    <t xml:space="preserve">הצעת חוק הביטוח הלאומי (תיקון - הגדלת קצבת אזרח ותיק והצמדתה לשכר הממוצע), התשפ"ה-2024</t>
  </si>
  <si>
    <t xml:space="preserve"> (פ/4936/25)</t>
  </si>
  <si>
    <t xml:space="preserve">הצעת חוק הקמת ועדת חקירה ממלכתית למחדלי 7 באוקטובר, התשפ"ד-2024</t>
  </si>
  <si>
    <t xml:space="preserve"> (פ/4667/25)</t>
  </si>
  <si>
    <t xml:space="preserve">הצעת חוק הביטוח הלאומי (תיקון - תוספת לחייל מילואים בהפקדות לחיסכון ארוך טווח לילד) (הוראת שעה - חרבות ברזל), התשפ"ד-2024</t>
  </si>
  <si>
    <t xml:space="preserve"> (פ/4521/25)</t>
  </si>
  <si>
    <t xml:space="preserve">הצעת חוק העונשין (תיקון - איסור על עינויים ועל יחס אכזרי, בלתי אנושי ומשפיל), התשפ"ג-2023</t>
  </si>
  <si>
    <t xml:space="preserve"> (פ/3699/25)</t>
  </si>
  <si>
    <t xml:space="preserve">הצעת חוק חינוך ממלכתי (תיקון - לימוד מורשת יהודי ברית המועצות לשעבר), התשפ"ג-2023</t>
  </si>
  <si>
    <t xml:space="preserve"> (פ/3230/25)</t>
  </si>
  <si>
    <t xml:space="preserve">הצעת חוק המאבק בטרור (תיקון מס' 12), התשפ"ו–2025</t>
  </si>
  <si>
    <t xml:space="preserve"> (פ/3157/25)</t>
  </si>
  <si>
    <t xml:space="preserve"> (כ/1033)</t>
  </si>
  <si>
    <t xml:space="preserve">הצעת חוק לתיקון פקודת התעבורה (מס' 141), התשפ"ו-2025</t>
  </si>
  <si>
    <t xml:space="preserve"> (מ/1771)</t>
  </si>
  <si>
    <t xml:space="preserve">הצעת חוק זכויות לאנשים עם מוגבלות המועסקים כמשתקמים, התשפ"ג-2023</t>
  </si>
  <si>
    <t xml:space="preserve"> (מ/1634)</t>
  </si>
  <si>
    <t xml:space="preserve">10.11.2025</t>
  </si>
  <si>
    <t xml:space="preserve">הצעת חוק תגמולים לחיילים ולבני משפחותיהם (חבלה שלא בעת מילוי תפקיד) (תיקון - חבלה שאירעה לחייל מילואים בתקופת שירות המילואים במלחמת חרבות ברזל) (הוראת שעה), התשפ"ו-2025</t>
  </si>
  <si>
    <t xml:space="preserve"> (פ/6277/25)</t>
  </si>
  <si>
    <t xml:space="preserve">הצעת חוק לצמצום השימוש במזומן (תיקון - הארכת הוראת השעה לעניין שימוש במזומן בעסקאות עם תושבי האזור או תושבי המועצה הפלסטינית), התשפ"ו-2025</t>
  </si>
  <si>
    <t xml:space="preserve"> (פ/6276/25)</t>
  </si>
  <si>
    <t xml:space="preserve">הצעת חוק המועצה להנצחת מורשת יהדות איראן והמדינות הסמוכות, התשפ"ו-2025</t>
  </si>
  <si>
    <t xml:space="preserve"> (פ/6275/25)</t>
  </si>
  <si>
    <t xml:space="preserve">הצעת חוק קליטת חיילים משוחררים (תיקון - שמירת זכויות לחייל ששירת במילואים בתום שירות סדיר), התשפ"ו-2025</t>
  </si>
  <si>
    <t xml:space="preserve"> (פ/6274/25)</t>
  </si>
  <si>
    <t xml:space="preserve">הצעת חוק לימוד חובה (תיקון - מימון המדינה לביטוח תאונות אישיות והגברת האכיפה והפיקוח על תשלומי הורים), התשפ"ו-2025</t>
  </si>
  <si>
    <t xml:space="preserve"> (פ/6273/25)</t>
  </si>
  <si>
    <t xml:space="preserve">הצעת חוק איסור אלימות בספורט (תיקון - החמרת ענישה ואיסור הסתרת פנים), התשפ"ו-2025</t>
  </si>
  <si>
    <t xml:space="preserve"> (פ/6271/25)</t>
  </si>
  <si>
    <t xml:space="preserve">הצעת חוק לתיקון פקודת מס הכנסה (זיכוי בעד תרומת מזון), התשפ"ו-2025</t>
  </si>
  <si>
    <t xml:space="preserve"> (פ/6270/25)</t>
  </si>
  <si>
    <t xml:space="preserve">הצעת חוק איסור הפליית משרתים בשירות הביטחוני, הלאומי והאזרחי, התשפ"ו-2025 </t>
  </si>
  <si>
    <t xml:space="preserve"> (פ/6269/25)</t>
  </si>
  <si>
    <t xml:space="preserve">הצעת חוק צער בעלי חיים (הגנה על בעלי חיים) (תיקון - איסור שימוש בתרנגולות במנהג הכפרות), התשפ"ו-2025</t>
  </si>
  <si>
    <t xml:space="preserve"> (פ/6268/25)</t>
  </si>
  <si>
    <t xml:space="preserve">הצעת חוק הבנקאות (שירות ללקוח) (תיקון - עיקול זמני), התשפ"ו-2025</t>
  </si>
  <si>
    <t xml:space="preserve"> (פ/6267/25)</t>
  </si>
  <si>
    <t xml:space="preserve">הצעת חוק לתיקון פקודת המשטרה (הצבת מערכת צילום ביומטרית לצורך מניעת אלימות במגרשי הספורט) (הוראת שעה), התשפ"ו-2025</t>
  </si>
  <si>
    <t xml:space="preserve"> (פ/6266/25)</t>
  </si>
  <si>
    <t xml:space="preserve">הצעת חוק הרשות לטיפול בנפגעי פוסט-טראומה והלומי קרב, התשפ"ו-2025</t>
  </si>
  <si>
    <t xml:space="preserve"> (פ/6265/25)</t>
  </si>
  <si>
    <t xml:space="preserve">הצעת חוק התחרות הכלכלית (תיקון - הגבלת העלאת מחירים במונופולין), התשפ"ו-2025</t>
  </si>
  <si>
    <t xml:space="preserve"> (פ/6264/25)</t>
  </si>
  <si>
    <t xml:space="preserve">הצעת חוק המינהל האזרחי (הכפפת קציני מטה למשרדי הממשלה), התשפ״ו-2025</t>
  </si>
  <si>
    <t xml:space="preserve"> (פ/6263/25)</t>
  </si>
  <si>
    <t xml:space="preserve">הצעת חוק יום לציון זכרו ופועלו של אלי כהן, התשפ"ו-2025</t>
  </si>
  <si>
    <t xml:space="preserve"> (פ/6262/25)</t>
  </si>
  <si>
    <t xml:space="preserve">הצעת חוק צער בעלי חיים (ניסויים בבעלי חיים) (תיקון - הגברת הפיקוח על ניסויים), התשפ"ו-2025</t>
  </si>
  <si>
    <t xml:space="preserve"> (פ/6261/25)</t>
  </si>
  <si>
    <t xml:space="preserve">הצעת חוק בתי המשפט (תיקון מס' 108) (פרסום פסיקה בענייני משפחה), התשפ"ו–2025</t>
  </si>
  <si>
    <t xml:space="preserve"> (פ/4798/25)</t>
  </si>
  <si>
    <t xml:space="preserve"> (כ/1161)</t>
  </si>
  <si>
    <t xml:space="preserve">הצעת חוק מרשם בעלי שליטה בתאגידים, התשפ"ו-2025</t>
  </si>
  <si>
    <t xml:space="preserve"> (מ/1903)</t>
  </si>
  <si>
    <t xml:space="preserve">הצעת חוק איסור הלבנת הון (תיקון - הוספת עבירת סחר לא חוקי בערכי טבע מוגנים), התשפ"ה-2025</t>
  </si>
  <si>
    <t xml:space="preserve"> (פ/5779/25)</t>
  </si>
  <si>
    <t xml:space="preserve">05.11.2025</t>
  </si>
  <si>
    <t xml:space="preserve">הצעת חוק לתיקון פקודת התעבורה (זמינות קווי שירות לאוטובוסים בלילה), התשפ"ה-2025</t>
  </si>
  <si>
    <t xml:space="preserve"> (פ/5708/25)</t>
  </si>
  <si>
    <t xml:space="preserve"> (פ/5683/25)</t>
  </si>
  <si>
    <t xml:space="preserve">הצעת חוק הרחבת האמצעים למאבק בארגוני פשיעה (תיקוני חקיקה), התשפ"ו–2025</t>
  </si>
  <si>
    <t xml:space="preserve"> (פ/3887/25)</t>
  </si>
  <si>
    <t xml:space="preserve"> (כ/1160)</t>
  </si>
  <si>
    <t xml:space="preserve">הצעת חוק-יסוד: כבוד האדם וחירותו (תיקון - הוספת סעיף שוויון)</t>
  </si>
  <si>
    <t xml:space="preserve"> (פ/342/25)</t>
  </si>
  <si>
    <t xml:space="preserve">הצעת חוק העסקת עובדים על ידי קבלני כוח אדם (תיקון מס' 13), התשפ"ו-2025</t>
  </si>
  <si>
    <t xml:space="preserve"> (מ/1782)</t>
  </si>
  <si>
    <t xml:space="preserve">04.11.2025</t>
  </si>
  <si>
    <t xml:space="preserve">חוק סדר הדין הפלילי (תיקון מס' 101), התשפ"ו-2025</t>
  </si>
  <si>
    <t xml:space="preserve"> (מ/1840)</t>
  </si>
  <si>
    <t xml:space="preserve">03.11.2025</t>
  </si>
  <si>
    <t xml:space="preserve">החוק עוסק בהארכת תוקפה של הוראת שעה המאפשרת קיום דיונים מסוימים בהשתתפות של עצורים ואסירים בהיוועדות חזותית, אם העצור או האסיר מבקש זאת באמצעות סניגורו. הוראת השעה נקבעה תחילה לתקופה של שנתיים עד 31.12.23 עם אפשרות להאריכה לתקופות נוספת של עד שנתיים נוספות במצטבר. במסגרת חוק קיום דיונים בהשתתפות עצורים, אסירים וכלואים (הוראת שעה – חרבות ברזל), התשפ"ד–2023 הקובע הסדר אחר לתקופת מלחמת חרבות ברזל, הוארכה גם תוקפה של הוראת השעה. חוק זה מנתק את התלות בין שני דברי החקיקה ומאריך את תוקפה של הוראת השעה עד סוף שנת 2025. עוד נקבע מנגון המאפשר להאריך את הוראת השעה לתקופות שלא יעלו כל אחת על שישה חודשים ובמצטבר על שנתיים.</t>
  </si>
  <si>
    <t xml:space="preserve">הצעת חוק תשלומים לפדויי שבי ולחטופים ששוחררו (תיקון - זכויות לחטופים ששהו בשבי ארגון טרור ושוחררו), התשפ"ו-2025</t>
  </si>
  <si>
    <t xml:space="preserve"> (פ/6259/25)</t>
  </si>
  <si>
    <t xml:space="preserve"> (פ/6258/25)</t>
  </si>
  <si>
    <t xml:space="preserve"> (פ/6257/25)</t>
  </si>
  <si>
    <t xml:space="preserve">הצעת חוק לתיקון פקודת המשטרה (הגבלת הסמכות להורות על מניעת גישה לאזור או למקום), התשפ"ו-2025</t>
  </si>
  <si>
    <t xml:space="preserve"> (פ/6256/25)</t>
  </si>
  <si>
    <t xml:space="preserve">הצעת חוק הביטוח הלאומי (תיקון - עבודה מועדפת במסגרת מגורים עצמאית ומוגנת למתמודדי נפש), התשפ"ו-2025</t>
  </si>
  <si>
    <t xml:space="preserve"> (פ/6255/25)</t>
  </si>
  <si>
    <t xml:space="preserve">הצעת חוק לתיקון פקודת העדה הדתית (המרה) (גיור קטינים על ידי רב עיר), התשפ"ו-2025</t>
  </si>
  <si>
    <t xml:space="preserve"> (פ/6254/25)</t>
  </si>
  <si>
    <t xml:space="preserve">הצעת חוק הביטוח הלאומי (תיקון - אי-זכאות לקצבת ילדים להורה שלא שירת בשירות מזכה), התשפ"ו-2025</t>
  </si>
  <si>
    <t xml:space="preserve"> (פ/6251/25)</t>
  </si>
  <si>
    <t xml:space="preserve">הצעת חוק הכניסה לישראל (תיקון - קיצור תקופת ביטול אשרה לעובד זר), התשפ"ו-2025</t>
  </si>
  <si>
    <t xml:space="preserve"> (פ/6250/25)</t>
  </si>
  <si>
    <t xml:space="preserve">הצעת חוק הנכים (תגמולים ושיקום) (תיקון - מבחנים לקביעת דרגת נכות לפגועי ראש), התשפ"ו-2025</t>
  </si>
  <si>
    <t xml:space="preserve"> (פ/6248/25)</t>
  </si>
  <si>
    <t xml:space="preserve">הצעת חוק-יסוד: הכרה במדינה פלסטינית</t>
  </si>
  <si>
    <t xml:space="preserve"> (פ/6246/25)</t>
  </si>
  <si>
    <t xml:space="preserve">הצעת חוק הגבלת שחרור פעילי טרור בתמורה לחטופים, התשפ"ו-2025</t>
  </si>
  <si>
    <t xml:space="preserve"> (פ/6245/25)</t>
  </si>
  <si>
    <t xml:space="preserve">הצעת חוק הגנת הצרכן (תיקון - קבלת הטבות ללא פעולה), התשפ"ו-2025</t>
  </si>
  <si>
    <t xml:space="preserve"> (פ/6244/25)</t>
  </si>
  <si>
    <t xml:space="preserve">הצעת חוק שעות עבודה ומנוחה (תיקון - שבוע עבודה בן חמישה ימים וקביעת יום ראשון כיום חופשי), התשפ"ו-2025</t>
  </si>
  <si>
    <t xml:space="preserve"> (פ/6243/25)</t>
  </si>
  <si>
    <t xml:space="preserve"> (פ/6242/25)</t>
  </si>
  <si>
    <t xml:space="preserve">הצעת חוק השידור הציבורי הישראלי (תיקון - דרך מינוי מועצת תאגיד השידור הישראלי), התשפ"ה-2025</t>
  </si>
  <si>
    <t xml:space="preserve"> (פ/5389/25)</t>
  </si>
  <si>
    <t xml:space="preserve">29.10.2025</t>
  </si>
  <si>
    <t xml:space="preserve">הצעת חוק לתיקון פקודת מס הכנסה (שלילת הכרה בעמותות המעודדות השתמטות משירות ביטחון), התשפ״ה-2025</t>
  </si>
  <si>
    <t xml:space="preserve"> (פ/6146/25)</t>
  </si>
  <si>
    <t xml:space="preserve">הצעת חוק קליטת חיילים משוחררים (תיקון - שמירת זכויות לחייל ששירת במילואים בתום שירות סדיר), התשפ"ה-2025</t>
  </si>
  <si>
    <t xml:space="preserve"> (פ/5971/25)</t>
  </si>
  <si>
    <t xml:space="preserve">הצעת חוק הנצחת זכרם של קורבנות הטבח בכפר קאסם, התשפ"ה-2025</t>
  </si>
  <si>
    <t xml:space="preserve"> (פ/5809/25)</t>
  </si>
  <si>
    <t xml:space="preserve">הצעת חוק איסור אלימות בספורט (תיקון - החמרת ענישה ואיסור הסתרת פנים), התשפ"ה-2025</t>
  </si>
  <si>
    <t xml:space="preserve"> (פ/5504/25)</t>
  </si>
  <si>
    <t xml:space="preserve">הצעת חוק הרשות לטיפול בנפגעי הלם קרב, התשפ"ה-2024</t>
  </si>
  <si>
    <t xml:space="preserve"> (פ/4921/25)</t>
  </si>
  <si>
    <t xml:space="preserve">הצעת חוק האקלים, התשפ"ג-2023</t>
  </si>
  <si>
    <t xml:space="preserve"> (פ/2141/25)</t>
  </si>
  <si>
    <t xml:space="preserve">הצעת חוק קביעת הזמן (תיקון - ביטול שעון חורף), התשפ"ג- 2022</t>
  </si>
  <si>
    <t xml:space="preserve"> (פ/859/25)</t>
  </si>
  <si>
    <t xml:space="preserve">הצעת חוק הסדרת העיסוק במקצועות הבריאות (תיקון - מסלול הסבה בדימות רפואי לבוגרי תואר ראשון מחוץ לארץ), התשפ"ו-2025</t>
  </si>
  <si>
    <t xml:space="preserve"> (פ/6239/25)</t>
  </si>
  <si>
    <t xml:space="preserve">27.10.2025</t>
  </si>
  <si>
    <t xml:space="preserve">הצעת חוק מדינות אויב ומדינות עוינות, התשפ"ו-2025</t>
  </si>
  <si>
    <t xml:space="preserve"> (פ/6238/25)</t>
  </si>
  <si>
    <t xml:space="preserve">הצעת חוק לתיקון פקודת החברות (עסקאות פקטורינג), התשפ"ו-2025</t>
  </si>
  <si>
    <t xml:space="preserve"> (פ/6237/25)</t>
  </si>
  <si>
    <t xml:space="preserve">הצעת חוק שיקום מתמודדי נפש בקהילה (תיקון - הסדרת מעמד מדריכי שיקום), התשפ"ו-2025</t>
  </si>
  <si>
    <t xml:space="preserve"> (פ/6235/25)</t>
  </si>
  <si>
    <t xml:space="preserve">הצעת חוק העונשין (תיקון - הגדרת גזענות), התשפ"ו-2025</t>
  </si>
  <si>
    <t xml:space="preserve"> (פ/6234/25)</t>
  </si>
  <si>
    <t xml:space="preserve"> (פ/6233/25)</t>
  </si>
  <si>
    <t xml:space="preserve">הצעת חוק מיסוי מקרקעין (שבח ורכישה) (תיקון - הקניית זכות במקרקעין חלף בית שנהרס או חולל באירוע טרור), התשפ"ו-2025</t>
  </si>
  <si>
    <t xml:space="preserve"> (פ/6232/25)</t>
  </si>
  <si>
    <t xml:space="preserve">הצעת חוק הבנקאות (שירות ללקוח) (תיקון - חובת הדרכה פיננסית), התשפ"ו-2025</t>
  </si>
  <si>
    <t xml:space="preserve"> (פ/6231/25)</t>
  </si>
  <si>
    <t xml:space="preserve">הצעת חוק אסדרת שוק הקנאביס לצריכה עצמית, התשפ"ו-2025</t>
  </si>
  <si>
    <t xml:space="preserve"> (פ/6230/25)</t>
  </si>
  <si>
    <t xml:space="preserve"> (פ/6229/25)</t>
  </si>
  <si>
    <t xml:space="preserve"> (פ/6228/25)</t>
  </si>
  <si>
    <t xml:space="preserve"> (פ/6227/25)</t>
  </si>
  <si>
    <t xml:space="preserve">הצעת חוק קביעת הזמן (תיקון - ביטול שעון חורף), התשפ"ו-2025</t>
  </si>
  <si>
    <t xml:space="preserve"> (פ/6226/25)</t>
  </si>
  <si>
    <t xml:space="preserve">הצעת חוק חסינות חברי הכנסת, זכויותיהם וחובותיהם (תיקון - שירות מילואים לחברי כנסת), התשפ"ו-2025</t>
  </si>
  <si>
    <t xml:space="preserve"> (פ/6224/25)</t>
  </si>
  <si>
    <t xml:space="preserve">הצעת חוק איסור פרסומת והגבלת השיווק של מוצרי טבק ועישון (תיקון - איסור על ייצור ושיווק של מוצר עישון בטעם או בריח מובחן), התשפ"ו-2025 </t>
  </si>
  <si>
    <t xml:space="preserve"> (פ/6223/25)</t>
  </si>
  <si>
    <t xml:space="preserve">הצעת חוק תכנון משק החלב (תיקון - ביטול החוק), התשפ"ו-2025</t>
  </si>
  <si>
    <t xml:space="preserve"> (פ/6222/25)</t>
  </si>
  <si>
    <t xml:space="preserve">הצעת חוק הבנקאות (שירות ללקוח) (תיקון - ביטול צו עיקול), התשפ"ו-2025</t>
  </si>
  <si>
    <t xml:space="preserve"> (פ/6221/25)</t>
  </si>
  <si>
    <t xml:space="preserve">הצעת חוק לתיקון פקודת מס הכנסה (שלילת הכרה בעמותות המעודדות השתמטות משירות ביטחון), התשפ״ו-2025</t>
  </si>
  <si>
    <t xml:space="preserve"> (פ/6220/25)</t>
  </si>
  <si>
    <t xml:space="preserve">הצעת חוק יידוע ודיווח על מינוי יועצים חיצוניים לחברי ועדת השרים לענייני ביטחון לאומי ולראש הממשלה, התשפ"ה-2025</t>
  </si>
  <si>
    <t xml:space="preserve"> (פ/5959/25)</t>
  </si>
  <si>
    <t xml:space="preserve">22.10.2025</t>
  </si>
  <si>
    <t xml:space="preserve">הצעת חוק סיוע כלכלי לעידוד לומדי תורה וסטודנטים נזקקים (תיקון - קיום הוראות חוק שירות ביטחון כתנאי לסיוע), התשפ"ה-2025</t>
  </si>
  <si>
    <t xml:space="preserve"> (פ/5941/25)</t>
  </si>
  <si>
    <t xml:space="preserve">הצעת חוק התניית הטבות בדיור בקיום חובות לפי חוק שירות ביטחון, התשפ"ה-2025 </t>
  </si>
  <si>
    <t xml:space="preserve"> (פ/5939/25)</t>
  </si>
  <si>
    <t xml:space="preserve">הצעת חוק הביטוח הלאומי (תיקון - קיום הוראות חוק שירות ביטחון כתנאי לתשלום דמי ביטוח לאומי מופחתים), התשפ"ה-2025</t>
  </si>
  <si>
    <t xml:space="preserve"> (פ/5938/25)</t>
  </si>
  <si>
    <t xml:space="preserve">הצעת חוק החלת ריבונות על מעלה אדומים, התשפ"ה-2025</t>
  </si>
  <si>
    <t xml:space="preserve"> (פ/5900/25)</t>
  </si>
  <si>
    <t xml:space="preserve">הצעת חוק הביטוח הלאומי (תיקון - אי-זכאות לקצבת ילדים להורה שלא שירת בשירות מזכה), התשפ"ה-2025</t>
  </si>
  <si>
    <t xml:space="preserve"> (פ/5853/25)</t>
  </si>
  <si>
    <t xml:space="preserve">הצעת חוק החלת הריבונות של מדינת ישראל בחבלי יהודה והשומרון, התשפ"ה-2025</t>
  </si>
  <si>
    <t xml:space="preserve"> (פ/5760/25)</t>
  </si>
  <si>
    <t xml:space="preserve">הצעת חוק מינהלת מילואים, התשפ"ה-2025</t>
  </si>
  <si>
    <t xml:space="preserve"> (פ/5470/25)</t>
  </si>
  <si>
    <t xml:space="preserve">חוק לתמיכה בפעולות לטובת נכים ונפגעי פעולות איבה (תיקוני חקיקה), התשפ"ו–2025</t>
  </si>
  <si>
    <t xml:space="preserve"> (פ/5822/25)</t>
  </si>
  <si>
    <t xml:space="preserve"> (כ/1145)</t>
  </si>
  <si>
    <t xml:space="preserve">21.10.2025</t>
  </si>
  <si>
    <t xml:space="preserve">נקבע כי תקציב שנתי לתמיכה במוסדות ציבור לשם קיום פעולות לטובת נכי צה"ל לא יפחת מ-150 מיליון שקלים חדשים בשנה וכי תקציב שנתי לתמיכה במוסדות ציבור לשם קיום פעולות לטובת נפגעי פעולות איבה לא יפחת מ-10 מיליון שקלים חדשים בשנה. הסכום האמור ישמש גם לתמיכה במוסדות ציבור המקיימים פעולות לטובת קרובי משפחה של מי שפגיעת איבה גרמה למותו. התקציב יחולק בהתאם למבחני תמיכה שיקבעו שר הביטחון - לעניין נכי צה"ל והשר שהמוסד לביטוח לאומי נמצא בתחום אחריותו או שר אחר שהסמיכה הממשלה – לעניין נפגעי פעולות איבה. כמו כן נקבעה חובת דיווח שנתית של המוסדות המקבלים תמיכה לשרים ושל השרים לוועדת העבודה והרווחה. </t>
  </si>
  <si>
    <t xml:space="preserve">הצעת חוק הסדרת העיסוק בקרינה מייננת, התשפ"ו-2025</t>
  </si>
  <si>
    <t xml:space="preserve"> (מ/1654)</t>
  </si>
  <si>
    <t xml:space="preserve">20.10.2025</t>
  </si>
  <si>
    <t xml:space="preserve">הצעת חוק האזרחות והכניסה לישראל (הוראת שעה) (תיקון - מתן תושבות לדרוזים מסוריה הדרומית), התשפ"ו-2025</t>
  </si>
  <si>
    <t xml:space="preserve"> (פ/6219/25)</t>
  </si>
  <si>
    <t xml:space="preserve">הצעת חוק סדר הדין הפלילי (תיקון - צמצום מספר הדיונים מטעמי ביטחון המדינה), התשפ״ו-2025</t>
  </si>
  <si>
    <t xml:space="preserve"> (פ/6218/25)</t>
  </si>
  <si>
    <t xml:space="preserve"> (פ/6217/25)</t>
  </si>
  <si>
    <t xml:space="preserve">הצעת חוק רשות ההסברה הלאומית, התשפ"ו-2025</t>
  </si>
  <si>
    <t xml:space="preserve"> (פ/6216/25)</t>
  </si>
  <si>
    <t xml:space="preserve">הצעת חוק זכאות למשרתי מילואים יחידים במסגרת תוכנית מחיר למשתכן, התשפ״ו-2025</t>
  </si>
  <si>
    <t xml:space="preserve"> (פ/6214/25)</t>
  </si>
  <si>
    <t xml:space="preserve">הצעת חוק בתי קברות צבאיים (תיקון - ועדת חריגים להכרה בזכאות לקבורה צבאית), התשפ"ו-2025</t>
  </si>
  <si>
    <t xml:space="preserve"> (פ/6213/25)</t>
  </si>
  <si>
    <t xml:space="preserve">הצעת חוק זכויות הסטודנט (תיקון - העדפה מתקנת לתושבי הנגב), התשפ"ו-2025</t>
  </si>
  <si>
    <t xml:space="preserve"> (פ/6212/25)</t>
  </si>
  <si>
    <t xml:space="preserve"> (פ/6210/25)</t>
  </si>
  <si>
    <t xml:space="preserve">הצעת חוק לעידוד הסעות שיתופיות (תיקוני חקיקה), התשפ"ו-2025</t>
  </si>
  <si>
    <t xml:space="preserve"> (פ/6209/25)</t>
  </si>
  <si>
    <t xml:space="preserve">הצעת חוק הכשרות המשפטית והאפוטרופסות (תיקון - אפוטרופוס לדין), התשפ"ו-2025</t>
  </si>
  <si>
    <t xml:space="preserve"> (פ/6208/25)</t>
  </si>
  <si>
    <t xml:space="preserve">הצעת חוק לתיקון פקודת מסילות הברזל (העלאת אופניים לרכבת), התשפ"ו-2025</t>
  </si>
  <si>
    <t xml:space="preserve"> (פ/6207/25)</t>
  </si>
  <si>
    <t xml:space="preserve">הצעת חוק הגנת הצרכן (תיקון - סיכום פניה), התשפ"ו-2025</t>
  </si>
  <si>
    <t xml:space="preserve"> (פ/6206/25)</t>
  </si>
  <si>
    <t xml:space="preserve">הצעת חוק לתיקון פקודת מסילות הברזל (פטור מתשלום דמי נסיעה לעגלת ילדים), התשפ"ו-2025</t>
  </si>
  <si>
    <t xml:space="preserve"> (פ/6205/25)</t>
  </si>
  <si>
    <t xml:space="preserve"> (פ/6204/25)</t>
  </si>
  <si>
    <t xml:space="preserve">הצעת חוק התכנון והבנייה (תיקון - מכירה ישירה של תוצרת חקלאית), התשפ"ו-2025</t>
  </si>
  <si>
    <t xml:space="preserve"> (פ/6202/25)</t>
  </si>
  <si>
    <t xml:space="preserve">הצעת חוק מרשם האוכלוסין (תיקון - קביעת מינו של אדם בתיעוד ממשלתי - אמת), התשפ"ו-2025</t>
  </si>
  <si>
    <t xml:space="preserve"> (פ/6200/25)</t>
  </si>
  <si>
    <t xml:space="preserve">הצעת חוק-יסוד: הכנסת (תיקון - הורדת גיל הבחירה) </t>
  </si>
  <si>
    <t xml:space="preserve"> (פ/6199/25)</t>
  </si>
  <si>
    <t xml:space="preserve">הצעת חוק רמת הגולן (תיקון - החלת ריבונות על אזורים שהיו בשליטת ישראל בסיום מלחמת יום הכיפורים), התשפ"ו-2025</t>
  </si>
  <si>
    <t xml:space="preserve"> (פ/6198/25)</t>
  </si>
  <si>
    <t xml:space="preserve">הצעת חוק גנים לאומיים, שמורות טבע, אתרים לאומיים ואתרי הנצחה (תיקון - הסדרת תחבורה ציבורית), התשפ"ו-2025</t>
  </si>
  <si>
    <t xml:space="preserve"> (פ/6196/25)</t>
  </si>
  <si>
    <t xml:space="preserve">הצעת חוק התכנון והבנייה (תיקון - הוספת נציגי ארגונים סביבתיים בוועדות התכנון הארציות, האזוריות, המקומיות ובוועדות המיוחדות), התשפ״ו-2025</t>
  </si>
  <si>
    <t xml:space="preserve"> (פ/6195/25)</t>
  </si>
  <si>
    <t xml:space="preserve">הצעת חוק הסיוע המשפטי (תיקון - סיוע משפטי למטופלים סיעודיים), התשפ"ו-2025 </t>
  </si>
  <si>
    <t xml:space="preserve"> (פ/6194/25)</t>
  </si>
  <si>
    <t xml:space="preserve">הצעת חוק הבחירות לכנסת (תיקון - ביטול אחוז החסימה ותיקון הסכמי עודפים), התשפ"ו-2025</t>
  </si>
  <si>
    <t xml:space="preserve"> (פ/6193/25)</t>
  </si>
  <si>
    <t xml:space="preserve">הצעת חוק עידוד תרומות מזון (תיקון - חובת העברת עודפי מזון לארגון לחלוקת מזון), התשפ"ו-2025</t>
  </si>
  <si>
    <t xml:space="preserve"> (פ/6192/25)</t>
  </si>
  <si>
    <t xml:space="preserve">הצעת חוק הרשות הממשלתית להתחדשות עירונית (תיקון - הפחתת התלות בתחבורה ממונעת), התשפ״ו-2025</t>
  </si>
  <si>
    <t xml:space="preserve"> (פ/6191/25)</t>
  </si>
  <si>
    <t xml:space="preserve">הצעת חוק לעידוד השקעות הון (תיקון - מפעל בר-תחרות כמפעל הממוקם עד 2 ק"מ מהגבול הצפוני), התשפ"ו-2025</t>
  </si>
  <si>
    <t xml:space="preserve"> (פ/6190/25)</t>
  </si>
  <si>
    <t xml:space="preserve">הצעת חוק-יסוד: נשיא המדינה (תיקון - ייחוד כהונה) </t>
  </si>
  <si>
    <t xml:space="preserve"> (פ/6189/25)</t>
  </si>
  <si>
    <t xml:space="preserve">הצעת חוק התכנון והבנייה (תיקון - הגבלת הספקת חשמל, מים וטלפון), התשפ"ו-2025</t>
  </si>
  <si>
    <t xml:space="preserve"> (פ/6187/25)</t>
  </si>
  <si>
    <t xml:space="preserve">הצעת חוק השכירות והשאילה (תיקון - איסור הטלת דמי תיווך על השוכר), התשפ"ו-2025</t>
  </si>
  <si>
    <t xml:space="preserve"> (פ/6186/25)</t>
  </si>
  <si>
    <t xml:space="preserve">הצעת חוק-יסוד: ההגירה לישראל</t>
  </si>
  <si>
    <t xml:space="preserve"> (פ/6185/25)</t>
  </si>
  <si>
    <t xml:space="preserve">הצעת חוק-יסוד: הכנסת (תיקון - ביטול הפסקת חברות של חבר הכנסת)</t>
  </si>
  <si>
    <t xml:space="preserve"> (פ/6184/25)</t>
  </si>
  <si>
    <t xml:space="preserve">הצעת חוק הממשלה (תיקון - דיווח על נסיעות שרים לחוץ לארץ), התשפ"ו-2025</t>
  </si>
  <si>
    <t xml:space="preserve"> (פ/6183/25)</t>
  </si>
  <si>
    <t xml:space="preserve">הצעת חוק הכרה ברצח העם הארמני וציון יום זיכרון, התשפ"ו-2025</t>
  </si>
  <si>
    <t xml:space="preserve"> (פ/6182/25)</t>
  </si>
  <si>
    <t xml:space="preserve">הצעת חוק היועץ המשפטי לראש הממשלה (מינוי וכהונה), התשפ"ו-2025</t>
  </si>
  <si>
    <t xml:space="preserve"> (פ/6181/25)</t>
  </si>
  <si>
    <t xml:space="preserve">הצעת חוק לביצוע התאמות אקלימיות בדירת מגורים, התשפ"ו-2025</t>
  </si>
  <si>
    <t xml:space="preserve"> (פ/6180/25)</t>
  </si>
  <si>
    <t xml:space="preserve">הצעת חוק לימוד חובה (תיקון - מנהל מוסד חינוך), התשפ"ו-2025</t>
  </si>
  <si>
    <t xml:space="preserve"> (פ/6179/25)</t>
  </si>
  <si>
    <t xml:space="preserve">הצעת חוק הרשויות המקומיות (מימון בחירות) (הוראת שעה) (הארכת מועד לבקשת קבלת מימון), התשפ"ו-2025</t>
  </si>
  <si>
    <t xml:space="preserve"> (פ/6178/25)</t>
  </si>
  <si>
    <t xml:space="preserve">הצעת חוק הכניסה לישראל (תיקון - רישיון ואשרה לעובדים זרים), התשפ"ו-2025</t>
  </si>
  <si>
    <t xml:space="preserve"> (פ/6177/25)</t>
  </si>
  <si>
    <t xml:space="preserve">הצעת חוק השבות (תיקון - זכויות בני משפחה), התשפ"ו-2025</t>
  </si>
  <si>
    <t xml:space="preserve"> (פ/6176/25)</t>
  </si>
  <si>
    <t xml:space="preserve">הצעת חוק שירותי תשלום (תיקון - הודעה למשלם על כרטיס חיוב לא פעיל ועל מועד סיום פטור מדמי השימוש), התשפ"ו-2025</t>
  </si>
  <si>
    <t xml:space="preserve"> (פ/6175/25)</t>
  </si>
  <si>
    <t xml:space="preserve">הצעת חוק הגנת הצרכן (תיקון - החמרת האכיפה והענישה על אי-הצגת מחיר על טובין על ידי קמעונאי גדול), התשפ"ו-2025</t>
  </si>
  <si>
    <t xml:space="preserve"> (פ/6174/25)</t>
  </si>
  <si>
    <t xml:space="preserve">הצעת חוק הביטוח הלאומי (תיקון - דמי פגיעה לעובד עצמאי), התשפ"ו-2025</t>
  </si>
  <si>
    <t xml:space="preserve"> (פ/6173/25)</t>
  </si>
  <si>
    <t xml:space="preserve">הצעת חוק לימוד חובה (תיקון - חינוך חינם לפעוטות), התשפ"ו-2025</t>
  </si>
  <si>
    <t xml:space="preserve"> (פ/6172/25)</t>
  </si>
  <si>
    <t xml:space="preserve">הצעת חוק הטיס (תיקון מס' 7), התשפ"ו–2025</t>
  </si>
  <si>
    <t xml:space="preserve"> (מ/1897)</t>
  </si>
  <si>
    <t xml:space="preserve">הצעת חוק הקאדים (תיקון מס' 19), התשפ"ו-2025</t>
  </si>
  <si>
    <t xml:space="preserve"> (מ/1895)</t>
  </si>
  <si>
    <t xml:space="preserve">הצעת חוק הסניגוריה הציבורית (תיקון מס' 26) (הסתייעות במומחה או בחוקר לצורך ניהול הייצוג המשפטי), התשפ"ו-2025</t>
  </si>
  <si>
    <t xml:space="preserve"> (מ/1894)</t>
  </si>
  <si>
    <t xml:space="preserve">חוק תקציב נוסף לשנת הכספים 2025, התשפ"ו-2025</t>
  </si>
  <si>
    <t xml:space="preserve"> (מ/1892)</t>
  </si>
  <si>
    <t xml:space="preserve">29.09.2025</t>
  </si>
  <si>
    <t xml:space="preserve">חוק הפחתת הגירעון והגבלת ההוצאה התקציבית (תיקון מס' 29), התשפ"ו-2025</t>
  </si>
  <si>
    <t xml:space="preserve"> (מ/1891)</t>
  </si>
  <si>
    <t xml:space="preserve">הצעת חוק תמיכה במימון פעילות ארגון נכי צה"ל ובתי הלוחם ובארגון נפגעי פעולות האיבה, התשפ"ה-2024</t>
  </si>
  <si>
    <t xml:space="preserve"> (פ/5273/25)</t>
  </si>
  <si>
    <t xml:space="preserve">28.09.2025</t>
  </si>
  <si>
    <t xml:space="preserve">הצעת חוק המקרקעין (תיקון - התקנת עמדת טעינה לרכב חשמלי בבית משותף ודייני מקרקעין), התשפ"ג-2022</t>
  </si>
  <si>
    <t xml:space="preserve"> (פ/469/25)</t>
  </si>
  <si>
    <t xml:space="preserve">08.09.2025</t>
  </si>
  <si>
    <t xml:space="preserve">הצעת חוק המקרקעין (תיקון מס' 36) (התקנת עמדת טעינה לרכב חשמלי בבית משותף ודיני מקרקעין), התשפ"ג-2022 </t>
  </si>
  <si>
    <t xml:space="preserve"> (מ/1585)</t>
  </si>
  <si>
    <t xml:space="preserve">הצעת חוק אומנה לילדים (תיקון - הזכות לחינוך לילדים בהשמה חוץ-ביתית), התשפ"ד-2024</t>
  </si>
  <si>
    <t xml:space="preserve"> (פ/4824/25)</t>
  </si>
  <si>
    <t xml:space="preserve">03.09.2025</t>
  </si>
  <si>
    <t xml:space="preserve">חוק התמודדות עם תקיפות סייבר חמורות במגזר השירותים הדיגיטליים ושירותי האחסון (הוראת שעה – חרבות ברזל) (תיקון מס' 3), התשפ"ה-2025</t>
  </si>
  <si>
    <t xml:space="preserve"> (מ/1888)</t>
  </si>
  <si>
    <t xml:space="preserve">13.08.2025</t>
  </si>
  <si>
    <t xml:space="preserve">חוק התמודדות עם תקיפות סייבר חמורות במגזר השירותים הדיגיטליים ושירותי האחסון, התשפ"ד-2023, נועד להקנות למערך הסייבר הלאומי ולגופי הביטחון כלים לאיתור, מניעה ובלימה של תקיפות סייבר נגד חברות המספקות שירותים דיגיטליים ושירותי אחסון. החוק נחקק במקור כהוראת שעה בזיקה למלחמת "חרבות ברזל" במטרה להגן על תשתיות מדינה, גופים ציבוריים וביטחוניים מפני פגיעה. כעת, במסגרת תיקון מס' 3 לחוק, התשפ"ה-2025, נותקה הוראת השעה מהזיקה לפעולות הצבאיות המשמעותיות, כך שההסדר ימשיך לעמוד בתוקפו ללא תלות במצב הלחימה, ובהתאם לכך נמחקו המילים "חרבות ברזל" משם החוק. תוקפה של הוראת השעה הוארך עד ליום י"ג בשבט התשפ"ו (31 בינואר 2026). במסגרת התיקון, הוסמך מנהל מוסמך לדרוש מספק להציג לו כל ידיעה או מסמך, לרבות פלט מחשב, אם ישנו יסוד סביר להניח שמתרחשת או עומדת להתרחש תקיפת סייבר חמורה נגד הספק או באמצעותו. בנוסף, נקבעה חובת דיווח של ספק למערך הסייבר על תקיפות משמעותיות. כמו כן, הוטלה על ספק שהותקף חובה ליידע באופן מיידי ארגונים מקושרים שעלולים להיפגע ישירות מהתקיפה, אלא אם כן הורה גורם מוסמך אחרת. כדי להקל על ספקים, התיקון קובע רשימה מורחבת של תקני אבטחת מידע בין-לאומיים שמאפשרים לספק לקבל פטור ממרבית החובות בחוק, אם יצהיר שהוא עומד בהם. לבסוף, הורחבה חובת הדיווח העיתית לוועדת החוץ והביטחון של הכנסת, כך שתכלול גם נתונים על מספר דרישות המידע שהופנו לספקים, מספר הדיווחים העצמיים שהתקבלו ומספר המקרים שבהם נאסר על ספק לעדכן ארגון מקושר בדבר תקיפה.</t>
  </si>
  <si>
    <t xml:space="preserve">חוק הגנה על עובדים בשעת חירום (תיקון מס' 5 והוראת שעה - חרבות ברזל) (תיקון מס' 4), התשפ"ה-2025</t>
  </si>
  <si>
    <t xml:space="preserve"> (מ/1878)</t>
  </si>
  <si>
    <t xml:space="preserve">חוק זה אוסר על מעסיק לפטר עובד בשל היעדרותו מעבודה או בשל אי ביצוע העבודה שנבעו מכך שהעובד התפנה מביתו בשל נזק שנגרם לביתו כתוצאה מהתקפה בעת מבצע עם כלביא, ובלבד שהעובד מסר למעסיק אישור על הפגיעה מהרשות המקומית שבתחומה מצוי ביתו. תחילת החוק ביום 7 באוגוסט 2025 ואיסור הפיטורים יחול עד תום שלושה חודשים מהמועד שבו העובד התפנה מביתו בשל הנזק כאמור. לגבי התקופה שמיום תחילתו ועד יום הפרסום (13.8.2025), לא תהיה חבות פלילית לגבי פיטורים בנסיבות האמורות.</t>
  </si>
  <si>
    <t xml:space="preserve">חוק למניעת אלימות במשפחה (תיקון מס' 19 – הוראת שעה), התשפ"ג–2023 </t>
  </si>
  <si>
    <t xml:space="preserve"> (מ/1572)</t>
  </si>
  <si>
    <t xml:space="preserve">החוק מסדיר את סמכותו של בית המשפט לתת צו הגנה בתנאי פיקוח טכנולוגי במסגרת הגנה על בני משפחה מפני אלימות, וקובע את הסדרים אלו כהוראת שעה למשך שלוש שנים מיום תחילת החוק. ראשית, החוק קובע שלושה תנאים שעל בית המשפט לבחון בבואו לתן צו הגנה בתנאי פיקוח טכנולוגי, וכן קובע חריג לתנאים אלו במצבים בהם נשקפת סכנה גבוהה או חשש ממשי לחיי בן המשפחה. שנית, נקבע כי בסמכות השר לביטחון לאומי לקבוע בצו את המספר המרבי של אמצעי פיקוח טכנולוגי שניתן לעשות בהם שימוש, וכי מספר זה יעלה על המספר שנקבע בשנה הקודמת. עוד נקבע כי בית המשפט יורה על ביצוע הערכת מסוכנות של מי שכלפיו מבוקש הצו, וכן כי מכסת הערכות המסוכנות תקבע לכל שנה על ידי שר הרווחה והביטחון החברתי, ובלבד שלא תפחת מהמכסה שנקבעה בשנה הקודמת. בנוסף, תוקם יחידת פיקוח טכנולוגי בשירות בתי הסוהר, והיא תהיה אמונה על פיקוח ואכיפה של צווים שניתנו בתנאי פיקוח טכנולוגי. ביחידת הפיקוח הטכנולוגי יעבדו הן עובדי מדינה, והן עובדים מחברה מפעילה אשר ימלאו תפקידי טכנאות וסיוע אזרחי. לבסוף, נקבעה חובת דיווח שנתית על השר לביטחון לאומי לוועדה לביטחון לאומי של הכנסת בדבר קיום החוק, לצד הקמת ועדת היגוי לשם ביצוע מחקר מלווה. לצד זאת, בתום שנה מיום תחילת החוק תבחן הוועדה לביטחון לאומי של הכנסת את האפשרות להאריך את תוקפו של צו הגנה בתנאי פיקוח טכנולוגי שניתן ללא הערכת מסוכנות, ואת פרק הזמן להגשת הערכת המסוכנות לבית המשפט.</t>
  </si>
  <si>
    <t xml:space="preserve">חוק רישוי שירותים ומקצועות בענף הרכב (תיקון מס' 13), התשפ"ה-2025 </t>
  </si>
  <si>
    <t xml:space="preserve"> (מ/1847)</t>
  </si>
  <si>
    <t xml:space="preserve">התיקון קובע הוראות שעה חדשות בנושא ייבוא רכב, המחליפות את הוראות השעה הקודמות שהיו בתוקף ממועד תחילתו של חוק רישוי שירותים ומקצועות בענף הרכב, התשע"ו–2016, ועד ליום 18 באוגוסט 2025. הוראות השעה החדשות הן לעניין כלי הרכב שהיבואנים הזעירים רשאים לייבא, וכן לעניין חובות היבואנים הישירים לטפל בכלי רכב המיובאים על ידי יבואנים זעירים ויבואנים עקיפים או בייבוא אישי אם כלי הרכב הם מאותו תוצר שמייבאים היבואנים הישירים. ראשית, לעניין יבואנים זעירים: התיקון קובע כי יבואן זעיר יוכל לייבא גם רכב מסוג אופנוע ורכב מסוג מכונה ניידת, נוסף על רכב נוסעים ורכב מסחרי שכבר כיום הוא רשאי לייבא. בנוסף, יבואן זעיר יוכל לקבל רישיון לייבוא רכב שאינו רכב חדש, כל עוד נותרו חודשיים עד למועד האחרון לרישומו בישראל הקבוע בתקנות התעבורה ובהתאם לסוג הרכב. כמו כן, התיקון מאפשר ליבואן זעיר לייבא גם אופנוע ומכונה ניידת, וזאת בנוסף לרכב שאינו רכב חדש כאמור. נוסף על כך, התיקון מגדיל את מספר כלי הרכב שמותר ליבואן זעיר לייבא בשנה, מ-20 ל-60 כלי רכב. שנית, לגבי יבואנים ישירים, התיקון קובע כי יבואנים ישירים מחויבים לתת שירות לגבי כל רכב מתוצר שהם מייבאים אף אם יובא על ידי יבואנים עקיפים וזעירים או בייבוא אישי, ולא רק לגבי רכב מסוג רכב נוסעים ורכב מסחרי כפי שקבעה הוראת השעה הקודמת. התיקון קובע כי חובה זו לא תחול לגבי רכב מסוג מכונה ניידת. הוראות השעה החדשות יעמדו בתוקף למשך ארבע שנים, החל מיום 19 באוגוסט 2025. שר התחבורה והבטיחות בדרכים, באישור ועדת הכלכלה של הכנסת, רשאי להאריך בצו את תוקפה של כל הוראת שעה בתקופות נוספות שלא יעלו על שישה חודשים בכל פעם, אך לא יותר מ-4 שנים במצטבר לגבי כל אחת מהוראות השעה. </t>
  </si>
  <si>
    <t xml:space="preserve">הצעת חוק הבנקאות (שירות ללקוח) (תיקון - ריבית על יתרת זכות), התשפ"ג-2023</t>
  </si>
  <si>
    <t xml:space="preserve"> (פ/1446/25)</t>
  </si>
  <si>
    <t xml:space="preserve">11.08.2025</t>
  </si>
  <si>
    <t xml:space="preserve">חוק שירות אזרחי (תיקון מס' 7), התשפ"ה-2025</t>
  </si>
  <si>
    <t xml:space="preserve"> (מ/1870)</t>
  </si>
  <si>
    <t xml:space="preserve">04.08.2025</t>
  </si>
  <si>
    <t xml:space="preserve">חוק זה כולל מספר תיקונים הנוגעים למערך השירות הלאומי או ההתנדבות הקהילתית, המבוצעים מטעם המדינה על ידי מי שפטורים משירות צבאי או לא נקראו אליו. ראשית, הועלה הגיל המרבי לשירות לגבי מתמודדי נפש מ-24 ל-27 שנים. שנית, נקבע כי הסמכות לאשר הפסקות בשירות או מכסה מופחתת של שעות תינתן לא רק למנהל הרשות לשירות אזרחי אלא גם לעובד בכיר שהוסמך לכך, ובשעת חירום יוכל מנהל הרשות לאשר בעצמו הפסקה שאינה עולה על שנה בשל נסיבות החירום. כמו כן נקבע כי פרק הזמן שבין הכשרה מוקדמת הנחשבת חלק מהשירות, לבין תחילת השירות בפועל לא יקטע את רציפות השירות, אך גם לא ייספר כחלק ממשך השירות עצמו. שלישית, מנהל הרשות הוסמך לקבוע כללים שיאפשרו למתנדבים מאוכלוסיות הזקוקות לסיוע בהשתלבות בתעסוקה, וכן למתנדבים בשנתם השנייה, להשתתף על חשבון שעות השירות בהכשרה מקצועית או בהשלמת השכלה. נוסף על כך, החוק קובע הוראות לגבי הגופים המפעילים וסוג הפעילות: ראשית, תתאפשר התנדבות במוסדות הלאומיים (הסוכנות היהודית, ההסתדרות הציונית העולמית, קרן היסוד וקק"ל), וכן אצל גופים מפעילים שאינם רשות ציבורית בתחומי החקלאות והטכנולוגיה שעניינה תוכנת מחשב או חומרת מחשב, ובלבד שפעילותם משפרת את איכות החיים או הבטיחות של כלל האוכלוסייה בישראל. לגבי גופים אלו נקבע כי בתחום החקלאות השירות ייעשה רק בארגונים ללא כוונת רווח, ובתחום הטכנולוגיה רק אם בעל הזכויות יאפשר לכל אזרח או תושב ישראל שימוש חופשי וללא תשלום בתוכנה או בחומרה. כמו כן, נקבע כי תאגיד שהוקם בחוק יוכל להיות גוף מפעיל ובלבד שפעילותו היא באיוד התחומים המנויים בסעיף 65(א)(1) לחוק. עוד נקבע כי גם בבית חולים שאינו ממשלתי והוא מלכ"ר או גוף מבוקר שממלא תפקיד ציבורי יתאפשר שירות ללא ההגבלה לתחומים ספציפיים, כפי שקיים לגבי בתי חולים ממשלתיים ורשויות ציבוריות אחרות. בנוסף, האפשרות של רשות ציבורית לעודד התנדבות על ידי מימון תקנים אצל גופים מפעילים תורחב גם למתנדבים שהם עולים חדשים, ערבים, דרוזים, צ'רקסים או מי שאינו אזרח או תושב ישראל אך אושר לו לבצע שירות לאומי. תיקון נוסף מבהיר אישור לפי סעיף 46 לפקודת מס הכנסה אינו פוטר את הגוף המפעיל מהוכחה שהוא פועל בתחומים הנדרשים בחוק.  לבסוף, החוק דוחה את המועד להשלמת תהליך ההכרה הרשמי עבור גופים שפעלו במועד תחילת החוק בשנת 2018 מ-31.8.2025 ל-31.8.2027. </t>
  </si>
  <si>
    <t xml:space="preserve">הצעת חוק שירות המדינה (מינויים) (תיקון מס' 21) (עדיפות למשרת מילואים פעיל בקבלה לשירות המדינה), התשפ"ה–2024</t>
  </si>
  <si>
    <t xml:space="preserve"> (פ/4168/25)</t>
  </si>
  <si>
    <t xml:space="preserve"> (כ/1068)</t>
  </si>
  <si>
    <t xml:space="preserve">27.07.2025</t>
  </si>
  <si>
    <t xml:space="preserve">העדפה מתקנת מתוך הצעת חוק למתן הטבות למשרתים במילואים, התשפ"ה-2024</t>
  </si>
  <si>
    <t xml:space="preserve">לאישור פיצול במליאה</t>
  </si>
  <si>
    <t xml:space="preserve">חוק כליאתם של לוחמים בלתי חוקיים (תיקון מס' 4 והוראת שעה - חרבות ברזל) (תיקון מס' 5), התשפ"ה-2025</t>
  </si>
  <si>
    <t xml:space="preserve"> (מ/1879)</t>
  </si>
  <si>
    <t xml:space="preserve">22.07.2025</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</si>
  <si>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4, הוארכה הוראת השעה כאמור עד ליום י"א בטבת התשפ"ו (31 בדצמבר 2025), לצד הארכת תקופת תוקפה של ההכרזה מכוח הצעת החוק עד ליום ט' בחשוון התשפ"ו (31 באוקטובר 2025). כן מוצע להבהיר כי סמכות בית המשפט להורות על מניעת פגישה עם עורך דין לתקופה של עד 30 ימים, הקיימת כיום בחוק, תחול לא רק במהלך 75 הימים הראשונים מיום הכליאה, וניתן יהיה להפעילה גם בשלב מאוחר יותר.</t>
  </si>
  <si>
    <t xml:space="preserve">הצעת חוק-יסוד: כניסה, הגירה ומעמד בישראל</t>
  </si>
  <si>
    <t xml:space="preserve"> (פ/4350/25)</t>
  </si>
  <si>
    <t xml:space="preserve">21.07.2025</t>
  </si>
  <si>
    <t xml:space="preserve"> (פ/394/25)</t>
  </si>
  <si>
    <t xml:space="preserve">חוק התוכנית לסיוע כלכלי (הוראת שעה - חרבות ברזל), התשפ"ה-2025</t>
  </si>
  <si>
    <t xml:space="preserve"> (מ/1880)</t>
  </si>
  <si>
    <t xml:space="preserve">החוק דומה בעיקרו להסדר שנקבע בחוק התוכנית לסיוע כלכלי (הוראת שעה – חרבות ברזל), התשפ"ד–2023, החוק קובע מנגנון פיצוי לעסקים ולעובדים שנפגעו ישירות או בעקיפין במהלך מבצע "עם כלביא". עסקים שמחזור עסקאותיהם ירד בשיעור של לפחות 25%, ואינם עולים על 400 מיליון ש"ח בשנה, זכאים לפיצוי בגין הוצאות קבועות, לרבות שכר. הוחל מסלול לפיצוי בגין נזק עקיף בעקבות נזק ישיר לעסק, וכן פיצוי לבעלי דירות שנגרם להן נזק מלחמה והושכרו טרם הפגיעה. לעובדים – נקבעו הסדרים ייחודיים לדמי אבטלה, כולל לחל"ת של 12 ימים, גם אם העובד עבד עד יומיים בתקופה זו, ובכלל זה קיצור תקופת האכשרה. בני 67 ומעלה זכאים למענק יומי של עד 134 ש"ח. נשים מוגנות לפי חוק עבודת נשים לא ייפגעו בזכויותיהן בשל היעדרות הנובעת ממצב חירום או סגירת מסגרות לילדים. החוק כולל הסדרים גם עבור עצמאים, אנשים עם מוגבלות, חיילים משוחררים ומפונים שמיצו את זכאותם לדמי אבטלה.</t>
  </si>
  <si>
    <t xml:space="preserve">חוק לתיקון פקודת בתי הסוהר (מס' 64 - הוראת שעה - חרבות ברזל) (מצב חירום כליאתי) (תיקון מס' 4), התשפ"ה-2025</t>
  </si>
  <si>
    <t xml:space="preserve"> (מ/1877)</t>
  </si>
  <si>
    <t xml:space="preserve">במסגרת תיקון מספר 64 לפקודת בתי הסוהר [נוסח חדש], התשל"ב–1971, נקבע, כהוראת שעה, כי השר לביטחון לאומי, בהמלצת נציב בתי הסוהר ובהסכמת ראש הממשלה ושר הביטחון, יהיה רשאי להכריז על מצב חירום כליאתי אם שוכנע, נוכח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כי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בנוסף, מאפשרת הוראת השעה לחרוג מהוראות הדין לעניין הלנה של עצירים מינהליים ולוחמים בלתי חוקיים בנפרד מאסירים שפוטים.  במסגרת תיקון מס' 4, הוארך תוקפה של הוראת השעה המסדירה את ההכרזה על מצב חירום כליאתי בשל המצב הביטחוני השורר במדינה, עד ליום י"ז באב התשפ"ו (31 ביולי 2026), וכן הוארך תוקף ההכרזה שמכוח הוראת השעה,  עד ליום כ"ב באלול התשפ"ה (15 בספטמבר 2025). </t>
  </si>
  <si>
    <t xml:space="preserve">חוק לתיקון ולהארכת תוקפן של תקנות שעת חירום (חרבות ברזל) (הארכת מעצר לחשוד בעבירת ביטחון) (תיקון מס' 6), התשפ"ה-2025 </t>
  </si>
  <si>
    <t xml:space="preserve"> (מ/1882)</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</si>
  <si>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ה-29 בינואר 2026.</t>
  </si>
  <si>
    <t xml:space="preserve">חוק לתיקון ולהארכת תוקפן של תקנות שעת חירום (חרבות ברזל) (פגישה עם עורך דין של עצור בעבירת ביטחון) (תיקון מס' 6), התשפ"ה-2025</t>
  </si>
  <si>
    <t xml:space="preserve"> (מ/1881)</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</si>
  <si>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ה-29 בינואר 2026.</t>
  </si>
  <si>
    <t xml:space="preserve">הצעת חוק ביטוח בריאות ממלכתי (תיקון - ניפוק תכשיר מרשם שניתן במרשם אלקטרוני או ידני בתנאי הסדר בכל בתי המרקחת), התשפ"ד-2024</t>
  </si>
  <si>
    <t xml:space="preserve"> (פ/4590/25)</t>
  </si>
  <si>
    <t xml:space="preserve">הצעת חוק ביטוח בריאות ממלכתי (תיקון - השתתפות עצמית ברכישת תכשיר מרשם מבית מרקחת שאינו בהסדר עם קופת החולים), התשפ"ג-2023</t>
  </si>
  <si>
    <t xml:space="preserve"> (פ/3903/25)</t>
  </si>
  <si>
    <t xml:space="preserve"> (פ/3515/25)</t>
  </si>
  <si>
    <t xml:space="preserve">הצעת חוק ביטוח בריאות ממלכתי (תיקון - תשלום בעד תכשיר מרשם בבית מרקחת שאין לו הסדר עם קופת חולים), התשפ"ג-2023</t>
  </si>
  <si>
    <t xml:space="preserve"> (פ/3066/25)</t>
  </si>
  <si>
    <t xml:space="preserve">חוק להשגת יעדי התקציב וליישום המדיניות הכלכלית לשנת התקציב 2025 (תיקוני חקיקה), התשפ"ה–2025</t>
  </si>
  <si>
    <t xml:space="preserve">החוק קובע שינויים במספר תחומים מרכזיים: בתחום שינויי מבנה ומיזוגים בחברות הייטק, הופחתו הדרישות להטבות מס, לרבות הקטנת שיעור ההעברה הנדרש של זכויות בחברה מ־80% ל־70%, ביטול חובת החזקה של 25% מהזכויות לאחר שינוי מבנה, והרחבת שיעור התמורה במזומן במיזוגים מ־40% ל־49%; כמו כן, שונה יחס הגודל המותר בפיצולים מ־1:4 ל־1:9. בתחום הדיווח במע"מ, חובת הדיווח המפורט תחול על כל עוסק שמחזור עסקאותיו השנתי עולה על 0.5 מיליון ש"ח, החל מדוחות שיוגשו מאוקטובר 2025. בתחום דיגיטציית החשבוניות, החוק מחייב הגשה מקוונת של חשבוניות מסוג I לעוסקים הרשומים באזור ובשטחי עזה, ומסיר את חובת הדיווח הכפול בגין חשבוניות מסוג P וזאת ביחס לחשבוניות שיופקו החל מאוגוסט 2025.</t>
  </si>
  <si>
    <t xml:space="preserve">הצעת חוק סדר הדין הפלילי (תיקון - עיכוב הליכים משפטיים כנגד חברי הממשלה בידי ועדת הכנסת), התשפ"ה-2025</t>
  </si>
  <si>
    <t xml:space="preserve"> (פ/6171/25)</t>
  </si>
  <si>
    <t xml:space="preserve">הצעת חוק למניעת הטרדה מינית (תיקון - הרחבת תחולה על עובדים עצמאים ועובדי כלכלת הפלטפורמה), התשפ״ה-2025</t>
  </si>
  <si>
    <t xml:space="preserve"> (פ/6170/25)</t>
  </si>
  <si>
    <t xml:space="preserve">הצעת חוק סמכויות שעת חירום (מעצרים) (תיקון - מעצר מינהלי של אזרח ישראלי), התשפ"ה-2025</t>
  </si>
  <si>
    <t xml:space="preserve"> (פ/6168/25)</t>
  </si>
  <si>
    <t xml:space="preserve">הצעת חוק-יסוד: משק המדינה (תיקון - בחינת עלות תקציבית מוניציפלית)</t>
  </si>
  <si>
    <t xml:space="preserve"> (פ/6167/25)</t>
  </si>
  <si>
    <t xml:space="preserve">הצעת חוק החלת הריבונות הישראלית על מתחם קבר יוסף, התשפ"ה-2025</t>
  </si>
  <si>
    <t xml:space="preserve"> (פ/6166/25)</t>
  </si>
  <si>
    <t xml:space="preserve">הצעת חוק המועצה להשכלה גבוהה (תיקון - חיזוק השקיפות והפיקוח הציבורי על המועצה להשכלה גבוהה), התשפ"ה-2025 </t>
  </si>
  <si>
    <t xml:space="preserve"> (פ/6165/25)</t>
  </si>
  <si>
    <t xml:space="preserve">הצעת חוק הסדרת הטיפול בחופי הים התיכון (איגודי ערים חופיות), התשפ"ה-2025 </t>
  </si>
  <si>
    <t xml:space="preserve"> (פ/6164/25)</t>
  </si>
  <si>
    <t xml:space="preserve">הצעת חוק איסור צריכת זנות (הוראת שעה ותיקון חקיקה) (תיקון - עיגון כהוראת קבע), התשפ"ה-2025</t>
  </si>
  <si>
    <t xml:space="preserve"> (פ/6163/25)</t>
  </si>
  <si>
    <t xml:space="preserve">הצעת חוק לתיקון פקודת היערות (הגברת ההגנה על עצים בוגרים), התשפ"ה-2025</t>
  </si>
  <si>
    <t xml:space="preserve"> (פ/6162/25)</t>
  </si>
  <si>
    <t xml:space="preserve">הצעת חוק איסור אלימות בספורט (תיקון - מחלקה לאלימות בספורט בבתי המשפט), התשפ"ה-2025</t>
  </si>
  <si>
    <t xml:space="preserve"> (פ/6161/25)</t>
  </si>
  <si>
    <t xml:space="preserve">הצעת חוק התכנון והבנייה (תיקון - מכירה ישירה של תוצרת חקלאית), התשפ"ה-2025</t>
  </si>
  <si>
    <t xml:space="preserve"> (פ/6160/25)</t>
  </si>
  <si>
    <t xml:space="preserve">הצעת חוק התקנת מנגנון פיקוד שבת במערכת הפעלה אוטומטית ברכוש המשותף (תיקוני חקיקה), התשפ"ה-2025</t>
  </si>
  <si>
    <t xml:space="preserve"> (פ/6159/25)</t>
  </si>
  <si>
    <t xml:space="preserve">הצעת חוק-יסוד: הכנסת (הפסקת חברות בכנסת של חבר הכנסת המכהן כשר או כסגן שר)</t>
  </si>
  <si>
    <t xml:space="preserve"> (פ/6157/25)</t>
  </si>
  <si>
    <t xml:space="preserve">הצעת חוק לתיקון פקודת מסי העירייה ומסי הממשלה (פטורין) (גביית ארנונה מנכסי מדינה ברשויות פריפריאליות), התשפ"ה-2025</t>
  </si>
  <si>
    <t xml:space="preserve"> (פ/6156/25)</t>
  </si>
  <si>
    <t xml:space="preserve">הצעת חוק יסודות התקציב (תיקון - קביעת תקציב הביטחון כשיעור מהתוצר הלאומי הגולמי והסדרה תכנונית), התשפ"ה-2025</t>
  </si>
  <si>
    <t xml:space="preserve"> (פ/6155/25)</t>
  </si>
  <si>
    <t xml:space="preserve">הצעת חוק הגברת הפיקוח על מעונות יום לפעוטות (תיקוני חקיקה), התשפ"ה-2025</t>
  </si>
  <si>
    <t xml:space="preserve"> (פ/6153/25)</t>
  </si>
  <si>
    <t xml:space="preserve">הצעת חוק-יסוד: זכויות בהליך פלילי</t>
  </si>
  <si>
    <t xml:space="preserve"> (פ/6152/25)</t>
  </si>
  <si>
    <t xml:space="preserve">הצעת חוק איות שמות רחובות, דרכים ומקומות ציבוריים (תיקוני חקיקה), התשפ"ה-2025</t>
  </si>
  <si>
    <t xml:space="preserve"> (פ/6151/25)</t>
  </si>
  <si>
    <t xml:space="preserve">הצעת חוק משפחות חיילים שנספו במערכה (תגמולים ושיקום) (תיקון - הרחבת ההגדרה חבלת שירות), התשפ"ה-2025</t>
  </si>
  <si>
    <t xml:space="preserve"> (פ/6150/25)</t>
  </si>
  <si>
    <t xml:space="preserve">הצעת חוק לפיצוי קורבנות טרור (פיצויים לדוגמה) (תיקון - הוראות לעניין התיישנות), התשפ"ה-2025</t>
  </si>
  <si>
    <t xml:space="preserve"> (פ/6149/25)</t>
  </si>
  <si>
    <t xml:space="preserve">הצעת חוק חוזה הביטוח (תיקון - הודעת מבטח בדבר ביטול חוזה הביטוח), התשפ"ה-2025</t>
  </si>
  <si>
    <t xml:space="preserve"> (פ/6148/25)</t>
  </si>
  <si>
    <t xml:space="preserve">הצעת חוק רשות מקרקעי ישראל (תיקון - העדפת רכישת קרקע בפריפריה לחיילי מילואים ונכי צה"ל), התשפ"ה-2025</t>
  </si>
  <si>
    <t xml:space="preserve"> (פ/6147/25)</t>
  </si>
  <si>
    <t xml:space="preserve">הצעת חוק הסדרת התיישבות הבדואים בנגב, התשפ"ה-2025</t>
  </si>
  <si>
    <t xml:space="preserve"> (פ/6145/25)</t>
  </si>
  <si>
    <t xml:space="preserve">הצעת חוק המזונות (הבטחת תשלום) (תיקון - גבייה מינהלית), התשפ"ה-2025</t>
  </si>
  <si>
    <t xml:space="preserve"> (פ/6144/25)</t>
  </si>
  <si>
    <t xml:space="preserve">הצעת חוק סדר הדין הפלילי (תיקון - עקרון שיוריות הדין הפלילי), התשפ"ה-2025</t>
  </si>
  <si>
    <t xml:space="preserve"> (פ/6143/25)</t>
  </si>
  <si>
    <t xml:space="preserve">הצעת חוק ההוצאה לפועל (תיקון - הטלת הגבלות על חייב משרת מילואים), התשפ"ה-2025</t>
  </si>
  <si>
    <t xml:space="preserve"> (פ/6142/25)</t>
  </si>
  <si>
    <t xml:space="preserve">הצעת חוק לעידוד התקשרות עם מפעלים מוגנים (תיקוני חקיקה), התשפ"ה-2025</t>
  </si>
  <si>
    <t xml:space="preserve"> (פ/6140/25)</t>
  </si>
  <si>
    <t xml:space="preserve">הצעת חוק איסור חימוש גורם עוין, התשפ"ה-2025</t>
  </si>
  <si>
    <t xml:space="preserve"> (פ/6139/25)</t>
  </si>
  <si>
    <t xml:space="preserve">הצעת חוק שוויון זכויות לבני העדה הדרוזית, התשפ"ה-2025</t>
  </si>
  <si>
    <t xml:space="preserve"> (פ/6138/25)</t>
  </si>
  <si>
    <t xml:space="preserve">הצעת חוק שירות המדינה (מינויים) (תיקון - ייצוג מגדרי הולם למשרות ניהול כללי במשרדי הממשלה), התשפ"ה-2025</t>
  </si>
  <si>
    <t xml:space="preserve"> (פ/6137/25)</t>
  </si>
  <si>
    <t xml:space="preserve">הצעת חוק לתיקון פקודת המשטרה (דיווח לכנסת), התשפ"ה-2025</t>
  </si>
  <si>
    <t xml:space="preserve"> (פ/6136/25)</t>
  </si>
  <si>
    <t xml:space="preserve">הצעת חוק לחלוקה הוגנת של מזונות, התשפ"ה-2025</t>
  </si>
  <si>
    <t xml:space="preserve"> (פ/6135/25)</t>
  </si>
  <si>
    <t xml:space="preserve">הצעת חוק חוזה הביטוח (תיקון - ביטוח חלופי לנפגעי עבירת גביית דמי חסות), התשפ"ה-2025</t>
  </si>
  <si>
    <t xml:space="preserve"> (פ/6134/25)</t>
  </si>
  <si>
    <t xml:space="preserve">הצעת חוק מימון הוצאות למשפחות שבויים, חטופים ונעדרים (תיקון - תוספת למענק לשם התארגנות לבני משפחה של חטוף שגופתו הושבה), התשפ"ה-2025</t>
  </si>
  <si>
    <t xml:space="preserve"> (פ/6133/25)</t>
  </si>
  <si>
    <t xml:space="preserve">הצעת חוק ביטוח בריאות ממלכתי (תיקון - הוספת נציגי עובדים בדירקטוריון ובמועצת קופות החולים), התשפ"ה-2025 </t>
  </si>
  <si>
    <t xml:space="preserve"> (פ/6132/25)</t>
  </si>
  <si>
    <t xml:space="preserve">הצעת חוק לתיקון פקודת העיריות (מרכזים להגנה ממפגעי מזג אוויר קיצוני ומיתקני צינון), התשפ"ה-2025</t>
  </si>
  <si>
    <t xml:space="preserve"> (פ/6131/25)</t>
  </si>
  <si>
    <t xml:space="preserve">הצעת חוק תמיכה במימון פעילות ארגון נכי צה"ל ובתי הלוחם ובארגון נפגעי פעולות האיבה, התשפ"ה-2025</t>
  </si>
  <si>
    <t xml:space="preserve"> (פ/6130/25)</t>
  </si>
  <si>
    <t xml:space="preserve">הצעת חוק איסור אספקת שירותים חיוניים לגורמים עוינים, התשפ"ה-2025</t>
  </si>
  <si>
    <t xml:space="preserve"> (פ/6129/25)</t>
  </si>
  <si>
    <t xml:space="preserve">הצעת חוק חניה לנכים (תיקון - הקצאת מקום חניה המיועד לשני רכבים מזכים), התשפ"ה-2025</t>
  </si>
  <si>
    <t xml:space="preserve"> (פ/6128/25)</t>
  </si>
  <si>
    <t xml:space="preserve">הצעת חוק תגמולים לאסירי ציון ולבני משפחותיהם (תיקון - התאמה לאסירי ציון יוצאי אתיופיה ומדינות אפריקה), התשפ"ה-2025</t>
  </si>
  <si>
    <t xml:space="preserve"> (פ/6127/25)</t>
  </si>
  <si>
    <t xml:space="preserve">הצעת חוק-יסוד: הכנסת (תיקון - קבלת סעיף בחוק-יסוד שדרוש לביטולו או לשינויו רוב מיוחס)</t>
  </si>
  <si>
    <t xml:space="preserve"> (פ/6126/25)</t>
  </si>
  <si>
    <t xml:space="preserve">הצעת חוק ההתגוננות האזרחית (תיקון - סמכויות אכיפת כניסה למקלט והטלת קנס), התשפ"ה-2025</t>
  </si>
  <si>
    <t xml:space="preserve"> (פ/6125/25)</t>
  </si>
  <si>
    <t xml:space="preserve">הצעת חוק הקמת מערכת סולארית בבית משותף שהוקם במסגרת עסקת פינוי ובינוי, התשפ"ה-2025</t>
  </si>
  <si>
    <t xml:space="preserve"> (פ/6124/25)</t>
  </si>
  <si>
    <t xml:space="preserve">הצעת חוק-יסוד: הכנסת (תיקון - החלטה בדבר הפסקת כהונה של חבר הכנסת)</t>
  </si>
  <si>
    <t xml:space="preserve"> (פ/6123/25)</t>
  </si>
  <si>
    <t xml:space="preserve">הצעת חוק התכנון והבנייה (תיקון - ועדת משנה לעניין חבל תקומה) (הוראת שעה), התשפ"ה-2025</t>
  </si>
  <si>
    <t xml:space="preserve"> (פ/6122/25)</t>
  </si>
  <si>
    <t xml:space="preserve">הצעת חוק שימוש בזרע של נפטר לשם הולדה, התשפ"ה-2025</t>
  </si>
  <si>
    <t xml:space="preserve"> (פ/6120/25)</t>
  </si>
  <si>
    <t xml:space="preserve"> (פ/6119/25)</t>
  </si>
  <si>
    <t xml:space="preserve">הצעת חוק לתיקון פקודת העיריות (הזכות להפגין), התשפ"ה-2025 </t>
  </si>
  <si>
    <t xml:space="preserve"> (פ/6118/25)</t>
  </si>
  <si>
    <t xml:space="preserve">הצעת חוק איסור עיסוק נוסף לנושאי משרה בכירה, התשפ"ה-2025</t>
  </si>
  <si>
    <t xml:space="preserve"> (פ/6117/25)</t>
  </si>
  <si>
    <t xml:space="preserve">הצעת חוק לתיקון פקודת המשטרה (ביטול הכפיפות לשר והבטחת עצמאות המשטרה), התשפ"ה-2025</t>
  </si>
  <si>
    <t xml:space="preserve"> (פ/6115/25)</t>
  </si>
  <si>
    <t xml:space="preserve">הצעת חוק שיקום יישובים בחבל התקומה (תיקוני חקיקה) (הוראת שעה), התשפ"ה-2025 </t>
  </si>
  <si>
    <t xml:space="preserve"> (פ/6113/25)</t>
  </si>
  <si>
    <t xml:space="preserve">הצעת חוק סמכויות שעת חירום (תיקוני חקיקה), התשפ"ה-2025</t>
  </si>
  <si>
    <t xml:space="preserve"> (פ/6112/25)</t>
  </si>
  <si>
    <t xml:space="preserve">הצעת חוק סמכויות לשם שמירה על ביטחון הציבור (תיקון - הסמכת מאבטחים למניעת אלימות באוטובוסים ציבוריים), התשפ"ה-2025 </t>
  </si>
  <si>
    <t xml:space="preserve"> (פ/6111/25)</t>
  </si>
  <si>
    <t xml:space="preserve">הצעת חוק ההוצאה לפועל (תיקון - ביטול צו הבאה בשל חוב כספי נמוך), התשפ״ה-2025</t>
  </si>
  <si>
    <t xml:space="preserve"> (פ/6110/25)</t>
  </si>
  <si>
    <t xml:space="preserve">הצעת חוק שירות המדינה (מינויים) (תיקון - חובת פרסום שאלון לאיתור חשש לניגוד עניינים), התשפ"ה-2025</t>
  </si>
  <si>
    <t xml:space="preserve"> (פ/6109/25)</t>
  </si>
  <si>
    <t xml:space="preserve">הצעת חוק הרשויות המקומיות (בחירת ראש הרשות וסגניו וכהונתם) (תיקון - הגבלת כהונה רביעית לראש רשות), התשפ"ה-2025</t>
  </si>
  <si>
    <t xml:space="preserve"> (פ/6108/25)</t>
  </si>
  <si>
    <t xml:space="preserve">הצעת חוק חובת המכרזים (תיקון - תשלום ריבית על ערבות בנקאית), התשפ"ה-2025</t>
  </si>
  <si>
    <t xml:space="preserve"> (פ/6107/25)</t>
  </si>
  <si>
    <t xml:space="preserve">הצעת חוק לתיקון פקודת מס הכנסה (פטור משווי שימוש ברכב עבודה חשמלי), התשפ"ה-2025</t>
  </si>
  <si>
    <t xml:space="preserve"> (פ/6106/25)</t>
  </si>
  <si>
    <t xml:space="preserve">הצעת חוק שוויון זכויות לאנשים עם מוגבלות (תיקון - הנגשת אוטובוסים בין-עירוניים), התשפ"ה-2025</t>
  </si>
  <si>
    <t xml:space="preserve"> (פ/6105/25)</t>
  </si>
  <si>
    <t xml:space="preserve">הצעת חוק-יסוד: הכנסת (תיקון - הרחבת העילות למניעת השתתפות בבחירות)</t>
  </si>
  <si>
    <t xml:space="preserve"> (פ/6104/25)</t>
  </si>
  <si>
    <t xml:space="preserve">הצעת חוק הסדרי משפט ומינהל (תיקון - ניתוק הזיקה להכרזה על מצב חירום), התשפ"ה-2025</t>
  </si>
  <si>
    <t xml:space="preserve"> (פ/6103/25)</t>
  </si>
  <si>
    <t xml:space="preserve">הצעת חוק מיסוי מקרקעין (שבח ורכישה) (תיקון - הקניית זכות במקרקעין חלף בית שנהרס או חולל באירוע טרור), התשפ"ה-2025</t>
  </si>
  <si>
    <t xml:space="preserve"> (פ/6102/25)</t>
  </si>
  <si>
    <t xml:space="preserve">הצעת חוק מימון הוצאות למשפחות שבויים, חטופים ונעדרים (תיקון - הגדלת מענקי סיוע להורה של חטוף או נעדר שאין לו בן זוג שהוא הורה של אותו חטוף או נעדר), התשפ"ה-2025</t>
  </si>
  <si>
    <t xml:space="preserve"> (פ/6101/25)</t>
  </si>
  <si>
    <t xml:space="preserve">הצעת חוק הסדרת מקומות רחצה (תיקון - הגבלת אחריות רשות מקומית למקום שאינו מוכרז לרחצה), התשפ"ה-2025</t>
  </si>
  <si>
    <t xml:space="preserve"> (פ/6100/25)</t>
  </si>
  <si>
    <t xml:space="preserve">הצעת חוק החלת תקצוב מגדרי על תקציבים ציבוריים בישראל, התשפ"ה-2025</t>
  </si>
  <si>
    <t xml:space="preserve"> (פ/6099/25)</t>
  </si>
  <si>
    <t xml:space="preserve">הצעת חוק-יסוד: הממשלה (תיקון - חובת מינוי ממלא מקום ראש הממשלה)</t>
  </si>
  <si>
    <t xml:space="preserve"> (פ/6098/25)</t>
  </si>
  <si>
    <t xml:space="preserve"> (פ/6097/25)</t>
  </si>
  <si>
    <t xml:space="preserve"> (פ/6095/25)</t>
  </si>
  <si>
    <t xml:space="preserve"> (פ/6094/25)</t>
  </si>
  <si>
    <t xml:space="preserve"> (פ/6093/25)</t>
  </si>
  <si>
    <t xml:space="preserve">הצעת חוק המתווכים במקרקעין (תיקון - הטלת דמי תיווך על שוכר), התשפ"ה-2025</t>
  </si>
  <si>
    <t xml:space="preserve"> (פ/6092/25)</t>
  </si>
  <si>
    <t xml:space="preserve">הצעת חוק לתיקון סדרי המינהל (החלטות והנמקות) (תיקון - קיצור זמן המענה בפניות ציבור), התשפ"ה-2025</t>
  </si>
  <si>
    <t xml:space="preserve"> (פ/6091/25)</t>
  </si>
  <si>
    <t xml:space="preserve">הצעת חוק הפיקוח על שירותים פיננסיים (ביטוח) (תיקון - קביעת הוראות האוסרות על הגבלת שימוש במוסכים), התשפ"ה-2025</t>
  </si>
  <si>
    <t xml:space="preserve"> (פ/6090/25)</t>
  </si>
  <si>
    <t xml:space="preserve">הצעת חוק חקירה והעמדה לדין של פשעי מלחמה, פשעים נגד האנושות והשמדת עם, התשפ"ה-2025</t>
  </si>
  <si>
    <t xml:space="preserve"> (פ/6089/25)</t>
  </si>
  <si>
    <t xml:space="preserve">הצעת חוק סיוע למשפחות נעדרים, התשפ"ה-2025</t>
  </si>
  <si>
    <t xml:space="preserve"> (פ/6088/25)</t>
  </si>
  <si>
    <t xml:space="preserve">הצעת חוק סימון מנות בריאות במסעדות, התשפ"ה-2025</t>
  </si>
  <si>
    <t xml:space="preserve"> (פ/6087/25)</t>
  </si>
  <si>
    <t xml:space="preserve">הצעת חוק הרשויות המקומיות (הקרן להרחבת ההשקעה בתושב ולהגדלת היצע הדיור) (תיקון - החרגת הכנסות מארנונה בגין תקופות שקדמו לשנת 2023), התשפ"ה-2025</t>
  </si>
  <si>
    <t xml:space="preserve"> (פ/6086/25)</t>
  </si>
  <si>
    <t xml:space="preserve">הצעת חוק עובדים זרים (תיקון - שימוש בכספי פיקדון למטרת גביית פיצוי נזיקי ולשיקום תשתיות), התשפ"ה-2025</t>
  </si>
  <si>
    <t xml:space="preserve"> (פ/6085/25)</t>
  </si>
  <si>
    <t xml:space="preserve">הצעת חוק העונשין (תיקון - הורדת גיל האחריות הפלילית לילדי מסתננים לעשר שנים), התשפ"ה-2025</t>
  </si>
  <si>
    <t xml:space="preserve"> (פ/6084/25)</t>
  </si>
  <si>
    <t xml:space="preserve">הצעת חוק הגנת הצרכן (תיקון - החמרת האכיפה והענישה על אי-הצגת מחיר על טובין על ידי קמעונאי גדול), התשפ"ה-2025</t>
  </si>
  <si>
    <t xml:space="preserve"> (פ/6083/25)</t>
  </si>
  <si>
    <t xml:space="preserve">הצעת חוק-יסוד: הממשלה (תיקון - איסור חקירה פלילית והגשת כתב אישום נגד ראש הממשלה במהלך תקופת כהונתו)</t>
  </si>
  <si>
    <t xml:space="preserve"> (פ/6082/25)</t>
  </si>
  <si>
    <t xml:space="preserve">הצעת חוק הפרות מינהליות, התשפ"ה-2025</t>
  </si>
  <si>
    <t xml:space="preserve"> (פ/6081/25)</t>
  </si>
  <si>
    <t xml:space="preserve"> (פ/6080/25)</t>
  </si>
  <si>
    <t xml:space="preserve">הצעת חוק משק החשמל (תיקון - איסור ניתוק חשמל), התשפ"ה-2025</t>
  </si>
  <si>
    <t xml:space="preserve"> (פ/6079/25)</t>
  </si>
  <si>
    <t xml:space="preserve">הצעת חוק שירות מידע פיננסי (תיקון - הסדרת מתן שירותים על ידי עמותה), התשפ"ה-2025</t>
  </si>
  <si>
    <t xml:space="preserve"> (פ/6078/25)</t>
  </si>
  <si>
    <t xml:space="preserve">הצעת חוק סדר הדין הפלילי (תיקון - שינוי פרק זמן ההתיישנות של עבירת המרדה), התשפ"ה-2025</t>
  </si>
  <si>
    <t xml:space="preserve"> (פ/6077/25)</t>
  </si>
  <si>
    <t xml:space="preserve">הצעת חוק-יסוד: הממשלה (תיקון - הגבלת מועמד המצוי בחקירה מהרכבת הממשלה)</t>
  </si>
  <si>
    <t xml:space="preserve"> (פ/6076/25)</t>
  </si>
  <si>
    <t xml:space="preserve">הצעת חוק השיפוט הצבאי (תיקון - כשירות הפרקליט הצבאי הראשי וסגנו), התשפ"ה-2025</t>
  </si>
  <si>
    <t xml:space="preserve"> (פ/6075/25)</t>
  </si>
  <si>
    <t xml:space="preserve">הצעת חוק פנייה לגופים ציבוריים באמצעי קשר דיגיטליים (תיקון - קביעת תור באמצעות האינטרנט), התשפ"ה-2025</t>
  </si>
  <si>
    <t xml:space="preserve"> (פ/6073/25)</t>
  </si>
  <si>
    <t xml:space="preserve">הצעת חוק רישוי עסקים (תיקון - רישיון עסק בחבל תקומה) (הוראת שעה), התשפ"ה-2025</t>
  </si>
  <si>
    <t xml:space="preserve"> (פ/6072/25)</t>
  </si>
  <si>
    <t xml:space="preserve">הצעת חוק האפוטרופוס הכללי (תיקון - ניהול נכסי מקרקעין), התשפ"ה-2025 </t>
  </si>
  <si>
    <t xml:space="preserve"> (פ/6071/25)</t>
  </si>
  <si>
    <t xml:space="preserve">הצעת חוק העונשין (תיקון - עבירת ביזה), התשפ"ה-2025</t>
  </si>
  <si>
    <t xml:space="preserve"> (פ/6070/25)</t>
  </si>
  <si>
    <t xml:space="preserve">הצעת חוק-יסוד: הממשלה (תיקון - הגבלת כהונת ראש הממשלה לשתי תקופות כהונה רצופות), התשפ"ה-2025</t>
  </si>
  <si>
    <t xml:space="preserve"> (פ/6068/25)</t>
  </si>
  <si>
    <t xml:space="preserve"> (פ/6067/25)</t>
  </si>
  <si>
    <t xml:space="preserve">הצעת חוק הבנקאות (שירות ללקוח) (תיקון - מסירת מידע על עמלות וריביות בשל פירעון מוקדם של הלוואה), התשפ"ה-2025</t>
  </si>
  <si>
    <t xml:space="preserve"> (פ/6066/25)</t>
  </si>
  <si>
    <t xml:space="preserve">הצעת חוק תרומת זרע, התשפ"ה-2025</t>
  </si>
  <si>
    <t xml:space="preserve"> (פ/6065/25)</t>
  </si>
  <si>
    <t xml:space="preserve">הצעת חוק לתיקון פקודת המשטרה (תיעוד חזותי של השימוש באמצעי לפיזור הפגנות), התשפ"ה-2025</t>
  </si>
  <si>
    <t xml:space="preserve"> (פ/6064/25)</t>
  </si>
  <si>
    <t xml:space="preserve">הצעת חוק-יסוד: הממשלה (תיקון - הפסקת כהונה של ראש הממשלה מחמת עבירה)</t>
  </si>
  <si>
    <t xml:space="preserve"> (פ/6061/25)</t>
  </si>
  <si>
    <t xml:space="preserve">הצעת חוק מענק לבניית מרחב מוגן, התשפ"ה-2025</t>
  </si>
  <si>
    <t xml:space="preserve"> (פ/6060/25)</t>
  </si>
  <si>
    <t xml:space="preserve">הצעת חוק-יסוד: נשיא המדינה (תיקון - כשירות מועמדים לכהונה כנשיא המדינה)</t>
  </si>
  <si>
    <t xml:space="preserve"> (פ/6059/25)</t>
  </si>
  <si>
    <t xml:space="preserve">הצעת חוק שכר שווה לעובדת ולעובד (תיקון - חובת מסירת מידע), התשפ"ה-2025</t>
  </si>
  <si>
    <t xml:space="preserve"> (פ/6057/25)</t>
  </si>
  <si>
    <t xml:space="preserve">הצעת חוק הנכים (תגמולים ושיקום) (תיקון - תשלום בשל אובדן הכנסה לבן משפחה של נכה בתקופת האשפוז ולאחריה), התשפ"ה-2025</t>
  </si>
  <si>
    <t xml:space="preserve"> (פ/6056/25)</t>
  </si>
  <si>
    <t xml:space="preserve">הצעת חוק שוויון ההזדמנויות בעבודה (תיקון - איסור הפליה על רקע זהות מגדרית), התשפ"ה-2025</t>
  </si>
  <si>
    <t xml:space="preserve"> (פ/6055/25)</t>
  </si>
  <si>
    <t xml:space="preserve">הצעת חוק הסדרת הבתים המאזנים בישראל, התשפ"ה-2025</t>
  </si>
  <si>
    <t xml:space="preserve"> (פ/6052/25)</t>
  </si>
  <si>
    <t xml:space="preserve">הצעת חוק מס רכוש וקרן פיצויים (תיקון - פיצוי נפגעי עבירת גביית דמי חסות), התשפ"ה-2025</t>
  </si>
  <si>
    <t xml:space="preserve"> (פ/6051/25)</t>
  </si>
  <si>
    <t xml:space="preserve">הצעת חוק הביטוח הלאומי (תיקון - עבודה מועדפת ביישובי קו העימות בצפון ובדרום), התשפ"ה-2025</t>
  </si>
  <si>
    <t xml:space="preserve"> (פ/6050/25)</t>
  </si>
  <si>
    <t xml:space="preserve">הצעת חוק הבחירות (דרכי תעמולה) (תיקון - תעמולה דיגיטלית), התשפ"ה-2025</t>
  </si>
  <si>
    <t xml:space="preserve"> (פ/6049/25)</t>
  </si>
  <si>
    <t xml:space="preserve">הצעת חוק מימון מפלגות (תיקון - ייצוג לנשים ברשימת המועמדים), התשפ"ה-2025</t>
  </si>
  <si>
    <t xml:space="preserve"> (פ/6048/25)</t>
  </si>
  <si>
    <t xml:space="preserve">הצעת חוק עובדים זרים (תיקון - תאגיד עובדים זרים מחליפים זמניים), התשפ"ה-2025</t>
  </si>
  <si>
    <t xml:space="preserve"> (פ/6047/25)</t>
  </si>
  <si>
    <t xml:space="preserve">הצעת חוק המשתתף החופשי, התשפ"ה-2025</t>
  </si>
  <si>
    <t xml:space="preserve"> (פ/6046/25)</t>
  </si>
  <si>
    <t xml:space="preserve">הצעת חוק לתיקון פקודת התעבורה (הסמכת רשות מקומית לביצוע תפקידי רישוי), התשפ"ה-2025</t>
  </si>
  <si>
    <t xml:space="preserve"> (פ/6045/25)</t>
  </si>
  <si>
    <t xml:space="preserve">הצעת חוק דמי מחלה (היעדרות בשל מחלת ילד) (תיקון - היעדרות בעקבות פגיעה בעבירת מין או אלימות חמורה), התשפ"ה-2025</t>
  </si>
  <si>
    <t xml:space="preserve"> (פ/6044/25)</t>
  </si>
  <si>
    <t xml:space="preserve">הצעת חוק הממשלה (תיקון - דיווח שר בדבר אי-התקנת תקנות במועד), התשפ"ה-2025</t>
  </si>
  <si>
    <t xml:space="preserve"> (פ/6042/25)</t>
  </si>
  <si>
    <t xml:space="preserve">הצעת חוק עידוד תרומות מזון (תיקון - חובת העברת עודפי מזון לארגון לחלוקת מזון), התשפ"ה-2025</t>
  </si>
  <si>
    <t xml:space="preserve"> (פ/6041/25)</t>
  </si>
  <si>
    <t xml:space="preserve">הצעת חוק חובת פרסום זהותם של אסירים ביטחוניים ששוחררו ממאסר, התשפ"ה-2025</t>
  </si>
  <si>
    <t xml:space="preserve"> (פ/5503/25)</t>
  </si>
  <si>
    <t xml:space="preserve"> (כ/1155)</t>
  </si>
  <si>
    <t xml:space="preserve">הצעת חוק המאבק בתופעת השימוש בחומרים מסכנים (תיקון מס' 6) (הגבלת שיווק של חומר מסכן שיש לו שימושים מותרים), התשפ"ה–2025</t>
  </si>
  <si>
    <t xml:space="preserve"> (פ/5052/25)</t>
  </si>
  <si>
    <t xml:space="preserve"> (כ/1150)</t>
  </si>
  <si>
    <t xml:space="preserve">הצעת חוק להנצחת הרב אברהם יצחק הכהן קוק, התשפ"ה–2025</t>
  </si>
  <si>
    <t xml:space="preserve"> (פ/3713/25)</t>
  </si>
  <si>
    <t xml:space="preserve"> (כ/1152)</t>
  </si>
  <si>
    <t xml:space="preserve">הצעת חוק הסדרת השימוש בקנאביס למטרות רפואיות, התשפ"ה-2025</t>
  </si>
  <si>
    <t xml:space="preserve"> (פ/755/25)</t>
  </si>
  <si>
    <t xml:space="preserve"> (כ/1151)</t>
  </si>
  <si>
    <t xml:space="preserve">הוועדה המיוחדת למאבק בשימוש בסמים ובאלכוהול</t>
  </si>
  <si>
    <t xml:space="preserve">הצעת חוק לתיקון פקודת התעבורה (מס' 140), התשפ"ה–2025</t>
  </si>
  <si>
    <t xml:space="preserve"> (מ/1790)</t>
  </si>
  <si>
    <t xml:space="preserve">הצעת חוק איסור הלבנת הון (תיקון מס' 37) (הטלת חובות על מתווך במקרקעין), התשפ"ה-2025</t>
  </si>
  <si>
    <t xml:space="preserve"> (מ/1889)</t>
  </si>
  <si>
    <t xml:space="preserve">הצעת חוק לקידום הבנייה במתחמים מועדפים (הוראת שעה) (תיקון מס' 9), התשפ"ו-2026</t>
  </si>
  <si>
    <t xml:space="preserve">הצעת חוק בתי קברות צבאיים (תיקון מס' 5) (תיקון - תחולה למפרע), התשפ"ה-2024</t>
  </si>
  <si>
    <t xml:space="preserve"> (פ/5044/25)</t>
  </si>
  <si>
    <t xml:space="preserve">20.07.2025</t>
  </si>
  <si>
    <t xml:space="preserve">הצעת חוק בתי קברות צבאיים (תיקון מס' 5) (תיקון - תחולה למפרע), התשפ"ד-2024</t>
  </si>
  <si>
    <t xml:space="preserve"> (פ/4676/25)</t>
  </si>
  <si>
    <t xml:space="preserve">הצעת חוק המרכז להנצחת מורשתו של הנשיא יצחק נבון, התשפ"ה-2025</t>
  </si>
  <si>
    <t xml:space="preserve"> (פ/5767/25)</t>
  </si>
  <si>
    <t xml:space="preserve">16.07.2025</t>
  </si>
  <si>
    <t xml:space="preserve"> (פ/5502/25)</t>
  </si>
  <si>
    <t xml:space="preserve">הצעת חוק יום המודעות למאבק במחלת הסרטן, התשפ"ה-2025</t>
  </si>
  <si>
    <t xml:space="preserve"> (פ/5494/25)</t>
  </si>
  <si>
    <t xml:space="preserve">הצעת חוק יום המודעות למחלת הסרטן, התשפ"ה-2025</t>
  </si>
  <si>
    <t xml:space="preserve"> (פ/5457/25)</t>
  </si>
  <si>
    <t xml:space="preserve">הצעת חוק לתיקון פקודת מס הכנסה (נקודת זיכוי בעד שירות מילואים), התשפ"ה-2025</t>
  </si>
  <si>
    <t xml:space="preserve"> (פ/5431/25)</t>
  </si>
  <si>
    <t xml:space="preserve"> (פ/5391/25)</t>
  </si>
  <si>
    <t xml:space="preserve">הצעת חוק חינוך ממלכתי (תיקון - איסור נשיאת דברים במוסד חינוך למורשע בעבירת טרור, גזענות או בגידה), התשפ"ה-2024</t>
  </si>
  <si>
    <t xml:space="preserve"> (פ/5261/25)</t>
  </si>
  <si>
    <t xml:space="preserve"> (פ/5096/25)</t>
  </si>
  <si>
    <t xml:space="preserve">הצעת חוק לתיקון פקודת מס הכנסה (מיסוי קרן הון סיכון נסחרת), התשפ"ג-2022</t>
  </si>
  <si>
    <t xml:space="preserve"> (פ/20/25)</t>
  </si>
  <si>
    <t xml:space="preserve">הצעת חוק חובת פרסום שמותיהם של אסירים ביטחוניים ששוחררו ממאסר, התשפ"ה-2025</t>
  </si>
  <si>
    <t xml:space="preserve"> (פ/5865/25)</t>
  </si>
  <si>
    <t xml:space="preserve">15.07.2025</t>
  </si>
  <si>
    <t xml:space="preserve">חוק חובת המכרזים (תיקון מס' 24 – הוראת שעה) (תיקון מס' 2), התשפ"ה–2025</t>
  </si>
  <si>
    <t xml:space="preserve"> (פ/5866/25)</t>
  </si>
  <si>
    <t xml:space="preserve"> (כ/1147)</t>
  </si>
  <si>
    <t xml:space="preserve">החוק מאריך בשלוש שנים נוספות, עד ל-15 ביולי 2028, את הוראת השעה המסמיכה את הממשלה לקבוע בתקנות, באישור ועדת החוקה של הכנסת, הוראות לעניין העדפה של תוצרת הארץ ברכישת טקסטיל בעבור מערכת הביטחון והמשרד לביטחון הפנים. מכוח הוראה שקיימת בהוראת השעה המקורית, שר האוצר יהיה מוסמך להאריך תקופה זו, בצו, באישור ועדת החוקה של הכנסת, לפרק זמן של שנתיים נוספות.</t>
  </si>
  <si>
    <t xml:space="preserve">הצעת חוק יישום הסכם הביניים בדבר הגדה המערבית ורצועת עזה (הגבלת פעילות) (תיקון מס' 4) (איסור פעילות בתחומי מדינת ישראל, אכיפה ועונשין), התשפ"ה–2025</t>
  </si>
  <si>
    <t xml:space="preserve"> (פ/5011/25)</t>
  </si>
  <si>
    <t xml:space="preserve"> (כ/1148)</t>
  </si>
  <si>
    <t xml:space="preserve">הצעת חוק העונשין (תיקון מס' 153), התשפ"ה–2025</t>
  </si>
  <si>
    <t xml:space="preserve"> (פ/3326/25)</t>
  </si>
  <si>
    <t xml:space="preserve"> (כ/1129)</t>
  </si>
  <si>
    <t xml:space="preserve">חוק לייעול האכיפה והפיקוח העירוניים ברשויות המקומיות (הוראת שעה) (תיקון מס' 18), התשפ"ה–2025 </t>
  </si>
  <si>
    <t xml:space="preserve"> (מ/1823)</t>
  </si>
  <si>
    <t xml:space="preserve">14.07.2025</t>
  </si>
  <si>
    <t xml:space="preserve">במסגרת החוק נקבע כי חוק לייעול האכיפה והפיקוח העירוניים ברשויות המקומיות (הוראת שעה), התשע"א-2011, יהפוך להוראת קבע, לצד קביעת מספר הסדרים. ראשית, הוסדרו אופן ההקמה וההפעלה של מערכי אכיפה מקומיים בהתאם לאמות מידה ותבחינים, תוך קביעת משקלן בתקנות על ידי השר לביטחון לאומי, וזאת לצד קיומו של חריג להקמת רשויות כאמור באזורי עדיפות או מיקוד לאומיים. שנית, נקבע הסדר בנוגע למבנה הכוח במערך השיטור המקומי, המתייחס למספר הכולל של השוטרים והפקחים וליחס ביניהם, ובכלל זה את האפשרות של רשות מקומית להסתייע במתנדב המסייע ליחידות הסיור של משטרת ישראל. שלישית, הוסדר מימון מערכי האכיפה המקומיים על ידי המשרד לביטחון לאומי בהתאם לאמות המידה שנקבעו, לצד חריג לעניין זה במקרה של רשות שהוכרה כאזור עדיפות או מיקוד לאומי בחוק או בהחלטת ממשלה. רביעית, הוסדר אופן החזקת הנשקים בידי מערך אכיפה מקומי בהתאם לרישיון מיוחד לפי חוק כלי הירייה. מעבר לכך, נקבעו המקרים בהם רשאי פקח השיטור המקומי להפעיל את סמכויותיו תוך תחימתם למקרים מסוימים שהם מניעת אלימות, גניבה, נזק חמור לרכוש ומעשה מסכן חיים באמצעות רכב המתבצעים במרחב הציבורי. וזאת, במקום ובדרך שיבטיחו שמירה על זכויות אדם. וכן, ניתנו לפקח השיטור המקומי סמכויות למאבק בתופעת השכרות, כהוראת שעה לשנתיים, באזורים ספציפיים ברשות המקומית המנויים בתוספת, לרבות חופי רחצה, גנים ציבוריים וטיילות.  בנוסף, עוגנה הקמתה של יחידה במשרד לביטחון לאומי שתתכלל את הפעלת המערכים והקמתם כאמור ואף תטפל בתלונות שהוגשו בגין הפעלת סמכות שלא כדין בידי פקחי השיטור המקומיים. עוד נקבעה, חובת דיווח שנתית של השר לביטחון לאומי לוועדה לביטחון לאומי של הכנסת על מספר דברים, ביניהם, רשויות מקומיות שביקשו להקים ולהפעיל מערך אכיפה מקומי וטרם הוקם בהן מערך והסיבות לכך, אירועים חריגים בהפעלת סמכויות של פקחי השיטור המקומיים והטיפול בהם ופירוט הרשויות שניתן להם סיוע במימון מערכי האכיפה המקומיים והיקפו.  </t>
  </si>
  <si>
    <t xml:space="preserve">הצעת חוק הגנת אזרח ישראלי שהוטלו עליו עיצומים כלכליים על ידי מדינה זרה (תיקוני חקיקה), התשפ"ה-2025</t>
  </si>
  <si>
    <t xml:space="preserve"> (פ/6040/25)</t>
  </si>
  <si>
    <t xml:space="preserve">הצעת חוק לתיקון פקודת העיריות (ועדת מכרזים), התשפ"ה-2025</t>
  </si>
  <si>
    <t xml:space="preserve"> (פ/6039/25)</t>
  </si>
  <si>
    <t xml:space="preserve"> (פ/6037/25)</t>
  </si>
  <si>
    <t xml:space="preserve"> (פ/6034/25)</t>
  </si>
  <si>
    <t xml:space="preserve">הצעת חוק לתיקון פקודת העיריות (גמול כספי לחברי מועצה בעירייה), התשפ"ה-2025 </t>
  </si>
  <si>
    <t xml:space="preserve"> (פ/6033/25)</t>
  </si>
  <si>
    <t xml:space="preserve">הצעת חוק הרשויות המקומיות (בחירת ראש הרשות וסגניו וכהונתם) (תיקון - סגנים נוספים), התשפ"ה-2025</t>
  </si>
  <si>
    <t xml:space="preserve"> (פ/6032/25)</t>
  </si>
  <si>
    <t xml:space="preserve">הצעת חוק זכויות בעלי חיים (העברת סמכויות הוועדה בכנסת) (תיקוני חקיקה), התשפ"ה-2025</t>
  </si>
  <si>
    <t xml:space="preserve"> (פ/6031/25)</t>
  </si>
  <si>
    <t xml:space="preserve">הצעת חוק דוד בן-גוריון (תיקון - מינוי נציגי יד בן־גוריון למכון), התשפ"ה-2025</t>
  </si>
  <si>
    <t xml:space="preserve"> (פ/6030/25)</t>
  </si>
  <si>
    <t xml:space="preserve">הצעת חוק עבודת נשים (תיקון - תקופת לידה והורות לגבר), התשפ"ה-2025</t>
  </si>
  <si>
    <t xml:space="preserve"> (פ/6029/25)</t>
  </si>
  <si>
    <t xml:space="preserve">הצעת חוק תרומת ביציות (תיקון - תרומת ביציות בין בנות זוג), התשפ"ה-2025</t>
  </si>
  <si>
    <t xml:space="preserve"> (פ/6027/25)</t>
  </si>
  <si>
    <t xml:space="preserve">הצעת חוק הסכמים לנשיאת עוברים (אישור הסכם ומעמד היילוד) (תיקון - הרחבת הזכאות להליכי נשיאת עוברים), התשפ"ה-2025</t>
  </si>
  <si>
    <t xml:space="preserve"> (פ/6026/25)</t>
  </si>
  <si>
    <t xml:space="preserve">הצעת חוק עבודת נשים (תיקון - הוספת חלקו של חודש במניין), התשפ"ה-2025</t>
  </si>
  <si>
    <t xml:space="preserve"> (פ/6025/25)</t>
  </si>
  <si>
    <t xml:space="preserve">הצעת חוק לשמירה על בטיחות מעליות, התשפ"ה-2025</t>
  </si>
  <si>
    <t xml:space="preserve"> (פ/6024/25)</t>
  </si>
  <si>
    <t xml:space="preserve">הצעת חוק המתווכים במקרקעין (תיקון - אחריות לתשלום דמי תיווך), התשפ"ה-2025</t>
  </si>
  <si>
    <t xml:space="preserve"> (פ/6023/25)</t>
  </si>
  <si>
    <t xml:space="preserve">הצעת חוק הפיקוח על צעצועים מסוכנים, התשפ"ה-2025</t>
  </si>
  <si>
    <t xml:space="preserve"> (פ/6022/25)</t>
  </si>
  <si>
    <t xml:space="preserve">הצעת חוק הקאדים (תיקון - גיל פרישה לקאדי שילדו נפטר), התשפ"ה-2025</t>
  </si>
  <si>
    <t xml:space="preserve"> (פ/6021/25)</t>
  </si>
  <si>
    <t xml:space="preserve">הצעת חוק הרשויות המקומיות (בחירות) (תיקון - העלאת אחוז החסימה), התשפ"ה-2025</t>
  </si>
  <si>
    <t xml:space="preserve"> (פ/6020/25)</t>
  </si>
  <si>
    <t xml:space="preserve"> (פ/6019/25)</t>
  </si>
  <si>
    <t xml:space="preserve">הצעת חוק הרבנות הראשית לישראל (תיקון - מינוי מנהל כללי ותקציב הרבנות הראשית לישראל), התשפ"ה-2025</t>
  </si>
  <si>
    <t xml:space="preserve"> (פ/6018/25)</t>
  </si>
  <si>
    <t xml:space="preserve">הצעת חוק החזקת תעודת זהות והצגתה (תיקון - תעודה מזהה), התשפ"ה-2025</t>
  </si>
  <si>
    <t xml:space="preserve"> (פ/6017/25)</t>
  </si>
  <si>
    <t xml:space="preserve">הצעת חוק מרשם האוכלוסין (תיקון - רישום הורה נוסף), התשפ"ה-2025</t>
  </si>
  <si>
    <t xml:space="preserve"> (פ/6016/25)</t>
  </si>
  <si>
    <t xml:space="preserve">הצעת חוק-יסוד: כבוד האדם וחירותו (תיקון - הזכות לשוויון)</t>
  </si>
  <si>
    <t xml:space="preserve"> (פ/6015/25)</t>
  </si>
  <si>
    <t xml:space="preserve">הצעת חוק העונשין (תיקון - החמרת ענישה בריגול חמור ומגע עם סוכן חוץ), התשפ"ה-2025</t>
  </si>
  <si>
    <t xml:space="preserve"> (פ/6013/25)</t>
  </si>
  <si>
    <t xml:space="preserve">הצעת חוק גנים לאומיים, שמורות טבע, אתרים לאומיים ואתרי הנצחה (תיקון - כניסת חתן וכלה ללא תשלום), התשפ"ה-2025</t>
  </si>
  <si>
    <t xml:space="preserve"> (פ/6012/25)</t>
  </si>
  <si>
    <t xml:space="preserve">הצעת חוק הבנקאות (שירות ללקוח) (תיקון - מתן שירותי הפקדה בכל כספומט בנקאי), התשפ"ה-2025</t>
  </si>
  <si>
    <t xml:space="preserve"> (פ/6011/25)</t>
  </si>
  <si>
    <t xml:space="preserve">הצעת חוק לתיקון פקודת התעבורה (הוראות לעניין סככות המתנה בתחנות אוטובוס), התשפ״ה-2025</t>
  </si>
  <si>
    <t xml:space="preserve"> (פ/6010/25)</t>
  </si>
  <si>
    <t xml:space="preserve"> (פ/6009/25)</t>
  </si>
  <si>
    <t xml:space="preserve"> (פ/6008/25)</t>
  </si>
  <si>
    <t xml:space="preserve">הצעת חוק מחיקת רישומים בגין התקהלות אסורה, התשפ"ה-2025</t>
  </si>
  <si>
    <t xml:space="preserve"> (פ/6007/25)</t>
  </si>
  <si>
    <t xml:space="preserve">הצעת חוק הביטוח הלאומי (תיקון - הודעה לפני גביית חוב), התשפ"ה-2025</t>
  </si>
  <si>
    <t xml:space="preserve"> (פ/6006/25)</t>
  </si>
  <si>
    <t xml:space="preserve">הצעת חוק בתי המשפט (תיקון - תקופת צינון במועמדות חבר כנסת או שר למשרת שופט), התשפ"ה-2025</t>
  </si>
  <si>
    <t xml:space="preserve"> (פ/6005/25)</t>
  </si>
  <si>
    <t xml:space="preserve">הצעת חוק זיכרון השואה והגבורה - יד ושם (תיקון - הגדרת יד ושם כגוף מבוקר וחיזוק הפיקוח הפרלמנטרי עליו), התשפ"ה-2025</t>
  </si>
  <si>
    <t xml:space="preserve"> (פ/6004/25)</t>
  </si>
  <si>
    <t xml:space="preserve">הצעת חוק דחיית תשלומי מס לעסק חדש (תיקוני חקיקה), התשפ"ה-2025</t>
  </si>
  <si>
    <t xml:space="preserve"> (פ/6003/25)</t>
  </si>
  <si>
    <t xml:space="preserve">הצעת חוק לביטול ההתיישנות בעבירות מין במשפחה (תיקוני חקיקה), התשפ"ה-2025</t>
  </si>
  <si>
    <t xml:space="preserve"> (פ/6002/25)</t>
  </si>
  <si>
    <t xml:space="preserve">הצעת חוק לתיקון פקודת מס הכנסה (פטור ממס למקבלי קצבת ילד נכה), התשפ"ה-2025</t>
  </si>
  <si>
    <t xml:space="preserve"> (פ/6001/25)</t>
  </si>
  <si>
    <t xml:space="preserve"> (פ/6000/25)</t>
  </si>
  <si>
    <t xml:space="preserve">הצעת חוק המוזיאונים (תיקון - מוזיאונים להנצחה ולהנחלה של זכר השואה והגבורה), התשפ"ה-2025</t>
  </si>
  <si>
    <t xml:space="preserve"> (פ/5999/25)</t>
  </si>
  <si>
    <t xml:space="preserve">הצעת חוק בית המשפט לענייני משפחה (תיקון - בני זוג מאותו המין), התשפ"ה-2025</t>
  </si>
  <si>
    <t xml:space="preserve"> (פ/5998/25)</t>
  </si>
  <si>
    <t xml:space="preserve">הצעת חוק בתי המשפט (תיקון - צילום בבתי משפט), התשפ"ה-2025</t>
  </si>
  <si>
    <t xml:space="preserve"> (פ/5996/25)</t>
  </si>
  <si>
    <t xml:space="preserve">הצעת חוק לתיקון פקודת מס הכנסה (ניכוי בעד שכר עובדים המשרתים במילואים), התשפ"ה-2025</t>
  </si>
  <si>
    <t xml:space="preserve"> (פ/5995/25)</t>
  </si>
  <si>
    <t xml:space="preserve">הצעת חוק לביטול ההתיישנות בעבירות מין (תיקוני חקיקה), התשפ"ה-2025</t>
  </si>
  <si>
    <t xml:space="preserve"> (פ/5994/25)</t>
  </si>
  <si>
    <t xml:space="preserve">הצעת חוק אימוץ ילדים (תיקון - כשירות לאמץ והתאמת מאמצים לילד), התשפ"ה-2025</t>
  </si>
  <si>
    <t xml:space="preserve"> (פ/5993/25)</t>
  </si>
  <si>
    <t xml:space="preserve">הצעת חוק טיפול בפעוט עם מוגבלות (תיקוני חקיקה), התשפ"ה-2025</t>
  </si>
  <si>
    <t xml:space="preserve"> (פ/5992/25)</t>
  </si>
  <si>
    <t xml:space="preserve">הצעת חוק הבטחת הכנסה (תיקון - זכאי לגמלה ששוהה מחוץ לישראל בשל מצב מיוחד) (הוראת שעה), התשפ"ה-2025</t>
  </si>
  <si>
    <t xml:space="preserve"> (פ/5991/25)</t>
  </si>
  <si>
    <t xml:space="preserve">הצעת חוק הביטוח הלאומי (תיקון - תיאום דמי ביטוח), התשפ"ה-2025</t>
  </si>
  <si>
    <t xml:space="preserve"> (פ/5990/25)</t>
  </si>
  <si>
    <t xml:space="preserve">הצעת חוק לתיקון פקודת מס הכנסה (הודעה בדבר זכאות לנקודת זיכוי), התשפ״ה-2025</t>
  </si>
  <si>
    <t xml:space="preserve"> (פ/5989/25)</t>
  </si>
  <si>
    <t xml:space="preserve">הצעת חוק-יסוד: משק המדינה (תיקון - בחינת העלות לרשויות מקומיות)</t>
  </si>
  <si>
    <t xml:space="preserve"> (פ/5988/25)</t>
  </si>
  <si>
    <t xml:space="preserve">הצעת חוק איסור צריכת זנות (הוראת שעה ותיקון חקיקה) (תיקון - עיגון כהוראת קבע), התשפ"ה- 2025</t>
  </si>
  <si>
    <t xml:space="preserve"> (פ/5987/25)</t>
  </si>
  <si>
    <t xml:space="preserve">הצעת חוק זכויות החולה (תיקון - טיפול רפואי לקטין מגיל 15 ללא נוכחות הורה), התשפ"ה-2025</t>
  </si>
  <si>
    <t xml:space="preserve"> (פ/5986/25)</t>
  </si>
  <si>
    <t xml:space="preserve">הצעת חוק הביטוח הלאומי (תיקון - גמלת אבל), התשפ"ה-2025</t>
  </si>
  <si>
    <t xml:space="preserve"> (פ/5985/25)</t>
  </si>
  <si>
    <t xml:space="preserve">הצעת חוק מסירת מידע לחברי הכנסת ולוועדות הכנסת (תיקוני חקיקה), התשפ"ה-2025</t>
  </si>
  <si>
    <t xml:space="preserve"> (פ/5984/25)</t>
  </si>
  <si>
    <t xml:space="preserve">הצעת חוק התגמולים לנפגעי פעולות איבה (תיקון - משפחה מלווה ליתומים בגירים), התשפ"ה-2025</t>
  </si>
  <si>
    <t xml:space="preserve"> (פ/5982/25)</t>
  </si>
  <si>
    <t xml:space="preserve">הצעת חוק טיפול בכתות פוגעניות, התשפ"ה-2025</t>
  </si>
  <si>
    <t xml:space="preserve"> (פ/5981/25)</t>
  </si>
  <si>
    <t xml:space="preserve"> (פ/5980/25)</t>
  </si>
  <si>
    <t xml:space="preserve">הצעת חוק לתיקון פקודת הרוקחים (רכישת תרופות על ידי קטין מגיל 15), התשפ"ה-2025</t>
  </si>
  <si>
    <t xml:space="preserve"> (פ/5979/25)</t>
  </si>
  <si>
    <t xml:space="preserve">הצעת חוק לתיקון פקודת בתי הסוהר (מס' 69), התשפ"ה–2025</t>
  </si>
  <si>
    <t xml:space="preserve"> (פ/4890/25)</t>
  </si>
  <si>
    <t xml:space="preserve"> (כ/1134)</t>
  </si>
  <si>
    <t xml:space="preserve">הצעת חוק העונשין (תיקון מס' 158) (אסון טבע, מלחמה ומצב חירום), התשפ"ה-2025</t>
  </si>
  <si>
    <t xml:space="preserve"> (מ/1886)</t>
  </si>
  <si>
    <t xml:space="preserve">הצעת חוק מועצת הצמחים (ייצור ושיווק) (תיקון מס' 11), התשפ"ה-2025</t>
  </si>
  <si>
    <t xml:space="preserve"> (מ/1887)</t>
  </si>
  <si>
    <t xml:space="preserve">הצעת חוק הגנת הצרכן (תיקון - חובת הקלטת שיחות, שמירתן ומסירתן לצרכן), התשפ"ג-2023</t>
  </si>
  <si>
    <t xml:space="preserve"> (פ/3535/25)</t>
  </si>
  <si>
    <t xml:space="preserve">09.07.2025</t>
  </si>
  <si>
    <t xml:space="preserve">הצעת חוק הגנת הצרכן (תיקון - חובת הקלטה של עסקה טלפונית), התשפ"ג-2023</t>
  </si>
  <si>
    <t xml:space="preserve"> (פ/2936/25)</t>
  </si>
  <si>
    <t xml:space="preserve">הצעת חוק איסור לכידת בעלי חיים באמצעות מלכודות אסורות, התשפ"ה-2025</t>
  </si>
  <si>
    <t xml:space="preserve"> (פ/865/25)</t>
  </si>
  <si>
    <t xml:space="preserve"> (כ/1090)</t>
  </si>
  <si>
    <t xml:space="preserve">חוק איסור שהייה וישיבה בישראל שלא כדין (תיקוני חקיקה), התשפ"ה-2025</t>
  </si>
  <si>
    <t xml:space="preserve"> (פ/5507/25)</t>
  </si>
  <si>
    <t xml:space="preserve"> (כ/1101)</t>
  </si>
  <si>
    <t xml:space="preserve">במסגרת החוק נקבע כי שר הפנים או מפקד כוחות צבא הגנה לישראל באזור, לפי העניין, לא ייתן היתר שהייה בישראל ולא יחדש רישיון לישיבה בישראל למבקש שהוא פעיל טרור או של מי שהורשע במעשה טרור, וכן למבקש שהוא בן משפחה של אדם כאמור. כמו כן, נקבע כי המונח "בן משפחה" יוגדר אחרת לפי שלב הגשת הבקשה להיתר או לרישיון כאמור. לעניין בקשה ראשונה, המוגשת ככלל טרם הכניסה לישראל, ההגדרה תהיה רחבה ותכלול מעגלים נוספים ואילו לעניין חידוש היתר או רישיון כאמור של אדם שכבר שוהה בישראל ונמצא בהליך להסדרת מעמדו, ההגדרה תהיה מצומצמת ותכלול רק את בני המשפחה הקרובים. עוד נקבע כי מי שנכנס לישראל מהאזור או דרך האזור בניגוד לחוק, או מפר תנאי מהתנאים שנקבעו באשרתו או ברישיון הישיבה שניתנו לו לפי חוק זה, לא יקבל היתר או רישיון כאמור במשך עשר שנים, אלא אם כן יסבור שר הפנים או מפקד האזור, לפי העניין, כי יש לתת לו היתר או רישיון כאמור מטעמים מיוחדים. זאת ועוד, הוחמרה הענישה בגין עבירות ספציפיות של שהייה בישראל שלא כדין, אם בוצעו בידי מי שנכנס לישראל מהאזור או דרך האזור, ובמסגרת זאת נקבע כי העונש המרבי בעבירות אלה יהיה עד שנתיים מאסר במקום שנה אחת. כמו כן, נקבעו חובת הטלת קנס על מי שהורשע בעבירות כאמור, וכן הסדר חילוט, המבוסס על חזקה שלפיה כסף מזומן הנמצא בחזקתו של חשוד בעבירות המבוצעות בנסיבות אלה יראה כשכר שניתן עבור ביצוע העבירה או כאמצעי לביצועה, אלא אם הוכח אחרת. </t>
  </si>
  <si>
    <t xml:space="preserve">הצעת חוק התגמולים לנפגעי פעולות איבה (תיקון - קבורה בחלקה לבחירת המשפחה), התשפ"ה-2025</t>
  </si>
  <si>
    <t xml:space="preserve"> (פ/5825/25)</t>
  </si>
  <si>
    <t xml:space="preserve"> (פ/5788/25)</t>
  </si>
  <si>
    <t xml:space="preserve">הצעת חוק משק החשמל (תיקון - הוזלת תעריפי החשמל בימי שבת), התשפ"ה-2025</t>
  </si>
  <si>
    <t xml:space="preserve"> (פ/5552/25)</t>
  </si>
  <si>
    <t xml:space="preserve">הצעת חוק זכויות הסטודנט (תיקון - הוראת שעה - חרבות ברזל) (מימון שכר לימוד למשרתי מילואים), התשפ״ד-2024</t>
  </si>
  <si>
    <t xml:space="preserve"> (פ/4194/25)</t>
  </si>
  <si>
    <t xml:space="preserve">הצעת חוק הבחירות לכנסת (תיקון - הצבעת אנשי צוות אוויר), התשפ"ג-2023</t>
  </si>
  <si>
    <t xml:space="preserve"> (פ/3706/25)</t>
  </si>
  <si>
    <t xml:space="preserve">הצעת חוק השבות (תיקון - זכויות בני משפחה), התשפ"ג-2023</t>
  </si>
  <si>
    <t xml:space="preserve"> (פ/3171/25)</t>
  </si>
  <si>
    <t xml:space="preserve">הצעת חוק זכויות התלמיד (תיקון - מניעת פגיעה בתלמיד עקב פעילות המתקיימת במוסד חינוך בניגוד לטובת הילד ורצון ההורים), התשפ"ג-2023</t>
  </si>
  <si>
    <t xml:space="preserve"> (פ/2813/25)</t>
  </si>
  <si>
    <t xml:space="preserve">הצעת חוק זכויות הסטודנט (תיקון מס' 10), התשפ"ה–2025</t>
  </si>
  <si>
    <t xml:space="preserve"> (פ/2368/25)</t>
  </si>
  <si>
    <t xml:space="preserve"> (כ/1100)</t>
  </si>
  <si>
    <t xml:space="preserve">הצעת חוק הסדרת הליכים לפני רשם קשרי משפחה, התשפ"ה-2025</t>
  </si>
  <si>
    <t xml:space="preserve"> (מ/1883)</t>
  </si>
  <si>
    <t xml:space="preserve">הצעת חוק הסדרת העיסוק בשירותי מסחר בניירות ערך, התשפ"ה-2025 </t>
  </si>
  <si>
    <t xml:space="preserve"> (מ/1884)</t>
  </si>
  <si>
    <t xml:space="preserve">הצעת חוק המרכז לגביית קנסות, אגרות והוצאות (תיקון מס' 30) (פיצויים שהטיל בית משפט צבאי), התשפ"ד–2024</t>
  </si>
  <si>
    <t xml:space="preserve"> (פ/3384/25)</t>
  </si>
  <si>
    <t xml:space="preserve"> (כ/1040)</t>
  </si>
  <si>
    <t xml:space="preserve">08.07.2025</t>
  </si>
  <si>
    <t xml:space="preserve">הצעת חוק למניעת מפגעי אסבסט ואבק מזיק (תיקון מס' 5), התשפ"ה-2025</t>
  </si>
  <si>
    <t xml:space="preserve"> (מ/1842)</t>
  </si>
  <si>
    <t xml:space="preserve">הצעת חוק איסור פרסומת והגבלת השיווק של מוצרי טבק ועישון (תיקון - איסור על ייצור ושיווק של חומר מילוי בטעם או בריח מובחן), התשפ"ה-2024</t>
  </si>
  <si>
    <t xml:space="preserve"> (פ/5267/25)</t>
  </si>
  <si>
    <t xml:space="preserve">07.07.2025</t>
  </si>
  <si>
    <t xml:space="preserve">הצעת חוק תמיכה במערך הטיפול בחללים (הוראת שעה), התשפ״ה-2025</t>
  </si>
  <si>
    <t xml:space="preserve"> (פ/5977/25)</t>
  </si>
  <si>
    <t xml:space="preserve">הצעת חוק התכנון והבנייה (תיקון - פטור מהיתר בנייה להקמת מערכת פוטו-וולטאית ומתקן לאגירת אנרגיה על גג בית ומבנה ציבור בנגב), התשפ"ה-2025</t>
  </si>
  <si>
    <t xml:space="preserve"> (פ/5976/25)</t>
  </si>
  <si>
    <t xml:space="preserve"> (פ/5975/25)</t>
  </si>
  <si>
    <t xml:space="preserve"> (פ/5974/25)</t>
  </si>
  <si>
    <t xml:space="preserve">הצעת חוק העונשין (תיקון - החמרת ענישה ועונש מזערי על גניבה תוך ניצול מצב חירום), התשפ"ה-2025</t>
  </si>
  <si>
    <t xml:space="preserve"> (פ/5973/25)</t>
  </si>
  <si>
    <t xml:space="preserve"> (פ/5968/25)</t>
  </si>
  <si>
    <t xml:space="preserve">הצעת חוק נציבות תלונות הציבור על מייצגי המדינה בערכאות (תיקון - עצמאות הנציב וייעול הליכי בירור תלונות), התשפ"ה-2025</t>
  </si>
  <si>
    <t xml:space="preserve"> (פ/5965/25)</t>
  </si>
  <si>
    <t xml:space="preserve">הצעת חוק הבנקאות (רישוי) (תיקון - איסור עיסוק במסחר ושמירה של מטבעות וירטואליים) (הוראת שעה), התשפ"ה-2025</t>
  </si>
  <si>
    <t xml:space="preserve"> (פ/5964/25)</t>
  </si>
  <si>
    <t xml:space="preserve">הצעת חוק הרשות הארצית לכבאות והצלה (תיקון - הגבלת התאגדות וגיל פרישה), התשפ"ה-2025 </t>
  </si>
  <si>
    <t xml:space="preserve"> (פ/5962/25)</t>
  </si>
  <si>
    <t xml:space="preserve"> (פ/5961/25)</t>
  </si>
  <si>
    <t xml:space="preserve">הצעת חוק האופוזיציה ברשויות המקומיות (תיקוני חקיקה), התשפ"ה-2025</t>
  </si>
  <si>
    <t xml:space="preserve"> (פ/5960/25)</t>
  </si>
  <si>
    <t xml:space="preserve">הצעת חוק העונשין (תיקון - פיצויים לנפגע עבירת סחיטת דמי חסות), התשפ"ה-2025</t>
  </si>
  <si>
    <t xml:space="preserve"> (פ/5958/25)</t>
  </si>
  <si>
    <t xml:space="preserve"> (פ/5957/25)</t>
  </si>
  <si>
    <t xml:space="preserve">הצעת חוק שירות המילואים (תיקון - הטבה ברכישת דירה ראשונה למשרת מילואים פעיל), התשפ"ה-2025</t>
  </si>
  <si>
    <t xml:space="preserve"> (פ/5956/25)</t>
  </si>
  <si>
    <t xml:space="preserve"> (פ/5955/25)</t>
  </si>
  <si>
    <t xml:space="preserve">הצעת חוק חובת המכרזים (תיקון מס' 24 - הוראת שעה) (תיקון - הארכת הוראת השעה), התשפ"ה-2025</t>
  </si>
  <si>
    <t xml:space="preserve"> (פ/5954/25)</t>
  </si>
  <si>
    <t xml:space="preserve"> (פ/5953/25)</t>
  </si>
  <si>
    <t xml:space="preserve">הצעת חוק הביטוח הלאומי (תיקון - מענק בשל ירידה בהכנסות לעצמאים ששירתו במילואים במלחמת חרבות ברזל), התשפ״ה-2025</t>
  </si>
  <si>
    <t xml:space="preserve"> (פ/5951/25)</t>
  </si>
  <si>
    <t xml:space="preserve"> (פ/5949/25)</t>
  </si>
  <si>
    <t xml:space="preserve"> (פ/5945/25)</t>
  </si>
  <si>
    <t xml:space="preserve"> (פ/5944/25)</t>
  </si>
  <si>
    <t xml:space="preserve">הצעת חוק הירושה (תיקון מס' 22), התשפ"ה–2025</t>
  </si>
  <si>
    <t xml:space="preserve"> (פ/4360/25)</t>
  </si>
  <si>
    <t xml:space="preserve"> (כ/1123)</t>
  </si>
  <si>
    <t xml:space="preserve">הצעת חוק הרשויות המקומיות (תגמול לחברי מועצה), התשפ"ה–2025</t>
  </si>
  <si>
    <t xml:space="preserve"> (פ/3603/25)</t>
  </si>
  <si>
    <t xml:space="preserve"> (כ/1143)</t>
  </si>
  <si>
    <t xml:space="preserve">הצעת חוק הנוער (שפיטה, ענישה ודרכי טיפול) (תיקון - נוכחות עורך דין בחקירת קטין) (הוראת שעה), התשפ"ד-2024</t>
  </si>
  <si>
    <t xml:space="preserve"> (פ/4454/25)</t>
  </si>
  <si>
    <t xml:space="preserve">03.07.2025</t>
  </si>
  <si>
    <t xml:space="preserve"> (פ/5914/25)</t>
  </si>
  <si>
    <t xml:space="preserve">02.07.2025</t>
  </si>
  <si>
    <t xml:space="preserve">הצעת חוק הביטוח הלאומי (תיקון - דמי אבטלה לעצמאים), התשפ"ה-2025</t>
  </si>
  <si>
    <t xml:space="preserve"> (פ/5757/25)</t>
  </si>
  <si>
    <t xml:space="preserve"> (פ/5746/25)</t>
  </si>
  <si>
    <t xml:space="preserve"> (פ/5671/25)</t>
  </si>
  <si>
    <t xml:space="preserve">הצעת חוק שירות ביטחון (תיקון - סיוע טיפולי לבוגרי השירות הצבאי), התשפ"ה-2025</t>
  </si>
  <si>
    <t xml:space="preserve"> (פ/5317/25)</t>
  </si>
  <si>
    <t xml:space="preserve">הצעת חוק ביטוח בריאות ממלכתי (תיקון - הפחתה בדמי ביטוח בריאות לתושבי הפריפריה), התשפ"ד-2024</t>
  </si>
  <si>
    <t xml:space="preserve"> (פ/4776/25)</t>
  </si>
  <si>
    <t xml:space="preserve">הצעת חוק לתיקון פקודת העיריות (ועדת מכרזים), התשפ"ג-2023</t>
  </si>
  <si>
    <t xml:space="preserve"> (פ/3616/25)</t>
  </si>
  <si>
    <t xml:space="preserve">הצעת חוק טיפול בכתות פוגעניות, התשפ"ג-2023</t>
  </si>
  <si>
    <t xml:space="preserve"> (פ/2718/25)</t>
  </si>
  <si>
    <t xml:space="preserve">הצעת חוק קידום התחרות בענפי המזון והפארם (תיקון - היקף מחזור המכירות של קמעונאי פארם גדול), התשפ"ה-2025</t>
  </si>
  <si>
    <t xml:space="preserve"> (פ/5814/25)</t>
  </si>
  <si>
    <t xml:space="preserve">01.07.2025</t>
  </si>
  <si>
    <t xml:space="preserve">הצעת חוק הרשויות המקומיות (גמול השתתפות בישיבות והחזר הוצאות לחברי מועצה), התשפ"ג-2023</t>
  </si>
  <si>
    <t xml:space="preserve"> (פ/3789/25)</t>
  </si>
  <si>
    <t xml:space="preserve">הצעת חוק הרשויות המקומיות (זכויות וחובות של חברי מועצה), התשפ"ג-2023</t>
  </si>
  <si>
    <t xml:space="preserve"> (פ/2268/25)</t>
  </si>
  <si>
    <t xml:space="preserve">הצעת חוק שירות אזרחי (תיקון - הארכת גיל הזכאות של נכה נפש לשרת במסגרת שירות לאומי או התנדבות קהילתית), התשפ"ג-2022</t>
  </si>
  <si>
    <t xml:space="preserve"> (פ/43/25)</t>
  </si>
  <si>
    <t xml:space="preserve">הצעת חוק שיפוט בתי דין דתיים (בוררות), התשפ"ג-2023</t>
  </si>
  <si>
    <t xml:space="preserve"> (פ/1579/25)</t>
  </si>
  <si>
    <t xml:space="preserve">חוק ניוד מידע רפואי (תיקון מס' 2), התשפ"ה–2025</t>
  </si>
  <si>
    <t xml:space="preserve"> (פ/4981/25)</t>
  </si>
  <si>
    <t xml:space="preserve"> (כ/1116)</t>
  </si>
  <si>
    <t xml:space="preserve">תיקון זה לחוק ניוד מידע רפואי, מוסיף לנותני שירותי הבריאות בחוק את חיל הרפואה של צה"ל ואת מחלקת הרפואה של שב"ס וכן גופים ציבוריים אחרים האחראים למתן טיפול רפואי, המנויים בתוספת השנייה: משרד הביטחון לעניין מתן טיפול רפואי לנכי צה"ל ומשרד הרווחה והביטחון החברתי לעניין מתן טיפול רפואי במעונות. גופים אלה יחויבו להעביר מידע רפואי על פי הוראות החוק ויהיו רשאים לבקש היתר לקבלת מידע רפואי למטרות המנויות בחוק. לגבי חיל הרפואה של צה"ל ומחלקת הרפואה של שב"ס, נקבעו הוראות הדומות לאלה הקבועות בחוק לגבי קופת החולים המבטחת של אדם, מכיוון שכל עוד חייל זכאי לשירותי בריאות מחיל הרפואה לפי חוק ביטוח בריאות ממלכתי, חיל הרפואה הוא האחראי למתן הטיפול הרפואי וכך גם מחלקת הרפואה של שב"ס לגבי אסיר כל עוד הוא מוחזק במשמורת. בין היתר, נקבעו הוראות כאמור לעניין העברת התיק הרפואי מקופת החולים שבה היה מבוטח החייל לחיל הרפואה או שבה היה מבוטח האסיר למחלקת הרפואה בשב"ס, וחזרה לקופת החולים המבטחת לאחר סיום זכאותו של חייל לשירותי בריאות כאמור או לאחר סיום החזקת אסיר במשמורת, וכן לעניין הרשאת גישה מתמשכת למידע הרפואי על אודות חייל או אסיר. שנית, התיקון לחוק מסמיך את מנכ"ל משרד הבריאות לתת היתר לקבלת מידע רפואי גם לגוף ציבורי המנוי בתוספת השלישית, המבקש מידע רפואי לגבי אדם, הדרוש לשם מתן זכות או שירות שהגוף הציבורי נותן, לפי דין או מכוח תפקידו הציבורי, והכרוכים בקבלת מידע רפואי, כמפורט באותה תוספת לגבי כל גוף ציבורי, ובלבד שמתקיימים לגבי הגוף הציבורי יתר התנאים שבחוק, וביניהם כאמור דרישה להסכמת אותו אדם. בתוספת השלישית מנויים המוסד לביטוח לאומי, משרד הביטחון, משרד הבריאות, משרד הרווחה והביטחון החברתי, משרד התחבורה והבטיחות בדרכים, ורשות התעופה האזרחית, לגבי זכויות ושירותים המנויים בתוספת זו. לעניין זה נקבע כי הגוף הציבורי לא יתנה מתן זכות או שירות בהסכמה של האדם להעברת המידע הרפואי לגביו לפי החוק, וכי זכויותיו של אדם או השירותים שיינתנו לו לא ייפגעו אם לא הסכים להעברת המידע הרפואי לגביו למטרת מתן זכויות או מתן שירותים לפי החוק.  כמו כן, לגבי הרשאת גישה מתמשכת למידע הרפואי למטרת מתן זכויות או מתן שירותים, נקבע כי בקשת ההסכמה למתן הרשאת גישה למידע הרפואי שתוצג לאדם תכלול גם אפשרות להסכים להרשאת גישה חד-פעמית בלבד, וכן נקבע כי אין לעשות שימוש בהרשאת גישה מתמשכת לאחר קביעת הזכאות לזכות או סיום מתן השירות. המנהל יהיה רשאי לקבוע בנוהל כי לעניין מתן זכות או שירות מסוימים, יכול שתינתן הרשאת גישה מתמשכת גם לתקופות שעולות על שנה, בכפוף לכך שניתנה הסכמת האדם, אם המנהל מצא כי מאפייני מתן הזכות או השירות מצביעים על קיומו של צורך בהרשאת גישה מתמשכת בנסיבות אלה. כמו כן נקבע כי שר הבריאות, בהסכמת שר האוצר והשר הממונה על הגוף הציבורי הנוגע בדבר, ובאישור ועדת הבריאות של הכנסת, יהיה רשאי לתקן בצו את התוספת השנייה ואת התוספת השלישית, ובכך לאפשר הוספת גופים ציבוריים בהמשך.   לבסוף, כדי לאפשר לגופים שנוספו בתיקון זה כנותני שירותי בריאות להיערך ליישום החוק, נקבעה תחולה הדרגתית לגבי שב"ס, משרד הביטחון ומשרד הרווחה והביטחון החברתי, כך שהם יחויבו בהעברת מידע לגבי סלי מידע שנה מאוחר יותר מהמועדים הקבועים כיום בחוק, וכן נקבע כי השר הממונה עליהם, באישור ועדת הבריאות של הכנסת יהיה רשאי לדחות בצו מועדים אלה לגביהם, כולם או חלקם, בתקופות נוספות שלא יעלו על שנה במצטבר, לאחר ששקל, בין השאר, את השלמת ההיערכות ליישום החוק, ובכלל זה המשאבים הנדרשים לכך. כמו כן, תוקנה ההוראה המאפשרת לשר הבריאות, באישור הוועדה, לדחות בצו את המועדים המקוריים הקבועים בחוק בשתי תקופות נוספות שלא יעלו על שנתיים כל אחת, כך שהיא חלה גם לעניין נותני שירותי בריאות שנוספו בתיקון זה.  </t>
  </si>
  <si>
    <t xml:space="preserve">חוק המרכז להנצחת זכרו של דוד לוי, התשפ"ה–2025</t>
  </si>
  <si>
    <t xml:space="preserve"> (פ/4878/25)</t>
  </si>
  <si>
    <t xml:space="preserve"> (כ/1119)</t>
  </si>
  <si>
    <t xml:space="preserve">חוק זה קובע כי יוקם מרכז להנצחת זכרו של דוד לוי, מנהיג חברתי ומדיני שתרם רבות לקידום הפריפריה, לצמצום פערים ולקידום יחסי החוץ. המרכז יקדם חקר חברתי ומדיני, יעמיק את ההיכרות עם פועלו של דוד לוי וישקף את אישיותו; המרכז יהיה תאגיד סטטוטורי עם מועצה ציבורית בת 13 חברים. הוא יכלול אתר הנצחה, מכון חקר וארכיון; הקמת המרכז ופעילותו ימומנו מתקציב המדינה, ומתרומות והכנסות שיהיו למרכז. סכום השתתפות המדינה בתקציב המרכז לא יעלה על 2.5 מיליון ש"ח בשנתיים הראשונות, ובשנה השלישית לא יעלה על 5 מיליון ש"ח. שר החוץ ממונה על ביצוע החוק. </t>
  </si>
  <si>
    <t xml:space="preserve">חוק לתיקון פקודת סדר הדין הפלילי (מעצר וחיפוש) (מס' 18), התשפ"ה-2025</t>
  </si>
  <si>
    <t xml:space="preserve"> (מ/1875)</t>
  </si>
  <si>
    <t xml:space="preserve">30.06.2025</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</si>
  <si>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17 לפקודה, נקבע כי הוראת השעה כאמור תוארך בשנה אחת, עד ליום ד' בתמוז התשפ"ה (30 ביוני 2025). כעת, במסגרת תיקון מספר 18, נקבע להאריך את תוקפה של הוראת השעה עד יום ט"ו בתמוז התשפ"ו (30 ביוני 2026), לצד קביעת מועדים חדשים במסגרת חובת הדיווח הקבועה בחוק בעניין זה.  </t>
  </si>
  <si>
    <t xml:space="preserve">הצעת חוק רישוי עסקים (תיקון מס' 40 – הוראת שעה), התשפ"ה–2025</t>
  </si>
  <si>
    <t xml:space="preserve"> (פ/5333/25)</t>
  </si>
  <si>
    <t xml:space="preserve"> (כ/1128)</t>
  </si>
  <si>
    <t xml:space="preserve">הצעת חוק לביטול ההתיישנות בעבירות מין במשפחה (תיקוני חקיקה), התשפ"ג-2023</t>
  </si>
  <si>
    <t xml:space="preserve"> (פ/2779/25)</t>
  </si>
  <si>
    <t xml:space="preserve">הצעת חוק לביטול ההתיישנות בעבירות מין (תיקוני חקיקה), התשפ"ג-2023</t>
  </si>
  <si>
    <t xml:space="preserve"> (פ/2601/25)</t>
  </si>
  <si>
    <t xml:space="preserve"> (פ/2559/25)</t>
  </si>
  <si>
    <t xml:space="preserve">סעיף 9(6) (אישור עשייה במקרקעין) מתוך הצעת חוק התוכנית הכלכלית (תיקוני חקיקה ליישום המדיניות הכלכלית לשנת התקציב 2025), התשפ"ה-2024 [פוצל לפי סעיף 84(ב) לתקנון]</t>
  </si>
  <si>
    <t xml:space="preserve">חוק איסור צריכת זנות (הוראת שעה ותיקון חקיקה) (תיקון), התשפ"ה-2025</t>
  </si>
  <si>
    <t xml:space="preserve"> (מ/1860)</t>
  </si>
  <si>
    <t xml:space="preserve">החוק האריך בחמש שנים נוספות – עד ליום 10.07.2030 את חוק איסור צריכת זנות (הוראת שעה ותיקון חקיקה), התשע"ט–2019, שנחקק כהוראת שעה לתקופה של חמש שנים והיה אמור לפקוע ב-10 ביולי 2025. על פי ההסדר מוטל איסור פלילי על צריכת זנות ועל הימצאות במקום המשמש, באופן חלקי או מלא, למעשה זנות במטרה לצרוך זנות. לצד האיסור הפלילי נקבע שברירת המחדל לאכיפת העבירה היא כעבירה מינהלית, באמצעות קנס מינהלי קצוב ואמצעי חלופי לקנס – סדנה פסיכודינמית בנושא נזקי צריכת זנות. </t>
  </si>
  <si>
    <t xml:space="preserve">חוק לייעול האכיפה והפיקוח העירוניים ברשויות המקומיות (הוראת שעה) (תיקון מס' 17), התשפ"ה-2025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</si>
  <si>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בתיקון מספר 17 לחוק, תוקן סעיף 23, כך שתוקפו של החוק הוארך לתקופת זמן נוספת ועד ליום י"ח בתמוז התשפ"ה (14 ביולי 2025).</t>
  </si>
  <si>
    <t xml:space="preserve">הצעת חוק הבנקאות (שירות ללקוח) (תיקון - הצעת הלוואה בריבית מופחתת לכיסוי חריגה בחשבון העובר ושב), התשפ"ה-2025</t>
  </si>
  <si>
    <t xml:space="preserve"> (פ/5943/25)</t>
  </si>
  <si>
    <t xml:space="preserve">הצעת חוק הגנה על בתי עסק (איסור על כפיית שביתה), התשפ"ה-2025</t>
  </si>
  <si>
    <t xml:space="preserve"> (פ/5942/25)</t>
  </si>
  <si>
    <t xml:space="preserve"> (פ/5940/25)</t>
  </si>
  <si>
    <t xml:space="preserve">הצעת חוק זאב ז'בוטינסקי (ציון זכרו ופועלו) (תיקון - הגדלת תקציב הפעילות ומימון המכון), התשפ"ה-2025</t>
  </si>
  <si>
    <t xml:space="preserve"> (פ/5937/25)</t>
  </si>
  <si>
    <t xml:space="preserve">הצעת חוק הרשות הארצית לכבאות והצלה (תיקון - חובת קביעת תקנות בדבר נקיטת אמצעי בטיחות אש והצלה), התשפ"ה-2025 </t>
  </si>
  <si>
    <t xml:space="preserve"> (פ/5936/25)</t>
  </si>
  <si>
    <t xml:space="preserve">הצעת חוק לתיקון פקודת המשטרה (הסדרת ההפעלה של מכת"זית ותיעוד חזותי של ההפעלה), התשפ"ה-2025</t>
  </si>
  <si>
    <t xml:space="preserve"> (פ/5935/25)</t>
  </si>
  <si>
    <t xml:space="preserve">הצעת חוק לתיקון פקודת מס הכנסה (זיכוי ממס לתושבי העיר באר שבע), התשפ"ה-2025 </t>
  </si>
  <si>
    <t xml:space="preserve"> (פ/5934/25)</t>
  </si>
  <si>
    <t xml:space="preserve"> (פ/5931/25)</t>
  </si>
  <si>
    <t xml:space="preserve">הצעת חוק איסור החזקת מכשיר המשמש לביצוע עבירה (עקיפה ושיבוש של מערכות טכנולוגיות) (תיקוני חקיקה), התשפ"ה–2025</t>
  </si>
  <si>
    <t xml:space="preserve"> (פ/4719/25)</t>
  </si>
  <si>
    <t xml:space="preserve"> (כ/1139)</t>
  </si>
  <si>
    <t xml:space="preserve">הצעת חוק מיסוי מקרקעין (שבח ורכישה) (תיקון מס' 106), התשפ"ה-2025</t>
  </si>
  <si>
    <t xml:space="preserve"> (מ/1876)</t>
  </si>
  <si>
    <t xml:space="preserve">חוק הסמכת צבא הגנה לישראל ושירות הביטחון הכללי לביצוע חדירה לחומר מחשב המשמש להפעלת מצלמה נייחת ופעולה בו (הוראת שעה - חרבות ברזל) (תיקון מס' 4), התשפ"ה-2025</t>
  </si>
  <si>
    <t xml:space="preserve"> (מ/1874)</t>
  </si>
  <si>
    <t xml:space="preserve">25.06.2025</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</si>
  <si>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חוק זה, נקבע כהוראת שעה, שהוארכה מספר פעמים.  כעת, במסגרת התיקון הנוכחי, נקבע כי הוראת השעה תוארך עד ליום י"א בטבת התשפ"ו (31 בדצמבר 2025). </t>
  </si>
  <si>
    <t xml:space="preserve">חוק שירות לאומי-אזרחי (תיקון מס' 7), התשפ"ה-2025</t>
  </si>
  <si>
    <t xml:space="preserve"> (מ/1868)</t>
  </si>
  <si>
    <t xml:space="preserve">חוק שירות לאומי-אזרחי, התשע"ד–2014, הינו הוראת שעה המסדירה את שירותם של מיועדים לשירות ביטחון שהם בוגרי ישיבות ומוסדות חינוך חרדיים שמלאו להם 21 שנים, לשרת בשירות לאומי־אזרחי כתחליף לשירותם בצבא הגנה לישראל. השירות במסגרת החוק נעשה על בסיס שני מסלולים: האחד, שירות אזרחי-חברתי תחת אחד מהתחומים או התפקידים המפורטים בחוק, לרבות ביטחון הפנים והגנת העורף, בריאות, רווחה וחינוך; השני, שירות אזרחי-ביטחוני באחד מהגופים המפורטים, לרבות משטרת ישראל, שירות בתי הסוהר והרשות הארצית לכבאות והצלה. כמו כן, החוק כולל הוראות לעניין ביצוע השירות, תקופת השירות והיקפו, תנאי השירות, הסדרת השירות במסגרת הגוף המפעיל ובכלל זה חובותיו. בנוסף, במסגרת החוק הוקמה הרשות לשירות לאומי-אזרחי, אשר אחראית על הפעלת השירות הלאומי-אזרחי בהתאם להוראות החוק, וזאת לצד מתן אפשרות לשר, שהוא חבר הממשלה שהוסמך על ידה לכך, להסמיך מבין עובדי הרשות, מפקחים לשם פיקוח על ביצוע הוראות החוק, ובכלל זה לעניין אופי השירות הלאומי-אזרחי ואיכותו.  מאחר שתוקפו של ההסדר המאפשר את דחיית השירות לתלמידי ישיבות פקע ב-30.6.2023, ועמו גם פקע תוקפו של חוק שירות לאומי–אזרחי וכדי להמשיך ולאפשר למי ששירותו כבר נדחה להשתלב בשירות לאומי-אזרחי, הוארך תוקפו של חוק שירות לאומי-אזרחי, עד ליום ד' בתמוז התשפ"ה (30 ביוני 2025).  כעת, במסגרת תיקון מספר 7, הוארך תוקפו עד ליום כ"ד בחשוון התשפ"ו (15 בנובמבר 2025). </t>
  </si>
  <si>
    <t xml:space="preserve">הצעת חוק הגנת הפרטיות (תיקון מס' 14), התשפ"ה-2025</t>
  </si>
  <si>
    <t xml:space="preserve"> (פ/4720/25)</t>
  </si>
  <si>
    <t xml:space="preserve"> (כ/1066)</t>
  </si>
  <si>
    <t xml:space="preserve">הצעת חוק איסור צריכת זנות, התשפ"ה-2025</t>
  </si>
  <si>
    <t xml:space="preserve"> (פ/5749/25)</t>
  </si>
  <si>
    <t xml:space="preserve">24.06.2025</t>
  </si>
  <si>
    <t xml:space="preserve">הצעת חוק איסור צריכת זנות, תשפ"ה-2025</t>
  </si>
  <si>
    <t xml:space="preserve"> (פ/5739/25)</t>
  </si>
  <si>
    <t xml:space="preserve">הצעת חוק איסור צריכת זנות (הוראת שעה ותיקון חקיקה) (תיקון - עיגון כהוראת קבע), התשפ"ד-2024</t>
  </si>
  <si>
    <t xml:space="preserve"> (פ/4689/25)</t>
  </si>
  <si>
    <t xml:space="preserve">חוק להשתתפותם של העובדים ובעלי תפקיד בשירות הציבורי, בצעדים לייצוב המצב הפיסקלי במדינה במהלך השנים 2025 ו-2026 (הוראת שעה) (תיקון מס' 2), התשפ"ה-2025</t>
  </si>
  <si>
    <t xml:space="preserve"> (מ/1873)</t>
  </si>
  <si>
    <t xml:space="preserve">23.06.2025</t>
  </si>
  <si>
    <t xml:space="preserve">חוק זה מאפשר למעסיק במגזר הציבורי שעובדיו אינם מאורגנים בארגון יציג לערוך הסדר הפחתה שונה מהסדר ההפחתה שבחוק להשתתפותם של העובדים ובעלי תפקיד בשירות הציבורי, בצעדים לייצוב המצב הפיסקלי במדינה במהלך השנים 2025 ו-2026 (הוראת שעה), התשפ"ה–2025. ההפחתה לפי ההסדר יכולה להיות מרכיבי שכר שאינם חלק מהבסיס הקובע שהוגדר בחוק. הסדר כאמור יכול להיות רק ביחס לשנת 2025 והוא חייב להניב את הסכום שהיה מופחת לעובד לפי ההפחתה שבחוק. הסדר הפחתה כאמור צריך להיות זהה לגבי קבוצות עובדים שיש להם תנאי העסקה ושכר דומים אצל אותו מעסיק. נוסף על כך, נקבע כי כל הסדר הפחתה צריך להיות מאושר על ידי הממונה על השכר והסכמי עבודה במשרד האוצר או על ידי החשב הכללי והממונה על התקציבים במשרד האוצר, לפי סוג המעסיק.  יובהר כי לא נדרשת הסכמה מפורשת של כל עובד ועובד להסכם כאמור, אולם המעסיק צריך להביא את ההסכם שנחתם ואושר כאמור לידיעת עובדיו, וההסכמים יפורסמו באתר האינטרנט של משרד האוצר.  </t>
  </si>
  <si>
    <t xml:space="preserve">חוק משק החשמל (תיקון מס' 20), התשפ"ה-2025 </t>
  </si>
  <si>
    <t xml:space="preserve"> (מ/1841)</t>
  </si>
  <si>
    <t xml:space="preserve">התיקון לחוק מסמיך את שר האנרגיה והתשתיות, בהתייעצות עם שר הרווחה והביטחון החברתי ובהסכמת שר האוצר, להגדיל, בתקנות, את ההנחה בתעריף החשמל הביתי הקבועה כיום בחוק עבור חשמל שצורך צרכן שהגיע לגיל פרישה וזכאי לגמלת הבטחת הכנסה. לפי החוק כנוסחו היום, הצרכנים האמורים זכאים להנחה של 50% בתעריף החשמל בעד 400 הקוט"ש הראשונים שצרכו בשימוש הביתי. התיקון קובע כי השר יהיה רשאי להגדיל את שווי ההנחה כאמור, הן בדרך של הגדלת שיעור ההנחה והן בדרך של הגדלת כמות החשמל שבעדה ניתנת ההנחה. בנוסף, התיקון לחוק מאפשר להגדיל את הסכום הכולל המרבי של ההנחות עבור צריכת חשמל מהן נהנות אוכלוסיות נוספות שקבע בתקנות שר האנרגיה והתשתיות בהתייעצות עם שר הרווחה והביטחון החברתי ובהסכמת שר האוצר, העומד כיום על סכום השווה ל-1.5% מסך התשלומים המשולמים על ידי כלל הצרכנים בעבור צריכת חשמל. לפי התיקון, הסכום המרבי האמור יגדל כך שבשנת 2026 יעמוד על סכום השווה ל-1.7% מסך התשלומים כאמור, ומשנת 2027 ואילך – יעמוד על 1.9% מסך התשלומים כאמור. כמו כן, נקבע בתיקון כי תקנות שלפיהן תבוטל לחלוטין הנחה עבור צריכת חשמל לאוכלוסייה מהאוכלוסיות האמורות, יהיו טעונות גם אישור של ועדת הכלכלה.</t>
  </si>
  <si>
    <t xml:space="preserve">הצעת חוק הנכים (תגמולים ושיקום) (תיקון - הגדלת זכויות לנכה עם הפרעה בתר-חבלתית שמקבל תגמול מיוחד), התשפ"ה-2025</t>
  </si>
  <si>
    <t xml:space="preserve"> (פ/5930/25)</t>
  </si>
  <si>
    <t xml:space="preserve">הצעת חוק שימוש במונח יהודה והשומרון, התשפ"ה–2025</t>
  </si>
  <si>
    <t xml:space="preserve"> (פ/5173/25)</t>
  </si>
  <si>
    <t xml:space="preserve"> (כ/1117)</t>
  </si>
  <si>
    <t xml:space="preserve">חוק הבעת עמדה של נפגע או נפגעת עבירה בנוגע לשחרור על־תנאי ממאסר (תיקוני חקיקה), התשפ"ה–2025</t>
  </si>
  <si>
    <t xml:space="preserve"> (פ/3735/25)</t>
  </si>
  <si>
    <t xml:space="preserve"> (כ/1111)</t>
  </si>
  <si>
    <t xml:space="preserve">16.06.2025</t>
  </si>
  <si>
    <t xml:space="preserve">חוק זה קובע כי בחוק זכויות נפגעי עבירה  תורחב זכותם של נפגעי עבירות מין או אלימות להביע את עמדתם בנוגע לשחרור על־תנאי לפני ועדת השחרורים, והם יוכלו לבחור אם ברצונם להביעה בכתב או להתייצב לדיון ולהביעה בעל פה. עוד נקבע כי עמדת נפגע העבירה תתווסף לרשימת השיקולים שוועדת השחרורים שוקלת לפי חוק שחרור על תנאי ממאסר, לעניין הסיכון הצפוי לשלומו וביטחונו של נפגע העבירה משחרורו של האסיר. בנוסף, החוק מעביר את האחריות למסירת המידע לנפגעי עבירה משירות בתי הסוהר להנהלת בתי המשפט, וכן מחיל הסדרים דומים גם בחוק השיפוט הצבאי. </t>
  </si>
  <si>
    <t xml:space="preserve">חוק הביטוח הלאומי (תיקון מס' 258), התשפ"ה-2025 </t>
  </si>
  <si>
    <t xml:space="preserve"> (מ/1811)</t>
  </si>
  <si>
    <t xml:space="preserve">חוק זה קובע כי לעניין זכאות למענק לימודים מהמוסד לביטוח לאומי עבור ילדיו של הורה עצמאי, גם נקיטה בהליכים משפטיים בבתי המשפט לענייני משפחה המעידים על כוונה לפירוק התא המשפחתי יוכלו להיחשב כפעולה בהליך של השתחררות מקשר הנישואין, וזאת גם אם לא נפתח הליך בבית דין דתי. מוצע כי הזכאות לפי התיקון המוצע תחל רק על תביעות למענק לימודים בעד שנת הלימודים שהחלה ב1.9.2025 ואילך. </t>
  </si>
  <si>
    <t xml:space="preserve">חוק הכללת אמצעי זיהוי ביומטריים ונתוני זיהוי ביומטריים במסמכי זיהוי ובמאגר מידע (תיקון מס' 8 – הוראת שעה), התשפ"ה–2025</t>
  </si>
  <si>
    <t xml:space="preserve"> (מ/1656)</t>
  </si>
  <si>
    <t xml:space="preserve">מוצע לתקן את החוק, כהוראת שעה לשלוש שנים, באופן שיאפשר הנפקת מסמכי זיהוי ביומטריים, ונטילת אמצעי זיהוי ביומטריים גם על ידי עובדי מדינה שאינם עובדי רשות האוכלוסין. עובדי מדינה אלה יעברו את ההכשרות הניתנות לעובדי רשות האוכלוסין. התיקון יאפשר בין היתר לעובדי משרד העליה והקליטה להנפיק לעולים חדשים תעודת זהות עם הגעתם לנתב"ג.</t>
  </si>
  <si>
    <t xml:space="preserve">חוק תקשורת דיגיטלית עם גופים ציבוריים (תיקון מס' 4), התשפ"ה-2025 </t>
  </si>
  <si>
    <t xml:space="preserve">הצעת חוק הכנסת (תיקון - הרכב הוועדה הציבורית לבדיקת כשירות והתאמה של מועמדים למשרת היועץ המשפטי לכנסת), התשפ"ה-2025</t>
  </si>
  <si>
    <t xml:space="preserve"> (פ/5926/25)</t>
  </si>
  <si>
    <t xml:space="preserve">הצעת חוק המועצה הארצית לביטחון תזונתי (תיקון - קרן לשמירה על ביטחון תזונתי), התשפ"ה-2025</t>
  </si>
  <si>
    <t xml:space="preserve"> (פ/5925/25)</t>
  </si>
  <si>
    <t xml:space="preserve">הצעת חוק בעלות אחודה (תיקוני חקיקה), התשפ"ה-2025 </t>
  </si>
  <si>
    <t xml:space="preserve"> (פ/5924/25)</t>
  </si>
  <si>
    <t xml:space="preserve">הצעת חוק להקפאת כספים ששילמה הרשות הפלסטינית בזיקה לטרור מהכספים המועברים אליה מממשלת ישראל (תיקון - איסור העברת כספים מהרשות הפלסטינית לפעיל טרור), התשפ"ה-2025</t>
  </si>
  <si>
    <t xml:space="preserve"> (פ/5922/25)</t>
  </si>
  <si>
    <t xml:space="preserve">הצעת חוק שירות ביטחון (תיקון - גיוס חובה לעולים חדשים), התשפ"ה-2025</t>
  </si>
  <si>
    <t xml:space="preserve"> (פ/5921/25)</t>
  </si>
  <si>
    <t xml:space="preserve">הצעת חוק מכירת רכב משומש (זכאות למידע וגילוי נאות) (תיקון - קבלת מידע לפני רכישת רכב משומש), התשפ"ה-2025</t>
  </si>
  <si>
    <t xml:space="preserve"> (פ/5920/25)</t>
  </si>
  <si>
    <t xml:space="preserve">הצעת חוק סיוע ליצרן חקלאי באזורים הסמוכים לגבול המדינה, התשפ"ה-2025</t>
  </si>
  <si>
    <t xml:space="preserve"> (פ/5919/25)</t>
  </si>
  <si>
    <t xml:space="preserve">הצעת חוק הנכים (תגמולים ושיקום) (תיקון - החזר בשל אובדן הכנסה לבן משפחה של נכה בתקופת האשפוז ולאחריה), התשפ"ה-2025</t>
  </si>
  <si>
    <t xml:space="preserve"> (פ/5918/25)</t>
  </si>
  <si>
    <t xml:space="preserve">הצעת חוק סדר הדין הפלילי (סמכויות אכיפה - מעצרים) (תיקון - החרגת עבירת גביית דמי חסות), התשפ"ה-2025</t>
  </si>
  <si>
    <t xml:space="preserve"> (פ/5917/25)</t>
  </si>
  <si>
    <t xml:space="preserve">הצעת חוק החברות הממשלתיות (תיקון - ייצוג הולם לבני העדה האתיופית), התשפ"ה-2025</t>
  </si>
  <si>
    <t xml:space="preserve"> (פ/5916/25)</t>
  </si>
  <si>
    <t xml:space="preserve"> (פ/5915/25)</t>
  </si>
  <si>
    <t xml:space="preserve">הצעת חוק ועדות חקירה (תיקון - אירועי חובה להקמת ועדת חקירה ממלכתית), התשפ"ה-2025</t>
  </si>
  <si>
    <t xml:space="preserve"> (פ/5913/25)</t>
  </si>
  <si>
    <t xml:space="preserve">הצעת חוק הביטוח הלאומי (תיקון - שיעור קצבת שירותים מיוחדים וגמלת ילד נכה למעסיקים שני מטפלים), התשפ"ה-2025</t>
  </si>
  <si>
    <t xml:space="preserve"> (פ/5912/25)</t>
  </si>
  <si>
    <t xml:space="preserve">הצעת חוק איסור עיסוק נוסף לשופטים, חברי הכנסת ושרים, התשפ"ה-2025</t>
  </si>
  <si>
    <t xml:space="preserve"> (פ/5911/25)</t>
  </si>
  <si>
    <t xml:space="preserve">הצעת חוק עובדים זרים (תיקון - האחראי על טיפול בפניות מעסיקים בענף הסיעוד הביתי), התשפ"ה-2025</t>
  </si>
  <si>
    <t xml:space="preserve"> (פ/5908/25)</t>
  </si>
  <si>
    <t xml:space="preserve">הצעת חוק לתיקון פקודת מסי העיריה ומסי הממשלה (פיטורין) (נכס המשמש כמבנה לארגון נוער), התשפ"ה-2025</t>
  </si>
  <si>
    <t xml:space="preserve"> (פ/5907/25)</t>
  </si>
  <si>
    <t xml:space="preserve">הצעת חוק לעידוד השקעות הון בחקלאות (תיקון - השוואת ההטבות בתעשייה להטבות בחקלאות ותמיכה בתזונה בריאה), התשפ"ה-2025</t>
  </si>
  <si>
    <t xml:space="preserve"> (פ/5906/25)</t>
  </si>
  <si>
    <t xml:space="preserve">חוק התקשורת (בזק ושידורים) (תיקון מס' 82 – הוראת שעה), התשפ"ה–2025</t>
  </si>
  <si>
    <t xml:space="preserve"> (פ/3549/25)</t>
  </si>
  <si>
    <t xml:space="preserve"> (כ/1104)</t>
  </si>
  <si>
    <t xml:space="preserve">11.06.2025</t>
  </si>
  <si>
    <t xml:space="preserve">החוק קובע, בהוראת שעה, כי בכל שנה למשך 5 שנים יוקצה תקציב בסך 1.4 מיליון שקלים חדשים בחוקי התקציב השנתיים, לשם עידוד הפקת תוכניות בשפה הגאורגית. החוק חל לגבי תכנית בשפה הגיאורגית, שרוב יוצריה, רוב מבצעיה, רוב הצוות הטכני־הנדסי שנטל חלק בהפקתה ורוב צוות ההפקה הם תושבי ישראל שנולדו בגיאורגיה או שלפחות אחד מהוריהם נולד בגיאורגיה, ושתשודר בישראל בערוצים שלפחות מחצית מזמן השידור שלהם הוא בשפה הגאורגית, ובלבד שזמן השידורים הכולל של ערוצים אלו לא יפחת מ-12 שעות ביום במשך שישה ימים בשבוע. עוד קובע החוק כי המועצה לשידורי כבלים ולשידורי לווין תחלק את התקציב האמור בהתאם למבחני תמיכה שתקבע, וכי בחלוקת כספי התמיכה תבחן המועצה את התאמת ההפקה המקומית לאחת או יותר מהמטרות הקבועות בחוק, וביניהן  מתן אפשרות לבני הקהילה הגיאורגית לבטא את רחשי לב הקהילה, מסורותיהם ותרבותם; מתן מידע רלוונטי לבני הקהילה על מנת לסייע להם בהתמודדות עם הגופים השונים בישראל, ובכלל זה משרדי הממשלה; והצגת אורח החיים הישראלי, בכדי לסייע בקליטת בני הקהילה בישראל. בנוסף, המועצה תביא בחשבון בעת חלוקת כספי התמיכה את שעות השידור שבהן ישודרו ההפקות בערוצים האמורים. </t>
  </si>
  <si>
    <t xml:space="preserve">הצעת חוק הגנה על הציבור מפני ביצוע עבירות מין (תיקון - סמכויות עיכוב ומעצר), התשפ"ה-2025</t>
  </si>
  <si>
    <t xml:space="preserve"> (פ/5789/25)</t>
  </si>
  <si>
    <t xml:space="preserve">הצעת חוק שירותי תעופה (פיצוי וסיוע בשל ביטול טיסה או שינוי בתנאיה) (תיקון - הודעה לגבי ביטול טיסה או שינוי במועד טיסה), התשפ"ה-2025</t>
  </si>
  <si>
    <t xml:space="preserve"> (פ/5740/25)</t>
  </si>
  <si>
    <t xml:space="preserve">הצעת חוק סמכויות לשם שמירה על ביטחון הציבור (תיקון - הסמכת מאבטחים למניעת פעילות חבלנית עוינת במרחב הציבורי ברשויות המקומיות), התשפ"ה-2025 </t>
  </si>
  <si>
    <t xml:space="preserve"> (פ/5724/25)</t>
  </si>
  <si>
    <t xml:space="preserve">הצעת חוק הגנת הצרכן (תיקון - שינוי יעד של משלוח טובין), התשפ"ה-2025</t>
  </si>
  <si>
    <t xml:space="preserve"> (פ/5670/25)</t>
  </si>
  <si>
    <t xml:space="preserve">הצעת חוק הביטוח הלאומי (תיקון - הגבלת תשלום בעד טיפול בתביעה), התשפ"ה-2025</t>
  </si>
  <si>
    <t xml:space="preserve"> (פ/5624/25)</t>
  </si>
  <si>
    <t xml:space="preserve"> (פ/5352/25)</t>
  </si>
  <si>
    <t xml:space="preserve">הצעת חוק המאבק במדינות תומכות טרור, התשפ"ד-2024</t>
  </si>
  <si>
    <t xml:space="preserve"> (פ/4892/25)</t>
  </si>
  <si>
    <t xml:space="preserve">הצעת חוק התפזרות הכנסת העשרים וחמש, התשפ"ד-2024</t>
  </si>
  <si>
    <t xml:space="preserve"> (פ/4610/25)</t>
  </si>
  <si>
    <t xml:space="preserve"> (פ/3221/25)</t>
  </si>
  <si>
    <t xml:space="preserve"> (פ/3084/25)</t>
  </si>
  <si>
    <t xml:space="preserve"> (פ/1535/25)</t>
  </si>
  <si>
    <t xml:space="preserve"> (פ/534/25)</t>
  </si>
  <si>
    <t xml:space="preserve"> (פ/329/25)</t>
  </si>
  <si>
    <t xml:space="preserve">הצעת חוק איסור הלבנת הון (תיקון מס' 36) (הקפאה זמנית של רכוש או של פעולה ברכוש), התשפ"ה-2025</t>
  </si>
  <si>
    <t xml:space="preserve"> (מ/1871)</t>
  </si>
  <si>
    <t xml:space="preserve"> (פ/3849/25)</t>
  </si>
  <si>
    <t xml:space="preserve">10.06.2025</t>
  </si>
  <si>
    <t xml:space="preserve"> (פ/3185/25)</t>
  </si>
  <si>
    <t xml:space="preserve">חוק הנוטריונים (תיקון מס' 11), התשפ"ה-2025</t>
  </si>
  <si>
    <t xml:space="preserve"> (פ/4753/25)</t>
  </si>
  <si>
    <t xml:space="preserve"> (כ/1088)</t>
  </si>
  <si>
    <t xml:space="preserve">החוק מאפשר לנוטריון להתלות את רישיון הנוטריון שלו באופן יזום. החוק מבהיר מה הן התוצאות של התליית רישיון וחידוש רישיון לאחר התלייה – הן באופן יזום, הן אגב הגבלת חברות בלשכת עורכי הדין והן בעקבות השעיה או התליה משמעתיות. נקבע כי תחילת החוק תהיה מיום ה-1 בינואר 2026, ואולם, נוטריון שלא שימש כנוטריון בשנת 2025 ויבקש להתלות את רישיונו גם ביחס לשנה זו, יוכל להודיע על כך, באופן רטרואקטיבי החל ממועד התחילה ועד ליום 31 במרץ 2026.</t>
  </si>
  <si>
    <t xml:space="preserve">חוק אסטרטגיית הביטחון הלאומי, התשפ"ה–2025</t>
  </si>
  <si>
    <t xml:space="preserve"> (פ/4888/25)</t>
  </si>
  <si>
    <t xml:space="preserve"> (כ/1107)</t>
  </si>
  <si>
    <t xml:space="preserve">במסגרת החוק נקבע כי המטה לביטחון לאומי יגבש, עם כינונה של ממשלה חדשה, הצעת אסטרטגיה מדינית-ביטחונית של מדינת ישראל לקידום האינטרסים המדיניים והביטחוניים לשם חיזוק החוסן הלאומי של מדינת ישראל. הצעת האסטרטגיה המדינית-ביטחונית תתייחס להנחות היסוד בנוגע לאתגרים ולהזדמנויות המדיניים והביטחוניים הניצבים בפני מדינת ישראל, יפורטו בה האיומים והאתגרים ודירוגם וכן האמצעים והדרכים להתמודד עימם, לרבות הצגת החלופות לפירוט וכל מידע נוסף הנדרש לגיבושה ומימושה.   כמו כן, הליך הגיבוש ייעשה בהתייעצות עם משרד הביטחון, משרד החוץ, המשרד לביטחון לאומי וגופי הביטחון, בעוד התייעצות עם משרדי ממשלה אחרים תהיה מסורה לשיקול דעתו של ראש המטה לביטחון לאומי. כל גוף שעימו נערכה התייעצות רשאי להציע חלופה לרכיב מהרכיבים המנויים בחוק, וזו תכלל בהצעת האסטרטגיה המדינית-ביטחונית לצד המלצתו של המטה לביטחון לאומי בדבר החלופה הנבחרת. עוד נקבע כי הממשלה, תאשר את האסטרטגיה המדינית-ביטחונית תוך חמישה חודשים מיום כינון ממשלה חדשה, לאחר שהוצגו בפניה החלופות וההמלצות השונות מטעם הגופים שעימם נערכה ההתייעצות, ככל שישנם, ולאחר שניתנה לה אפשרות לערוך בה שינויים. לצד זאת, הממשלה רשאית להחליט על אצילת סמכות זו, כולה או חלקה, לוועדת השרים לענייני ביטחון לאומי. האסטרטגיה המדינית-ביטחונית תוגש לוועדת החוץ והביטחון של הכנסת וראש הממשלה או ראש המטה לביטחון לאומי יציגו אותה לפני הוועדה בישיבה שתיוחד לעניין זה. בנוסף, נקבע כי האסטרטגיה המדינית-ביטחונית תהיה סודית ואסורה לפרסום, אם כי תמצית שלה תפורסם ברשומות ובאתר האינטרנט של הממשלה. </t>
  </si>
  <si>
    <t xml:space="preserve">הצעת חוק השידור הציבורי הישראלי (תיקון מס' 10 והוראת שעה), התשפ"ה–2025</t>
  </si>
  <si>
    <t xml:space="preserve"> (פ/3776/25)</t>
  </si>
  <si>
    <t xml:space="preserve"> (כ/1113)</t>
  </si>
  <si>
    <t xml:space="preserve">הצעת חוק עבודת נשים (תיקון - הארכת תקופת הלידה וההורות להורי פעוט עם מוגבלות מורכבת), התשפ"ה-2024</t>
  </si>
  <si>
    <t xml:space="preserve"> (פ/5263/25)</t>
  </si>
  <si>
    <t xml:space="preserve">09.06.2025</t>
  </si>
  <si>
    <t xml:space="preserve">הצעת חוק ההתייעלות הכלכלית (תיקוני חקיקה להשגת יעדי התקציב לשנות התקציב 2023 ו-2024) (תיקון מס' 2), התשפ"ה-2025 </t>
  </si>
  <si>
    <t xml:space="preserve"> (מ/1866)</t>
  </si>
  <si>
    <t xml:space="preserve">חוק לשכת עורכי הדין (תיקון מס' 46), התשפ"ה-2025 </t>
  </si>
  <si>
    <t xml:space="preserve"> (מ/1853)</t>
  </si>
  <si>
    <t xml:space="preserve">חוק זה קובע כי תקופת ההתמחות במשפטים תעמוד על 12 חודשים, במקום 18 חודשים כפי שהיה נהוג בעבר. החוק ייכנס לתוקף עם סיומה של הוראת שעה הקובעת הסדר זהה להסדר זה, שנחקקה בעקבות מלחמת חרבות ברזל, ושאמורה לפקוע ב-31.12.2025.</t>
  </si>
  <si>
    <t xml:space="preserve">הצעת חוק שנת שירות, התשפ"ה-2025</t>
  </si>
  <si>
    <t xml:space="preserve"> (פ/5905/25)</t>
  </si>
  <si>
    <t xml:space="preserve"> (פ/5904/25)</t>
  </si>
  <si>
    <t xml:space="preserve">הצעת חוק מימון מפלגות (תיקון - אחריות יושב ראש מפלגה לחובות סיעה שחדלה להתקיים), התשפ"ה-2025</t>
  </si>
  <si>
    <t xml:space="preserve"> (פ/5903/25)</t>
  </si>
  <si>
    <t xml:space="preserve">הצעת חוק קליטת חיילים משוחררים (תיקון - הכרה בעבודה בפנימיות לילדים ונוער בסיכון כעבודה מועדפת ומתן הטבות), התשפ"ה-2025 </t>
  </si>
  <si>
    <t xml:space="preserve"> (פ/5901/25)</t>
  </si>
  <si>
    <t xml:space="preserve">הצעת חוק הנוער (טיפול והשגחה) (תיקון - טיפול בבריחה ממשמורת), התשפ"ה-2025</t>
  </si>
  <si>
    <t xml:space="preserve"> (פ/5899/25)</t>
  </si>
  <si>
    <t xml:space="preserve">הצעת חוק שידור חי של דיונים בבית המשפט העליון, התשפ"ה-2025</t>
  </si>
  <si>
    <t xml:space="preserve"> (פ/5897/25)</t>
  </si>
  <si>
    <t xml:space="preserve">הצעת חוק חובת המכרזים (תיקון - העדפה מתקנת לנכי צה"ל), התשפ"ה-2025</t>
  </si>
  <si>
    <t xml:space="preserve"> (פ/5896/25)</t>
  </si>
  <si>
    <t xml:space="preserve">הצעת חוק יום העצמאות (תיקון - מועד יום העצמאות), התשפ"ה-2025</t>
  </si>
  <si>
    <t xml:space="preserve"> (פ/5895/25)</t>
  </si>
  <si>
    <t xml:space="preserve">הצעת חוק לאשרור אמנת רומא, התשפ"ה-2025</t>
  </si>
  <si>
    <t xml:space="preserve"> (פ/5894/25)</t>
  </si>
  <si>
    <t xml:space="preserve">הצעת חוק חובת לימודי ליבה וביטול מוסדות הפטור (תיקוני חקיקה), התשפ"ה-2025</t>
  </si>
  <si>
    <t xml:space="preserve"> (פ/5893/25)</t>
  </si>
  <si>
    <t xml:space="preserve">הצעת חוק אחריות לתגמולים ולטיפול בחיילים בשירות מילואים או בשירות קבע ובאנשי כוחות הביטחון בשל חבלה תוך כדי השירות (תיקוני חקיקה), התשפ"ה-2025</t>
  </si>
  <si>
    <t xml:space="preserve"> (פ/5892/25)</t>
  </si>
  <si>
    <t xml:space="preserve">הצעת חוק מגן דוד אדום (תיקון - הבטחת הרציפות התפקודית של מגן דוד אדום), התשפ"ה-2025</t>
  </si>
  <si>
    <t xml:space="preserve"> (פ/5891/25)</t>
  </si>
  <si>
    <t xml:space="preserve">הצעת חוק התקשורת (בזק ושידורים) (תיקון - הגנה על קטינים מפני תוכן פוגעני באינטרנט באמצעות אומדן גיל), התשפ"ה-2025</t>
  </si>
  <si>
    <t xml:space="preserve"> (פ/5889/25)</t>
  </si>
  <si>
    <t xml:space="preserve">הצעת חוק שירות מידע פיננסי (תיקון מס' 3 והוראת שעה), התשפ"ה-2025 </t>
  </si>
  <si>
    <t xml:space="preserve"> (מ/1850)</t>
  </si>
  <si>
    <t xml:space="preserve">הצעת חוק לתיקון סדרי הדין (חקירת עדים) (תיקון - מתן עדות שלא בפני הנאשם בעבירת נטילת דמי חסות), התשפ"ג-2023</t>
  </si>
  <si>
    <t xml:space="preserve"> (פ/3572/25)</t>
  </si>
  <si>
    <t xml:space="preserve">05.06.2025</t>
  </si>
  <si>
    <t xml:space="preserve"> (פ/1190/25)</t>
  </si>
  <si>
    <t xml:space="preserve">הצעת חוק הרשות לפיתוח הנגב (תיקון - הגדרת הנגב), התשפ"ד-2024</t>
  </si>
  <si>
    <t xml:space="preserve"> (פ/4486/25)</t>
  </si>
  <si>
    <t xml:space="preserve">04.06.2025</t>
  </si>
  <si>
    <t xml:space="preserve">חוק כלי הירייה (תיקון מס' 26), התשפ"ה–2025</t>
  </si>
  <si>
    <t xml:space="preserve"> (פ/5276/25)</t>
  </si>
  <si>
    <t xml:space="preserve"> (כ/1110)</t>
  </si>
  <si>
    <t xml:space="preserve">חוק כלי הירייה, התש"ט–1949 קובע כי עובד סוציאלי המטפל באדם ונודע לו כי אותו אדם מחזיק בכלי ירייה, ולדעתו יש בכך משום סכנה לאותו אדם או לציבור, יודיע על כך למנהל משרד העבודה והרווחה, שיהיה רשאי להעביר את הידיעה, בין היתר, לפקיד הרישוי ולצבא הגנה לישראל.  במסגרת תיקון מס' 26, הורחבה הוראה זו, כך שהעובד הסוציאלי יוכל לדווח גם במקרים שבהם נודע לו כי האדם בו הוא מטפל הגיש בקשה לרישיון לכלי ירייה, וכן כאשר נודע לו כי בן משפחתו של המטופל, בעבר או בהווה, מחזיק בכלי ירייה או הגיש בקשה לרישיון לכלי ירייה, ובלבד שיש לדעתו סכנה לאותו אדם, לבן משפחתו או לציבור. בנוסף, הוסדר הליך העברת המידע בין משרד הרווחה והביטחון החברתי, שאליו יועבר הדיווח כאמור, לבין אגף רישוי כלי הירייה, וכן בין המשרד לבין גופים ביטחוניים המספקים כלי ירייה למשרתים בהם. </t>
  </si>
  <si>
    <t xml:space="preserve">הצעת חוק הביטוח הלאומי (תיקון - הארכת הזכאות לדמי אבטלה למשרתי מילואים), התשפ"ה-2024</t>
  </si>
  <si>
    <t xml:space="preserve"> (פ/5213/25)</t>
  </si>
  <si>
    <t xml:space="preserve">הצעת חוק ביטוח בריאות ממלכתי (תיקון - הפחתה בדמי ביטוח בריאות לתושבי העוטף וקו העימות) (הוראת שעה - חרבות ברזל), התשפ"ה-2024</t>
  </si>
  <si>
    <t xml:space="preserve"> (פ/5164/25)</t>
  </si>
  <si>
    <t xml:space="preserve">הצעת חוק גירוש משפחות מחבלים (תיקון - הרחבת והבניית שיקול הדעת), התשפ"ה-2024</t>
  </si>
  <si>
    <t xml:space="preserve"> (פ/5117/25)</t>
  </si>
  <si>
    <t xml:space="preserve">הצעת חוק הקמת יישוב עירוני חדש לאוכלוסייה הדרוזית, התשפ"ה-2024</t>
  </si>
  <si>
    <t xml:space="preserve"> (פ/5069/25)</t>
  </si>
  <si>
    <t xml:space="preserve">הצעת חוק הנכים (תגמולים ושיקום) (תיקון - קביעת זכאויות נוספות לנכים), התשפ"ד-2024</t>
  </si>
  <si>
    <t xml:space="preserve"> (פ/4462/25)</t>
  </si>
  <si>
    <t xml:space="preserve">הצעת חוק איסור הפליה במוצרים, בשירותים ובכניסה למקומות בידור ולמקומות ציבוריים (תיקון - איסור הפליה בדיור), התשפ"ד-2023</t>
  </si>
  <si>
    <t xml:space="preserve"> (פ/4139/25)</t>
  </si>
  <si>
    <t xml:space="preserve">הצעת חוק הביטוח הלאומי (תיקון - שלילת קצבת ילדים ממשפחות פוליגמיות), התשפ"ג-2023</t>
  </si>
  <si>
    <t xml:space="preserve"> (פ/2018/25)</t>
  </si>
  <si>
    <t xml:space="preserve">הצעת חוק הרשות הלאומית לתרבות ולשפה המרוקאית יהודית, התשפ"ג-2023</t>
  </si>
  <si>
    <t xml:space="preserve"> (פ/1380/25)</t>
  </si>
  <si>
    <t xml:space="preserve">הצעת חוק לתיקון פקודת מס הכנסה (ניכוי הוצאות כיבוד לפגישה מחוץ למקום העיסוק), התשפ"ג-2022</t>
  </si>
  <si>
    <t xml:space="preserve"> (פ/40/25)</t>
  </si>
  <si>
    <t xml:space="preserve">הצעת חוק ביטוח בריאות ממלכתי (תיקון - החזר דמי נסיעה באמבולנס עבור מטופל בתחום בריאות הנפש), התשפ"ג-2023</t>
  </si>
  <si>
    <t xml:space="preserve"> (פ/2127/25)</t>
  </si>
  <si>
    <t xml:space="preserve">03.06.2025</t>
  </si>
  <si>
    <t xml:space="preserve"> (פ/1786/25)</t>
  </si>
  <si>
    <t xml:space="preserve">הצעת חוק התקנת מצלמות לשם הגנה על פעוטות במעונות יום לפעוטות (תיקון), התשפ"ד-2024</t>
  </si>
  <si>
    <t xml:space="preserve"> (מ/1744)</t>
  </si>
  <si>
    <t xml:space="preserve">הצעת חוק לתיקון פקודת הסטטיסטיקה (הפניה לאפיון הרשויות המקומיות), התשפ"ה-2024</t>
  </si>
  <si>
    <t xml:space="preserve"> (פ/5214/25)</t>
  </si>
  <si>
    <t xml:space="preserve">חוק עזרה משפטית בין מדינות (תיקון מס' 12), התשפ"ה-2025</t>
  </si>
  <si>
    <t xml:space="preserve"> (מ/1786)</t>
  </si>
  <si>
    <t xml:space="preserve">חוק זה קובע שניתן לאכוף צו חילוט זר הן לגבי רכוש הקשור בעבירה והן לגבי רכוש בשווי רכוש כאמור. אכיפת צו חילוט זר לגבי רכוש בשווי, תיעשה רק אם ניתן לבקש את החילוט של אותו הרכוש לפי הדין בישראל. כמו כן, נקבעה האפשרות למתן סעד זמני לגבי רכוש בשווי הרכוש הקשור לעבירה, לצורך הבטחת חילוט הרכוש בעתיד לבקשת המדינה הזרה.</t>
  </si>
  <si>
    <t xml:space="preserve"> (פ/5888/25)</t>
  </si>
  <si>
    <t xml:space="preserve">הצעת חוק הכנסת (תיקון - צפיית חברי הכנסת בנתוני תקציב המדינה במערכת רוחבית כוללת במשרדי הממשלה), התשפ"ה-2025</t>
  </si>
  <si>
    <t xml:space="preserve"> (פ/5887/25)</t>
  </si>
  <si>
    <t xml:space="preserve">הצעת חוק החיילים המשוחררים (החזרה לעבודה) (תיקון - הגנה על פצוע מלחמה בתקופת האשפוז ולאחריה) (הוראת שעה), התשפ"ה-2025</t>
  </si>
  <si>
    <t xml:space="preserve"> (פ/5886/25)</t>
  </si>
  <si>
    <t xml:space="preserve">הצעת חוק הנזיקים האזרחיים (אחריות המדינה) (תיקון - סייגים לאחריות המדינה בשל פעילות טרור), התשפ״ה-2025</t>
  </si>
  <si>
    <t xml:space="preserve"> (פ/5885/25)</t>
  </si>
  <si>
    <t xml:space="preserve">הצעת חוק-יסוד: הממשלה (תיקון - הגבלת מספר שרים וסגני שרים)</t>
  </si>
  <si>
    <t xml:space="preserve"> (פ/5884/25)</t>
  </si>
  <si>
    <t xml:space="preserve">הצעת חוק לתיקון פקודת מס הכנסה (הקפאת הטבת מס לחייל משוחרר), התשפ"ה-2025</t>
  </si>
  <si>
    <t xml:space="preserve"> (פ/5883/25)</t>
  </si>
  <si>
    <t xml:space="preserve">הצעת חוק הגנת הצרכן (תיקון - עצמאות תקציבית ודיווח), התשפ"ה-2025</t>
  </si>
  <si>
    <t xml:space="preserve"> (פ/5882/25)</t>
  </si>
  <si>
    <t xml:space="preserve">הצעת חוק לתיקון פקודת העיריות (גמול השתתפות בישיבות והחזר הוצאות לחברי מועצה), התשפ"ה-2025</t>
  </si>
  <si>
    <t xml:space="preserve"> (פ/5879/25)</t>
  </si>
  <si>
    <t xml:space="preserve">הצעת חוק זכויות החולה (תיקון - מניעת טיפול רפואי למחבלים במערכת הבריאות הציבורית), התשפ"ה-2025</t>
  </si>
  <si>
    <t xml:space="preserve"> (פ/5878/25)</t>
  </si>
  <si>
    <t xml:space="preserve">הצעת חוק רישוי שירותים ומקצועות בענף הרכב (תיקון - מתווך במתן שירות רכב ומוסכי הסדר), התשפ"ה-2025</t>
  </si>
  <si>
    <t xml:space="preserve"> (פ/5877/25)</t>
  </si>
  <si>
    <t xml:space="preserve">הצעת חוק פיצוי נפגעי אסון טבע (פיצוי לנפגעי שריפה), התשפ"ה-2025</t>
  </si>
  <si>
    <t xml:space="preserve"> (פ/5876/25)</t>
  </si>
  <si>
    <t xml:space="preserve">הצעת חוק הבחירות לכנסת (תיקון - אחוז החסימה), התשפ"ה-2025</t>
  </si>
  <si>
    <t xml:space="preserve"> (פ/5873/25)</t>
  </si>
  <si>
    <t xml:space="preserve">הצעת חוק לתיקון פקודת התעבורה (קידום התחרות באמצעות תחבורה שיתופית מקוונת), התשפ"ה-2025</t>
  </si>
  <si>
    <t xml:space="preserve"> (פ/5872/25)</t>
  </si>
  <si>
    <t xml:space="preserve">הצעת חוק החלת הפחתת שכר על נושאי משרה, התשפ"ה-2025</t>
  </si>
  <si>
    <t xml:space="preserve"> (פ/5870/25)</t>
  </si>
  <si>
    <t xml:space="preserve">הצעת חוק חובת שליחת בקשת תשלום טרם עיקול ותפיסה של נכסים המוחזקים בידי צד שלישי (תיקוני חקיקה), התשפ"ה-2025</t>
  </si>
  <si>
    <t xml:space="preserve"> (פ/5869/25)</t>
  </si>
  <si>
    <t xml:space="preserve">הצעת חוק מיסוי מקרקעין (שבח ורכישה) (תיקון - מכירת דירה שמשמשת למגורי המוכר), התשפ"ה-2025</t>
  </si>
  <si>
    <t xml:space="preserve"> (פ/5868/25)</t>
  </si>
  <si>
    <t xml:space="preserve">הצעת חוק נכסי המדינה (תיקון מס' 9) (הרשאת שימוש לשם הקמת מיתקני שידור לתקשורת בשיטה התאית), התשפ"ה–2025</t>
  </si>
  <si>
    <t xml:space="preserve"> (פ/5019/25)</t>
  </si>
  <si>
    <t xml:space="preserve"> (כ/1135)</t>
  </si>
  <si>
    <t xml:space="preserve">הצעת חוק שירות התעסוקה (תיקון מס' 24) (הגברת התחרות בסיעוד הביתי), התשפ"ה–2025</t>
  </si>
  <si>
    <t xml:space="preserve"> (פ/3367/25)</t>
  </si>
  <si>
    <t xml:space="preserve"> (כ/1136)</t>
  </si>
  <si>
    <t xml:space="preserve">הצעת חוק חדלות פירעון ושיקום כלכלי (צו לשיקום כלכלי על יסוד הכתב) (הוראת שעה), התשפ"ה-2025</t>
  </si>
  <si>
    <t xml:space="preserve"> (מ/1869)</t>
  </si>
  <si>
    <t xml:space="preserve">הצעת חוק ניוד מידע רפואי (תיקון - הוספת גופים ציבוריים), התשפ"ה-2025</t>
  </si>
  <si>
    <t xml:space="preserve"> (פ/5304/25)</t>
  </si>
  <si>
    <t xml:space="preserve">28.05.2025</t>
  </si>
  <si>
    <t xml:space="preserve">הצעת חוק איסור התקשרות בהסדר לקביעת מחיר אחיד למזון במשלוח ובהזמנה בבית האוכל, התשפ"ה-2025</t>
  </si>
  <si>
    <t xml:space="preserve"> (פ/5732/25)</t>
  </si>
  <si>
    <t xml:space="preserve">הצעת חוק שירות המילואים (תיקון - הפחתת שיעור המס שחל על תגמולים למשרתי מילואים), התשפ"ה-2025</t>
  </si>
  <si>
    <t xml:space="preserve"> (פ/5719/25)</t>
  </si>
  <si>
    <t xml:space="preserve">הצעת חוק ביטול הצנזורה על סרטים, התשפ"ה-2025</t>
  </si>
  <si>
    <t xml:space="preserve"> (פ/5679/25)</t>
  </si>
  <si>
    <t xml:space="preserve">הצעת חוק החיילים המשוחררים (החזרה לעבודה) (תיקון - הרחבת תקופת הגנה מפני פיטורים למשרתים במילואים), התשפ"ה-2025</t>
  </si>
  <si>
    <t xml:space="preserve"> (פ/5410/25)</t>
  </si>
  <si>
    <t xml:space="preserve">הצעת חוק גנים לאומיים, שמורות טבע, אתרים לאומיים ואתרי הנצחה (תיקון - שמירה על מעמד האתרים הלאומיים), התשפ"ה-2024</t>
  </si>
  <si>
    <t xml:space="preserve"> (פ/5115/25)</t>
  </si>
  <si>
    <t xml:space="preserve">הצעת חוק בית המשפט לענייני משפחה (תיקון - ביטול האגרה עבור הורה בבקשת מינוי כאפוטרופוס), התשפ״ד-2024</t>
  </si>
  <si>
    <t xml:space="preserve"> (פ/4834/25)</t>
  </si>
  <si>
    <t xml:space="preserve">הצעת חוק העונשין (תיקון - שימוש במשבש תדרים), התשפ"ה-2024</t>
  </si>
  <si>
    <t xml:space="preserve"> (פ/5064/25)</t>
  </si>
  <si>
    <t xml:space="preserve">26.05.2025</t>
  </si>
  <si>
    <t xml:space="preserve">הצעת חוק-יסוד: משאל עם - ועדת חקירה ממלכתית לאירועי 7 באוקטובר</t>
  </si>
  <si>
    <t xml:space="preserve"> (פ/5867/25)</t>
  </si>
  <si>
    <t xml:space="preserve">הצעת חוק לתיקון פקודת הסמים המסוכנים (איסור פרסום והפצת חומר פרסומי למכירת סמים מסוכנים), התשפ"ה-2025</t>
  </si>
  <si>
    <t xml:space="preserve"> (פ/5864/25)</t>
  </si>
  <si>
    <t xml:space="preserve">הצעת חוק יידוע ודיווח על מינוי יועצים חיצוניים לנושאי משרה ציבורית, התשפ"ה-2025</t>
  </si>
  <si>
    <t xml:space="preserve"> (פ/5863/25)</t>
  </si>
  <si>
    <t xml:space="preserve"> (פ/5862/25)</t>
  </si>
  <si>
    <t xml:space="preserve">הצעת חוק חיפוש במקום שהוכרז כאזור מועד לפשיעה אלימה (תיקוני חקיקה), התשפ"ה-2025</t>
  </si>
  <si>
    <t xml:space="preserve"> (פ/5861/25)</t>
  </si>
  <si>
    <t xml:space="preserve"> (פ/5860/25)</t>
  </si>
  <si>
    <t xml:space="preserve">הצעת חוק מרשם האוכלוסין (תיקון - רישום מען באמצעות נקודת ציון), התשפ"ה-2025</t>
  </si>
  <si>
    <t xml:space="preserve"> (פ/5859/25)</t>
  </si>
  <si>
    <t xml:space="preserve">הצעת חוק השבת זכויות במקרקעין שנשללו ביהודה והשומרון לפני קום המדינה, התשפ"ה-2025</t>
  </si>
  <si>
    <t xml:space="preserve"> (פ/5857/25)</t>
  </si>
  <si>
    <t xml:space="preserve">הצעת חוק לתיקון פקודת העיריות (תעודה על תשלום חובות), התשפ"ה-2025</t>
  </si>
  <si>
    <t xml:space="preserve"> (פ/5856/25)</t>
  </si>
  <si>
    <t xml:space="preserve">הצעת חוק לתיקון פקודת העיריות (הבטחת תשלומי גמלאות לעובדי עירייה), התשפ"ה-2025</t>
  </si>
  <si>
    <t xml:space="preserve"> (פ/5855/25)</t>
  </si>
  <si>
    <t xml:space="preserve">הצעת חוק שירות המילואים (תיקון - הטבות בדיור לחיילי מילואים), התשפ"ה-2025</t>
  </si>
  <si>
    <t xml:space="preserve"> (פ/5854/25)</t>
  </si>
  <si>
    <t xml:space="preserve">הצעת חוק המאבק במדינות תומכות טרור, התשפ"ה-2025</t>
  </si>
  <si>
    <t xml:space="preserve"> (פ/5852/25)</t>
  </si>
  <si>
    <t xml:space="preserve">הצעת חוק לתיקון פקודת המשטרה (הצבת מערכת צילום ביומטרית לצורך מניעת אלימות במגרשי הספורט) (הוראת שעה), התשפ"ה-2025</t>
  </si>
  <si>
    <t xml:space="preserve"> (פ/5851/25)</t>
  </si>
  <si>
    <t xml:space="preserve">הצעת חוק הוועדה לטיפול במשפחות נעדרים אזרחיים, התשפ"ה-2025</t>
  </si>
  <si>
    <t xml:space="preserve"> (פ/5850/25)</t>
  </si>
  <si>
    <t xml:space="preserve">הצעת חוק החקלאות, התשפ"ה-2025</t>
  </si>
  <si>
    <t xml:space="preserve"> (פ/5849/25)</t>
  </si>
  <si>
    <t xml:space="preserve">הצעת חוק המים (תיקון - הנחות לבתי תפילה), התשפ"ה-2025</t>
  </si>
  <si>
    <t xml:space="preserve"> (פ/5848/25)</t>
  </si>
  <si>
    <t xml:space="preserve"> (פ/5847/25)</t>
  </si>
  <si>
    <t xml:space="preserve"> (פ/5846/25)</t>
  </si>
  <si>
    <t xml:space="preserve">הצעת חוק התכנון והבנייה (תיקון - הקלה בפיצול דירות) התשפ"ה-2025</t>
  </si>
  <si>
    <t xml:space="preserve"> (פ/5844/25)</t>
  </si>
  <si>
    <t xml:space="preserve">הצעת חוק הביטוח הלאומי (תיקון - הצמדת קצבת נכות מעבודה לשכר הממוצע במשק), התשפ"ה-2025</t>
  </si>
  <si>
    <t xml:space="preserve"> (פ/5843/25)</t>
  </si>
  <si>
    <t xml:space="preserve">הצעת חוק להגברת האכיפה של דיני העבודה (תיקון - עיצום כספי בשל אי-הסדרת ביטוח רפואי לעובד זר), התשפ"ה-2025</t>
  </si>
  <si>
    <t xml:space="preserve"> (פ/5842/25)</t>
  </si>
  <si>
    <t xml:space="preserve">הצעת חוק לתיקון פקודת מס הכנסה (הכרה בקרן משפחתית כמוסד ציבורי), התשפ"ה-2025</t>
  </si>
  <si>
    <t xml:space="preserve"> (פ/5841/25)</t>
  </si>
  <si>
    <t xml:space="preserve">הצעת חוק לתיקון פקודת מס הכנסה (הגדלת תקרת תרומה מזכה למוסד ציבורי), התשפ"ה-2025</t>
  </si>
  <si>
    <t xml:space="preserve"> (פ/5840/25)</t>
  </si>
  <si>
    <t xml:space="preserve">הצעת חוק להסדרת עסקאות איגוח, התשפ"ה-2025 </t>
  </si>
  <si>
    <t xml:space="preserve"> (מ/1838)</t>
  </si>
  <si>
    <t xml:space="preserve">חוק מניעת פגיעת גוף שידורים זר בביטחון המדינה (הוראה שעה - חרבות ברזל) (תיקון מס' 3), התשפ"ה-2025</t>
  </si>
  <si>
    <t xml:space="preserve"> (מ/1864)</t>
  </si>
  <si>
    <t xml:space="preserve">21.05.2025</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</si>
  <si>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הראשון לחוק, הוארכה הוראת השעה עד ליום כ"ט בחשוון התשפ"ה (30 בנובמבר 2024). במסגרת תיקון מספר 2, הוארך תוקפה של הוראת השעה בעניין מניעת פגיעת גוף שידורים זר בביטחון המדינה עד ליום ד' בסיוון התשפ"ה (31 במאי 2025). בנוסף, נקבע כי  תוקף הוראותיו של שר התקשורת הקבועות בחוק, יוארך מתקופה מרבית של 45 לתקופה שלא תעלה על 60 ימים, ובהתאם לכך תעשה גם כל הארכה נוספת.    כעת, במסגרת תיקון מספר 3, הוארך תוקפה של הוראת השעה עד ליום י' בכסלו התשפ"ו (30 בנובמבר 2025). </t>
  </si>
  <si>
    <t xml:space="preserve">חוק התכנון והבנייה (תיקון מס' 161), התשפ"ה–2025</t>
  </si>
  <si>
    <t xml:space="preserve"> (פ/4516/25)</t>
  </si>
  <si>
    <t xml:space="preserve"> (כ/1108)</t>
  </si>
  <si>
    <t xml:space="preserve">מוצע לקבוע 3 מדרגות לעניין הגדלות חיבור חשמל קיים. ראשית, הגדלות חיבור שגודלן עד 40X3 אמפר – מוצע לאפשר לחברת חשמל לבצע הגדלות כאמור ללא פנייה לרשות הרישוי המקומית; שנית, הגדלות חיבור שגודלן עולה על 40X3 אמפר – מוצע להטיל חברת החשמל חובת דיווח רבעונית לרשות המאשרת על הבקשות להגדלת החיבור שהוגשו לחברת החשמל. על סמך דיווח כאמור, רשות הרישוי תוכל לנקוט אמצעי אכיפה הקבועים בחוק התכנון והבנייה, ובין השאר להורות לחברת החשמל שלא לבצע את הגדלת החיבור או להורות על ניתוק המבנה מחשמל אם כבר חובר לרשת החשמל; שלישית, הגדלות חיבור שגודלן עולה על 63X3 אמפר –מצע להטיל על מבקש הגדלת החיבור כאמור חובה למסור לחברת החשמל הצהרה כי המבנה נושא הבקשה נבנה בהתאם להיתר הבנייה או אישור מאת רשות הרישוי. </t>
  </si>
  <si>
    <t xml:space="preserve">הצעת חוק ציון שירות צבאי או שירות לאומי בהשכלה הגבוהה ובשירות המדינה (תיקוני חקיקה), התשפ"ה-2025</t>
  </si>
  <si>
    <t xml:space="preserve"> (פ/5703/25)</t>
  </si>
  <si>
    <t xml:space="preserve">הצעת חוק תגמול משפחות על תרומתן לשירות בצבא הגנה לישראל, התשפ"ה-2025</t>
  </si>
  <si>
    <t xml:space="preserve"> (פ/5701/25)</t>
  </si>
  <si>
    <t xml:space="preserve">הצעת חוק איסור הכחשת הנכבה, התשפ"ה-2025</t>
  </si>
  <si>
    <t xml:space="preserve"> (פ/5631/25)</t>
  </si>
  <si>
    <t xml:space="preserve"> (פ/5547/25)</t>
  </si>
  <si>
    <t xml:space="preserve">הצעת חוק פיקוח על מחירי מצרכים ושירותים (תיקון - פיקוח על מחירי לחם מלא, דגנים, כוסמין ושיפון), התשפ"ה-2024</t>
  </si>
  <si>
    <t xml:space="preserve"> (פ/5248/25)</t>
  </si>
  <si>
    <t xml:space="preserve">הצעת חוק לתיקון פקודת המשטרה (ביטול הכפיפות לשר וסמכותו להתוות מדיניות), התשפ"ה-2024</t>
  </si>
  <si>
    <t xml:space="preserve"> (פ/5161/25)</t>
  </si>
  <si>
    <t xml:space="preserve">הצעת חוק כלי הירייה (תיקון מס' 27), התשפ"ה–2025</t>
  </si>
  <si>
    <t xml:space="preserve"> (פ/4957/25)</t>
  </si>
  <si>
    <t xml:space="preserve"> (כ/1112)</t>
  </si>
  <si>
    <t xml:space="preserve">הצעת חוק שירות המילואים (תיקון מס' 3) (הטבות בדיור לחיילי מילואים), התשפ"ה–2025</t>
  </si>
  <si>
    <t xml:space="preserve"> (פ/4328/25)</t>
  </si>
  <si>
    <t xml:space="preserve"> (כ/1132)</t>
  </si>
  <si>
    <t xml:space="preserve">הצעת חוק לתיקון דיני הבחירות לרשויות המקומיות, התשפ"ג-2023 - הגשת רשימת מועמדים באופן ממוכן והליכים משפטיים בעניין ביטול בחירות</t>
  </si>
  <si>
    <t xml:space="preserve"> (מ/1615)</t>
  </si>
  <si>
    <t xml:space="preserve">20.05.2025</t>
  </si>
  <si>
    <t xml:space="preserve">חוק הבנקאות (שירות ללקוח) (תיקון מס' 39), התשפ"ה–2025</t>
  </si>
  <si>
    <t xml:space="preserve"> (פ/4598/25)</t>
  </si>
  <si>
    <t xml:space="preserve"> (כ/1080)</t>
  </si>
  <si>
    <t xml:space="preserve">החוק מטיל חובה על תאגיד בנקאי למסור הודעה ללקוחותיו שהם יחידים על יתרת הזכות בחשבון העובר ושב שלהם, אם הצטברה בחשבון, במשך תקופה רצופה של רבעון קלנדרי לפחות, יתרת זכות בסכום העולה על 15,000 שקלים חדשים. בהודעה שתימסר ללקוח יכלול התאגיד הבנקאי הפניה למידע אודות חלופות השקעה אחרות שעשויות להשיא ללקוח תשואה גבוהה יותר לעומת הותרת הסכום ביתרת חשבון העובר ושב. לעניין סכום יתרת הזכות הנקוב בחוק כאמור, החוק מסמיך את שר האוצר, בהסכמת נגיד בנק ישראל ובאישור ועדת הכלכלה של הכנסת, לשנות בצו את הסכום האמור. החוק קובע כי הודעה על יתרת זכות כאמור תימסר ללקוח בתחילת כל רבעון, אך במשך תקופה של 18 חודשים מיום תחילתו של החוק,  ההודעה תימסר בתחילת כל חודש לגבי החודש הקודם. בתום תקופת הוראת השעה, נגיד בנק ישראל יהיה רשאי לקבוע, בצו, באישור ועדת הכלכלה של הכנסת, כי ההודעה כאמור תישלח בתדירות גבוהה יותר מאשר אחת לרבעון. בנוגע לאופן מסירת ההודעה ללקוח, נקבע כי ברירת המחדל היא מסירה בכתב באופן מיידי ונגיש (כמו למשל באמצעות מסרון), אלא אם כן הלקוח ביקש לקבל את ההודעות בדרך אחרת, וכן נקבע כי ההודעה תימסר ללקוח באופן שבו התאגיד הבנקאי שולח לו הודעות, כפי שהוסכם ביניהם. במקרים שבהם ידוע לתאגיד הבנקאי שהלקוח אינו יכול לקבל הודעה כתובה (כמו למשל לקוח שהוא בעל "טלפון כשר"), תימסר ללקוח הודעה קולית כחלופה להודעה הכתובה. עוד נקבע, כי המפקח על הבנקים בבנק ישראל רשאי לקבוע, במסגרת הוראות ניהול בנקאי תקין, הוראות לעניין ההודעה שתימסר ללקוח, אם ראה כי הדבר נדרש. בהוראות כאמור רשאי המפקח לקבוע הוראות לעניין חובת ההפניה למידע אודות חלופות השקעה, ובין היתר חובת הפניה להשקעה בגופים פיננסיים אחרים. לעניין אכיפת הוראות החוק, נקבע כי המפקח על הבנקים מוסמך להטיל עיצום כספי בסכום של 50,000 שקלים חדשים על תאגיד בנקאי שלא שלח ללקוחותיו הודעה כאמור על יתרת זכות בחשבונותיהם, או ששלח הודעה כאמור שלא בהתאם להוראות החוק. החוק ייכנס לתוקף ב-21.11.2025, כלומר בתום שישה חודשים מיום פרסומו ברשומות. </t>
  </si>
  <si>
    <t xml:space="preserve">חוק העונשין (תיקון מס' 133 – הוראת שעה) (תיקון מס' 3), התשפ"ה-2025 </t>
  </si>
  <si>
    <t xml:space="preserve"> (מ/1857)</t>
  </si>
  <si>
    <t xml:space="preserve">החוק מאריך את הוראת השעה הקובעת שתקופת המאסר המרבית שאותה ניתן לשאת בעבודות שירות היא תשעה חודשים ולא שישה חודשי מאסר, לתקופה של שלוש שנים נוספות.</t>
  </si>
  <si>
    <t xml:space="preserve">חוק להשתתפותם של העובדים ובעלי תפקיד בשירות הציבורי, בצעדים לייצוב המצב הפיסקלי במדינה במהלך השנים 2025 ו-2026 (הוראת שעה) (תיקון), התשפ"ה-2025</t>
  </si>
  <si>
    <t xml:space="preserve"> (מ/1863)</t>
  </si>
  <si>
    <t xml:space="preserve">19.05.2025</t>
  </si>
  <si>
    <t xml:space="preserve">החוק להשתתפותם של העובדים ובעלי תפקיד בשירות הציבורי, בצעדים לייצוב המצב הפיסקלי במדינה במהלך השנים 2025 ו-2026 (הוראת שעה), התשפ"ה–2025, קבע הפחתת שכר לעובדי המגזר הציבורי בשיעור של 3.307% מחודש אפריל 2025 עד דצמבר 2025, והפחתה בשיעור של 1.2% במהלך שנת 2026, אלא אם כן נקבעה הפחתה אחרת בהסכם קיבוצי שנחתם עד חודש מרץ 2025 ואושר על ידי שר האוצר או הממונה על השכר. חוק זה מאריך את התקופה שנקבעה לחתימה על הסכם קיבוצי כאמור עד 30.6.2025. יובהר כי על אף הארכת התקופה לחתימה, הסכם כאמור יכול לשנות את הפחתת השכר המתחייבת לפי החוק בתקופה שמתחילת התקופה הקובעת הראשונה, ובלבד שההפחתה לפי ההסכם תואמת את תכליתו של החוק ואת שיעורי ההפחתה הקבועים בו. </t>
  </si>
  <si>
    <t xml:space="preserve">חוק לתיקון פקודת בתי הסוהר (תיקון מס' 66 - הוראת שעה - חרבות ברזל) (חופשה מיוחדת לאסיר) (תיקון מס' 3), התשפ"ה-2025</t>
  </si>
  <si>
    <t xml:space="preserve"> (מ/1858)</t>
  </si>
  <si>
    <t xml:space="preserve">חוק לתיקון פקודת בתי הסוהר (תיקון מס' 66 – הוראת שעה – חרבות ברזל) (חופשה מיוחדת לאסיר), התשפ"ד–2024, נחקק כהוראת שעה, במסגרתה נקבע כי הנציב או סוהר בדרגת גונדר שהוסמך לכך, רשאי לתת לאסיר, בתנאים שייראו לשר לביטחון לאומי, חופשה מיוחדת שלא תעלה על 45 ימים; 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הראשון הוארכה הוראת השעה לתקופה של חמישה חודשים, עד ליום י"ד בחשוון התשפ"ה (15 בנובמבר 2024), ובתיקון השני הוארכה עד ליום י"ז באייר התשפ"ה (15 במאי 2025). במסגרת התיקון השלישי, הוארך תוקפה של הוראת השעה עד ליום י"א בטבת התשפ"ו (31 בדצמבר 2025). </t>
  </si>
  <si>
    <t xml:space="preserve">הצעת חוק כלי הירייה (תיקון - הזכות להגנה עצמית והזכות לסייע בהגנה על המדינה), התשפ"ה-2025 </t>
  </si>
  <si>
    <t xml:space="preserve"> (פ/5839/25)</t>
  </si>
  <si>
    <t xml:space="preserve">הצעת חוק שירות המדינה (מינויים) (תיקון - מינוי נציב שירות המדינה), התשפ"ה-2025 </t>
  </si>
  <si>
    <t xml:space="preserve"> (פ/5837/25)</t>
  </si>
  <si>
    <t xml:space="preserve">הצעת חוק שירות המדינה (מינויים) (תיקון - הרחבת היקף המכרזים), התשפ"ה-2025</t>
  </si>
  <si>
    <t xml:space="preserve"> (פ/5836/25)</t>
  </si>
  <si>
    <t xml:space="preserve">הצעת חוק פיצויים לבעלי זכות במקרקעין מועברים, התשפ"ה-2025</t>
  </si>
  <si>
    <t xml:space="preserve"> (פ/5835/25)</t>
  </si>
  <si>
    <t xml:space="preserve">הצעת חוק הכשרות המשפטית והאפוטרופסות (תיקון - שלילת אפוטרופסות בעקבות הרשעה בעבירת אלימות חמורה), התשפ"ה-2025 </t>
  </si>
  <si>
    <t xml:space="preserve"> (פ/5834/25)</t>
  </si>
  <si>
    <t xml:space="preserve"> (פ/5833/25)</t>
  </si>
  <si>
    <t xml:space="preserve">הצעת חוק המאבק בטרור (תיקון - עבירת הצתה), התשפ"ה-2025</t>
  </si>
  <si>
    <t xml:space="preserve"> (פ/5830/25)</t>
  </si>
  <si>
    <t xml:space="preserve"> (פ/5828/25)</t>
  </si>
  <si>
    <t xml:space="preserve">הצעת חוק סדר הדין הפלילי (תיקון - חקירת עיתונאים), התשפ"ה-2025</t>
  </si>
  <si>
    <t xml:space="preserve"> (פ/5827/25)</t>
  </si>
  <si>
    <t xml:space="preserve">הצעת חוק חניה לנכים (תיקון - תגי נכה), התשפ"ה-2025</t>
  </si>
  <si>
    <t xml:space="preserve"> (פ/5826/25)</t>
  </si>
  <si>
    <t xml:space="preserve">הצעת חוק לתיקון פקודת הרופאים (אי-הכרה בלימודי רפואה שנערכו במדינות עוינות או ברשות הפלסטינית), התשפ"ה-2025</t>
  </si>
  <si>
    <t xml:space="preserve"> (פ/5824/25)</t>
  </si>
  <si>
    <t xml:space="preserve"> (פ/5823/25)</t>
  </si>
  <si>
    <t xml:space="preserve">הצעת חוק הרשויות המקומיות (פטור חיילים, נפגעי מלחמה ושוטרים מארנונה) (תיקון - הנחה בארנונה לחייל מילואים פעיל), התשפ"ה-2025</t>
  </si>
  <si>
    <t xml:space="preserve"> (פ/5820/25)</t>
  </si>
  <si>
    <t xml:space="preserve">הצעת חוק שוויון זכויות לאנשים עם מוגבלות (תיקון - הגנה על חולים במחלה ממארת בזמן הטיפולים וההחלמה), התשפ"ה-2025</t>
  </si>
  <si>
    <t xml:space="preserve"> (פ/5819/25)</t>
  </si>
  <si>
    <t xml:space="preserve"> (פ/5818/25)</t>
  </si>
  <si>
    <t xml:space="preserve">הצעת חוק רישוי שירותים ומקצועות בענף הרכב (תיקון - הוראות לעניין ייבוא רכב מסוג מעונוע), התשפ"ה-2025</t>
  </si>
  <si>
    <t xml:space="preserve"> (פ/5817/25)</t>
  </si>
  <si>
    <t xml:space="preserve"> (פ/5815/25)</t>
  </si>
  <si>
    <t xml:space="preserve">הצעת חוק איסור הפליית משרתים בשירות הביטחוני, הלאומי והאזרחי, התשפ"ה-2025</t>
  </si>
  <si>
    <t xml:space="preserve"> (פ/5813/25)</t>
  </si>
  <si>
    <t xml:space="preserve">הצעת חוק לתיקון פקודת התעבורה (איסור שימוש ברכב שהועמד באופן המפריע לתנועה), התשפ"ה-2025</t>
  </si>
  <si>
    <t xml:space="preserve"> (פ/5812/25)</t>
  </si>
  <si>
    <t xml:space="preserve">הצעת חוק הביטוח הלאומי (תיקון - קביעת אחוזי נכות ללקויי שמיעה - דו-צידי וחד-צידי), התשפ"ה-2025</t>
  </si>
  <si>
    <t xml:space="preserve"> (פ/5811/25)</t>
  </si>
  <si>
    <t xml:space="preserve">הצעת חוק האזרחים הוותיקים (תיקון - לחצן מצוקה לקשיש), התשפ"ה-2025</t>
  </si>
  <si>
    <t xml:space="preserve"> (פ/5810/25)</t>
  </si>
  <si>
    <t xml:space="preserve">הצעת חוק הנכים (תגמולים ושיקום) (תיקון - חבלה שאינה חבלת שירות בזמן מלחמה), התשפ"ה-2025</t>
  </si>
  <si>
    <t xml:space="preserve"> (פ/5704/25)</t>
  </si>
  <si>
    <t xml:space="preserve">14.05.2025</t>
  </si>
  <si>
    <t xml:space="preserve"> (פ/5672/25)</t>
  </si>
  <si>
    <t xml:space="preserve">הצעת חוק לתיקון פקודת מס הכנסה (ניכוי בגין הוצאות טיפול בילדים), התשפ"ה-2025</t>
  </si>
  <si>
    <t xml:space="preserve"> (פ/5512/25)</t>
  </si>
  <si>
    <t xml:space="preserve">הצעת חוק שירות המילואים (תיקון - שיקום נפשי וטיפול זוגי) (הוראת שעה), התשפ"ה-2025</t>
  </si>
  <si>
    <t xml:space="preserve"> (פ/5424/25)</t>
  </si>
  <si>
    <t xml:space="preserve">הצעת חוק שירותי אבטחה, התשפ"ג-2023</t>
  </si>
  <si>
    <t xml:space="preserve"> (פ/3629/25)</t>
  </si>
  <si>
    <t xml:space="preserve">הצעת חוק שירות המדינה (מינויים) (תיקון - חובת פרסום שאלון לאיתור חשש לניגוד עניינים), התשפ"ג-2023</t>
  </si>
  <si>
    <t xml:space="preserve"> (פ/2481/25)</t>
  </si>
  <si>
    <t xml:space="preserve">הצעת חוק חובת הצגה של נתוני צפייה לצופה, התשפ"ד-2024</t>
  </si>
  <si>
    <t xml:space="preserve"> (פ/4726/25)</t>
  </si>
  <si>
    <t xml:space="preserve">13.05.2025</t>
  </si>
  <si>
    <t xml:space="preserve">הצעת חוק הפטנטים (תיקון מס' 14) (הגברת התחרותיות), התשפ"ב-2022</t>
  </si>
  <si>
    <t xml:space="preserve"> (מ/1576)</t>
  </si>
  <si>
    <t xml:space="preserve">[הוחל דין רציפות]</t>
  </si>
  <si>
    <t xml:space="preserve">הצעת חוק להנחלת מורשתו של הרבי מלובביץ' ושל שושלת תנועת חב"ד, התשפ"ה-2025</t>
  </si>
  <si>
    <t xml:space="preserve"> (פ/5560/25)</t>
  </si>
  <si>
    <t xml:space="preserve">חוק הבנקאות (שירות ללקוח) (תיקון מס' 38), התשפ"ה–2025</t>
  </si>
  <si>
    <t xml:space="preserve"> (פ/4960/25)</t>
  </si>
  <si>
    <t xml:space="preserve"> (כ/1099)</t>
  </si>
  <si>
    <t xml:space="preserve">החוק קובע שהחל מ-1.12.2025, בנק ששווי נכסיו עולה על 5% משווי הנכסים של כלל הבנקים בישראל יהיה חייב לאפשר ללקוחות כל הבנקים לפתוח אצלו פיקדון במטבע ישראלי, מבלי להתנות זאת בפתיחת חשבון עובר ושב בבנק. לפי החוק, אפשרות זו מותנית בכך שהכספים יופקדו בפיקדון באמצעות חשבון במערכת סגורה, שניתן להפקיד בו רק כספים מחשבון של בעל הפיקדון בבנק אחר או בבנק הדואר, וכן להעביר אותם בחזרה רק לחשבון ממנו הועברו, וכן בהתאם לתנאים שקבע נגיד בנק ישראל בצו לפי חוק איסור הלבנת הון. בנוסף, החוק אוסר על בנק להפעיל השפעה בלתי הוגנת על הלקוח בכל עניין הקשור בפתיחת פיקדון כאמור בבנק אחר. כדי להקל על הליך הפקדת הכספים בפיקדון בבנק אחר, החוק מאפשר ללקוח לאשר בכתב לבנק שבו הוא מבקש להפקיד כספים לנהל עבורו את ההליכים הנדרשים לשם כך. המפקח על הבנקים יהיה רשאי להחיל את הוראות החוק גם על הפקדת כספים בפיקדונות במטבע חוץ. עוד קובע החוק כי המפקח על הבנקים יפרסם את מספר הפיקדונות שהופקדו בכל אחד מהבנקים באמצעות חשבון במערכת סגורה. כמו כן, המפקח על הבנקים יעביר לוועדת הכלכלה של הכנסת דיווח שנתי, החל משנת 2027 ולמשך 3 שנים, על יישום הוראות חוק זה.</t>
  </si>
  <si>
    <t xml:space="preserve">חוק הממשלה (תיקון מס' 14), התשפ''ה–2025</t>
  </si>
  <si>
    <t xml:space="preserve"> (כ/1052)</t>
  </si>
  <si>
    <t xml:space="preserve">12.05.2025</t>
  </si>
  <si>
    <t xml:space="preserve">כתיקון משלים לביטול הסדר ממשלת החילופים בחוק-יסוד: הממשלה, חוק זה מבטל את הסעיפים אשר מתייחסים להסדר של ממשלת חילופים בחוק הממשלה, התשס"א–2001.</t>
  </si>
  <si>
    <t xml:space="preserve">חוק-יסוד: הממשלה (תיקון מס' 13)</t>
  </si>
  <si>
    <t xml:space="preserve"> (כ/1070)</t>
  </si>
  <si>
    <t xml:space="preserve">ההסדר החוקתי של ממשלת חילופים נחקק בכנסת העשרים ושלוש, נוכח האתגרים השונים שהמדינה עמדה בהם באותה העת. עתה, נוכח הקשיים שהסדר ייחודי זה עורר, חוק היסוד מבטל את הסעיפים בחוק יסוד: הממשלה, הקובעים את ההסדר החוקתי האמור, ובמקביל עורך תיקוני התאמה בסעיפים השונים בחוק היסוד שמתייחסים להסדר האמור. על פי חוק היסוד ההסדר יבוטל החל מתחילת כהונת הכנסת ה–26.</t>
  </si>
  <si>
    <t xml:space="preserve">הצעת חוק לשכת עורכי הדין (תיקון - מתן ציון מגן לעולים חדשים ולעורכי דין זרים בבחינות ההתמחות), התשפ"ה-2025</t>
  </si>
  <si>
    <t xml:space="preserve"> (פ/5806/25)</t>
  </si>
  <si>
    <t xml:space="preserve">הצעת חוק תכנון משק החלב (תיקון - קביעת מחירים וחישוב עלויות ייצור חלב), התשפ"ה-2025</t>
  </si>
  <si>
    <t xml:space="preserve"> (פ/5804/25)</t>
  </si>
  <si>
    <t xml:space="preserve"> (פ/5803/25)</t>
  </si>
  <si>
    <t xml:space="preserve">הצעת חוק הפיקוח על מוצר ביטוח ארוך טווח, התשפ"ה-2025</t>
  </si>
  <si>
    <t xml:space="preserve"> (פ/5802/25)</t>
  </si>
  <si>
    <t xml:space="preserve">הצעת חוק איסור הפליית משרתים בשירות הביטחוני, הלאומי והאזרחי, התשפ"ה-2025 </t>
  </si>
  <si>
    <t xml:space="preserve"> (פ/5801/25)</t>
  </si>
  <si>
    <t xml:space="preserve">הצעת חוק הממשלה (תיקון - בדיקת פוליגרף שנתית לבירור הדלפות מדיוני ועדת השרים לענייני ביטחון לאומי), התשפ"ה-2025</t>
  </si>
  <si>
    <t xml:space="preserve"> (פ/5799/25)</t>
  </si>
  <si>
    <t xml:space="preserve">הצעת חוק לתיקון פקודת התעבורה (סמכות רשות מקומית בקביעת שפות תמרורים), התשפ"ה-2025</t>
  </si>
  <si>
    <t xml:space="preserve"> (פ/5798/25)</t>
  </si>
  <si>
    <t xml:space="preserve"> (פ/5797/25)</t>
  </si>
  <si>
    <t xml:space="preserve">הצעת חוק איסור הלבנת הון (תיקון - איסור גביית דמי שמירה בלא רישיון), התשפ"ה-2025</t>
  </si>
  <si>
    <t xml:space="preserve"> (פ/5796/25)</t>
  </si>
  <si>
    <t xml:space="preserve">הצעת חוק נטילה ושימוש בזרע של נפטר לשם הולדה, התשפ"ה-2025</t>
  </si>
  <si>
    <t xml:space="preserve"> (פ/5795/25)</t>
  </si>
  <si>
    <t xml:space="preserve">הצעת חוק הכנסת (תיקון - התייצבות בפני ועדות הכנסת), התשפ"ה-2025</t>
  </si>
  <si>
    <t xml:space="preserve"> (פ/5794/25)</t>
  </si>
  <si>
    <t xml:space="preserve"> (פ/5792/25)</t>
  </si>
  <si>
    <t xml:space="preserve">הצעת חוק הרשויות המקומיות (זכויות וחובות של חברי מועצה), התשפ"ה-2025</t>
  </si>
  <si>
    <t xml:space="preserve"> (פ/5791/25)</t>
  </si>
  <si>
    <t xml:space="preserve">הצעת חוק לתיקון פקודת העיריות (ייצוג הולם), התשפ"ה-2025</t>
  </si>
  <si>
    <t xml:space="preserve"> (פ/5790/25)</t>
  </si>
  <si>
    <t xml:space="preserve">הצעת חוק העונשין (תיקון - עונש מינימום למצית נכס ציבורי) (הוראת שעה), התשפ"ה-2025</t>
  </si>
  <si>
    <t xml:space="preserve"> (פ/5787/25)</t>
  </si>
  <si>
    <t xml:space="preserve">הצעת חוק-יסוד: הכנסת (תיקון - מניין חברי הכנסת במליאה)</t>
  </si>
  <si>
    <t xml:space="preserve"> (פ/5786/25)</t>
  </si>
  <si>
    <t xml:space="preserve"> (פ/5785/25)</t>
  </si>
  <si>
    <t xml:space="preserve">הצעת חוק אכיפת פסקי חוץ (תיקון מס' 4) (יישום האמנה בדבר הכרה ואכיפה של פסקי חוץ בעניינים אזרחיים ומסחריים), התשפ"ה-2025</t>
  </si>
  <si>
    <t xml:space="preserve"> (מ/1861)</t>
  </si>
  <si>
    <t xml:space="preserve">הצעת חוק שירות התעסוקה (תיקון מס' 23) (ביטול חובת רישוי ללשכה פרטית העוסקת בתיווך עבודה לעובד ישראלי), התשפ"ה-2025</t>
  </si>
  <si>
    <t xml:space="preserve"> (מ/1862)</t>
  </si>
  <si>
    <t xml:space="preserve">הצעת חוק החברות (תיקון מס' 38), התשפ"ה-2025</t>
  </si>
  <si>
    <t xml:space="preserve"> (מ/1647)</t>
  </si>
  <si>
    <t xml:space="preserve">הצעת חוק לתיקון פקודת התעבורה (מס' 138), התשפ"ה-2025</t>
  </si>
  <si>
    <t xml:space="preserve"> (מ/1605)</t>
  </si>
  <si>
    <t xml:space="preserve">הצעת חוק לתיקון דיני הקניין הרוחני (מועד ערעור על החלטות הרשם), התשפ"ה–2025</t>
  </si>
  <si>
    <t xml:space="preserve"> (מ/1801)</t>
  </si>
  <si>
    <t xml:space="preserve">הצעת חוק להקמת מוסד להשכלה גבוהה בעיר רהט, התשפ"ה-2025</t>
  </si>
  <si>
    <t xml:space="preserve"> (פ/5456/25)</t>
  </si>
  <si>
    <t xml:space="preserve">07.05.2025</t>
  </si>
  <si>
    <t xml:space="preserve">הצעת חוק פיקוח הכנסת על העברת סיוע הומניטרי מכספי המדינה, התשפ"ה-2025</t>
  </si>
  <si>
    <t xml:space="preserve"> (פ/5429/25)</t>
  </si>
  <si>
    <t xml:space="preserve">הצעת חוק משפחות חיילים שנספו במערכה (תגמולים ושיקום) (תיקון - תקופת הסתגלות כלכלית לאלמנה), התשפ"ד-2024</t>
  </si>
  <si>
    <t xml:space="preserve"> (פ/4745/25)</t>
  </si>
  <si>
    <t xml:space="preserve">הצעת חוק לתיקון מונחים בחקיקה (יהודה והשומרון), התשפ"ה-2025</t>
  </si>
  <si>
    <t xml:space="preserve"> (פ/5535/25)</t>
  </si>
  <si>
    <t xml:space="preserve">06.05.2025</t>
  </si>
  <si>
    <t xml:space="preserve">חוק חדלות פירעון ושיקום כלכלי (תיקון מס' 4 - הוראת שעה - נגיף הקורונה החדש) (תיקון מס' 3), התשפ"ה-2025</t>
  </si>
  <si>
    <t xml:space="preserve">החוק מאריך לתקופה קצרה הוראת שעה שמאפשרת לחייבים לבקש צו שיפוטי ל"עיכוב הליכים" לצורך גיבוש הסדר חוב. הוראת השעה פקעה ביום ה-17.03.2025. החוק מאריך את הוראת השעה עד ליום 31.07.2025 ומאפשר לשר המשפטים, באישור ועדת החוקה, להאריך אותה בתקופה של עד 6 חודשים נוספים.</t>
  </si>
  <si>
    <t xml:space="preserve">הצעת חוק כלי הירייה (תיקון - הודעה בגין חשש לחיי אדם מצד המגיש בקשה להחזיק בכלי ירייה), התשפ"ה-2025</t>
  </si>
  <si>
    <t xml:space="preserve"> (פ/5566/25)</t>
  </si>
  <si>
    <t xml:space="preserve">05.05.2025</t>
  </si>
  <si>
    <t xml:space="preserve"> (פ/5351/25)</t>
  </si>
  <si>
    <t xml:space="preserve">הצעת חוק נציב תלונות הציבור על שופטים (תיקון - מינוי הנציב), התשפ"ה-2025</t>
  </si>
  <si>
    <t xml:space="preserve"> (פ/5783/25)</t>
  </si>
  <si>
    <t xml:space="preserve">הצעת חוק המועצה להשכלה גבוהה (תיקון - הענקת תארים שלישיים בכלל המוסדות המוכרים), התשפ"ה-2025</t>
  </si>
  <si>
    <t xml:space="preserve"> (פ/5781/25)</t>
  </si>
  <si>
    <t xml:space="preserve">הצעת חוק העונשין (תיקון - עונש מינימום וקנס על החזקת נשק בלתי חוקי), התשפ"ה-2025</t>
  </si>
  <si>
    <t xml:space="preserve"> (פ/5780/25)</t>
  </si>
  <si>
    <t xml:space="preserve"> (פ/5778/25)</t>
  </si>
  <si>
    <t xml:space="preserve">הצעת חוק לשכת עורכי הדין (תיקון - תקופת ההתמחות), התשפ"ה-2025</t>
  </si>
  <si>
    <t xml:space="preserve"> (פ/5777/25)</t>
  </si>
  <si>
    <t xml:space="preserve">הצעת חוק התכנון והבנייה (תיקון - ניוד זכויות), התשפ"ה-2025</t>
  </si>
  <si>
    <t xml:space="preserve"> (פ/5776/25)</t>
  </si>
  <si>
    <t xml:space="preserve">הצעת חוק לתיקון פקודת הרוקחים (שפות העלון לצרכן), התשפ"ה-2025</t>
  </si>
  <si>
    <t xml:space="preserve"> (פ/5775/25)</t>
  </si>
  <si>
    <t xml:space="preserve">הצעת חוק היער והאילנות, התשפ"ה-2025</t>
  </si>
  <si>
    <t xml:space="preserve"> (פ/5774/25)</t>
  </si>
  <si>
    <t xml:space="preserve"> (פ/5773/25)</t>
  </si>
  <si>
    <t xml:space="preserve"> (פ/5772/25)</t>
  </si>
  <si>
    <t xml:space="preserve">הצעת חוק המכר (דירות) (הבטחת השקעות של רוכשי דירות) (תיקון - ליווי פיננסי על ידי נותני שירותי תשלום בעלי חשיבות יציבותית), התשפ"ה-2025</t>
  </si>
  <si>
    <t xml:space="preserve"> (פ/5771/25)</t>
  </si>
  <si>
    <t xml:space="preserve">הצעת חוק המקרקעין (תיקון - בנייה או הרחבת מרחב מוגן לאדם עם מוגבלות), התשפ"ה-2025</t>
  </si>
  <si>
    <t xml:space="preserve"> (פ/5770/25)</t>
  </si>
  <si>
    <t xml:space="preserve">הצעת חוק אוויר נקי (תיקון - איסור שימוש בתנורים המוסקים בדלק מוצק), התשפ"ה-2025</t>
  </si>
  <si>
    <t xml:space="preserve"> (פ/5769/25)</t>
  </si>
  <si>
    <t xml:space="preserve">הצעת חוק עידוד עזיבה מרצון של תושבי חבל עזה, התשפ"ה-2025</t>
  </si>
  <si>
    <t xml:space="preserve"> (פ/5766/25)</t>
  </si>
  <si>
    <t xml:space="preserve">הצעת חוק מדיניות שווה באכיפת החוק כלפי מפגינים, התשפ"ה-2025</t>
  </si>
  <si>
    <t xml:space="preserve"> (פ/5765/25)</t>
  </si>
  <si>
    <t xml:space="preserve">הצעת חוק העונשין (תיקון - עבירת המרדה וקריאה לסרבנות), התשפ"ה-2025</t>
  </si>
  <si>
    <t xml:space="preserve"> (פ/5764/25)</t>
  </si>
  <si>
    <t xml:space="preserve">הצעת חוק קביעת יום לציון הטבעת הספינה אלטלנה, התשפ"ה-2025</t>
  </si>
  <si>
    <t xml:space="preserve"> (פ/5763/25)</t>
  </si>
  <si>
    <t xml:space="preserve"> (פ/5762/25)</t>
  </si>
  <si>
    <t xml:space="preserve"> (פ/5761/25)</t>
  </si>
  <si>
    <t xml:space="preserve"> (פ/5758/25)</t>
  </si>
  <si>
    <t xml:space="preserve">הצעת חוק להגבלת השיווק של גז קצפות לצרכן, התשפ"ה-2025</t>
  </si>
  <si>
    <t xml:space="preserve"> (פ/5756/25)</t>
  </si>
  <si>
    <t xml:space="preserve">הצעת חוק טיפול בחולי נפש (תיקון - קביעת מועד למתן חוות דעת פסיכיאטרית), התשפ"ה-2025</t>
  </si>
  <si>
    <t xml:space="preserve"> (פ/5755/25)</t>
  </si>
  <si>
    <t xml:space="preserve">הצעת חוק שירות התעסוקה (תיקון - חיזוק הפיקוח הפרלמנטרי על שירות התעסוקה), התשפ"ה-2025 </t>
  </si>
  <si>
    <t xml:space="preserve"> (פ/5754/25)</t>
  </si>
  <si>
    <t xml:space="preserve"> (פ/5753/25)</t>
  </si>
  <si>
    <t xml:space="preserve">הצעת חוק לתיקון פקודת התעבורה (גרימת נזק למצלמה), התשפ"ה-2025</t>
  </si>
  <si>
    <t xml:space="preserve"> (פ/5752/25)</t>
  </si>
  <si>
    <t xml:space="preserve">הצעת חוק לתיקון פקודת מס הכנסה (דחיית הגשת דיווח שנתי לעסק שהוקם ברבעון האחרון של השנה), התשפ"ה-2025</t>
  </si>
  <si>
    <t xml:space="preserve"> (פ/5751/25)</t>
  </si>
  <si>
    <t xml:space="preserve">הצעת חוק שחרור על-תנאי ממאסר (תיקון - המרת עונש מאסר עולם), התשפ"ה-2025</t>
  </si>
  <si>
    <t xml:space="preserve"> (פ/5750/25)</t>
  </si>
  <si>
    <t xml:space="preserve">הצעת חוק ביטול הזכאות לנסיעה חינם בתחבורה ציבורית לחברי הכנסת ולחברי הכנסת לשעבר (תיקוני חקיקה), התשפ"ה-2025 </t>
  </si>
  <si>
    <t xml:space="preserve"> (פ/5748/25)</t>
  </si>
  <si>
    <t xml:space="preserve"> (פ/5747/25)</t>
  </si>
  <si>
    <t xml:space="preserve"> (פ/5745/25)</t>
  </si>
  <si>
    <t xml:space="preserve">הצעת חוק גירוש מסתננים תומכי המשטר במדינת אריתריאה ומסתננים שביצעו עבירות במדינת ישראל, התשפ"ה-2025</t>
  </si>
  <si>
    <t xml:space="preserve"> (פ/5327/25)</t>
  </si>
  <si>
    <t xml:space="preserve">27.04.2025</t>
  </si>
  <si>
    <t xml:space="preserve">הצעת חוק גירוש מסתננים תומכי המשטר במדינת אריתריאה ומסתננים שביצעו עבירות במדינת ישראל, התשפ"ה-2024</t>
  </si>
  <si>
    <t xml:space="preserve"> (פ/5278/25)</t>
  </si>
  <si>
    <t xml:space="preserve">הצעת חוק תובענות ייצוגיות (תיקון - פניה מוקדמת), התשפ"ד-2024</t>
  </si>
  <si>
    <t xml:space="preserve"> (פ/4270/25)</t>
  </si>
  <si>
    <t xml:space="preserve">22.04.2025</t>
  </si>
  <si>
    <t xml:space="preserve">הצעת חוק תובענות ייצוגיות (תיקון - הגשת תובענה נגד גוף אשר פעילותו מחייבת רישיון), התשפ"ג-2023</t>
  </si>
  <si>
    <t xml:space="preserve"> (פ/2910/25)</t>
  </si>
  <si>
    <t xml:space="preserve">הצעת חוק תובענות ייצוגיות (תיקון מס' 16), התשפ"ד-2024</t>
  </si>
  <si>
    <t xml:space="preserve"> (מ/1785)</t>
  </si>
  <si>
    <t xml:space="preserve">חוק הפצת שידורים באמצעות תחנות שידור ספרתיות (תיקון מס' 7 – הוראת שעה) (תיקון), התשפ"ה-2025 </t>
  </si>
  <si>
    <t xml:space="preserve"> (מ/1835)</t>
  </si>
  <si>
    <t xml:space="preserve">31.03.2025</t>
  </si>
  <si>
    <t xml:space="preserve">התיקון מאריך עד ל-15.6.2025 את תוקף הוראת השעה הפוטרת את כלל הערוצים המסחריים ותחנות הרדיו האזוריות מתשלום בעד הפצתם באמצעות מערך עידן פלוס, ומחייבת גם ערוצים זעירים וזעירים ייעודיים להיות מופצים באמצעותו. לפי התיקון, בתקופת הוראת השעה ימומן המערך בידי הערוצים הציבוריים המופצים באמצעותו (תאגיד השידור הישראלי וערוץ הכנסת), ובאופן מוגבל גם מתקציב המדינה. כמו כן, בתקופת הוראת השעה, הערוצים הזעירים והזעירים-ייעודיים פטורים מהחובה להסכים לתת, ללא תמורה, את שידוריהם באינטרנט לספקי תכנים רשומים (שהם גופים שפעילותם העיקרית היא שידור באינטרנט של תכנים לציבור בישראל, ורשומים במרשם שמנהלת המועצה לשידורי כבלים ולשידורי לווין). לשם חיסכון בעלויות ההפצה, החוק קובע כי החל מה-31.1.2025 ועד תום תקופת הוראת השעה, הפצת השידורים באמצעות המערך תיעשה באמצעות מרבב אחד בלבד, ולא יופצו באמצעותו שידורי טלוויזיה ורדיו אלא אם כן קיימת קיבולת פנויה להפצתם, וכן לא יופצו שידורים בטכנולוגיית חדות גבוהה אלא אם כן קיימת קיבולת פנויה להפצתם בטכנולוגיה זו במסגרת אותו מרבב. בנוסף, וכדי לאפשר לממשלה לגבש הסדר חדש לעניין מערך עידן פלוס, התיקון מסמיך את שר התקשורת להאריך בצו, באישור ועדת הכלכלה של הכנסת, את הוראת השעה בתקופות נוספות שלא יעלו במצטבר על 4.5 חודשים נוספים, ובלבד שהתקיימו שני תנאים: האחד, ששר התקשורת הגיש לוועדת הכלכלה, עד ל-29.5.2025, חוות דעת כלכלית בעניין חובת הפצה במערך עידן פלוס ובעניין חובת העברת שידוריהם של ערוצים מסחריים על ידי ספקי תכנים רשומים; השני, שעד 15.6.2025 אושרה בקריאה הראשונה הצעת חוק ממשלתית העוסקת בהפצת שידורים במערך עידן פלוס, וכן בהפצת שידורי טלוויזיה באמצעות האינטרנט.  מאחר שהוראת השעה פקעה ב-31.1.2025, החוק קובע כי תחילתו של התיקון ב-1.2.2025. </t>
  </si>
  <si>
    <t xml:space="preserve">חוק הכשרות המשפטית והאפוטרופסות (תיקון מס' 22 והוראת שעה), התשפ"ה–2025</t>
  </si>
  <si>
    <t xml:space="preserve"> (פ/3443/25)</t>
  </si>
  <si>
    <t xml:space="preserve"> (כ/1098)</t>
  </si>
  <si>
    <t xml:space="preserve">סעיף 27א לחוק הכשרות המשפטית והאפוטרופסות, התשכ"ב–1962 (להלן – החוק), קבע קודם לחקיקת החוק כי אפוטרופסותו של הורה תישלל באופן אוטומטי אם הורשע בעבירות רצח או ניסיון לרצח כלפי ההורה האחר של הקטין או כלפי אחד מילדיו שלו, או אם הורשע בעבירת אינוס באחד מילדיו. תיקון מס' 22 מרחיב את העבירות שעליהן יחול ההסדר כך שיחול גם על עבירה של חבלה בכוונה מחמירה לפי סעיף 329 לחוק העונשין, התשל"ז–1977, שבוצעה על ידי הורה כלפי ההורה האחר של הקטין או כלפי אחד מילדיו שלו. כך שגם בעבירה זו תישלל האפוטרופסות של ההורה באופן אוטומטי. יחד עם זאת, נקבע כי בעבירה זו האפוטרופסות תישלל באופן אוטומטי כאמור רק לאחר הרשעה, ולא תהיה שלילה אוטומטית זמנית בעת הגשת כתב אישום, כפי שקיים לעניין העבירות המנויות כבר בהסדר הקיים.  בנוסף, נקבע תיקון מבהיר בחוק –  מאז חקיקתו של סעיף 27א האמור, אירעו מקרים שבהם הורה שאפוטרופסותו נשללה ניסה לטעון לזכויות הוריות שונות, ובהן הזכות להשיב בהליכים שונים בעניין הקטין והזכות לקשר בינו ובין הקטין. משכך, ובמטרה למנוע התדיינויות מיותרות בעניין זה, נקבע במפורש שהורה שאפוטרופסותו נשללה לא יהיה משיב בבקשה בעניינו של ילדו הקטין וכי במקרה שהוא מגיש בקשה, היא תוגש בצירוף ראיות לכאורה המעידות על כך שבירור הבקשה נדרש לטובת הקטין ושחל שינוי נסיבות המצדיק את בירור הבקשה. הבקשה תידון אחרי שבית המשפט מצא שהוגשו ראיות אלה והוא רשאי למחוק את הבקשה על הסף גם ללא תגובת המשיב.  </t>
  </si>
  <si>
    <t xml:space="preserve">חוק הכללת אמצעי זיהוי ביומטריים ונתוני זיהוי ביומטריים במסמכי זיהוי ובמאגר מידע (תיקון מס' 7 - הוראת שעה), התשפ"ה-2025 </t>
  </si>
  <si>
    <t xml:space="preserve"> (מ/1844)</t>
  </si>
  <si>
    <t xml:space="preserve">החוק קובע כי ניתן להגיש בקשות מקוונות להנפקת תעודות זהות בלבד, בלא צורך בהתייצבות בלשכות רשות האוכלוסין, למי שטביעות אצבעותיו נאגרו במאגר הביומטרי הלאומי, בכפוף לתנאים המפורטים בחוק זה. נקבע כי השירות יינתן רק למי שמגיש את הבקשה כשהוא בגבולות מדינת ישראל. כמו כן, נקבע כי תעודות הזהות שיונפקו באמצעות הגשת בקשות מקוונות יהיו בתוקף ל-5 שנים בלבד. ההסדר עוגן בהוראת שעה שתקפה למשך שנה, עם אפשרות להאריכה לתקופה של עד שנה נוספת. </t>
  </si>
  <si>
    <t xml:space="preserve">חוק התכנון והבנייה (תיקון מס' 160 והוראות שעה), התשפ"ה-2025</t>
  </si>
  <si>
    <t xml:space="preserve">החוק קובע שורת תיקונים בחוק התכנון והבנייה. ראשית, הארכת הפטור מהיטל השבחה למיתקנים פוטו וולטאים שמיועדים לשימוש עצמי בחמש שנים, כמו כן קובע החוק פטור מהיטל השבחה לאותה תקופת זמן  למיתקנים לאגירת אנרגיה שהם חלק מהמתקן הפוטו וולטאי וכן פטור מלא או חלקי מהיטל השבחה, לפי שיקול דעתה של הרשות המקומית למתקן אגירת אנרגיה גדול או שאינו חלק ממתקן פוטו וולטאי. בנוסף,  החוק מאריך את הפטור למתקנים פוטו וולטאים שאינם לשימוש עצמי עד לסוף שנת 2028. שנית, הוספת שימוש אפשרי לכספי היטל השבחה לטובת תחזוקה ארוכת טווח של נכסים ציבוריים שבבעלות רשות מקומית בתנאים הקבועים בחוק. שלישית, מתן סמכות לוועדות מקומיות לתכנון ובנייה לתת הקלה מתוכנית לגבי בניין קיים שבנייתו הושלמה שמונה שנים או יותר ממועד הבקשה להקלה, להגדיל בתכנית שטח כולל מותר לבנייה במגרש שאין בו מבנים הטעונים חיזוק, או במגרש שמיועד למגורים- אם חלפו חמש שנים מיום שאושרה תכנית שחלה על המגרש.  לאשר בתכנית כל דבר שיכלה ועדה מקומית לאשר כהקלה, לרבות לפי משטר ההקלות הקודם. רביעית, הרחבת הסמכות המקבילה של רשות הרישוי של הוועדה לתשתיות לאומיות לדון בסוגים נוספים של בקשות להיתרים לתשתיות לאומיות (מיזמי תשתית חיוניים, תשתית לאומית ע"פ תמ"א ללא תשריט, ושמונה היתרים לקווי תשתית תת קרקעיים למים) והרחבת הסמכות השיניונית במקרים בהם רשות הרישוי המקומית החלה טיפול בבקשה להיתר, אך לא סיימה אותו בחלוף התקופה שנקבעה בחוק. כן, קיצור הזמנים בהעברת בקשה להיתר מרשות רישוי מקומית לרשות רישוי ארצית במקרים בהם קיימת אפשרות להעביר את הבקשה, והחלפת רשות הרישוי המחוזית הפועלת בשטחים גליליים כך שההיתרים בשטחים אלה יינתנו על ידי רשות רישוי ארצית.</t>
  </si>
  <si>
    <t xml:space="preserve">חוק העונשין (תיקון מס' 152), התשפ"ה–2025</t>
  </si>
  <si>
    <t xml:space="preserve"> (פ/4928/25)</t>
  </si>
  <si>
    <t xml:space="preserve"> (כ/1092)</t>
  </si>
  <si>
    <t xml:space="preserve">התיקון כולל שורת תיקונים לעבירות המין בחוק העונשין, בראשם הקביעה כי עבירת האינוס בסעיף 345 לחוק העונשין ועבירת מעשה הסדום בסעיף 347 לחוק העונשין יאוחדו לעבירה אחת של "אינוס". על כן נקבע שכל החדרת איבר או חפץ לאיברים אינטימיים של אישה או גבר, וכן החדרת איבר מין לפיהם של אישה או גבר, תיקרא "אינוס". בנוסף, המונחים "בעילה" ו"מעשה סדום" המשמשים כיום, הוחלפו במונח "חדירה". כמו כן נעשו תיקונים נוספים: תוקן סעיף 346 לחוק העונשין, שעניינו עבירה של "בעילה אסורה בהסכמה", האוסר קיום יחסי מין עם קטינה שגילה 14 עד 16, במידה והבועל אינו נשוי לה, או קיום יחסי מין תוך ניצול יחסי מרות בין הפוגע לנפגע. שם העבירה שונה ל"חדירה אסורה" וחל על קטינה או קטין כאחד, ללא תלות בקשר נישואין. עוד נקבע מפורשות כי מי שהורשע בעבירה לפי סעיף 347 (מעשה סדום) לחוק העונשין כנוסחו ערב ביטולו בחוק זה, יראו אותו כמי שהורשע בעבירה לפי סעיף 345 (אינוס) או 346 (בעילה אסורה) לחוק העונשין, לפי העניין.</t>
  </si>
  <si>
    <t xml:space="preserve">חוק למניעת הפליה ברישוי מחמת מצב בריאותי (תיקוני חקיקה), התשפ"ה–2025</t>
  </si>
  <si>
    <t xml:space="preserve"> (פ/487/25)</t>
  </si>
  <si>
    <t xml:space="preserve"> (כ/1095)</t>
  </si>
  <si>
    <t xml:space="preserve">בפקודת הרופאים, בחוק הפסיכולוגים, בפקודת רופאי השיניים, בפקודת הרוקחים בחוק העובדים הסוציאליים, ובחוק הסדרת העיסוק במקצועות הבריאות, נכללה מחלת נפש בהגדרה "מחלה מסכנת", כאשר בחלק מחיקוקים אלה היא אף נכללה בהגדרה האמורה ללא תלות בשאלת השפעתה על היכולת לעסוק במקצוע או על סכנה אפשרית לבריאות האנשים שבטיפולו של בעל המקצוע. חוק זה מתקן את החיקוקים האמורים ומתאים אותם לרוח חוק שוויון זכויות לאנשים עם מוגבלות ולהוראותיו, בכך שהוא מוחק את ההגדרה "מחלה מסכנת" ואת האזכורים שלה, ומתקן בהתאמה את ההוראות הנוגעות לסמכויות הנתונות לגורמי הרישוי לעניין בדיקת כשירותם הרפואית של מבקשי רישיון ובעלי מקצוע. כך, שבין היתר, אם לגורם הרישוי יש חשש סביר כי למבקש רישיון לעסוק במקצועות המוסדרים בחיקוקים אלה, יש כושר לקוי, לרבות עקב מחלה, העלול לשלול ממנו בנסיבות העניין את היכולת לעסוק במקצוע לחלוטין, זמנית או חלקית, או שיש בו כדי לפגוע בנסיבות העניין בבריאות אנשים שבטיפולו, הוא רשאי לדרוש מהמבקש להתייצב לפני ועדה רפואית לשם בדיקה. בדומה לכך, גורם הרישוי רשאי לדרוש מבעל מקצוע להתייצב לפני ועדה רפואית לשם בדיקה אם ראה שיש לו כושר לקוי כאמור.  כמו כן, החוק מתקן את הרכב הוועדות הרפואיות הבודקות את כשירותם הרפואית של מבקשי רישיון או של בעלי מקצוע, במקרים שבהם הם נדרשים כאמור להתייצב לפני ועדה כזו לשם בדיקה, ומוחק את ההוראה המתייחסת להרכב מיוחד במקרה של בדיקת כושר נפשי. כמו כן, החוק מתקן את הרכב הוועדות הרפואיות כך שהוא כולל שני רופאים מומחים ונציג שהוא בעל אותו מקצוע שלגביו דנים. לבסוף, החוק מתקן את חוק אומנה לילדים, שבו נקבע כי אחד התנאים לקבלת רישיון אומנה הוא שאין למבקש או לכל אדם המתגורר עימו לקות נפשית, מגבלה או מחלה שיש בהן כדי לפגוע ביכולתו לשמש אומן או לפגוע בילד בצורה כלשהי, ומוחק את ההתייחסות המפורשת ללקות נפשית, כך שתנאי זה מתייחס לכל לקות שיש בה כדי לפגוע כאמור. יובהר כי אין בחוק זה כדי לגרוע מהסמכות הנתונה לפי חיקוקים אלה לגורמי הרישוי לבחון את כשירותם הרפואית של מבקשי רישיון ובעלי מקצוע.  </t>
  </si>
  <si>
    <t xml:space="preserve">חוק הרשות הלאומית למאבק בעוני, התשפ"ה-2025</t>
  </si>
  <si>
    <t xml:space="preserve"> (פ/428/25)</t>
  </si>
  <si>
    <t xml:space="preserve"> (כ/1025)</t>
  </si>
  <si>
    <t xml:space="preserve">חוק זה קובע את הקמתה של הרשות הלאומית למאבק בעוני, שתפעל לצמצום העוני, למניעת העמקתו ולחילוץ אנשים מעוני. הרשות תוקם במשרד הרווחה והביטחון החברתי, והיא תהיה עצמאית בהפעלת סמכויותיה. כמו כן, נקבע כי משרדי ממשלה, רשויות מקומיות ותאגידים סטטוטוריים יתייעצו עם הרשות בעניינים שנוגעים למאבק בעוני ומניעתו.  חוק זה קובע את תפקידי הרשות, ובהן: גיבוש תוכנית לאומית רב שנתית ותוכניות שנתיות למאבק בעוני ולמניעת עוני, פיקוח על הגורמים החייבים בביצוע התוכניות, ייעוץ לממשלה בגיבוש מדיניות בתחומי פעילות הרשות, תיאום בין משרדי הממשלה ובינם לבין רשויות מקומיות בתחום המאבק בעוני. עוד נקבע כי במידת הצורך הרשות תעזור לממשלה ולרשויות מקומיות במתן סיוע לחלוקת מזון לאוכלוסיות הזקוקות לכך, וכן למניעת עוני אצל אוכלוסיות שנמצאות בסיכון לעוני. תפקיד נוסף של הרשות הוא להציע חקיקה בתחומי פעולתה, וכן להגיש חוות דעת על הצעות חוק והצעות לחקיקת משנה שנוגעות לתחומי פעולתה, אשר במסגרתן היא תציג השפעות אפשריות שיש לחקיקה המוצעת על המאבק בעוני. חוק זה קובע כי שר הרווחה והביטחון החברתי ימנה לרשות מועצה בת 29 חברים שיהיו בה נציגי הממשלה ונציגי ציבור בעלי ידע וניסיון בתחומי הפעולה של הרשות, ובהם לפחות נציג אחד עם ניסיון חיים בעוני. המועצה תתווה את מדיניות הרשות, תנחה את מנהל הרשות במילוי תפקידו, תאשר את התוכנית הלאומית הרב שנתית ואת התוכניות השנתיות, וכן תדון בהצעת התקציב של הרשות ובדין וחשבון על פעולותיה שתגיש הרשות.  במסגרת הרשות יוקם גם מרכז לאומי למידע ומחקר שיאסוף מידע, יעבד נתונים ויערוך השוואות בינלאומיות בתחום העוני ובתחומי פעולתה של הרשות.  מחקריו של המרכז יבוצעו בתיאום עם המוסד לביטוח לאומי. תקציב הרשות יוגש לאישור מנכ"ל משרד הרווחה בכל שנה והוא ייקבע במסגרת חוק התקציב השנתי, במסגרת תקציב משרד הרווחה והביטחון החברתי.  </t>
  </si>
  <si>
    <t xml:space="preserve">חוק הביטוח הלאומי (תיקון מס' 257), התשפ"ה–2025</t>
  </si>
  <si>
    <t xml:space="preserve"> (פ/916/25)</t>
  </si>
  <si>
    <t xml:space="preserve"> (כ/1096)</t>
  </si>
  <si>
    <t xml:space="preserve">חוק זה מרחיב באופן משמעותי את ההוראות הקיימות היום בחוק הביטוח הלאומי לעניין שלילת גמלאות ממי שהורשע בביצוע עבירות טרור: נקבע כי לא ישולמו ולא יינתנו גמלאות לפי חוק הביטוח הלאומי למי שנדון למאסר בשל עבירת רצח או ניסיון לרצח בנסיבות טרור המוגדרת בחוק זה, או למי שנגזרו עליו עשר שנות מאסר לפחות לאחר שהורשע בעבירת ביטחון, כלומר עבירת טרור חמורה, עבירת בגידה או ריגול חמור או עבירת טרור ביטחונית שבה הורשע בבית משפט צבאי. שלילת הגמלאות תחול גם לעניין תוספות המשולמות בעד תלויים באותו אדם. נוסף על כך, לא יינתנו בשל מותו של אותו אדם זכויות בעת פטירתו לדמי קבורה, מענק במקרה פטירה או זכויות לפי הסכם מכוח סעיף 9, כגון לעניין הובלת נפטרים, ואם נדון למאסר בשל עבירת רצח או ניסיון רצח בנסיבות טרור - לא תשולם במותו גם גמלת שאירים או גמלת תלויים בנפגע עבודה לבני משפחתו.  כמו כן, נקבע כי לא ישולמו לו גמלאות בעד ילדיו, אולם אם בעד ילדו יש זכאות לקצבת ילדים או לקצבת ילד נכה ואין זכאי אחר לקצבה כאמור, ימנה המוסד לביטוח לאומי אדם אחד שיקבל את הגמלה עבור הילד.  עוד נקבע כי תישלל גמלת הבטחת הכנסה ממי שנדון למאסר בשל עבירת רצח או ניסיון רצח בנסיבות טרור, והוא לא ייחשב כבן זוג לעניין חישוב סכום גמלת הבטחת הכנסה של בן זוגו, למעט לעניין חישוב ההכנסות, אך בן זוגו לא ייחשב כהורה עצמאי לעניין זה.  הוראות כאמור לעניין  שלילת גמלת הבטחת הכנסה והגבלת המעמד לעניין חישוב הגמלה לבן הזוג של המורשע יחולו גם לגבי מי שנגזרו עליו עשר שנות מאסר לפחות בשל עבירת ביטחון, ושוחרר לפני תום המאסר שהיה אמור לרצות בנסיבות של שחרור שבויים ישראליים או משא ומתן מדיני, לגבי פרק הזמן שעד תום תקופת המאסר שנגזרה עליו, ונקבע כי גמלת הבטחת ההכנסה המגיעה לבני הזוג לא תשולם למורשע בכל מקרה, גם לאחר שחרורו.  תחילתו של חוק זה ב1.5.2025, והוא יחול גם על מי שנידון למאסר או הורשע לפני יום התחילה, אך גמלאות יישללו רק בעד התקופה שמיום התחילה ואילך. כדי לאפשר למוסד לביטוח לאומי לבצע את הוראות חוק זה, נקבעו כמה מנגנוני עזר שיאפשרו את קבלת המידע על מי שהורשע או נדון למאסר בעבירות כאמור, ובין השאר נקבע כי ועדת השחרורים המיוחדת הפועלת מכוח חוק המאבק בטרור תקבע האם עבירות רצח וניסיון רצח שנעברו לפני תחילתו של חוק המאבק בטרור הן מעשה טרור לעניין חוק זה וכן נקבע כי אם מי שנשללה ממנו גמלה או עוכבה לפי חוק זה הוא אזרח או תושב ישראל שעמד לדין בבית משפט צבאי בשל עבירה שנכללת בהגדרה "עבירת טרור ביטחונית", הוא יוכל לטעון בפני המוסד לביטוח לאומי כי הנסיבות לא היו ביטחוניות.  </t>
  </si>
  <si>
    <t xml:space="preserve">חוק המים (תיקון מס' 31), התשפ"ה–2025</t>
  </si>
  <si>
    <t xml:space="preserve"> (פ/4472/25)</t>
  </si>
  <si>
    <t xml:space="preserve"> (כ/1081)</t>
  </si>
  <si>
    <t xml:space="preserve">התיקון לחוק קובע הסדר חדש לעניין תעריפי מים המסופקים לחקלאות. לפי התיקון, תעריפים לקולחים המסופקים לחקלאות, הנקבעים על ידי מועצת הרשות הממשלתית למים ולביוב (להלן – מועצת רשות המים), ייקבעו ללא התחשבות בעלות טיהור המים עד לרמת איכות המאפשרת שימוש להשקיה לחקלאות, וכן ללא התחשבות בעלות הטיפול בשפכים אם היה נדרש לפנותם לנחל או לים. בנוסף, התיקון מסמיך את מועצת רשות המים לקבוע בכללים תעריפים למים שפירים המסופקים לחקלאות, לפי העלות הממוצעת של הפקה, ייצור והולכה של מים שפירים לחקלאות (להלן – העלות הממוצעת). עוד נקבע כי באזורים שבהם אין חלופה מלאה לשימוש במים שפירים, כלומר שלא ניתן להשתמש בהם במים נחותים (קולחים או מים מליחים) באופן חלקי או מלא, תקבע מועצת רשות המים את התעריפים למים שפירים כאמור כשיעור מהעלות הממוצעת, בהתאם ליחס בין המים הנחותים הזמינים לשימוש לחקלאות לבין כלל צריכת המים לחקלאות באותו אזור. בתום 3 שנים מתחילת התיקון, מועצת רשות המים, תהיה רשאית, באישור ועדת הכלכלה של הכנסת, לקבוע שבאזורים שאין בהם חלופה מלאה לשימוש במים שפירים, התעריפים ייקבעו שלא לפי היחס כאמור. כמו כן, לשם יישום הסכמות בין הממשלה לארגוני החקלאים, נקבע שבמהלך תקופה שלא תעלה על 5 שנים מתחילתו של התיקון, תדרג מועצת רשות המים את התעריפים לדמי המים המסופקים לחקלאות בשיעורים כפי שתקבע, כך שבתום התקופה האמורה ייקבעו התעריפים למים המסופקים לחקלאות (קולחים ושפירים) בהתאם לעקרונות שעוגנו בתיקון. כמו כן, נקבע שבתקופה של 10 שנים מיום תחילת התיקון, תפעל הרשות הממשלתית למים ולביוב ליישום תוכנית אב למשק הקולחים שתאשר מועצת רשות המים, שבמסגרתה בעלי רישיונות להספקת מים יבצעו את עבודות התשתית הנדרשות להולכה והספקה של קולחים לחקלאות. תוכנית האב תמומן בהשתתפות אוצר המדינה. עלות תוכנית האב לא תושת על צרכני מים שאינם צרכנים למטרות חקלאות, למעט עלויות להקמת תשתית הולכה ואיגום של קולחים בין אזורים שונים. נוסף על כך, התיקון כולל שינויים בנושאים אחרים שאינם קשורים בהכרח לתעריפי מים לחקלאות:  ראשית, התיקון לחוק משנה את מועדי עדכון של כלל תעריפי המים הנקבעים מכוח החוק (לא רק את תעריפי המים המסופקים לחקלאות). לפי התיקון, תעריפי המים, המתעדכנים לפי שיעור השינוי בסל מדדים המפורט בחוק, יתעדכנו אחת לשנה ולא אחת לחצי שנה כפי שקבע החוק טרם התיקון. ואולם, אם בתום חצי שנה ממועד העדכון האחרון של תעריפי המים, שיעור השינוי בסל המדדים יגיע ל-3.5% או יותר, יעודכנו התעריפים לפי השינוי האמור, אלא אם כן מועצת רשות המים קבעה אחרת בכללים. שנית, נקבע כי בית משפט לעניינים מנהליים יהיה רשאי יהיה לדון בעתירות נגד החלטות מנהל רשות המים במחלוקות בין בעלי רישיונות לפי החוק ובין חברת "מקורות" (שהיא רשות המים הארצית), באשר לתעריפי המים, לחיובים ולמדידות לפי החוק.  שלישית, נקבע כי בית המשפט שדן בהליך שמתנהל בין בעל רישיון ובין חברת "מקורות" בעניין חיוב לפי החוק, יהיה רשאי לקבוע שלא תומצא לבעל הרישיון דרישה לגביית החוב שבמחלוקת לפי פקודת המסים (גבייה), וכן להתנות אי נקיטה של פעולות גבייה לפי הפקודה האמורה בהפקדת ערובה על ידי בעל הרישיון. רביעית, התיקון קובע שאם הפסיק לכהן נציג ציבור במועצת רשות המים, הממשלה תפעל למינוי נציג ציבור אחר במקומו בהקדם האפשרי. כמו כן, נקבע שקיום מועצת רשות המים, סמכויותיה, תוקף החלטותיה ופעולותיה לא ייפגעו בשל הפסקת כהונת נציג הציבור כאמור, ובלבד שמכהנים בה רוב חבריה. </t>
  </si>
  <si>
    <t xml:space="preserve">חוק הגנת הצרכן (תיקון מס' 72), התשפ"ה–2025</t>
  </si>
  <si>
    <t xml:space="preserve"> (פ/4123/25)</t>
  </si>
  <si>
    <t xml:space="preserve"> (כ/1097)</t>
  </si>
  <si>
    <t xml:space="preserve">התיקון קובע כי עוסק המקבל תשלום באמצעות כרטיס חיוב, ובכלל זה כרטיס אשראי, לא יתנה תשלום כאמור בסכום רכישה מינימלי. עוד קובע התיקון כי שר הכלכלה והתעשייה, בהסכמת שר המשפטים ושר האוצר ובאישור ועדת הכלכלה של הכנסת, רשאי להחיל את האיסור על אמצעי תשלום נוספים. בשל הפרת הוראה זו, התיקון מסמיך את הממונה על הגנת הצרכן והסחר ההוגן להטיל על עוסק שהוא תאגיד עיצום כספי בסכום העומד היום על 22,530 שקלים חדשים, ואם העוסק הוא יחיד - בסכום העומד היום על 7,170 שקלים חדשים.</t>
  </si>
  <si>
    <t xml:space="preserve">חוק להסדרת אירוע הילולת רבי שמעון בר יוחאי בהר מירון (הוראת שעה), התשפ"ה-2025 </t>
  </si>
  <si>
    <t xml:space="preserve"> (מ/1836)</t>
  </si>
  <si>
    <t xml:space="preserve">במסגרת החוק נקבעו הסדרים להיערכות ולקיום אירוע ההילולת רבי שמעון בר יוחאי בהר מירון שיתקיים בל"ג בעומר, כהוראת שעה עד ליום ה' בסיוון התשפ"ה (1 ביוני 2025). במסגרת זאת, נקבע כי יתקיים אירוע הדלקה אחד בלבד, שיכלול שני מתקני הדלקה, לצד אפשרות לקיום אירועים נוספים ובלבד שניתן לכך היתר על ידי השר לירושלים ומסורת ישראל לאחר שנוכח לדעת לפי חוות דעת מאת הממונה על ההילולה שהתקיימו מספר תנאים שניתנו מטעם גורמים שונים, לרבות משטרת ישראל והרשות הארצית לכבאות והצלה.  בנוסף נקבע כי השר יקבע בצו הגבלה על כניסה ושהייה במתחם מירון כולו – כך ששהייה במתחם תחייב החזקה של היתר שהייה שיינתן על ידו ויכלול את המתחם אליו הוא רשאי להיכנס ואת משך תוקפו. כמו כן, כניסה למתחם מירון תתאפשר, בין היתר, גם למי שמשכנו במירון, הנדרש להגיע למתחם לשם עבודתו או מילוי תפקידו ולשם סיוע לאדם עם קושי ובכלל זה אדם עם מוגבלות וקטין. מעבר לכך, נקבע כי הממונה על ההילולה או מי מטעמו יהיה אחראי לספירת השוהים במתחם בכל רגע נתון בזמן ההילולה, ולספירת המשתתפים באירוע ההדלקה המרכזי ובאירוע נוסף. הגעה אל מתחם מירון במהלך ההילולה תיעשה אך באמצעות תחבורה ציבורית וכרטיסי נסיעה שהונפקו לטובת זאת, למעט בחריגים המנויים בחוק.  לצד זאת, לשם אכיפת הוראות חוק זה, ניתנו לשוטר מספר סמכויות, לרבות מניעת כניסה של אדם או רכב לאחד מהמתחמים והוצאתם אף תוך שימוש בכוח סביר, להורות על הפסקת אירוע הדלקה במקרה בו מספר השוהים עולה על המספר שנקבע. כמו כן, נקבע קנס על מי ששוהה במתחם בניגוד להגבלות הכניסה אליו ובפרט ללא היתר כניסה ושהייה ועל מי שעורך אירוע הדלקה או אירוע נוסף ללא אישור. כמו כן, ראש שירות ההתגוננות האזרחית יהיה רשאי לקבוע הוראות, בשעת התקפה או בעת מצב מיוחד בעורף, בנוגע לסגירת שטחים במתחם מירון וכן מגבלות לעניין מספר השוהים במתחם. </t>
  </si>
  <si>
    <t xml:space="preserve">חוק התקשורת (בזק ושידורים) (תיקון מס' 81), התשפ"ה–2025</t>
  </si>
  <si>
    <t xml:space="preserve"> (פ/4190/25)</t>
  </si>
  <si>
    <t xml:space="preserve"> (כ/1064)</t>
  </si>
  <si>
    <t xml:space="preserve">התיקון קובע כי ספק שירות טלפוניה רשאי להעביר למוקד חירום לעזרה ראשונה נפשית או למוקד לסיוע לנפגעות ונפגעי תקיפה מינית, לבקשת המוקד האמור, את שלוש הספרות האחרונות של מספרי הטלפון החסויים שמהם מבוצעות שיחות לאותו מוקד. מוקדי החירום שיהיו רשאים לקבל את המידע האמור הם מוקדי החירום שנקבעו בתקנות שהתקין שר התקשורת, בהסכמת שר הרווחה והביטחון החברתי. עוד נקבע כי המידע שנמסר כאמור יאובטח לפי חוק הגנת הפרטיות, התשמ"א-1981, וישמש את מוקד החירום רק לצורך פנייה למשטרת ישראל במקרה של חשש לשלום הפונה למוקד. לאחר תום הצורך במידע האמור, ולא יאוחר מ-24 שעות לאחר קבלת המידע, המידע יימחק על ידי מי שקיבל אותו. בנוסף, התיקון קובע כי רשימת מוקדי החירום כאמור, וכל שינוי בה, יפורסמו באתר האינטרנט של משרד התקשורת.</t>
  </si>
  <si>
    <t xml:space="preserve">חוק גיל פרישה (הורה שילדו נפטר) (הוראת שעה) (תיקון מס' 3), התשפ"ה–2025</t>
  </si>
  <si>
    <t xml:space="preserve"> (פ/3708/25)</t>
  </si>
  <si>
    <t xml:space="preserve"> (כ/1094)</t>
  </si>
  <si>
    <t xml:space="preserve">התיקון לחוק קובע כי החוק יהפוך מהוראת שעה להוראה קבועה. בנוסף, נקבע כי התקופה שעל עובד להיות מועסק במקום עבודתו בתכוף לגיל חובת הפרישה כתנאי לזכאותו תקוצר, והיא תעמוד על חמש שנים לפני גיל פרישת החובה, במקום שבע שנים. כמו כן, נקבע, כי רשימת החריגים שהחוק לא חל בעניינם תכלול גם את מאבטחי הרשות להגנה על עדים. עוד נקבע, כי השר לשוויון חברתי וקידום מעמד האישה יפעל להביא לידיעתם של הורים שילדם נפטר את זכויותיהם לפי חוק זה, וכי אם במסגרת סמכותו להתקין תקנות לביצוע החוק, יותקנו תקנות העוסקות ביחסי עבודה, הן יהיו טעונות גם את הסכמתו של שר העבודה. </t>
  </si>
  <si>
    <t xml:space="preserve">חוק הספורט (תיקון מס' 18 והוראת שעה), התשפ"ה–2025</t>
  </si>
  <si>
    <t xml:space="preserve"> (פ/3957/25)</t>
  </si>
  <si>
    <t xml:space="preserve"> (כ/1085)</t>
  </si>
  <si>
    <t xml:space="preserve">החוק קובע כי על מדי התחרות של ספורטאי הישגי המייצג את מדינת ישראל בתחרות בין לאומית רשמית יופיע דגל המדינה. ואולם, שר התרבות והספורט רשאי לקבוע שחובה זו לא תחול על ענפי ספורט מסויימים, וכן הוא רשאי לקבוע נוהל לפיו הוראות החוק לא יחולו במקרים מסוימים, בשל נסיבות מיוחדות, לדוגמה נסיבות ביטחוניות.</t>
  </si>
  <si>
    <t xml:space="preserve">חוק הרשויות המקומיות (מימון בחירות) (תיקון מס' 19), התשפ"ה–2025</t>
  </si>
  <si>
    <t xml:space="preserve"> (פ/2671/25)</t>
  </si>
  <si>
    <t xml:space="preserve"> (כ/1069)</t>
  </si>
  <si>
    <t xml:space="preserve">החוק מבטל את האפשרות של מועמד לראשות מועצה אזורית לקבל תרומה מישוב שיתופי הנמצא בתחום המועצה האזורית שבה הוא מועמד. תחילתו של החוק שישה חודשים ממועד פרסומו. </t>
  </si>
  <si>
    <t xml:space="preserve">חוק להנצחת זכרו של מנחם בגין (תיקון מס' 4), התשפ"ה–2025</t>
  </si>
  <si>
    <t xml:space="preserve"> (פ/4649/25)</t>
  </si>
  <si>
    <t xml:space="preserve"> (כ/1089)</t>
  </si>
  <si>
    <t xml:space="preserve">בחוק להנצחת זכרו של מנחם בגין, התשנ"ח–1998, יתווספו הוראות כך שבכל שנה, ב-ד' באדר, יום פטירתו של מנחם בגין, יקויים יום ציון לזכרו. במהלך היום יתקיימו ארועי זכרון והנצחה. במחנות צה"ל יוקדש זמן להנצחת זכרו וללימוד פועלו בהתאם להחלטת הרמטכ"ל, ובבתי הספר יוקדש זמן לכך ככל ששר החינוך יחליט על כך.  </t>
  </si>
  <si>
    <t xml:space="preserve">חוק הצבת מכשירי החייאה במקומות ציבוריים (תיקון מס' 3), התשפ"ה–2025</t>
  </si>
  <si>
    <t xml:space="preserve"> (פ/4893/25)</t>
  </si>
  <si>
    <t xml:space="preserve"> (כ/1087)</t>
  </si>
  <si>
    <t xml:space="preserve">חוק זה קובע כי החובה להציב מכשיר החייאה במקום ציבורי ולדאוג לתקינותו תחול גם לגבי רכבת ארצית המשמשת להסעת נוסעים, וכן לגבי תחנת רכבת מקומית הנמצאת בתוך מבנה סגור. </t>
  </si>
  <si>
    <t xml:space="preserve">חוק שיקום נרחב לחבל התקומה כאזור מיקוד לאומי וסיוע ליישובים הסמוכים אליו, התשפ"ה–2025 </t>
  </si>
  <si>
    <t xml:space="preserve"> (מ/1828)</t>
  </si>
  <si>
    <t xml:space="preserve">החוק קובע את חבל התקומה כאזור מיקוד לאומי שהממשלה תפעל לשיקומו הנרחב. לפי החוק, "חבל התקומה" כולל את שדרות ואת היישובים במועצות האזוריות אשכול, חוף אשקלון, שדות נגב ושער הנגב, שנמצאים בטווח של עד 7 ק"מ מרצועת עזה, בהתאם לרשימת היישובים שבתוספת הראשונה. השיקום הנרחב כולל פעולות בכלל תחומי החיים שיינקטו לטובת יישובי החבל ותושביו, ובכלל זה מתן הטבות, הקצאת משאבים והשקעה בפיתוח. זאת, במטרה להביא לחזרה מלאה, מהירה ומיטבית לשגרה בחבל התקומה, לקידום הצמיחה בו, עידוד גידול דמוגרפי בתחומו וחיזוק החוסן של תושביו. תוקף ההוראות הנוגעות לחבל התקומה כאזור מיקוד לאומי הוא לשבע שנים מיום תחילת החוק. בנוסף, החוק מעגן את תפקידיה וסמכויותיה של מינהלת תקומה, שהיא יחידת סמך ממשלתית שהוקמה לפי החלטת הממשלה ופועלת באופן ייעודי לטובת חבל התקומה החל מחודש אוקטובר 2023. בין השאר, המינהלת תפעל לגיבוש מדיניות לשיקום הנרחב של חבל התקומה בשיתוף משרדי הממשלה ויישומה באמצעותה, או באמצעות משרדי הממשלה הנוגעים לעניין בהתאם לסמכויותיהם ובכפוף להסכמתם. החוק קובע כי תקציב מינהלת תקומה ייקבע בתחום פעולה נפרד וכי ראש המינהלת יהיה הממונה על ביצוע התקציב. תקופת פעילותה של מינהלת תקומה תהיה למשך 5 שנים, אך השר שנקבע בחוק כממונה על ביצועו יהיה רשאי, באישור הממשלה ובאישור ועדת הכלכלה של הכנסת, להאריך בצו את פעילות המינהלת בתקופות נוספות שלא יעלו על שש שנים בסך הכול, אם נוכח כי הדבר נדרש לשם יישום מטרות החוק.  נוסף על שיקומו הנרחב של חבל התקומה, החוק כולל פרק נפרד שעניינו סיוע ליישובים הסמוכים לחבל התקומה, שנפגעו במתקפת ה-7 באוקטובר. לפי החוק, הממשלה תקבע בהחלטתה, בתוך 14 ימים מיום פרסום החוק ברשומות (להלן – יום התחילה), את רשימת היישובים או האזורים שיהיו זכאים לסיוע ואת אמות המידה להכללתם ברשימה זו. בהתאם להחלטת הממשלה, יקבע ראש הממשלה או השר שיוסמך כממונה על הפרק האמור, בצו, את רשימת היישובים במסגרת התוספת השנייה לחוק. כמו כן, הממשלה תקבע, בתוך 3 חודשים מיום התחילה, את פעולות הסיוע שיבצעו משרדי הממשלה לטובת היישובים או האזורים כאמור, בהתאם לצורכיהם, למאפייניהם הייחודיים ולרמת הפגיעה בהם בשל מתקפת ה-7 באוקטובר.  </t>
  </si>
  <si>
    <t xml:space="preserve">חוק תוספות לתגמולים ולהטבות לבני משפחה של חטופים ונעדרים (תיקוני חקיקה), התשפ"ה-2025</t>
  </si>
  <si>
    <t xml:space="preserve"> (מ/1843)</t>
  </si>
  <si>
    <t xml:space="preserve">חוק זה קובע כי הורים, בני זוג, אחים וילדים של חטוף ששוחרר (להלן - בני משפחה) יהיו זכאים למשך שלוש שנים מיום שחרורו של החטוף להטבות הנוגעות לשיקום תעסוקתי ולהטבות רפואיות, בשווי הגבוה ביותר הניתן להורה שכול לפי חוק משפחות חיילים שנספו במערכה, וכן לסיוע במימון לימודים או הכשרה מקצועית, בסכום שלא יעלה על שכר הלימוד לתואר ראשון כפי שקבעה המל"ג, אף אם הלימודים הם לא מהסוג המגיע לבן משפחה לפי חוק משפחות חיילים שנספו במערכה. כמו כן בני המשפחה כאמור יהיו זכאים  למשך ארבע שנים מיום השחרור להטבות פסיכו-סוציאליות. הטבות בתחומים אלה שקיבל בן משפחה בזמן שהותו של החטוף ששוחרר בשבי יבואו על חשבון אותה הטבה שניתנת לפי חוק זה. הטבות אלה יחולו גם על בני משפחה של מי שהיה חטוף ביום 7.10.23 וגופתו הושבה, וגם הן יבואו על חשבון אותן הטבות שקיבל בן המשפחה בזמן השהות של החטוף בשבי או על חשבון אותן זכאויות לפי חוק משפחות חיילים שנספו במערכה. נוסף על כך, נקבע כי ועדת החריגים להטבות שהוקמה לפי חוק משפחות חיילים שנספו במערכה תוכל לקבוע הגדלה של סכומי ההטבות, ולאשר, במקרים חריגים ונדירים שלא ניתן לצפותם, מימון שירותים והחזר הוצאות לצרכים נוספים של בני המשפחה בסכום שלא יעלה על כ-65 אלף שקלים, אם הם נובעים מהחטיפה וקשורים אליה ומיועדים לשיקום מבקש ההטבה.  חוק זה מתקן גם את חוק מימון הוצאות למשפחות שבויים, חטופים ונעדרים, וקובע תוספת בסך 13,500 שקלים למענק הרבעוני שישולם להורה של החטוף אם להורה אין בן זוג שגם הוא הורה של חטוף, כלומר כשהורי החטוף גרושים או פרודים. תוספת זו תינתן רק אם החלק במענק שההורה היה זכאי לו לפני התוספת היה נמוך מ-45,000 שקלים, למשל כאשר נוסף להורים הפרודים יש לחטוף בן זוג הזכאי לחלק מאותו מענק. עוד נקבעה תוספת של 3,000 שקלים למענק הרבעוני המשולם לאחים וילדים של חטופים שמלאו להם 18 שנים, ואם האח או הילד הוא בעצמו הורה לילד סכום התוספת יהיה 4,500 שקלים. התוספות האמורות למענקים ישולמו רטרואקטיבית מיום ה-7.10.23.  מי שהיה זכאי למענק רבעוני טרם שחרורו של החטוף יהיה זכאי באופן חד פעמי לתוספת מענק לשם התארגנות שסכומה משתנה לפי המועד שבו החטוף שוחרר במהלך הרבעון. למענק התארגנות כאמור יהיו זכאים גם ילד אח אחות, שמלאו להם 18 שנים, של מי שהיה חטוף ביום 7.10.23 וגופתו הושבה, בהתאם למועד ההבאה לקבורה.  </t>
  </si>
  <si>
    <t xml:space="preserve">חוק כליאתם של לוחמים בלתי חוקיים (תיקון מס' 4 והוראת שעה – חרבות ברזל) (תיקון מס' 4), התשפ"ה-2025 </t>
  </si>
  <si>
    <t xml:space="preserve"> (מ/1846)</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</si>
  <si>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4, הוארכה הוראת השעה כאמור עד ליום ו' באב התשפ"ה (31 ביולי 2025), לצד הארכת תקופת תוקפה של ההכרזה מכוח הצעת החוק עד ליום ג' באייר התשפ"ה (1 במאי 2025). </t>
  </si>
  <si>
    <t xml:space="preserve">חוק לייעול האכיפה והפיקוח העירוניים ברשויות המקומיות (הוראת שעה) (תיקון מס' 16), התשפ"ה–2025 </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</si>
  <si>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16 לחוק, תוקן סעיף 23, כך שתוקפו של החוק הוארך לתקופת זמן נוספת ועד ליום ד' בתמוז התשפ"ה (30 ביוני 2025). </t>
  </si>
  <si>
    <t xml:space="preserve">חוק התמודדות עם תקיפות סייבר חמורות במגזר השירותים הדיגיטליים ושירותי האחסון (הוראת שעה – חרבות ברזל) (תיקון מס' 2), התשפ"ה-2025 </t>
  </si>
  <si>
    <t xml:space="preserve"> (מ/1849)</t>
  </si>
  <si>
    <t xml:space="preserve">ביום י"ד בטבת התשפ"ד (26 בדצמבר 2023), פורסם חוק התמודדות עם תקיפות סייבר חמורות במגזר השירותים הדיגיטליים ושירותי האחסון (הוראת שעה – חרבות ברזל) (תיקון), התשפ"ד–2024, כהוראת שעה. 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במקרה שנקבע כי תקיפת סייבר היא חמורה, החוק קובע הליך פעולה לטובת איתור התקיפה, מניעתה או בלימתה בהקדם האפשרי. מעבר לכך, נקבעו הוראות בעניין חובת סודיות והגבלת שימוש במידע, וכן חובת דיווח ליועצת המשפטית לממשלה ולוועדת החוץ והביטחון של הכנסת.  במסגרת תיקון מס' 2, הוארכה תקופת תוקפה של הוראת השעה  עד ליום כ"ו בחשוון התשפ"ו (17 בנובמבר 2025). </t>
  </si>
  <si>
    <t xml:space="preserve"> (פ/5744/25)</t>
  </si>
  <si>
    <t xml:space="preserve"> (פ/5743/25)</t>
  </si>
  <si>
    <t xml:space="preserve">הצעת חוק הגנת הצרכן (תיקון - ביטול עסקת מכר מרחוק של שירותי תיירות) (הוראת שעה), התשפ"ה-2025</t>
  </si>
  <si>
    <t xml:space="preserve"> (פ/5742/25)</t>
  </si>
  <si>
    <t xml:space="preserve">הצעת חוק לתמיכה ועידוד שילובם של משרתי המילואים בחקלאות ובהתיישבות, התשפ"ה-2025</t>
  </si>
  <si>
    <t xml:space="preserve"> (פ/5741/25)</t>
  </si>
  <si>
    <t xml:space="preserve">הצעת חוק החלת המשפט, השיפוט והמינהל בחבלי הארץ שבריבונות ישראל, התשפ"ה-2025</t>
  </si>
  <si>
    <t xml:space="preserve"> (פ/5738/25)</t>
  </si>
  <si>
    <t xml:space="preserve">הצעת חוק האזרחות והכניסה לישראל (הוראת שעה) (תיקון - גילאים ומצב לחימה), התשפ״ה-2025</t>
  </si>
  <si>
    <t xml:space="preserve"> (פ/5735/25)</t>
  </si>
  <si>
    <t xml:space="preserve">הצעת חוק הדיור המוגן (תיקון - תנאים לביצוע עבודות בנייה בבית הדיור המוגן), התשפ"ה-2025</t>
  </si>
  <si>
    <t xml:space="preserve"> (פ/5734/25)</t>
  </si>
  <si>
    <t xml:space="preserve">הצעת חוק שידור חי של דיונים בבית המשפט העליון, התשפ”ה-2025</t>
  </si>
  <si>
    <t xml:space="preserve"> (פ/5731/25)</t>
  </si>
  <si>
    <t xml:space="preserve">הצעת חוק העונשין (תיקון - הגנה על קטינים מפני עבירות מין), התשפ"ה-2025</t>
  </si>
  <si>
    <t xml:space="preserve"> (פ/5730/25)</t>
  </si>
  <si>
    <t xml:space="preserve">הצעת חוק מסע עדות ומורשת הטבח והגבורה של אירועי 7 באוקטובר (הוראת שעה), התשפ"ה-2025</t>
  </si>
  <si>
    <t xml:space="preserve"> (פ/5729/25)</t>
  </si>
  <si>
    <t xml:space="preserve">הצעת חוק שלילת תמיכות מגופי ספורט בשל קבלת תרומה מישות מדינית זרה תומכת טרור ואיסור פגיעה בכבוד סמלי המדינה באירוע ספורט (תיקוני חקיקה), התשפ"ה-2025</t>
  </si>
  <si>
    <t xml:space="preserve"> (פ/5727/25)</t>
  </si>
  <si>
    <t xml:space="preserve">הצעת חוק הגנת הפרטיות (תיקון - הגדרת שירות בתי הסוהר כרשות ביטחון), התשפ"ה-2025</t>
  </si>
  <si>
    <t xml:space="preserve"> (פ/5726/25)</t>
  </si>
  <si>
    <t xml:space="preserve">הצעת חוק תרומת עוברים, התשפ"ה-2025</t>
  </si>
  <si>
    <t xml:space="preserve"> (פ/5725/25)</t>
  </si>
  <si>
    <t xml:space="preserve">הצעת חוק לתיקון פקודת מס הכנסה (מס נוסף על פנסיה תקציבית), התשפ"ה-2025</t>
  </si>
  <si>
    <t xml:space="preserve"> (פ/5723/25)</t>
  </si>
  <si>
    <t xml:space="preserve">הצעת חוק סדר הדין הפלילי (תיקון - העברת הטיפול בהגשת כתבי אישום בעבירות גביית דמי חסות לתביעה המשטרתית), התשפ"ה-2025</t>
  </si>
  <si>
    <t xml:space="preserve"> (פ/5722/25)</t>
  </si>
  <si>
    <t xml:space="preserve">הצעת חוק איסור הונאה בכשרות (תיקון - כשרות בלבד ובית אוכל הפתוח בשבת), התשפ"ה-2025</t>
  </si>
  <si>
    <t xml:space="preserve"> (פ/5721/25)</t>
  </si>
  <si>
    <t xml:space="preserve"> (פ/5720/25)</t>
  </si>
  <si>
    <t xml:space="preserve">הצעת חוק תגמולים לנפגעי פשיעה חמורה, התשפ"ה-2025</t>
  </si>
  <si>
    <t xml:space="preserve"> (פ/5718/25)</t>
  </si>
  <si>
    <t xml:space="preserve">הצעת חוק עיטור הפציעה הקרבית, התשפ"ה-2025</t>
  </si>
  <si>
    <t xml:space="preserve"> (פ/5717/25)</t>
  </si>
  <si>
    <t xml:space="preserve">הצעת חוק עסקאות גופים ציבוריים (תיקון - פסילת ספקים בשל מעורבות בפשיעה מאורגנת), התשפ"ה-2025</t>
  </si>
  <si>
    <t xml:space="preserve"> (פ/5715/25)</t>
  </si>
  <si>
    <t xml:space="preserve">הצעת חוק העונשין (תיקון - איסור ביזוי המת), התשפ"ה-2025</t>
  </si>
  <si>
    <t xml:space="preserve"> (פ/5714/25)</t>
  </si>
  <si>
    <t xml:space="preserve">הצעת חוק הביטוח הלאומי (תיקון - תשלום דמי קבורה בעת קבורת נפטר שלא לפי מקום מושבו), התשפ"ה-2025</t>
  </si>
  <si>
    <t xml:space="preserve"> (פ/5713/25)</t>
  </si>
  <si>
    <t xml:space="preserve">הצעת חוק הדואר (תיקון - אישור שימוש בשם בנק הדואר), התשפ"ה-2025</t>
  </si>
  <si>
    <t xml:space="preserve"> (פ/5712/25)</t>
  </si>
  <si>
    <t xml:space="preserve">הצעת חוק קידום הביטחון התזונתי בישראל, התשפ"ה-2025 </t>
  </si>
  <si>
    <t xml:space="preserve"> (פ/5711/25)</t>
  </si>
  <si>
    <t xml:space="preserve">הצעת חוק השיפוט הצבאי (תיקון - בדיקה או חקירה לפני העמדה לדין בעת לחימה), התשפ"ה-2025</t>
  </si>
  <si>
    <t xml:space="preserve"> (פ/5710/25)</t>
  </si>
  <si>
    <t xml:space="preserve">הצעת חוק הפסקת שידורי גלי צה"ל, התשפ"ה-2025 </t>
  </si>
  <si>
    <t xml:space="preserve"> (פ/5709/25)</t>
  </si>
  <si>
    <t xml:space="preserve">הצעת חוק התחרות הכלכלית (תיקון - שינוי דרך מינוי הממונה על התחרות וקביעת תקופת צינון), התשפ"ה-2025</t>
  </si>
  <si>
    <t xml:space="preserve"> (פ/5707/25)</t>
  </si>
  <si>
    <t xml:space="preserve"> (פ/5706/25)</t>
  </si>
  <si>
    <t xml:space="preserve">הצעת חוק שירות המדינה (מינויים) (תיקון - הפסקת כהונת היועץ המשפטי לממשלה), התשפ"ה-2025</t>
  </si>
  <si>
    <t xml:space="preserve"> (פ/5702/25)</t>
  </si>
  <si>
    <t xml:space="preserve">הצעת חוק פיצויים לבעלי עסקים נפגעי עבודות תשתית מתמשכות, התשפ"ה-2025</t>
  </si>
  <si>
    <t xml:space="preserve"> (פ/5700/25)</t>
  </si>
  <si>
    <t xml:space="preserve"> (פ/5698/25)</t>
  </si>
  <si>
    <t xml:space="preserve">הצעת חוק הסדרת הטיפול בחופי הכנרת (תיקון - הפרדת איגוד ערים כנרת מרשות ניקוז ונחלים כנרת), התשפ"ה-2025</t>
  </si>
  <si>
    <t xml:space="preserve"> (פ/5697/25)</t>
  </si>
  <si>
    <t xml:space="preserve">הצעת חוק חדלות פירעון ושיקום כלכלי (תיקון - העלאת סף החובות לניהול הליך ברשות האכיפה והגבייה), התשפ"ה-2025</t>
  </si>
  <si>
    <t xml:space="preserve"> (פ/5696/25)</t>
  </si>
  <si>
    <t xml:space="preserve">הצעת חוק משפחות חיילים שנספו במערכה (תגמולים ושיקום) (תיקון - הרחבת הסיוע של התערבות לרווחה רגשית), התשפ"ה-2025</t>
  </si>
  <si>
    <t xml:space="preserve"> (פ/5695/25)</t>
  </si>
  <si>
    <t xml:space="preserve">הצעת חוק העונשין (תיקון - היזק בזדון לכלי עבודה), התשפ"ה-2025</t>
  </si>
  <si>
    <t xml:space="preserve"> (פ/5694/25)</t>
  </si>
  <si>
    <t xml:space="preserve">הצעת חוק הממשלה (תיקון - דיווח על מצב רפואי של חבר ועדת השרים לענייני ביטחון לאומי), התשפ"ה-2025</t>
  </si>
  <si>
    <t xml:space="preserve"> (פ/5691/25)</t>
  </si>
  <si>
    <t xml:space="preserve"> (פ/5688/25)</t>
  </si>
  <si>
    <t xml:space="preserve">הצעת חוק שעות עבודה ומנוחה (תיקון - קיצור יום עבודה בחודש הרמדאן), התשפ"ה-2025</t>
  </si>
  <si>
    <t xml:space="preserve"> (פ/5687/25)</t>
  </si>
  <si>
    <t xml:space="preserve"> (פ/5686/25)</t>
  </si>
  <si>
    <t xml:space="preserve">הצעת חוק נכי רדיפות הנאצים (תיקון - קביעת אחוזי נכות מינימליים), התשפ"ה-2025</t>
  </si>
  <si>
    <t xml:space="preserve"> (פ/5685/25)</t>
  </si>
  <si>
    <t xml:space="preserve">הצעת חוק הביטוח הלאומי (תיקון - תשלום גמלת סיעוד לרווק או אלמן שהגיע לגיל 75), התשפ"ה-2025</t>
  </si>
  <si>
    <t xml:space="preserve"> (פ/5684/25)</t>
  </si>
  <si>
    <t xml:space="preserve">הצעת חוק לימוד חובה (תיקון - חינוך חינם לגיל הרך), התשפ"ה-2025</t>
  </si>
  <si>
    <t xml:space="preserve"> (פ/5682/25)</t>
  </si>
  <si>
    <t xml:space="preserve">הצעת חוק מס קנייה (טובין ושירותים) (תיקון - מס קצוב על טבק ומוצריו), התשפ"ה-2025</t>
  </si>
  <si>
    <t xml:space="preserve"> (פ/5681/25)</t>
  </si>
  <si>
    <t xml:space="preserve">הצעת חוק הביטוח הלאומי (תיקון - עבודה בגן ילדים כעבודה מועדפת), התשפ"ה-2025</t>
  </si>
  <si>
    <t xml:space="preserve"> (פ/5680/25)</t>
  </si>
  <si>
    <t xml:space="preserve">הצעת חוק לתיקון פקודת התעבורה (חובת הפעלת קווי תחבורה ציבורית ישירים לבתי חולים), התשפ"ה-2025</t>
  </si>
  <si>
    <t xml:space="preserve"> (פ/5678/25)</t>
  </si>
  <si>
    <t xml:space="preserve">הצעת חוק העונשין (תיקון - עבירות זיוף עמוק), התשפ"ה-2025</t>
  </si>
  <si>
    <t xml:space="preserve"> (פ/5677/25)</t>
  </si>
  <si>
    <t xml:space="preserve">הצעת חוק דמי מחלה (היעדרות בשל מחלת בן זוג) (תיקון - הרחבת הזכאויות), התשפ"ה-2025</t>
  </si>
  <si>
    <t xml:space="preserve"> (פ/5676/25)</t>
  </si>
  <si>
    <t xml:space="preserve">הצעת חוק לתיקון פקודת הרוקחים (סימון אזהרה על שמן שיזוף), התשפ"ה-2025 </t>
  </si>
  <si>
    <t xml:space="preserve"> (פ/5675/25)</t>
  </si>
  <si>
    <t xml:space="preserve">הצעת חוק מרשם האוכלוסין (תיקון - הוספת צו הורות לרשימת מסירת העתקים של פסקי דין והצהרות), התשפ"ה-2025</t>
  </si>
  <si>
    <t xml:space="preserve"> (פ/5674/25)</t>
  </si>
  <si>
    <t xml:space="preserve">הצעת חוק סיוע לתושבי הצפון שלא פונו מבתיהם (תיקוני חקיקה), התשפ"ה-2025</t>
  </si>
  <si>
    <t xml:space="preserve"> (פ/5673/25)</t>
  </si>
  <si>
    <t xml:space="preserve">הצעת חוק לתיקון פקודת העיריות (מס' 159) (גמול והחזר הוצאות לחבר המועצה), התשפ"ה-2025 </t>
  </si>
  <si>
    <t xml:space="preserve"> (מ/1855)</t>
  </si>
  <si>
    <t xml:space="preserve">הצעת חוק התמודדות עם תופעת עבירות נשק (תיקוני חקיקה והוראת שעה), התשפ"ה-2025 </t>
  </si>
  <si>
    <t xml:space="preserve"> (מ/1856)</t>
  </si>
  <si>
    <t xml:space="preserve">חוק בתי המשפט (תיקון מס' 105), התשפ"ה-2025</t>
  </si>
  <si>
    <t xml:space="preserve"> (כ/947)</t>
  </si>
  <si>
    <t xml:space="preserve">26.03.2025</t>
  </si>
  <si>
    <t xml:space="preserve">תיקון חוק משלים לחוק-יסוד: השפיטה (תיקון מס' 4), התשפ"ה–2025. בחוק נקבע כי ככלל, לא ימונה שופט שטרם מלאו לו 55 שנים לבית המשפט העליון, אלא אם הוועדה לבחירת שופטים בחרה בו על דעת כל חבריה. בנוסף, נקבע כי שני שלישים לפחות מהשופטים בבית המשפט העליון יהיו שופטים שכיהנו בבית המשפט המחוזי, בשל החשש שימונו לבית המשפט העליון מספר רב של שופטים שאין להם ניסיון בתחומים מגוונים הרלוונטיים לעיסוקם. זאת ועוד, בשל העובדה שנציגי הציבור וחברי הכנסת החברים בוועדה, נבחרים על ידי הקואליציה והאופוזיציה בכנסת, נקבעו בחוק הוראות משלימות להסדרת המצבים בהם שינויים קואליציוניים יובילו לבחירה חדשה של חברי הוועדה. כמו כן, נקבע כי הגמול שיקבלו נציגי הציבור המשמשים כחברים בוועדה לבחירת שופטים, ייקבע בתקנות של שר המשפטים באישור ועדת החוקה, חוק ומשפט.</t>
  </si>
  <si>
    <t xml:space="preserve">חוק-יסוד: השפיטה (תיקון מס' 4) </t>
  </si>
  <si>
    <t xml:space="preserve">תיקון חוק היסוד קובע כי בהרכב הוועדה לבחירת שופטים, במקום שני נציגי לשכת עורכי הדין, יבחרו סיעות הקואליציה וסיעות האופוזיציה, כל אחת בנפרד, שני נציגי ציבור שהם משפטנים שכשירים להתמנות לשופט בית המשפט העליון. בנוסף, תיקון חוק היסוד מעגן את הנוהג לפיו מקרב שני נציגי הכנסת בוועדה, אחד יהיה מסיעות הקואליציה והשני מסיעות האופוזיציה, וכי כל אחד מהם ייבחר על ידי אותן סיעות. הנציגות של הרשות השופטת ושל הממשלה בוועדה לא תשתנה ותורכב משלושה שופטים ושני שרים. כמו כן, בחוק היסוד נקבעו הוראות מיוחדות למצב שבו סיעות הקואליציה מונות יותר מ-80 חברי כנסת. זאת ועוד, חוק היסוד מסדיר כי בתקופת בחירות, או בתקופה שלאחר שהממשלה התפטרה, לא תבחר הוועדה השופטים, וכי החלטות אחרות של הוועדה יתקבלו על דעת כל חבריה. באשר לסדרי עבודת הוועדה וכללי הכרעה בה נקבע כי המניין החוקי בישיבות הוועדה יעמוד על חמישה חברים, וכן נקבע הסדר לעניין הרוב הדרוש להחלטה לעניין בחירת שופט: במינוי שופט לערכאות הנמוכות – בחירת שופט תתקיים ברוב של חמישה חברים בוועדה, ובלבד שהרוב כולל אחד מארבעת נציגי הקואליציה בוועדה (אחד משני השרים, חבר הכנסת מהקואליציה או נציג הציבור שנבחר על-ידי הקואליציה), אחד משני נציגי האופוזיציה בוועדה (חבר הכנסת מהאופוזיציה או נציג הציבור שנבחר על-ידי האופוזיציה) ואחד משלושת השופטים חברי הוועדה. כלל הכרעה זה הינו כלל ההכרעה ה"רגיל" שחל גם על החלטות אחרות של הוועדה, שאינן בחירה בשופטים. במינוי שופט לבית המשפט העליון – בחירת שופט מחייבת רוב של חמישה מחברי הוועדה, הכולל אחד מנציגי הקואליציה ואחד מנציגי האופוזיציה בוועדה, אך ללא צורך בהסכמת אחד השופטים החברים בוועדה.  בנוסף לכללי הכרעה אלו, נקבע בחוק היסוד מנגנון להכרעה במצב של "מבוי סתום" בבחירת שופטים לבית המשפט העליון, שניתן להפעילו פעם אחת בכל כנסת, ורק אם יש שני תקנים פנויים בבית המשפט העליון, שהוועדה לא מצליחה למלא במשך תקופה של שנה מהיום שבו הסתיימה הכהונה של שופט הראשון, או מתחילת כהונת הכנסת, לפי המאוחר. המנגנון מאפשר לנציגי הקואליציה בוועדה להציע שלושה מועמדים מטעמם ומחייב את יתר החברים לבחור מהם מועמד, ונותן אפשרות מקבילה לנציגי האופוזיציה. </t>
  </si>
  <si>
    <t xml:space="preserve">הצעת חוק הקמת שדה תעופה בנבטים (הוראות מיוחדות), התשפ"ה–2025</t>
  </si>
  <si>
    <t xml:space="preserve"> (פ/5120/25)</t>
  </si>
  <si>
    <t xml:space="preserve"> (כ/1105)</t>
  </si>
  <si>
    <t xml:space="preserve">הצעת חוק הרשויות המקומיות (ניהול סיכונים תאגידי), התשפ"ג-2023 </t>
  </si>
  <si>
    <t xml:space="preserve"> (פ/3628/25)</t>
  </si>
  <si>
    <t xml:space="preserve">25.03.2025</t>
  </si>
  <si>
    <t xml:space="preserve">חוק התקציב לשנת הכספים 2025, התשפ"ה-2025 </t>
  </si>
  <si>
    <t xml:space="preserve"> (מ/1821)</t>
  </si>
  <si>
    <t xml:space="preserve">24.03.2025</t>
  </si>
  <si>
    <t xml:space="preserve">החוק קובע כי תקציב ההוצאה לשנת הכספים 2025 יעמוד על 755,906,699,000 שקלים חדשים המורכב מתקציב רגיל בסך 547,406,561,000 שקלים חדשים ומתקציב פיתוח וחשבון הון בסך 208,500,138,000 שקלים חדשים, כי תקציב ההוצאה המותנית בהכנסה יעמוד על 84,593,530,000 שקלים חדשים, וכי שיא כוח האדם יעמוד על 100,964 משרות.</t>
  </si>
  <si>
    <t xml:space="preserve"> (פ/5669/25)</t>
  </si>
  <si>
    <t xml:space="preserve">הצעת חוק תשלומים לפדויי שבי ולחטופים ששוחררו (תיקון - הרחבת הזכאויות לחטופים ששוחררו), התשפ"ה-2025</t>
  </si>
  <si>
    <t xml:space="preserve"> (פ/5668/25)</t>
  </si>
  <si>
    <t xml:space="preserve">הצעת חוק חיוב ספק תכנים בהשקעה בהפקות מקומיות, התשפ"ה-2025</t>
  </si>
  <si>
    <t xml:space="preserve"> (פ/5667/25)</t>
  </si>
  <si>
    <t xml:space="preserve"> (פ/5666/25)</t>
  </si>
  <si>
    <t xml:space="preserve"> (פ/5664/25)</t>
  </si>
  <si>
    <t xml:space="preserve">הצעת חוק למאבק באלימות משטרתית (תיקוני חקיקה), התשפ"ה-2025</t>
  </si>
  <si>
    <t xml:space="preserve"> (פ/5663/25)</t>
  </si>
  <si>
    <t xml:space="preserve">הצעת חוק השיפוט הצבאי (תיקון - דיווח לכנסת על תלונות בגין הטרדות מיניות בצבא הגנה לישראל ועל אופן הטיפול בהן), התשפ"ה-2025</t>
  </si>
  <si>
    <t xml:space="preserve"> (פ/5662/25)</t>
  </si>
  <si>
    <t xml:space="preserve">הצעת חוק לידה שקטה (תיקוני חקיקה), התשפ"ה-2025</t>
  </si>
  <si>
    <t xml:space="preserve"> (פ/5661/25)</t>
  </si>
  <si>
    <t xml:space="preserve"> (פ/5660/25)</t>
  </si>
  <si>
    <t xml:space="preserve">הצעת חוק לתיקון פקודת מס הכנסה (קרן השתלמות לחקלאי שומר שמיטה), התשפ"ה-2025</t>
  </si>
  <si>
    <t xml:space="preserve"> (פ/5659/25)</t>
  </si>
  <si>
    <t xml:space="preserve">הצעת חוק הפיקוח על שירותים פיננסיים (קופות גמל) (תיקון - הוראות לשמירת זכויות פנסיוניות למשרתי מילואים), התשפ"ה-2025</t>
  </si>
  <si>
    <t xml:space="preserve"> (פ/5658/25)</t>
  </si>
  <si>
    <t xml:space="preserve">הצעת חוק הבנקאות (שירות ללקוח) (תיקון - הפצת כרטיסי אשראי של כלל חברות כרטיסי האשראי), התשפ"ה-2025</t>
  </si>
  <si>
    <t xml:space="preserve"> (פ/5657/25)</t>
  </si>
  <si>
    <t xml:space="preserve">הצעת חוק הצבת מכשירי החייאה במקומות ציבוריים (תיקון - חובת הצבת מכשיר החייאה בבניין רב-קומות), התשפ"ה-2025</t>
  </si>
  <si>
    <t xml:space="preserve"> (פ/5656/25)</t>
  </si>
  <si>
    <t xml:space="preserve"> (פ/5655/25)</t>
  </si>
  <si>
    <t xml:space="preserve">הצעת חוק האזרחות (תיקון - אזרחות למי שנולד במדינת אויב), התשפ"ה-2025</t>
  </si>
  <si>
    <t xml:space="preserve"> (פ/5653/25)</t>
  </si>
  <si>
    <t xml:space="preserve">הצעת חוק האזרחות (תיקון - אי-מתן אזרחות לילדו של אדם שנכנס לישראל שלא כדין), התשפ"ה-2025</t>
  </si>
  <si>
    <t xml:space="preserve"> (פ/5652/25)</t>
  </si>
  <si>
    <t xml:space="preserve">הצעת חוק החברות (תיקון - מכסות ייצוג לנשים בדירקטוריונים של חברות ציבוריות), התשפ"ה-2025</t>
  </si>
  <si>
    <t xml:space="preserve"> (פ/5651/25)</t>
  </si>
  <si>
    <t xml:space="preserve">הצעת חוק פיצוי נפגעי אסון טבע (פיצוי בשל נזקים לתשתיות לחקלאות) (תיקון - פיצוי בשל אסונות מעשה ידי אדם), התשפ"ה-2025</t>
  </si>
  <si>
    <t xml:space="preserve"> (פ/5650/25)</t>
  </si>
  <si>
    <t xml:space="preserve">הצעת חוק זכויות התלמיד (תיקון - חופש דת ופולחן דתי לתלמידים במוסדות חינוך), התשפ"ה-2025 </t>
  </si>
  <si>
    <t xml:space="preserve"> (פ/5649/25)</t>
  </si>
  <si>
    <t xml:space="preserve">הצעת חוק ההוצאה לפועל (תיקון מס' 73) (תחליף המצאת התראה וזכות להתגונן בתביעה על סכום קצוב), התשפ"ב-2022</t>
  </si>
  <si>
    <t xml:space="preserve"> (מ/1575)</t>
  </si>
  <si>
    <t xml:space="preserve">לדיון במליאה על החלת דין רציפות</t>
  </si>
  <si>
    <t xml:space="preserve">23.03.2025</t>
  </si>
  <si>
    <t xml:space="preserve">פטור מאגרה בכניסה לאתרים מתוך הצעת חוק למתן הטבות למשרתים במילואים, התשפ"ה-2024</t>
  </si>
  <si>
    <t xml:space="preserve">סבסוד קייטנות מתוך הצעת חוק למתן הטבות למשרתים במילואים, התשפ"ה-2024</t>
  </si>
  <si>
    <t xml:space="preserve">דיור סטודנטים מתוך הצעת חוק למתן הטבות למשרתים במילואים, התשפ"ה-2024</t>
  </si>
  <si>
    <t xml:space="preserve">הצעת חוק התכנון והבנייה (תיקון מס' 160), התשפ"ה-2024 </t>
  </si>
  <si>
    <t xml:space="preserve"> (מ/1825)</t>
  </si>
  <si>
    <t xml:space="preserve">סעיף 21(1)(א) (היתר לפי תכנית ללא תשריט) מתוך הצעת חוק התוכנית הכלכלית (תיקוני חקיקה ליישום המדיניות הכלכלית לשנת התקציב 2025), התשפ"ה-2024 [פוצל לפי סעיף 84(ב) לתקנון] </t>
  </si>
  <si>
    <t xml:space="preserve">סעיף 21(1)(ב), (5) ו-(6) (הרחבת האפשרות להעביר היתרים לרשויות רישוי ארציות) מתוך הצעת חוק התוכנית הכלכלית (תיקוני חקיקה ליישום המדיניות הכלכלית לשנת התקציב 2025), התשפ"ה-2024 [פוצל לפי סעיף 84(ב) לתקנון]</t>
  </si>
  <si>
    <t xml:space="preserve">סעיפים 21(2), (4) ו-22 (הסמכת רשות רישוי ארצית בשטחים גליליים) מתוך הצעת חוק התוכנית הכלכלית (תיקוני חקיקה ליישום המדיניות הכלכלית לשנת התקציב 2025), התשפ"ה-2024 [פוצל לפי סעיף 84(ב) לתקנון] </t>
  </si>
  <si>
    <t xml:space="preserve">סעיף 24 (הארכת פטור מהיטל השבחה למתקנים פוטו-וולטאים) מתוך הצעת חוק התוכנית הכלכלית (תיקוני חקיקה ליישום המדיניות הכלכלית לשנת התקציב 2025), התשפ"ה-2024 [פוצל לפי סעיף 84(ב) לתקנון] </t>
  </si>
  <si>
    <t xml:space="preserve">הצעת חוק התכנון והבנייה (תיקון מס' 161), התשפ"ה-2025 </t>
  </si>
  <si>
    <t xml:space="preserve"> (מ/1832)</t>
  </si>
  <si>
    <t xml:space="preserve">הצעת חוק הקמת שדה תעופה בנבטים, התשפ"ה-2025</t>
  </si>
  <si>
    <t xml:space="preserve"> (פ/5311/25)</t>
  </si>
  <si>
    <t xml:space="preserve">הצעת חוק עבודת נשים (תיקון - הארכת תקופת הלידה וההורות להורי פעוט עם מוגבלות מורכבת), התשפ"ג-2023</t>
  </si>
  <si>
    <t xml:space="preserve"> (פ/3318/25)</t>
  </si>
  <si>
    <t xml:space="preserve">19.03.2025</t>
  </si>
  <si>
    <t xml:space="preserve"> (פ/3018/25)</t>
  </si>
  <si>
    <t xml:space="preserve">חוק התחשבנות בין בתי חולים לקופות חולים (בריאות הנפש), התשפ"ה-2025</t>
  </si>
  <si>
    <t xml:space="preserve">חוק זה עוסק בהתחשבנות לעניין שירותי בריאות הנפש בין קופות החולים ובתי החולים, שכוללים את בתי החולים הפסיכיאטריים, בתי החולים הציבוריים הכלליים שניתנים בהם שירותי אשפוז פסיכיאטרי ובתי חולים מאוחדים –   שהם בית חולים ציבורי כללי ובית חולים פסיכיאטרי שהוכרזו כמאוחדים לעניין חוק זה. הוראות חוק זה יחולו לגבי שירותים שניתנים לקופות החולים במוסדות הפסיכיאטריים מתחילת שנת 2025 ועד סוף שנת 2028, והשרים האמורים הוסמכו להאריך את תוקפו עד שנת 2031, בכפוף לאישור ועדת הבריאות.   לפי החוק, לכל בית חולים ולכל קופת חולים ייקבע בסיס התחשבנות פרטני לגבי שירותי אשפוז פסיכיאטרי, ומידי חודש קופת החולים תהיה חייבת לשלם לבית החולים את החלק ה-12 של אותו בסיס התחשבנות פרטני. אם בית החולים משתייך לרשת, יוכל מנהל אותה רשת לבקש את אישור השרים להורות על חלוקת אחרת של הסכומים בין המוסדות הפסיכיאטריים של הרשת, ואף יוכל להחליט בעצמו כי שיעור של עד 1.9% מהתשלומים שעל קופות החולים להעביר למוסדות הפסיכיאטריים של הרשת יועבר לרשת, כדי שיחולק בתום השנה על ידיו בין המוסדות הפסיכיאטריים שברשת.  בנוסף, נקבע כי משרד הבריאות ישלם לכל בית חולים תוספת תשלום, מתוך סכום שיקבע שר האוצר בצו ושלא יפחת בשנת 2025 מ-60 מיליון ש"ח, שיחולק בין בתי החולים בהתאם לציון שיקבלו במדד לשיפור השירות שנקבע על ידי שר הבריאות.  בחוק מפורטות הוראות לעניין חישוב בסיס ההתחשבנות הפרטני, ושר האוצר ושר הבריאות הוסמכו להגדילו או לשנותו בהתקיים תנאים שפורטו בחוק ואף הוסמכו להקטין את בסיס ההתחשבנות של מוסד פסיכיאטרי מסוים אם יתברר שנגרמה פגיעה באיכות השירות הרפואי בו או במענה הרפואי הכולל שהוא נותן עקב הפחתה או צמצום בשירותי האשפוז הפסיכיאטרי בו, או מכיוון שלא ניתנו בו שירותים ברמה מספקת, כפי שמפורט בחוק, ובמקרה זה הסכום שהופחת מבסיס ההתחשבנות ישולם על ידי קופות החולים למוסדות הפסיכיאטריים לפי ציונם במדד לשיפור השירות. לגבי שירותי מיון פסיכיאטריים, החוק מסמיך את שר הבריאות ושר האוצר לקבוע, אם התקיימו הנסיבות שפורטו בחוק, תקרת צריכה לגבי שירותים כאמור הניתנים בבתי חולים פסיכיאטריים, שבעד צריכת שירותים מעבר לתקרה ישולמו רק 30% מהמחיר המלא.  עוד נקבעו הוראות ותנאים לעניין קביעת הסכם בין קופת חולים לבית חולים  להתחשבנות לעניין אשפוז-בית פסיכיאטרי ולעניין שירותים פסיכיאטרים אמבולטוריים. הוראות חוק זה חלות על שירותים הניתנים למבוטחי קופות החולים וכן למי שנרשם לקבלת שירותי בריאות מקופת החולים בהתאם לתקנות בעניין נמצאים בישראל שאינם מבוטחים.  במסגרת החוק הוטלה על שר הבריאות ושר האוצר חובת דיווח נרחבת לוועדת הבריאות של הכנסת.  </t>
  </si>
  <si>
    <t xml:space="preserve">חוק מסגרות תקציב המדינה (הוראות מיוחדות לשנת 2025) (תיקוני חקיקה), התשפ"ה-2025</t>
  </si>
  <si>
    <t xml:space="preserve">החוק קובע כי בשנת 2025 תעמוד תקרת הגירעון על 4.7% מהתוצר, וכי ההוצאה הממשלתית המותרת תוגדל בכ-70 מיליארד ש"ח, המשקפים גידול של 13.6% ביחס להוצאה התקציבית הבסיסית לשנת 2024. בנוסף, נקבע כי ככל שיוקצו יתרת כספי החירום, תעודכן תקרת הגירעון לשיעור של 4.9%.</t>
  </si>
  <si>
    <t xml:space="preserve">הצעת חוק הכניסה לישראל (תיקון - החמרת ענישה בעבירה של כניסה בלתי חוקית), התשפ"ה-2025 </t>
  </si>
  <si>
    <t xml:space="preserve"> (פ/5606/25)</t>
  </si>
  <si>
    <t xml:space="preserve">הצעת חוק להקפאת כספים ששילמה הרשות הפלסטינית בזיקה לטרור מהכספים המועברים אליה מממשלת ישראל (תיקון - קיזוז כספים בגין פיצוי על נזקי גניבת רכבים), התשפ"ה-2025 </t>
  </si>
  <si>
    <t xml:space="preserve"> (פ/5555/25)</t>
  </si>
  <si>
    <t xml:space="preserve"> (פ/5472/25)</t>
  </si>
  <si>
    <t xml:space="preserve"> (פ/5411/25)</t>
  </si>
  <si>
    <t xml:space="preserve">הצעת חוק יום בריאות הלב, התשפ"ה-2025</t>
  </si>
  <si>
    <t xml:space="preserve"> (פ/5330/25)</t>
  </si>
  <si>
    <t xml:space="preserve">הצעת חוק להקפאת כספים ששילמה הרשות הפלסטינית בזיקה לטרור מהכספים המועברים אליה מממשלת ישראל (תיקון - קיזוז כספים בגין פיצוי על נזקי גניבת רכבים), התשפ"ה-2024 </t>
  </si>
  <si>
    <t xml:space="preserve"> (פ/5219/25)</t>
  </si>
  <si>
    <t xml:space="preserve">הצעת חוק הריסת בתי מחבלים, התשפ"ה-2024</t>
  </si>
  <si>
    <t xml:space="preserve"> (פ/5215/25)</t>
  </si>
  <si>
    <t xml:space="preserve">הצעת חוק החברות (תיקון - מכסות ייצוג לנשים בדירקטוריונים של חברות ציבוריות), התשפ"ד-2024</t>
  </si>
  <si>
    <t xml:space="preserve"> (פ/4733/25)</t>
  </si>
  <si>
    <t xml:space="preserve">הצעת חוק חינוך מיוחד (תיקון - שילוב בתנועות נוער), התשפ"ד-2024</t>
  </si>
  <si>
    <t xml:space="preserve"> (פ/4523/25)</t>
  </si>
  <si>
    <t xml:space="preserve">הצעת חוק משפחות חיילים שנספו במערכה (תגמולים ושיקום) (תיקון - זכויות הסתגלות לאחים שכולים), התשפ"ד-2024</t>
  </si>
  <si>
    <t xml:space="preserve"> (פ/4230/25)</t>
  </si>
  <si>
    <t xml:space="preserve">הצעת חוק המועצה להשכלה גבוהה (תיקון - פטור משכר לימוד לסטודנטים מתחת לקו העוני), התשפ"ג-2022</t>
  </si>
  <si>
    <t xml:space="preserve"> (פ/355/25)</t>
  </si>
  <si>
    <t xml:space="preserve">פרק ח' (השתתפותם של העובדים ובעלי תפקיד בשירות הציבורי, בצעדים לייצוב המצב הפיסקלי במדינה במהלך השנים 2025 ו-2026 (הוראת שעה) מתוך הצעת חוק ההתייעלות הכלכלית (תיקוני חקיקה להשגת יעדי התקציב לשנת התקציב 2025), התשפ"ה-2024 </t>
  </si>
  <si>
    <t xml:space="preserve">17.03.2025</t>
  </si>
  <si>
    <t xml:space="preserve">סעיף 21 (חוק שירות המדינה (גמלאות)) מתוך הצעת חוק ההתייעלות הכלכלית (תיקוני חקיקה להשגת יעדי התקציב לשנת התקציב 2025), התשפ"ה-2024 [פרק ו']</t>
  </si>
  <si>
    <t xml:space="preserve">סעיף 22 (חוק שירות הקבע בצה"ל (גמלאות)) מתוך הצעת חוק ההתייעלות הכלכלית (תיקוני חקיקה להשגת יעדי התקציב לשנת התקציב 2025), התשפ"ה-2024 [פרק ו']</t>
  </si>
  <si>
    <t xml:space="preserve">הצעת חוק איסור הפליה ברישוי מחמת מצב בריאותי (תיקוני חקיקה), התשפ"ה-2024</t>
  </si>
  <si>
    <t xml:space="preserve"> (פ/5024/25)</t>
  </si>
  <si>
    <t xml:space="preserve">הצעת חוק הדחת נציג ציבור התומך במאבק מזוין נגד מדינת ישראל (תיקוני חקיקה), התשפ"ד-2024</t>
  </si>
  <si>
    <t xml:space="preserve"> (פ/4160/25)</t>
  </si>
  <si>
    <t xml:space="preserve">הצעת חוק הרשויות המקומיות (בחירות) (תיקון - מניעת השתתפות של מועמד או של רשימת מועמדים בבחירות), התשפ"ד-2023</t>
  </si>
  <si>
    <t xml:space="preserve"> (פ/4087/25)</t>
  </si>
  <si>
    <t xml:space="preserve">הצעת חוק בתי המשפט (תיקון - תקופת צינון למינוי שופט שכיהן כפרקליט), התשפ"ג- 2023</t>
  </si>
  <si>
    <t xml:space="preserve"> (פ/3702/25)</t>
  </si>
  <si>
    <t xml:space="preserve">סעיף 8(1)-(3), (5), (7)-(9), 9(2), 10(1) ו-14 (הוצאות שלא מותרות בניכוי והגבלת תשלומים במזומן) מתוך הצעת חוק ההתייעלות הכלכלית (תיקוני חקיקה להשגת יעדי התקציב לשנת התקציב 2025), התשפ"ה-2024 </t>
  </si>
  <si>
    <t xml:space="preserve">סעיפים 11 ו-13 (שינוי מודל החשבוניות הפיקטיביות) מתוך הצעת חוק ההתייעלות הכלכלית (תיקוני חקיקה להשגת יעדי התקציב לשנת התקציב 2025), התשפ"ה-2024 </t>
  </si>
  <si>
    <t xml:space="preserve">הצעת חוק איסור צריכת זנות (תיקון - עיגון כהוראת קבע), התשפ"ה-2025</t>
  </si>
  <si>
    <t xml:space="preserve"> (פ/5647/25)</t>
  </si>
  <si>
    <t xml:space="preserve">הצעת חוק לתיקון פקודת המשטרה (מערכת צילום ביומטרית), התשפ"ה-2025</t>
  </si>
  <si>
    <t xml:space="preserve"> (פ/5646/25)</t>
  </si>
  <si>
    <t xml:space="preserve">הצעת חוק עקרונות לפדיון שבויים ונעדרים, התשפ"ה-2025</t>
  </si>
  <si>
    <t xml:space="preserve"> (פ/5645/25)</t>
  </si>
  <si>
    <t xml:space="preserve">הצעת חוק בתי המשפט (תיקון - בוררות חובה בתובענה כספית), התשפ"ה-2025</t>
  </si>
  <si>
    <t xml:space="preserve"> (פ/5644/25)</t>
  </si>
  <si>
    <t xml:space="preserve">הצעת חוק המאבק בסנקציות נגד מדינת ישראל, התשפ"ה-2025</t>
  </si>
  <si>
    <t xml:space="preserve"> (פ/5643/25)</t>
  </si>
  <si>
    <t xml:space="preserve">הצעת חוק איסור מתן היתרי עבודה לתושבי הרשות הפלסטינית, התשפ"ה-2025</t>
  </si>
  <si>
    <t xml:space="preserve"> (פ/5642/25)</t>
  </si>
  <si>
    <t xml:space="preserve">הצעת חוק לביטול הסכם אוסלו, הסכם חברון והסכם ואי, התשפ"ה-2025</t>
  </si>
  <si>
    <t xml:space="preserve"> (פ/5641/25)</t>
  </si>
  <si>
    <t xml:space="preserve"> (פ/5640/25)</t>
  </si>
  <si>
    <t xml:space="preserve">הצעת חוק הביטוח הלאומי (תיקון - עבודה בחינוך וסיוע להוראה או בטיפול בילדים כעבודה מועדפת), התשפ"ה-2025</t>
  </si>
  <si>
    <t xml:space="preserve"> (פ/5639/25)</t>
  </si>
  <si>
    <t xml:space="preserve">הצעת חוק לתיקון מונחים בחקיקה (בית רפואה), התשפ"ה-2025</t>
  </si>
  <si>
    <t xml:space="preserve"> (פ/5638/25)</t>
  </si>
  <si>
    <t xml:space="preserve"> (פ/5637/25)</t>
  </si>
  <si>
    <t xml:space="preserve"> (פ/5636/25)</t>
  </si>
  <si>
    <t xml:space="preserve">הצעת חוק משפחות חיילים שנספו במערכה (תגמולים ושיקום) (תיקון - שלילת הכרה כבן משפחה), התשפ"ה-2025</t>
  </si>
  <si>
    <t xml:space="preserve"> (פ/5635/25)</t>
  </si>
  <si>
    <t xml:space="preserve"> (פ/5634/25)</t>
  </si>
  <si>
    <t xml:space="preserve"> (פ/5633/25)</t>
  </si>
  <si>
    <t xml:space="preserve">הצעת חוק הגנת הצרכן (תיקון - איסור הפעלת השפעה בלתי הוגנת במצב חירום), התשפ"ה-2025</t>
  </si>
  <si>
    <t xml:space="preserve"> (פ/5630/25)</t>
  </si>
  <si>
    <t xml:space="preserve">הצעת חוק לקביעת התאמות לעניין זכויות סוציאליות של עובדים זרים, התשפ"ה-2025</t>
  </si>
  <si>
    <t xml:space="preserve"> (פ/5629/25)</t>
  </si>
  <si>
    <t xml:space="preserve"> (פ/5628/25)</t>
  </si>
  <si>
    <t xml:space="preserve">הצעת חוק לסבסוד תרכובת מזון לתינוקות, התשפ"ה-2025</t>
  </si>
  <si>
    <t xml:space="preserve"> (פ/5627/25)</t>
  </si>
  <si>
    <t xml:space="preserve"> (פ/5626/25)</t>
  </si>
  <si>
    <t xml:space="preserve"> (פ/5623/25)</t>
  </si>
  <si>
    <t xml:space="preserve">הצעת חוק איסור פרסומת ומכירת משקאות אנרגיה לקטינים, התשפ"ה-2025</t>
  </si>
  <si>
    <t xml:space="preserve"> (פ/5622/25)</t>
  </si>
  <si>
    <t xml:space="preserve"> (פ/5621/25)</t>
  </si>
  <si>
    <t xml:space="preserve"> (פ/5620/25)</t>
  </si>
  <si>
    <t xml:space="preserve">פרק ב' (ביטוח לאומי) מתוך הצעת חוק ההתייעלות הכלכלית (תיקוני חקיקה להשגת יעדי התקציב לשנת התקציב 2025), התשפ"ה-2024 </t>
  </si>
  <si>
    <t xml:space="preserve">13.03.2025</t>
  </si>
  <si>
    <t xml:space="preserve">סעיף 16 (דיגיטציה של חשבוניות מס) מתוך הצעת חוק ההתייעלות הכלכלית (תיקוני חקיקה להשגת יעדי התקציב לשנת התקציב 2025), התשפ"ה-2024 </t>
  </si>
  <si>
    <t xml:space="preserve">סעיפים 7-6 (שינוי מבנה ומיזוג) מתוך הצעת חוק ההתייעלות הכלכלית (תיקוני חקיקה להשגת יעדי התקציב לשנת התקציב 2025), התשפ"ה-2024 </t>
  </si>
  <si>
    <t xml:space="preserve">סעיף 10(2) (הרחבת חובת הגשת דיווח מפורט) מתוך הצעת חוק ההתייעלות הכלכלית (תיקוני חקיקה להשגת יעדי התקציב לשנת התקציב 2025), התשפ"ה-2024 </t>
  </si>
  <si>
    <t xml:space="preserve">חוק להסדרת מגורים בשטחי מרעה, התשפ"ה–2025</t>
  </si>
  <si>
    <t xml:space="preserve"> (פ/1001/25)</t>
  </si>
  <si>
    <t xml:space="preserve"> (כ/1076)</t>
  </si>
  <si>
    <t xml:space="preserve">12.03.2025</t>
  </si>
  <si>
    <t xml:space="preserve">החוק מסדיר את הליך ההקמה של מוקד המרעה הכולל את בית המגורים לרועה ולבני משפחתו ואת המבנים החקלאיים, באזורים שבהם נדרשת השמירה הצמודה של הרועה על העדר, באופן הבא:  ראשית, שר החקלאות יכריז על אזור שבו נדרשת שמירה צמודה על העדר משיקולים של ביטחון, שמירה על הסדר הציבורי ושיקולים נוספים, לאחר שקיבל המלצה מהצוות המייעץ וסקירה ממתכנן המחוז (שלב ההכרזה). בשלב הבא, גוף ציבורי שבשטחו עתיד להיות מוקם מוקד המרעה יקדם את ההליך התכנוני שבמסגרתו יקבע המיקום המדויק של מוקד המרעה תוך התחשובת בשיקולים תכונוניים וסביבתיים (שלב התכנון). לבסוף, רשות מקרקעי ישראל תקנה לגוף הציבורי את השטח כאמור לצורך הקמת המבנים הנדרשים למוקד המרעה (השלב הקנייני). כמו כן, לגביי מבנים הקיימים בשטחי מרעה טרם חקיקת חוק זה באזורים שבהם יש צורך בשמירה צמודה, ניתן יהיה לקדם את ההליך התכנוני וההליך הקנייני, ואם יעמדו בתנאים הקבועים בחוק באשר להליכי התכנון והקניין, ניתן יהיה להשאירם תוך ביצוע ההתאמות הנדרשות. </t>
  </si>
  <si>
    <t xml:space="preserve">הצעת חוק משק החשמל (תיקון - טעינת רכב חשמלי באמצעות יישומון תשלום אחוד), התשפ"ה-2025</t>
  </si>
  <si>
    <t xml:space="preserve"> (פ/5452/25)</t>
  </si>
  <si>
    <t xml:space="preserve">הצעת חוק מיסוי מקרקעין (שבח ורכישה) (תיקון - שווי רכישה), התשפ"ה-2025</t>
  </si>
  <si>
    <t xml:space="preserve"> (פ/5417/25)</t>
  </si>
  <si>
    <t xml:space="preserve"> (פ/5395/25)</t>
  </si>
  <si>
    <t xml:space="preserve"> (פ/5377/25)</t>
  </si>
  <si>
    <t xml:space="preserve"> (פ/5322/25)</t>
  </si>
  <si>
    <t xml:space="preserve">הצעת חוק מיסוי מקרקעין (שבח ורכישה) (תיקון - שווי רכישה), התשפ"ה-2024</t>
  </si>
  <si>
    <t xml:space="preserve"> (פ/5223/25)</t>
  </si>
  <si>
    <t xml:space="preserve">הצעת חוק השתתפות המדינה בעלות שכר הלימוד במעון יום למשרתי מילואים, התשפ"ה-2024</t>
  </si>
  <si>
    <t xml:space="preserve"> (פ/5110/25)</t>
  </si>
  <si>
    <t xml:space="preserve">הצעת חוק למניעת חרם חברתי בבתי ספר, התשפ"ד-2024</t>
  </si>
  <si>
    <t xml:space="preserve"> (פ/4738/25)</t>
  </si>
  <si>
    <t xml:space="preserve">הצעת חוק למניעת חרם חברתי בבתי ספר, התשפ"ד-2024 </t>
  </si>
  <si>
    <t xml:space="preserve"> (פ/4737/25)</t>
  </si>
  <si>
    <t xml:space="preserve"> (פ/4520/25)</t>
  </si>
  <si>
    <t xml:space="preserve">הצעת חוק העונשין (תיקון - קביעת עונש מינימום לעבירות יידוי אבנים), התשפ"ג-2023</t>
  </si>
  <si>
    <t xml:space="preserve"> (פ/3568/25)</t>
  </si>
  <si>
    <t xml:space="preserve"> (פ/3329/25)</t>
  </si>
  <si>
    <t xml:space="preserve"> (פ/1986/25)</t>
  </si>
  <si>
    <t xml:space="preserve"> (פ/5392/25)</t>
  </si>
  <si>
    <t xml:space="preserve">11.03.2025</t>
  </si>
  <si>
    <t xml:space="preserve">הצעת חוק חסינות חברי הכנסת, זכויותיהם וחובותיהם (תיקון -אישור הכנסת לפתיחה בהליך פלילי או אזרחי), התשפ"ה-2024</t>
  </si>
  <si>
    <t xml:space="preserve"> (פ/5037/25)</t>
  </si>
  <si>
    <t xml:space="preserve">הצעת חוק הגנת הצרכן (תיקון - איסור התניית תשלום בכרטיס אשראי בסכום רכישה מזערי), התשפ"ג-2023</t>
  </si>
  <si>
    <t xml:space="preserve"> (פ/2343/25)</t>
  </si>
  <si>
    <t xml:space="preserve">הצעת חוק התכנון והבנייה (תיקון - היטלי השבחה במיתקני אגירת אנרגיה), התשפ"ד-2024 </t>
  </si>
  <si>
    <t xml:space="preserve"> (פ/4195/25)</t>
  </si>
  <si>
    <t xml:space="preserve">10.03.2025</t>
  </si>
  <si>
    <t xml:space="preserve"> (פ/5619/25)</t>
  </si>
  <si>
    <t xml:space="preserve">הצעת חוק העונשין (תיקון - הוספת עבירת יחסי מין אסורים בין מטפל בריאותי למטופל), התשפ"ה-2025</t>
  </si>
  <si>
    <t xml:space="preserve"> (פ/5618/25)</t>
  </si>
  <si>
    <t xml:space="preserve">הצעת חוק רואי חשבון (תיקון - מתן רישיון רואה חשבון לעורך דין שהוא יועץ מס), התשפ"ה-2025</t>
  </si>
  <si>
    <t xml:space="preserve"> (פ/5617/25)</t>
  </si>
  <si>
    <t xml:space="preserve">הצעת חוק שיפוט בתי דין רבניים (נישואין וגירושין) (תיקון - סמכות כריכת מזונות ילדים), התשפ"ה-2025</t>
  </si>
  <si>
    <t xml:space="preserve"> (פ/5616/25)</t>
  </si>
  <si>
    <t xml:space="preserve">הצעת חוק התכנון והבנייה (תיקון - הקלה לבניין קיים), התשפ"ה-2025 </t>
  </si>
  <si>
    <t xml:space="preserve"> (פ/5615/25)</t>
  </si>
  <si>
    <t xml:space="preserve">הצעת חוק הכניסה לישראל (תיקון - החמרת הענישה על הסעת שוהים בלתי חוקיים), התשפ"ה-2025</t>
  </si>
  <si>
    <t xml:space="preserve"> (פ/5613/25)</t>
  </si>
  <si>
    <t xml:space="preserve">הצעת חוק החלת החוק הישראלי על כל היישובים היהודיים בשטחי יהודה והשומרון, התשפ"ה-2025</t>
  </si>
  <si>
    <t xml:space="preserve"> (פ/5612/25)</t>
  </si>
  <si>
    <t xml:space="preserve">הצעת חוק חסינות לחיילי צה"ל באירועים מבצעיים, התשפ"ה-2025</t>
  </si>
  <si>
    <t xml:space="preserve"> (פ/5611/25)</t>
  </si>
  <si>
    <t xml:space="preserve">הצעת חוק לתיקון פקודת התעבורה (ביטול חובת קביעת אזורי חניה), התשפ"ה-2025</t>
  </si>
  <si>
    <t xml:space="preserve"> (פ/5610/25)</t>
  </si>
  <si>
    <t xml:space="preserve"> (פ/5608/25)</t>
  </si>
  <si>
    <t xml:space="preserve"> (פ/5605/25)</t>
  </si>
  <si>
    <t xml:space="preserve">הצעת חוק כליאת אסירים ביטחוניים, התשפ"ה-2025</t>
  </si>
  <si>
    <t xml:space="preserve"> (פ/5604/25)</t>
  </si>
  <si>
    <t xml:space="preserve">הצעת חוק איסור העסקת מחבלים משוחררים בשטחי מדינת ישראל, התשפ"ה-2025</t>
  </si>
  <si>
    <t xml:space="preserve"> (פ/5603/25)</t>
  </si>
  <si>
    <t xml:space="preserve">הצעת חוק הכרזה על ארגון "אדוני השממה" כארגון טרור, התשפ"ה-2025</t>
  </si>
  <si>
    <t xml:space="preserve"> (פ/5602/25)</t>
  </si>
  <si>
    <t xml:space="preserve">הצעת חוק מניעת פגיעת גוף שידורים זר בביטחון המדינה (הוראת שעה - חרבות ברזל) (תיקון - ביטול החוק), התשפ"ה-2025</t>
  </si>
  <si>
    <t xml:space="preserve"> (פ/5601/25)</t>
  </si>
  <si>
    <t xml:space="preserve">הצעת חוק סימון פרסומות המכילות תוכן שנוצר או נערך באמצעות בינה מלאכותית (תיקוני חקיקה), התשפ"ה-2025</t>
  </si>
  <si>
    <t xml:space="preserve"> (פ/5600/25)</t>
  </si>
  <si>
    <t xml:space="preserve">הצעת חוק סמכויות להתמודדות עם כלי טיס בלתי מאויש, התשפ"ה-2025</t>
  </si>
  <si>
    <t xml:space="preserve"> (פ/5599/25)</t>
  </si>
  <si>
    <t xml:space="preserve">הצעת חוק לתיקון פקודת העיריות (השתתפות עובדים במשרות אמון במכרזים פומביים לקבלת עובדים), התשפ"ה-2025</t>
  </si>
  <si>
    <t xml:space="preserve"> (פ/5598/25)</t>
  </si>
  <si>
    <t xml:space="preserve">הצעת חוק זכויות הסטודנט (תיקון - זכויות לסטודנטים הלומדים בחוץ לארץ), התשפ"ה-2025</t>
  </si>
  <si>
    <t xml:space="preserve"> (פ/5597/25)</t>
  </si>
  <si>
    <t xml:space="preserve"> (פ/5595/25)</t>
  </si>
  <si>
    <t xml:space="preserve">הצעת חוק ציונות כערך מנחה בפעולות הממשלה, התשפ"ה-2025</t>
  </si>
  <si>
    <t xml:space="preserve"> (פ/5594/25)</t>
  </si>
  <si>
    <t xml:space="preserve">הצעת חוק הגנת הצרכן (תיקון - חובת הצגת מספרי טלפון של מוקדי סיוע לצרכן בכניסה לרשתות שיווק מזון וחנויות), התשפ"ה-2025</t>
  </si>
  <si>
    <t xml:space="preserve"> (פ/5593/25)</t>
  </si>
  <si>
    <t xml:space="preserve">הצעת חוק מס להפחתת גודש התנועה באזור גוש דן (תיקון - פטור ממס לתושבי יישובים סמוכים לאזור גוש דן), התשפ"ה-2025</t>
  </si>
  <si>
    <t xml:space="preserve"> (פ/5591/25)</t>
  </si>
  <si>
    <t xml:space="preserve">הצעת חוק המרכז למורשת יהדות תוניסיה וג'רבה, התשפ"ה-2025</t>
  </si>
  <si>
    <t xml:space="preserve"> (פ/5590/25)</t>
  </si>
  <si>
    <t xml:space="preserve">הצעת חוק הסיוע המשפטי (תיקון - סיוע משפטי למטופל סיעודי), התשפ"ה-2025</t>
  </si>
  <si>
    <t xml:space="preserve"> (פ/5589/25)</t>
  </si>
  <si>
    <t xml:space="preserve">הצעת חוק הביטוח הלאומי (תיקון - ביטול שלילת קצבת שאירים מאלמנות שנישאו שנית), התשפ"ה-2025</t>
  </si>
  <si>
    <t xml:space="preserve"> (פ/5588/25)</t>
  </si>
  <si>
    <t xml:space="preserve">הצעת חוק לתיקון פקודת התעבורה (מס' 139) (רישיון להפעלת מונית חשמלית), התשפ"ה-2025 </t>
  </si>
  <si>
    <t xml:space="preserve"> (מ/1848)</t>
  </si>
  <si>
    <t xml:space="preserve">פרק ז' (חברות ממשלתיות) מתוך הצעת חוק התוכנית הכלכלית (תיקוני חקיקה ליישום המדיניות הכלכלית לשנת התקציב 2025), התשפ"ה-2024 </t>
  </si>
  <si>
    <t xml:space="preserve">09.03.2025</t>
  </si>
  <si>
    <t xml:space="preserve">פרק ז' (הקפאה והפחתה של דמי הבראה בשנת 2025) מתוך הצעת חוק ההתייעלות הכלכלית (תיקוני חקיקה להשגת יעדי התקציב לשנת התקציב 2025), התשפ"ה-2024 </t>
  </si>
  <si>
    <t xml:space="preserve">06.03.2025</t>
  </si>
  <si>
    <t xml:space="preserve">פרק ד' (תשתיות וביוב) מתוך הצעת חוק התוכנית הכלכלית (תיקוני חקיקה ליישום המדיניות הכלכלית לשנת התקציב 2025), התשפ"ה-2024 </t>
  </si>
  <si>
    <t xml:space="preserve">05.03.2025</t>
  </si>
  <si>
    <t xml:space="preserve">חוק הביטוח הלאומי (תיקון מס' 255), התשפ"ה–2025</t>
  </si>
  <si>
    <t xml:space="preserve"> (פ/4821/25)</t>
  </si>
  <si>
    <t xml:space="preserve"> (כ/1091)</t>
  </si>
  <si>
    <t xml:space="preserve">בתיקון זה לחוק הביטוח הלאומי נקבע כי אדם שלפני שירותו במילואים שוחרר משירות קבע, יחולו עליו הוראות פרק י"ב לחוק הביטוח הלאומי והתקנות שנקבעו לפיו, לעניין חישוב תגמול המילואים, כאילו היה עובד בעת שירותו בשירות הקבע, אף שלא התקיימו לגביו יחסי עבודה, אלא אם כן לטובתו הוא שחישוב התגמול ייעשה ללא התייחסות לשירות הקבע. תחילתו של החוק היא ביום 1 ביוני 2025, והוא יחול על תגמול המגיע בעד שירות מילואים שהחל ביום 7 באוקטובר 2023 או אחריו. </t>
  </si>
  <si>
    <t xml:space="preserve">הצעת חוק מעבר צה"ל דרומה (הוראת שעה - העדפת שירותים מהנגב), התשפ"ד-2024</t>
  </si>
  <si>
    <t xml:space="preserve"> (פ/4728/25)</t>
  </si>
  <si>
    <t xml:space="preserve">הצעת חוק זכויות החולה (תיקון - טיפול בזמן סביר), התשפ"ג-2023</t>
  </si>
  <si>
    <t xml:space="preserve"> (פ/3911/25)</t>
  </si>
  <si>
    <t xml:space="preserve">הצעת חוק סדר הדין הפלילי (סמכויות אכיפה – מעצרים) (תיקון מס' 23 – הוראת שעה) (החמרת תנאי שחרור בערובה של חשוד בעבירות חמורות), התשפ"ד–2024</t>
  </si>
  <si>
    <t xml:space="preserve"> (פ/2646/25)</t>
  </si>
  <si>
    <t xml:space="preserve"> (כ/985)</t>
  </si>
  <si>
    <t xml:space="preserve">04.03.2025</t>
  </si>
  <si>
    <t xml:space="preserve">הצעת חוק מניעת העסקת עובד הוראה בעל תואר אקדמי מהרשות הפלסטינית (תיקוני חקיקה), התשפ"ה-2024</t>
  </si>
  <si>
    <t xml:space="preserve"> (פ/5145/25)</t>
  </si>
  <si>
    <t xml:space="preserve">סעיף 17 (חוק גמלאות לנושאי משרה ברשויות השלטון) מתוך הצעת חוק ההתייעלות הכלכלית (תיקוני חקיקה להשגת יעדי התקציב לשנת התקציב 2025), התשפ"ה-2024 [פרק ד']</t>
  </si>
  <si>
    <t xml:space="preserve">סעיף 18 (גמלאות לראש הרשות וסגניו) מתוך הצעת חוק ההתייעלות הכלכלית (תיקוני חקיקה להשגת יעדי התקציב לשנת התקציב 2025), התשפ"ה-2024 [פרק ד']</t>
  </si>
  <si>
    <t xml:space="preserve">הצעת חוק הרשות הלאומית למאבק בעוני, התשפ"ד-2023</t>
  </si>
  <si>
    <t xml:space="preserve"> (פ/4013/25)</t>
  </si>
  <si>
    <t xml:space="preserve">03.03.2025</t>
  </si>
  <si>
    <t xml:space="preserve">הצעת חוק הקמת שדה תעופה בנבטים, התשפ"ה-2024</t>
  </si>
  <si>
    <t xml:space="preserve"> (פ/5235/25)</t>
  </si>
  <si>
    <t xml:space="preserve">חוק נציב תלונות הציבור על שופטים (תיקון מס' 6), התשפ"ה–2025</t>
  </si>
  <si>
    <t xml:space="preserve"> (פ/4691/25)</t>
  </si>
  <si>
    <t xml:space="preserve"> (כ/1058)</t>
  </si>
  <si>
    <t xml:space="preserve">נקבע כי בחירת נציב תלונות הציבור על השופטים תיעשה על ידי ועדה של שבעה חברים, שאלו חבריה: שר המשפטים, שר העבודה, חבר כנסת שתבחר הכנסת או ועדה מוועדותיה, שופט בדימוס שיבחרו שופטי בית המשפט העליון, שופט בדימוס שיבחרו הנשיאים של בתי המשפט המחוזיים, דיין בדימוס שיבחרו שני הרבנים הראשיים לישראל והסניגור הציבורי הארצי. כל אחד מחברי הוועדה יכול להציע עד שני מועמדים לתפקיד, וההחלטה על מינוי נציב תתקבל על דעת רוב החברים המכהנים בוועדה, כלומר, ככלל, ברוב של ארבעה חברים. הוועדה האמורה מוסמכת גם להעביר את הנציב מכהונתו או להשעותו, ברוב של חמישה מחבריה. ההסדר המוצע מחליף את ההסדר הקודם לפיו הנציב נבחר בידי הוועדה לבחירת שופטים, על פי הצעת שר המשפטים ונשיא בית המשפט העליון כאחד.</t>
  </si>
  <si>
    <t xml:space="preserve"> (פ/5587/25)</t>
  </si>
  <si>
    <t xml:space="preserve">הצעת חוק אסדרת חברות שמירה ושירותי אבטחה, התשפ"ה-2025</t>
  </si>
  <si>
    <t xml:space="preserve"> (פ/5586/25)</t>
  </si>
  <si>
    <t xml:space="preserve"> (פ/5583/25)</t>
  </si>
  <si>
    <t xml:space="preserve"> (פ/5582/25)</t>
  </si>
  <si>
    <t xml:space="preserve">הצעת חוק יחסי ממון בין בני זוג (תיקון - הסכמי ממון), התשפ"ה-2025</t>
  </si>
  <si>
    <t xml:space="preserve"> (פ/5581/25)</t>
  </si>
  <si>
    <t xml:space="preserve">הצעת חוק לתיקון פקודת בתי הסוהר (סמכויות חטיבת חלופות הכליאה והפיקוח), התשפ"ה-2025</t>
  </si>
  <si>
    <t xml:space="preserve"> (פ/5580/25)</t>
  </si>
  <si>
    <t xml:space="preserve">הצעת חוק עיגון סמכותו של שר הביטחון למנות ולפטר קצינים בצבא הגנה לישראל, התשפ"ה-2025</t>
  </si>
  <si>
    <t xml:space="preserve"> (פ/5579/25)</t>
  </si>
  <si>
    <t xml:space="preserve">הצעת חוק לתיקון פקודת התעבורה (איסור מתן רישיון נהיגה למסתנן), התשפ"ה-2025</t>
  </si>
  <si>
    <t xml:space="preserve"> (פ/5578/25)</t>
  </si>
  <si>
    <t xml:space="preserve">הצעת חוק משק החשמל (תיקון - תשלומי חשמל מופחתים לעולים בגיל פרישה שלא זכאים להשלמת הכנסה), התשפ"ה-2025</t>
  </si>
  <si>
    <t xml:space="preserve"> (פ/5577/25)</t>
  </si>
  <si>
    <t xml:space="preserve">הצעת חוק דיווח על הליך פלילי נגד תלמיד בעבירת טרור (תיקוני חקיקה), התשפ"ה-2025</t>
  </si>
  <si>
    <t xml:space="preserve"> (פ/5576/25)</t>
  </si>
  <si>
    <t xml:space="preserve">הצעת חוק איסור העברת כספים לרשות תומכת טרור (תיקוני חקיקה), התשפ"ה-2025</t>
  </si>
  <si>
    <t xml:space="preserve"> (פ/5575/25)</t>
  </si>
  <si>
    <t xml:space="preserve">הצעת חוק לביטול אזרחותו או תושבותו של מי שמתגורר בשטח רצועת עזה (תיקוני חקיקה), התשפ"ה-2025</t>
  </si>
  <si>
    <t xml:space="preserve"> (פ/5573/25)</t>
  </si>
  <si>
    <t xml:space="preserve">הצעת חוק עידוד עזיבה מרצון של תושבי יהודה והשומרון, התשפ"ה-2025</t>
  </si>
  <si>
    <t xml:space="preserve"> (פ/5572/25)</t>
  </si>
  <si>
    <t xml:space="preserve">הצעת חוק התכנון והבנייה (תיקון - הנחיות בדבר שיקולי ביטחון לאומי), התשפ"ה-2025</t>
  </si>
  <si>
    <t xml:space="preserve"> (פ/5571/25)</t>
  </si>
  <si>
    <t xml:space="preserve"> (פ/5570/25)</t>
  </si>
  <si>
    <t xml:space="preserve"> (פ/5569/25)</t>
  </si>
  <si>
    <t xml:space="preserve">הצעת חוק עידוד התיישבות בפריפריה, התשפ"ה-2025</t>
  </si>
  <si>
    <t xml:space="preserve"> (פ/5568/25)</t>
  </si>
  <si>
    <t xml:space="preserve">הצעת חוק לתיקון פקודת סדרי השלטון והמשפט (חקיקה באזור באמצעות צו), התשפ"ה-2025 </t>
  </si>
  <si>
    <t xml:space="preserve"> (פ/5567/25)</t>
  </si>
  <si>
    <t xml:space="preserve">הצעת חוק מקרקעין באזור יהודה והשומרון, התשפ"ה-2025</t>
  </si>
  <si>
    <t xml:space="preserve"> (פ/5565/25)</t>
  </si>
  <si>
    <t xml:space="preserve">הצעת חוק הסיוע המשפטי (תיקון - נפגעות ונפגעי הטרדה מינית), התשפ"ה-2025</t>
  </si>
  <si>
    <t xml:space="preserve"> (פ/5564/25)</t>
  </si>
  <si>
    <t xml:space="preserve">הצעת חוק הנכים (תגמולים ושיקום)(תיקון - החזר בשל אובדן הכנסה לבן משפחה של נכה ששוחרר מאשפוז), התשפ"ה-2025</t>
  </si>
  <si>
    <t xml:space="preserve"> (פ/5563/25)</t>
  </si>
  <si>
    <t xml:space="preserve">הצעת חוק עובדים זרים (תיקון - חובת מעסיק לבדיקת אשרה של עובד זר), התשפ"ד-2024</t>
  </si>
  <si>
    <t xml:space="preserve"> (פ/4346/25)</t>
  </si>
  <si>
    <t xml:space="preserve">26.02.2025</t>
  </si>
  <si>
    <t xml:space="preserve">סעיף 9(1) ו-14 (הכרה בהוצאות הכרוכות בהשבחת נכס) מתוך הצעת חוק ההתייעלות הכלכלית (תיקוני חקיקה להשגת יעדי התקציב לשנת התקציב 2025), התשפ"ה-2024 </t>
  </si>
  <si>
    <t xml:space="preserve">25.02.2025</t>
  </si>
  <si>
    <t xml:space="preserve">הצעת חוק מיסוי מקרקעין (שבח ורכישה) (תיקון - ייצוג נישום על ידי רואה חשבון ויועץ מס מייצג), התשפ"ה-2024</t>
  </si>
  <si>
    <t xml:space="preserve"> (פ/5108/25)</t>
  </si>
  <si>
    <t xml:space="preserve">חוק יום לציון מכתב 18 המשפחות היהודיות מגאורגיה, התשפ"ה–2025</t>
  </si>
  <si>
    <t xml:space="preserve"> (פ/3687/25)</t>
  </si>
  <si>
    <t xml:space="preserve"> (כ/1079)</t>
  </si>
  <si>
    <t xml:space="preserve">החוק קובע כי כי מדי שנה, ביום א' בכסלו, יקוים יום לציון מכתבן של 18 המשפחות היהודיות מגאורגיה. ביום זה יתקיים דיון מיוחד במליאת הכנסת וכן יתקיים טקס מרכזי ככל שתחליט על כך הממשלה. כמו כן, במוסדות החינוך תתקיים פעילות חינוכית ערכית בדבר מכתבן של 18 המשפחות היהודיות מגאורגיה, ככל שיחליט על כך שר החינוך. שר המורשת ממונה על ביצוע החוק. </t>
  </si>
  <si>
    <t xml:space="preserve">הצעת חוק הוראות פתיחה באש במרחב החיץ הביטחוני ברצועת עזה, התשפ"ה-2025</t>
  </si>
  <si>
    <t xml:space="preserve"> (פ/5561/25)</t>
  </si>
  <si>
    <t xml:space="preserve">24.02.2025</t>
  </si>
  <si>
    <t xml:space="preserve">הצעת חוק הרשויות המקומיות (פטור חיילים, נפגעי מלחמה ושוטרים מארנונה) (תיקון - פטור מארנונה לחייל מילואים שהוא סטודנט) (הוראת שעה), התשפ"ה-2025</t>
  </si>
  <si>
    <t xml:space="preserve"> (פ/5559/25)</t>
  </si>
  <si>
    <t xml:space="preserve"> (פ/5558/25)</t>
  </si>
  <si>
    <t xml:space="preserve">הצעת חוק העונשין (תיקון - ביטול סעיפי חילוט שטרי כסף מזוייפים וחיפוש וחילוט של ציוד לזיוף), התשפ"ה-2025</t>
  </si>
  <si>
    <t xml:space="preserve"> (פ/5557/25)</t>
  </si>
  <si>
    <t xml:space="preserve">הצעת חוק העונשין (תיקון - נשיאת מאסר במשמורת בקהילה), התשפ"ה-2025</t>
  </si>
  <si>
    <t xml:space="preserve"> (פ/5554/25)</t>
  </si>
  <si>
    <t xml:space="preserve">הצעת חוק לתיקון פקודת התעבורה (השגה וערר על דרישה לתשלום תעריף מוגדל), התשפ"ה-2025</t>
  </si>
  <si>
    <t xml:space="preserve"> (פ/5553/25)</t>
  </si>
  <si>
    <t xml:space="preserve">הצעת חוק התכנון והבנייה (תיקון - הקמת מבנים ארעיים בשטחים חקלאיים), התשפ"ה-2025</t>
  </si>
  <si>
    <t xml:space="preserve"> (פ/5551/25)</t>
  </si>
  <si>
    <t xml:space="preserve">הצעת חוק לתיקון פקודת התעבורה (אי-חידוש רישיון רכב), התשפ"ה-2025</t>
  </si>
  <si>
    <t xml:space="preserve"> (פ/5550/25)</t>
  </si>
  <si>
    <t xml:space="preserve"> (פ/5549/25)</t>
  </si>
  <si>
    <t xml:space="preserve">הצעת חוק הפיקוח על שירותים פיננסיים (ייעוץ, שיווק ומערכת סליקה פנסיוניים) (תיקון - הגבלת עמלת הפצה), התשפ"ה-2025</t>
  </si>
  <si>
    <t xml:space="preserve"> (פ/5548/25)</t>
  </si>
  <si>
    <t xml:space="preserve">הצעת חוק הגבלת פיטורי עובד שהתאלמן בתקופה הסמוכה לפטירת בן הזוג, התשפ"ה-2025</t>
  </si>
  <si>
    <t xml:space="preserve"> (פ/5546/25)</t>
  </si>
  <si>
    <t xml:space="preserve"> (פ/5545/25)</t>
  </si>
  <si>
    <t xml:space="preserve">הצעת חוק הביטוח הלאומי (תיקון - הדרכה בכפר נוער כעבודה מועדפת), התשפ"ה-2025</t>
  </si>
  <si>
    <t xml:space="preserve"> (פ/5544/25)</t>
  </si>
  <si>
    <t xml:space="preserve">הצעת חוק זכויות אחים מטפלים בנכי צה"ל (תיקוני חקיקה), התשפ"ה-2025</t>
  </si>
  <si>
    <t xml:space="preserve"> (פ/5543/25)</t>
  </si>
  <si>
    <t xml:space="preserve">הצעת חוק תשלומים לפדויי שבי ולחטופים ששוחררו (תיקון - זכאות לבן משפחה של חטוף ששוחרר), התשפ"ה-2025 </t>
  </si>
  <si>
    <t xml:space="preserve"> (פ/5542/25)</t>
  </si>
  <si>
    <t xml:space="preserve">הצעת חוק הביטוח הלאומי (תיקון - דמי אשפוז לעצמאים), התשפ"ה-2025 </t>
  </si>
  <si>
    <t xml:space="preserve"> (פ/5541/25)</t>
  </si>
  <si>
    <t xml:space="preserve"> (פ/5540/25)</t>
  </si>
  <si>
    <t xml:space="preserve">הצעת חוק בתי המשפט (תיקון - קביעת מותבים בבית המשפט העליון), התשפ"ה-2025</t>
  </si>
  <si>
    <t xml:space="preserve"> (פ/5539/25)</t>
  </si>
  <si>
    <t xml:space="preserve"> (פ/5538/25)</t>
  </si>
  <si>
    <t xml:space="preserve">הצעת חוק השיפוט הצבאי (תיקון - בדיקה פסיכיאטרית לחשוד או נאשם בעבירות היעדר מן השירות), התשפ"ה-2025</t>
  </si>
  <si>
    <t xml:space="preserve"> (פ/5537/25)</t>
  </si>
  <si>
    <t xml:space="preserve"> (פ/5536/25)</t>
  </si>
  <si>
    <t xml:space="preserve"> (פ/5534/25)</t>
  </si>
  <si>
    <t xml:space="preserve">הצעת חוק לתיקון סדרי הדין (חקירת עדים) (תיקון - מתן עדות שלא בפני הנאשם בעבירת נטילת דמי חסות), התשפ"ה-2025 </t>
  </si>
  <si>
    <t xml:space="preserve"> (פ/5533/25)</t>
  </si>
  <si>
    <t xml:space="preserve">הצעת חוק התכנון והבנייה (תיקון - מתן הקלה לבניין קיים), התשפ"ה-2025 </t>
  </si>
  <si>
    <t xml:space="preserve"> (פ/5531/25)</t>
  </si>
  <si>
    <t xml:space="preserve">הצעת חוק לתיקון פקודת העיריות (שכר לחבר מועצה), התשפ"ה-2025</t>
  </si>
  <si>
    <t xml:space="preserve"> (פ/5530/25)</t>
  </si>
  <si>
    <t xml:space="preserve">הצעת חוק השיפוט הצבאי (תיקון מס' 82) (הארכת משך תחולת החוק לגבי עבירות מין), התשפ"ה-2025 </t>
  </si>
  <si>
    <t xml:space="preserve"> (מ/1837)</t>
  </si>
  <si>
    <t xml:space="preserve">סעיף 25 (הארכת תוקף היתרים שפקעו) מתוך הצעת חוק התוכנית הכלכלית (תיקוני חקיקה ליישום המדיניות הכלכלית לשנת התקציב 2025), התשפ"ה-2024 [פוצל לפי סעיף 84(ב) לתקנון]</t>
  </si>
  <si>
    <t xml:space="preserve">23.02.2025</t>
  </si>
  <si>
    <t xml:space="preserve">סעיף 21(3) ו-(7) (אישור בשתיקה של גורמים מאשרים להיתר) מתוך הצעת חוק התוכנית הכלכלית (תיקוני חקיקה ליישום המדיניות הכלכלית לשנת התקציב 2025), התשפ"ה-2024 [פוצל לפי סעיף 84(ב) לתקנון] </t>
  </si>
  <si>
    <t xml:space="preserve">חוק לייעול האכיפה והפיקוח העירוניים ברשויות המקומיות (הוראת שעה) (תיקון מס' 15), התשפ"ה–2025</t>
  </si>
  <si>
    <t xml:space="preserve">19.02.2025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</si>
  <si>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15 לחוק, תוקן סעיף 23, כך שתוקפו של החוק הוארך לתקופת זמן נוספת ועד ליום ב' בניסן התשפ"ה (31 במרץ 2025). </t>
  </si>
  <si>
    <t xml:space="preserve">חוק הכניסה לישראל (תיקון מס' 40), התשפ"ה–2025</t>
  </si>
  <si>
    <t xml:space="preserve"> (פ/2455/25)</t>
  </si>
  <si>
    <t xml:space="preserve"> (כ/1067)</t>
  </si>
  <si>
    <t xml:space="preserve">נקבע כי בנוסף לאיסור על מתן רישיון כניסה או אשרה לישראל הקיים על הקורא לחרם על ישראל, לא יינתנו, ככלל, אשרה ורישיון ישיבה כאמור גם למי שפרסם דברי הכחשת השואה כמשמעותם בחוק איסור הכחשת השואה, למי שפרסם דברי הכחשת טבח ה-7 באוקטובר כמשמעותם בחוק איסור הכחשת טבח 7 באוקטובר, וכן למי שפרסם דברי תמיכה בהעמדה לדין של אזרחים ישראלים במדינת חוץ או בבית דין בין־לאומי בשל פעולות שעשו במסגרת תפקידם בצבא הגנה לישראל או באחת מזרועות הביטחון של מדינת ישראל. </t>
  </si>
  <si>
    <t xml:space="preserve">הצעת חוק לא תעמוד על דם רעך (תיקון - חובה לפעול להחזרת החטופים), התשפ"ה-2024</t>
  </si>
  <si>
    <t xml:space="preserve"> (פ/5195/25)</t>
  </si>
  <si>
    <t xml:space="preserve">הצעת חוק המאבק בטרור (תיקון - החמרה בענישה בשל עבירה שהיא מעשה טרור), התשפ"ד-2024</t>
  </si>
  <si>
    <t xml:space="preserve"> (פ/4870/25)</t>
  </si>
  <si>
    <t xml:space="preserve">הצעת חוק להגנה על אנשי ציבור ישראלים מפני פעילות של בית הדין הפלילי הבין-לאומי בהאג כנגד מדינת ישראל, התשפ"ד-2024</t>
  </si>
  <si>
    <t xml:space="preserve"> (פ/4711/25)</t>
  </si>
  <si>
    <t xml:space="preserve">הצעת חוק ביטוח בריאות ממלכתי (תיקון - החזר דמי נסיעה באמבולנס למי שהגיע לגיל פרישה), התשפ"ג-2023</t>
  </si>
  <si>
    <t xml:space="preserve"> (פ/2817/25)</t>
  </si>
  <si>
    <t xml:space="preserve">הצעת חוק לתיקון פקודת הנמלים (פרק הזמן המרבי למתן שירות מקדים לפריקת מטען מאוניות), התשפ"ג-2023</t>
  </si>
  <si>
    <t xml:space="preserve"> (פ/1585/25)</t>
  </si>
  <si>
    <t xml:space="preserve">סעיף 8(4), (6) ו-12 (חובת דיווח של זירות מקוונות לביצוע עסקאות להשכרת מקרקעין) מתוך הצעת חוק ההתייעלות הכלכלית (תיקוני חקיקה להשגת יעדי התקציב לשנת התקציב 2025), התשפ"ה-2024 </t>
  </si>
  <si>
    <t xml:space="preserve">18.02.2025</t>
  </si>
  <si>
    <t xml:space="preserve">חוק להסדרה של הצבת כוורות, האבקה וייצור דבש, התשפ"ה–2025</t>
  </si>
  <si>
    <t xml:space="preserve"> (מ/1622)</t>
  </si>
  <si>
    <t xml:space="preserve">17.02.2025</t>
  </si>
  <si>
    <t xml:space="preserve">החוק מסדיר הצבה של כוורות, האבקה וייצור דבש באופן מקיף ורחב, בשים לב למאפייניו הייחודיים של ענף הדבש. החוק מחליף את האסדרה הקודמת בתחום, שהייתה מעוגנת בחקיקת משנה בלבד, בצו הפיקוח על מצרכים ושירותים (ייצור דבש ומכירתו), התשל"ז–1977 ובתקנות להשבחת ייצור חקלאי (בעלי חיים) (דבורים), התשכ"ח–1968 (להלן – הדין הקודם). החוק קובע כי סמכויות האסדרה שהיו נתונות בדין הקודם למועצה להאבקה ודבש, שהיא חברה לתועלת הציבור, יועברו למשרד החקלאות וביטחון המזון. בהתאם לכך, תוקם ועדת היתרים שתפעל במסגרת המשרד, שתהיה מוסמכת לקבוע נקודות הצבה במקרקעי ציבור, שבהן ניתן יהיה להציב כוורות וכן היא תהיה מוסמכת לתת היתרים לדבוראים לשם הצבת כוורות מאוכלסות בנקודות ההצבה. הגדרת "מקרקעי ציבור" בחוק כוללת את מקרקעי ישראל ומקרקעין של רשות מקומית, למעט מקום המשמש למגורים והחצר הצמודה אליו. ועדת ההיתרים תורכב משלושה חברים שימנה שר החקלאות וביטחון המזון: שני נציגי המשרד שאחד יכהן כיושב ראש הוועדה, ונציג ציבור שהוא איש סגל אקדמי בכיר, וכן משקיף (ללא זכות הצבעה) מטעם המועצה להאבקה ודבש. בנוסף, אם יתקין השר תקנות בעניין תנאים להכרה בארגון הפועל לקידום עניינם של הדבוראים כארגון יציג, ימונה משקיף נוסף בוועדת ההיתרים מטעם הארגון היציג.  לפי החוק, בשלב הראשון ועדת ההיתרים תקבע את נקודות ההצבה במקרקעי ציבור, כך שהצבה בסוגים מסוימים של מקרקעי ציבור, כמו שמורת טבע או שטח ביטחוני, תחויב באישור של הגורם המוסמך לכך, ובמקרקעי ציבור המוחזקים על ידי בעל היתר מרשות מקרקעי ישראל – לאחר שניתנה למחזיק זכות טיעון. בשלב השני, ועדת ההיתרים תעניק היתרים להצבת כוורות בתום הליך למתן היתרים שיבוצע, ככלל, אחת לשלוש שנים, אך במקרים מסוימים גם בתדירות נמוכה יותר, והיא תפרסם הודעה על קיום ההליך באתר האינטרנט של המשרד. תוקף ההיתר יהיה, ככלל, לשלוש שנים. היתרי ההצבה יינתנו על בסיס היתרים קודמים, תוך התחשבות בצורך במתן ההיתרים למבקשים חדשים ובהקצאה שוויונית של נקודות הצבה ובשים לב לצורך למנוע ככל האפשר ריכוזיות בהחזקת היתרים. זאת ועוד, נקבעו הוראות לעניין אופן הגשת הבקשות למתן היתרים, הסייגים למתן היתר, התנאים בהתקיימם הוועדה רשאית להתלות היתר, לשנותו או לבטלו, וכן המקרים בהם הוועדה רשאית לסרב לתת היתר, כמו למשל אי עמידה של המבקש בהוראות החוק או הרשעות פליליות שלו.  לעניין הצבת כוורות במקרקעין פרטיים שאינה דרושה היתר, החוק קובע כי הצבה כאמור תהיה מחויבת לעמוד בדרישות החוק הנוגעות להצבת כוורות לשם מתן שירותי האבקה במקרקעי ציבור, וכן בעמידה בהוראות התקנות שהשר רשאי להתקין בעניין, אם יותקנו. עוד קובע החוק כי הצבת כוורות מאוכלסות במקרקעי ציבור לשם מתן שירותי האבקה לגידולים חקלאיים אינה טעונה היתר, אך יחולו לגביה כמה תנאים: על המציב להיות דבוראי בעל היתר הצבה במקום אחר ועליו לדווח לוועדת ההיתרים בטרם ההצבה; וכן על ההצבה להיעשות בכפוף לתנאי החוק לעניין תקופת ההצבה, סוגי גידולים המנויים בתוספת לחוק ומספר הכוורות שמותר להציב.  לגבי תפקידיה של המועצה להאבקה ודבש, החוק קובע כי המועצה לא תמלא עוד תפקידים רגולטוריים אלא תעסוק, בין היתר, בקידום הרמה המקצועית של הדבוראים, בייעול שיטות הטיפול בכוורות ובהבטחת אספקה מרוכזת של אמצעי ייצור וביטוח למגדלים. בשל עיגון מעמדה של המועצה ותפקידיה בחוק, מוחלות עליה בחוק חובות שונות, כמו למשל חובות על עובדי המועצה הממלאים תפקידים לפי חוק, בדומה לחובות החלות על עובדי המדינה. כמו כן, נקבע כי שר החקלאות וביטחון המזון רשאי להחליט כי המועצה להאבקה ודבש תספק לוועדת ההיתרים שירותים הדרושים לפעילותה של הוועדה. בנוסף, החוק מסמיך את השר, באישור שר האוצר ובאישור ועדת הכלכלה של הכנסת, לקבוע בתקנות, בתוך שנתיים מיום תחילתו של החוק, היטלים שישולמו למועצה בעבור הצבה. עד לקביעת התקנות, בעל היתר הצבה ישלם למועצה היטל שנתי בסך של 30 שקלים חדשים בעבור כל כוורת.  החוק קובע הוראות מעבר, שלפיהן היתרים שניתנו לפני תחילתו של החוק ובהתאם לדין הקודם, יעמדו בתוקפם עד לקיומו של הליך ראשון למתן היתרים לפי החוק. בנוסף, נקבע כי במשך תקופה של חמש שנים מיום התחילה, ועדת ההיתרים רשאית לתת היתר להצבת כוורות מאוכלסות במקרקעי ציבור גם בהיעדר אישור הגורם המוסמך כאמור, אם במשך שלוש השנים שלפני יום התחילה ניתן היתר הצבה במקרקעין האמורים. כמו כן נקבעו הוראות בנוגע להעברת מידע מהמועצה להאבקה ודבש אל משרד החקלאות בשל סמכויות האסדרה שהיו נתונות לה בדין הקודם. החוק ייכנס לתוקף בתום שנה מיום פרסומו ברשומות, אך שר החקלאות וביטחון המזון רשאי, בצו, באישור ועדת הכלכלה, לדחות את יום התחילה בתקופות נוספות שלא יעלו במצטבר על שנה.  </t>
  </si>
  <si>
    <t xml:space="preserve">הצעת חוק הפיקוח על שירותים פיננסיים (ביטוח) (תיקון - שקיפות, כללי אתיקה וחובת התקשרות עם סוכני ביטוח), התשפ"ה-2025</t>
  </si>
  <si>
    <t xml:space="preserve"> (פ/5529/25)</t>
  </si>
  <si>
    <t xml:space="preserve"> (פ/5528/25)</t>
  </si>
  <si>
    <t xml:space="preserve">הצעת חוק לעידוד השקעות הון (תיקון - מרכזים לוגיסטיים), התשפ"ה-2025</t>
  </si>
  <si>
    <t xml:space="preserve"> (פ/5525/25)</t>
  </si>
  <si>
    <t xml:space="preserve">הצעת חוק הגנה על ריבונות ישראלית והגבלת שיתוף פעולה עם בית הדין הפלילי הבין-לאומי, התשפ"ה-2025</t>
  </si>
  <si>
    <t xml:space="preserve"> (פ/5524/25)</t>
  </si>
  <si>
    <t xml:space="preserve">הצעת חוק הביטוח הלאומי (תיקון - עבודות בתחומי החינוך, התרבות והספורט כעבודות מועדפות), התשפ"ה-2025</t>
  </si>
  <si>
    <t xml:space="preserve"> (פ/5523/25)</t>
  </si>
  <si>
    <t xml:space="preserve">הצעת חוק מערך רפואה מונעת בגוף ביטחוני, התשפ"ה-2025</t>
  </si>
  <si>
    <t xml:space="preserve"> (פ/5522/25)</t>
  </si>
  <si>
    <t xml:space="preserve">הצעת חוק תגמולים לבני משפחה של חטופים ונעדרים בפעולת איבה (תיקון - זכאות לאחר חזרת חטוף או נעדר), התשפ"ה-2025</t>
  </si>
  <si>
    <t xml:space="preserve"> (פ/5521/25)</t>
  </si>
  <si>
    <t xml:space="preserve">הצעת חוק יום הרבי מלובביץ' (ציון פועלו), התשפ"ה-2025</t>
  </si>
  <si>
    <t xml:space="preserve"> (פ/5520/25)</t>
  </si>
  <si>
    <t xml:space="preserve">הצעת חוק שירות הציבור (תקופת חופשה ללא תשלום), התשפ"ה-2025</t>
  </si>
  <si>
    <t xml:space="preserve"> (פ/5519/25)</t>
  </si>
  <si>
    <t xml:space="preserve">הצעת חוק לביטול ההפליה ברכישת מקרקעין ביהודה והשומרון, התשפ"ה- 2025</t>
  </si>
  <si>
    <t xml:space="preserve"> (פ/5518/25)</t>
  </si>
  <si>
    <t xml:space="preserve">הצעת חוק מאבק בארגוני פשיעה (תיקון - החמרת הענישה כנגד ארגוני סחיטה ושחיתות), התשפ"ה-2025</t>
  </si>
  <si>
    <t xml:space="preserve"> (פ/5517/25)</t>
  </si>
  <si>
    <t xml:space="preserve">הצעת חוק הרשויות המקומיות (גמול השתתפות בישיבות והחזר הוצאות לחברי מועצה), התשפ"ה-2025</t>
  </si>
  <si>
    <t xml:space="preserve"> (פ/5516/25)</t>
  </si>
  <si>
    <t xml:space="preserve">הצעת חוק התכנון והבנייה (תיקון - חדרי הנקה בבניינים ציבוריים), התשפ"ה-2025</t>
  </si>
  <si>
    <t xml:space="preserve"> (פ/5514/25)</t>
  </si>
  <si>
    <t xml:space="preserve">הצעת חוק העונשין (תיקון - בעילה אסורה בהסכמה תוך ניצול מעמד ציבורי מיוחד), התשפ"ה-2025</t>
  </si>
  <si>
    <t xml:space="preserve"> (פ/5513/25)</t>
  </si>
  <si>
    <t xml:space="preserve">הצעת חוק דיווח על הליך פלילי בעבירת טרור נגד תלמיד (תיקוני חקיקה), התשפ"ה-2025</t>
  </si>
  <si>
    <t xml:space="preserve"> (פ/5511/25)</t>
  </si>
  <si>
    <t xml:space="preserve">הצעת חוק איסור הפליה במוצרים, בשירותים ובכניסה למקומות בידור ולמקומות ציבוריים (תיקון - איסור הפליה בשל נשיאת נשק), התשפ"ה-2025</t>
  </si>
  <si>
    <t xml:space="preserve"> (פ/5510/25)</t>
  </si>
  <si>
    <t xml:space="preserve">הצעת חוק התגמולים לנפגעי פעולות איבה (תיקון - הארכת מועד לתביעת גמלה והתקופה שבעדה תשולם), התשפ"ה-2025</t>
  </si>
  <si>
    <t xml:space="preserve"> (פ/5509/25)</t>
  </si>
  <si>
    <t xml:space="preserve">הצעת חוק לביטול הפליה ברכישת מקרקעין ביהודה והשומרון, התשפ"ה-2024</t>
  </si>
  <si>
    <t xml:space="preserve"> (פ/5090/25)</t>
  </si>
  <si>
    <t xml:space="preserve">13.02.2025</t>
  </si>
  <si>
    <t xml:space="preserve">הצעת חוק חסינות חברי הכנסת, זכויותיהם וחובותיהם (תיקון - כינוס ועדת האתיקה וסמכויותיה בקשר למסירת מידע לכנסת על ידי שרים), התשפ"ה-2024</t>
  </si>
  <si>
    <t xml:space="preserve"> (פ/5230/25)</t>
  </si>
  <si>
    <t xml:space="preserve">12.02.2025</t>
  </si>
  <si>
    <t xml:space="preserve">הצעת חוק אזור סחר חופשי באילת (פטורים והנחות ממסים) (תיקון - אזור קו עימות) (הוראת שעה - חרבות ברזל), התשפ"ה-2024</t>
  </si>
  <si>
    <t xml:space="preserve"> (פ/5218/25)</t>
  </si>
  <si>
    <t xml:space="preserve">הצעת חוק בתי דין רבניים (הקדשות רבניים), התשפ"ד-2024</t>
  </si>
  <si>
    <t xml:space="preserve"> (פ/4560/25)</t>
  </si>
  <si>
    <t xml:space="preserve">הצעת חוק התכנון והבנייה (תיקון - הקמת ועדה מיוחדת לקידום והסדרת התכנון ביישובים הדרוזים) (הוראת שעה), התשפ"ג-2023</t>
  </si>
  <si>
    <t xml:space="preserve"> (פ/1840/25)</t>
  </si>
  <si>
    <t xml:space="preserve">הצעת חוק יסוד: משאל עם - תיקון</t>
  </si>
  <si>
    <t xml:space="preserve">10.02.2025</t>
  </si>
  <si>
    <t xml:space="preserve">הצעת חוק זכאות לאבחון לקויות למידה לילדים ממשפחות מעוטות יכולת, התשפ"ג-2023</t>
  </si>
  <si>
    <t xml:space="preserve"> (פ/1531/25)</t>
  </si>
  <si>
    <t xml:space="preserve"> (פ/1397/25)</t>
  </si>
  <si>
    <t xml:space="preserve">הצעת חוק להסדרת המגורים בשטחי מרעה, התשפ"ד-2024</t>
  </si>
  <si>
    <t xml:space="preserve"> (פ/4787/25)</t>
  </si>
  <si>
    <t xml:space="preserve">הצעת חוק להסדרת המגורים בשטחי מרעה, התשפ"ג-2023</t>
  </si>
  <si>
    <t xml:space="preserve"> (פ/3551/25)</t>
  </si>
  <si>
    <t xml:space="preserve">הצעת חוק להטמעת מורשת יהדות ספרד והמזרח במערכת החינוך וההשכלה הגבוהה, התשפ"ג-2023</t>
  </si>
  <si>
    <t xml:space="preserve"> (פ/3758/25)</t>
  </si>
  <si>
    <t xml:space="preserve">חוק שירותי תעופה (פיצוי וסיוע בשל ביטול טיסה או שינוי בתנאיה) (תיקון מס' 2 והוראת שעה – חרבות ברזל), התשפ"ה–2025</t>
  </si>
  <si>
    <t xml:space="preserve"> (מ/1755)</t>
  </si>
  <si>
    <t xml:space="preserve">התיקון מסמיך את שר התחבורה והבטיחות בדרכים, לאחר התייעצות עם שר הכלכלה והתעשייה ובאישור ועדת הכלכלה, לקבוע בצו התאמות לעניין חובותיהן של חברות תעופה לפי החוק לתת הטבות לנוסעים, במקרה של ביטול טיסה, איחור במועד המראתה או הקדמתה בעקבות הכרזה על מצב חירום ("מצב מיוחד" בלשון החוק) שנמשך יותר מ-14 ימים. "מצב מיוחד" מוגדר בחוק כמצב מיוחד בעורף, הכרזה על אירוע חירום אזרחי (דוגמת אסון טבע) או מצב חירום בריאותי לפי חוק (דוגמת המצב ששרר עקב מגפת הקורונה).   לפי התיקון, אלה ההתאמות שהשר יהיה רשאי לקבוע בצו כאמור במקרה שבו הוכרז על מצב מיוחד:  -הגבלת מספר הלילות שחברת תעופה תהיה חייבת להלין נוסע שטיסתו בוטלה או שתנאיה שונו, למספר לילות שלא יפחת משני לילות. הפעלת סמכות זו מותנית בכך שהשר שוכנע כי בשל מצב החירום יש פגיעה משמעותית בהיצע של טיסות מישראל ואליה.  -צמצום החובה של חברת תעופה להציע לנוסע כרטיס טיסה חלופי, ובלבד שמדובר בחברת תעופה שהפסיקה לחלוטין את טיסותיה לישראל וממנה. השר יהיה רשאי לקבוע בצו כי על החברה תחול חובה של "ביצוע בקירוב", קרי החובה להציע לנוסע כרטיס טיסה שתנאיו דומים ככל האפשר לתנאים של הטיסה המקורית, ובכלל זה כרטיס טיסה שנקודת המוצע שלה או היעד שלה שונים מהטיסה המקורית, וזאת במטרה לסייע לנוסע להגיע ליעד הנקוב בכרטיס הטיסה המקורי שהונפק לו.  -צמצום תקופת ההודעה מראש על ביטול טיסה או הקדמתה ביותר משמונה שעות, וכן ביטול זכות הנוסע לפיצוי בשל ביטול או הקדמה כאמור, אם שוכנע השר כי בשל מצב החירום יכולת חברות התעופה לתכנן את לוח הטיסות נפגעה באופן משמעותי.  עוד נקבע כי חברות תעופה וסוכנויות נסיעות חייבות להודיע לנוסעים שרכשו כרטיס טיסה לפני קביעת הצו, על ההתאמות בזכויותיהם שנקבעו בצו האמור. בנוסף, התיקון קובע הוראת שעה לעניין מלחמת "חרבות ברזל", שבמסגרתה נקבעו התאמות בהטבות שחברות התעופה מחויבות להעניק לנוסעים עקב ביטול טיסה, איחור במועד המראתה או הקדמתה. לפי הוראת השעה, נוסע שרכש כרטיס טיסה שמועד המראתה היה באחת מתקופות המפורטות להלן (שנקבעו בשל אירועים ביטחוניים משמעותיים שהתרחשו בהן), לא זכאי לפיצוי כספי בשל ביטול הטיסה או הקדמתה: 07.10.23-30.11.23; 12.04.24-18.04.24; 03.08.24-08.08.24; 01.10.24-05.10.24.  עוד נקבע שנוסע שקנה כרטיס טיסה שמועד המראתה הוא בין 01.12.23-29.02.24 לא יהיה זכאי לפיצוי עקב ביטול או הקדמת מועד טיסה, אם חברת התעופה הוכיחה שמסרה לנוסע הודעה על כך 3 ימים מראש.כמו כן, נקבע כי התאמות אלו לא יחולו על תביעות לפיצוי שהוגשו טרם כניסת תיקון זה לתוקף, שבהן החליט בית המשפט כי הנוסע זכאי לפיצוי מכוח החוק. בנוסף נקבע שבמהלך התקופה שבה עומדת בתוקפה ההכרזה על מצב חירום עקב מלחמת "חרבות ברזל", חלה על חברות התעופה שהפסיקו לחלוטין את טיסותיהן לישראל החובה להציע לנוסע כרטיס טיסה שתנאיו דומים ככל האפשר לתנאים של הטיסה המקורית, ובכלל זה כרטיס טיסה שנקודת המוצע שלה או היעד שלה שונים מהטיסה המקורית, או לחלופין להשיב לו את המחיר ששולם בעד כרטיס הטיסה. זאת, במטרה לסייע לנוסע להגיע ליעד הנקוב בכרטיס הטיסה המקורי שהונפק לו.  </t>
  </si>
  <si>
    <t xml:space="preserve">חוק לתיקון פקודת סימני מסחר (מס' 9), התשפ"ה–2025 </t>
  </si>
  <si>
    <t xml:space="preserve"> (מ/1819)</t>
  </si>
  <si>
    <t xml:space="preserve">מטרת החוק המתקן היא להתאים את הוראות פקודת סימני מסחר [נוסח חדש], התשל"ב–1972, למחויבויותיה הבין-לאומיות של מדינת ישראל הנובעות מהפרוטוקול המתייחס להסכם מדריד בנוגע לרישום בין-לאומי של סימני מסחר (להלן – פרוטוקול מדריד), שישראל היא מדינה חברה בו.  פרוטוקול מדריד קובע הליך לרישום בין-לאומי של סימני מסחר, שבהתאם לו בעל הסימן רשאי להגיש למשרד הבין-לאומי של הארגון הבין-לאומי לקניין רוחני בקשה אחת לרישומו של הסימן, ולרשום את סימן המסחר על סמך אותה בקשה בכל המדינות החברות בפרוטוקול כפי שביקש. לאחר רישום סימן המסחר הבין-לאומי, בעל הסימן יכול לעשות פעולות שונות בסימן, כגון שינוי הבעלות בו, באופן מרוכז דרך המשרד הבין-לאומי. מכאן, שרישום סימן מסחר בהתאם להוראות הפרוטוקול חוסך לבעל הסימן זמן ומשאבים משמעותיים. החוק המתקן מתאים את הוראות הדין הישראלי לפרשנות חדשה להוראות פרוטוקול מדריד, שעוגנה בתיקונים לתקנות מכוח הפרוטוקול, בכך שהוא קובע שרישום סימן מסחר בין-לאומי יבוא במקום רישום סימן המסחר הלאומי-הישראלי, גם אם סימן המסחר הבין-לאומי רשום, לעניין ישראל, רק לגבי חלק מהטובין שלגביהם רשום הסימן הלאומי, וזאת לעניין אותם טובין. בנוסף, ובהתאם להוראות פרוטוקול מדריד, החוק המתקן קובע כי ציון החלפה זו בפנקס סימני המסחר ייעשה לבקשת מי שסימן המסחר הלאומי רשום על שמו. הוראותיו האמורות החוק של המתקן, המיטיבות עם ציבור בעלי סימני המסחר, נכנסו לתוקף ב-1.2.2025, כנדרש לפי התיקונים מכוח הפרוטוקול, והן חלות גם לגבי סימן מסחר בין-לאומי שבמועד האמור הייתה תלויה ועומדת לגביו בקשה המייעדת את ישראל. </t>
  </si>
  <si>
    <t xml:space="preserve">הצעת חוק התקשורת (בזק ושידורים) (תיקון - הרשות והמועצה לתקשורת משודרת), התשפ"ה-2025</t>
  </si>
  <si>
    <t xml:space="preserve"> (פ/5506/25)</t>
  </si>
  <si>
    <t xml:space="preserve">הצעת חוק מאבק בארגוני פשיעה (תיקון - הרחבת הענישה על עבירות גניבת רכב כדין ענישה בגין חברות בארגון פשיעה), התשפ"ה-2025</t>
  </si>
  <si>
    <t xml:space="preserve"> (פ/5505/25)</t>
  </si>
  <si>
    <t xml:space="preserve">הצעת חוק עקרונות לפדיון שבויים, התשפ"ה-2025 </t>
  </si>
  <si>
    <t xml:space="preserve"> (פ/5501/25)</t>
  </si>
  <si>
    <t xml:space="preserve"> (פ/5500/25)</t>
  </si>
  <si>
    <t xml:space="preserve">הצעת חוק החלת הריבונות הישראלית על בקעת הירדן, התשפ"ה-2025</t>
  </si>
  <si>
    <t xml:space="preserve"> (פ/5499/25)</t>
  </si>
  <si>
    <t xml:space="preserve">הצעת חוק למניעת הטרדה מינית (תיקון - חשיפת זהותו של מטריד ברשת תקשורת אלקטרונית), התשפ"ה-2025</t>
  </si>
  <si>
    <t xml:space="preserve"> (פ/5498/25)</t>
  </si>
  <si>
    <t xml:space="preserve"> (פ/5497/25)</t>
  </si>
  <si>
    <t xml:space="preserve">הצעת חוק-יסוד: הצבא (תיקון - שמירה על אורח חיים דתי)</t>
  </si>
  <si>
    <t xml:space="preserve"> (פ/5496/25)</t>
  </si>
  <si>
    <t xml:space="preserve">הצעת חוק-יסוד: הצבא (תיקון - עקרונות היסוד של הצבא)</t>
  </si>
  <si>
    <t xml:space="preserve"> (פ/5495/25)</t>
  </si>
  <si>
    <t xml:space="preserve">הצעת חוק העונשין (תיקון - הכרה באינוס גברים), התשפ"ה-2025</t>
  </si>
  <si>
    <t xml:space="preserve"> (פ/5493/25)</t>
  </si>
  <si>
    <t xml:space="preserve"> (פ/5492/25)</t>
  </si>
  <si>
    <t xml:space="preserve">הצעת חוק הביטוח הלאומי (תיקון - שלילת זכויות סוציאליות לאדם שהורשע ברצח או בניסיון לרצח על רקע לאומני), התשפ"ה-2025</t>
  </si>
  <si>
    <t xml:space="preserve"> (פ/5491/25)</t>
  </si>
  <si>
    <t xml:space="preserve">הצעת חוק תשלומים לפדויי שבי ולחטופים ששוחררו (תיקון - זכאות לבן משפחה של חטוף ששוחרר), התשפ"ה-2025</t>
  </si>
  <si>
    <t xml:space="preserve"> (פ/5490/25)</t>
  </si>
  <si>
    <t xml:space="preserve">הצעת חוק-יסוד: הכנסת (תיקון - הפחתת הרוב הדרוש להפסקת חברותו של חבר הכנסת)</t>
  </si>
  <si>
    <t xml:space="preserve"> (פ/5489/25)</t>
  </si>
  <si>
    <t xml:space="preserve">הצעת חוק צער בעלי חיים (הגנה על בעלי חיים) (תיקון - איסור שימוש בבעלי חיים במוסד חינוך או תרבות), התשפ"ה-2025</t>
  </si>
  <si>
    <t xml:space="preserve"> (פ/5488/25)</t>
  </si>
  <si>
    <t xml:space="preserve">הצעת חוק עובדים זרים (תיקון - הגבלת שכר טרחת עורך דין), התשפ"ה-2025</t>
  </si>
  <si>
    <t xml:space="preserve"> (פ/5487/25)</t>
  </si>
  <si>
    <t xml:space="preserve">הצעת חוק המוהלים, התשפ"ה-2025</t>
  </si>
  <si>
    <t xml:space="preserve"> (פ/5486/25)</t>
  </si>
  <si>
    <t xml:space="preserve">הצעת חוק למניעת מפגעים (בטיחות מקררים) (תיקון - ביטול איסור הפקרת מקרר), התשפ"ה-2025</t>
  </si>
  <si>
    <t xml:space="preserve"> (פ/5485/25)</t>
  </si>
  <si>
    <t xml:space="preserve">הצעת חוק-יסוד: הכנסת (תיקון - הצהרת אמונים של חבר הכנסת) </t>
  </si>
  <si>
    <t xml:space="preserve"> (פ/5484/25)</t>
  </si>
  <si>
    <t xml:space="preserve">הצעת חוק הביטוח הלאומי (תיקון - גמלת אבל לעצמאים), התשפ״ה-2025</t>
  </si>
  <si>
    <t xml:space="preserve"> (פ/5483/25)</t>
  </si>
  <si>
    <t xml:space="preserve">הצעת חוק העונשין (תיקון - המאבק בפוליגמיה), התשפ"ה-2025</t>
  </si>
  <si>
    <t xml:space="preserve"> (פ/5482/25)</t>
  </si>
  <si>
    <t xml:space="preserve">הצעת חוק הגנת הצרכן (תיקון - ביטול עסקת מכר מרחוק למתן שירותי תיירות בישראל), התשפ"ה-2025</t>
  </si>
  <si>
    <t xml:space="preserve"> (פ/5481/25)</t>
  </si>
  <si>
    <t xml:space="preserve">הצעת חוק המקרקעין (תיקון - בנייה או הרחבה של מרחב מוגן דירתי לאדם עם מוגבלות), התשפ"ה-2025</t>
  </si>
  <si>
    <t xml:space="preserve"> (פ/5480/25)</t>
  </si>
  <si>
    <t xml:space="preserve">הצעת חוק חסיון שמות ראש המטה הכללי, ראש המוסד למודיעין ולתפקידים מיוחדים וראש שירות הביטחון הכללי, התשפ"ה-2025</t>
  </si>
  <si>
    <t xml:space="preserve"> (פ/5479/25)</t>
  </si>
  <si>
    <t xml:space="preserve">הצעת חוק דרישת פירוט מקורות רכוש בלתי מוסבר מאדם הפעיל בארגון פשיעה, התשפ״ה-2025</t>
  </si>
  <si>
    <t xml:space="preserve"> (פ/5478/25)</t>
  </si>
  <si>
    <t xml:space="preserve">הצעת חוק הוקרה לאזרחים נושאי נשק ברישיון פרטי שהצילו חיים בפיגוע, התשפ"ה-2025</t>
  </si>
  <si>
    <t xml:space="preserve"> (פ/5477/25)</t>
  </si>
  <si>
    <t xml:space="preserve">הצעת חוק-יסוד: רמת הגולן </t>
  </si>
  <si>
    <t xml:space="preserve"> (פ/5476/25)</t>
  </si>
  <si>
    <t xml:space="preserve">הצעת חוק הסיוע המשפטי (תיקון - העמדת סיוע לנפגע פעולות איבה), התשפ"ה-2025</t>
  </si>
  <si>
    <t xml:space="preserve"> (פ/5475/25)</t>
  </si>
  <si>
    <t xml:space="preserve">הצעת חוק ועדת חקירה ממלכתית בגין אירועי 7 באוקטובר ומלחמת חרבות ברזל, התשפ"ה-2025</t>
  </si>
  <si>
    <t xml:space="preserve"> (פ/5474/25)</t>
  </si>
  <si>
    <t xml:space="preserve">חוק הגנה על עובדים בשעת חירום (תיקון מס' 5 והוראת שעה – חרבות ברזל) (תיקון מס' 3), התשפ"ה–2025</t>
  </si>
  <si>
    <t xml:space="preserve"> (מ/1830)</t>
  </si>
  <si>
    <t xml:space="preserve">05.02.2025</t>
  </si>
  <si>
    <t xml:space="preserve">חוק זה מאריך את תוקפה של הוראת השעה הקובעת הגנה לקבוצות מסוימות של עובדים בהקשר של מלחמת חרבות ברזל, עד 30.6.2026, אך קובעת תקופות שונות להחלת ההגנה ביחס לכל קבוצה של עובדים שעליה חלה ההגנה. לגבי עובדים שהם מפונים ובשל כך נעדרים מעבודה או אינם מבצעים אותה, הוארכה תקופת ההגנה עד 6.7.2025, עם אפשרות להארכה בצו לארבעה חודשים בכל פעם, עד 31.12.25. לגבי עובדים שהם בני זוג של חיילים בסדיר או בקבע או של מי שמנויים בסעיף 11 לחוק, שעמם ילד עד גיל 14, וכן לגבי עובד שנאלץ להיעדר או לא לבצע את העבודה לשם השגחה על ילדו שטרם מלאו לו 14 בשל סגירת מוסד החינוך שבו לומד לפי החלטה של הרשות המקומית או מוסד החינוך – הוארכה ההגנה עד 6.7.25 עם אפשרות הארכה בצו, לארבעה חודשים בכל פעם, עד 31.12.25, ואולם כשתסתיים תוקפה של ההכרזה על מצב מיוחד בעורף תפקע ההגנה מפני פיטורים. לגבי עובדים שהם חטופים או שהם בני משפחה של חטוף או נעדר הוארכה ההגנה עד 31.12.2025.  החוק הוסיף לקבוצות המוגנות מפני פיטורים גם עובדים שהם חטופים ששוחררו עד 31.12.25, או שהם בני זוג, הורים, ילדים או אחים של חטוף ששוחרר עד 31.12.25. ההגנה לגביהם תחול במשך שישה חודשים מיום השחרור של החטוף. נוסף על כך, תוקן לחוק תגמולים לבני משפחה של חטופים ונעדרים בפעולת איבה, התשפ"ד-2023 ונקבע בו כי לעניין בן משפחה של חטוף שגופתו הושבה, תימנה תקופת ההגנה מפני פיטורים, הוצאה לחופשה ללא תשלום, ופגיעה בהיקף המשרה או בהכנסה, שנעשו ללא היתר, החל מיום הבאת החטוף לקבורה ולא מיום הפטירה.   </t>
  </si>
  <si>
    <t xml:space="preserve">חוק לתיקון ולהארכת תוקפן של תקנות שעת חירום (חרבות ברזל) (פגישה עם עורך דין של עצור בעבירת ביטחון) (תיקון מס' 5), התשפ"ה-2025 </t>
  </si>
  <si>
    <t xml:space="preserve"> (מ/1833)</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</si>
  <si>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ה-31 ביולי 2025.</t>
  </si>
  <si>
    <t xml:space="preserve">חוק לתיקון ולהארכת תוקפן של תקנות שעת חירום (חרבות ברזל) (הארכת מעצר לחשוד בעבירת ביטחון) (תיקון מס' 5), התשפ"ה-2025 </t>
  </si>
  <si>
    <t xml:space="preserve"> (מ/1834)</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</si>
  <si>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ה-31 ביולי 2025.</t>
  </si>
  <si>
    <t xml:space="preserve">הצעת חוק המרכז לגביית קנסות, אגרות והוצאות (תיקון - חובת איתור חייבים), התשפ"ה-2024</t>
  </si>
  <si>
    <t xml:space="preserve"> (פ/5102/25)</t>
  </si>
  <si>
    <t xml:space="preserve">הצעת חוק נכי רדיפות הנאצים (תיקון - השוואת זכאות לשורדים שעלו אחרי 1 באוקטובר 1953), התשפ"ד-2024</t>
  </si>
  <si>
    <t xml:space="preserve"> (פ/4790/25)</t>
  </si>
  <si>
    <t xml:space="preserve">הצעת חוק החברות (תיקון - פרסום דוחות כספיים של מונופול), התשפ"ד-2024</t>
  </si>
  <si>
    <t xml:space="preserve"> (פ/4424/25)</t>
  </si>
  <si>
    <t xml:space="preserve">הצעת חוק חכירה הוגנת, התשפ"ד-2024</t>
  </si>
  <si>
    <t xml:space="preserve"> (פ/4337/25)</t>
  </si>
  <si>
    <t xml:space="preserve"> (פ/3972/25)</t>
  </si>
  <si>
    <t xml:space="preserve"> (פ/3726/25)</t>
  </si>
  <si>
    <t xml:space="preserve">הצעת חוק העונשין (תיקון - החמרת ענישה בעבירות החזקת נשק שלא כדין), התשפ"ג-2023</t>
  </si>
  <si>
    <t xml:space="preserve"> (פ/1949/25)</t>
  </si>
  <si>
    <t xml:space="preserve">הצעת חוק העונשין (תיקון - הגנה על חושפי שחיתויות ומתריעים בנסיבות ביטחוניות), התשפ"ה-2024</t>
  </si>
  <si>
    <t xml:space="preserve"> (פ/5089/25)</t>
  </si>
  <si>
    <t xml:space="preserve">04.02.2025</t>
  </si>
  <si>
    <t xml:space="preserve">הצעת חוק יום ציון ממלכתי לוועידת סן רמו, התשפ"ג-2023</t>
  </si>
  <si>
    <t xml:space="preserve"> (פ/2996/25)</t>
  </si>
  <si>
    <t xml:space="preserve">הצעת חוק יום ציון ממלכתי לוועידת סן רמו, התשפ''ג-2023</t>
  </si>
  <si>
    <t xml:space="preserve"> (פ/2475/25)</t>
  </si>
  <si>
    <t xml:space="preserve">פרק ג' (גבייה) מתוך הצעת חוק התוכנית הכלכלית (תיקוני חקיקה ליישום המדיניות הכלכלית לשנת התקציב 2025), התשפ"ה-2024 </t>
  </si>
  <si>
    <t xml:space="preserve">הצעת חוק גיל פרישה (הורה שילדו נפטר) (הוראת שעה) (תיקון - הפיכת הוראת שעה להוראה קבועה), התשפ"ד-2024</t>
  </si>
  <si>
    <t xml:space="preserve"> (פ/4410/25)</t>
  </si>
  <si>
    <t xml:space="preserve">סעיפים 9(11) ו-11(2) (היטלי פיתוח) מתוך הצעת חוק התוכנית הכלכלית (תיקוני חקיקה ליישום המדיניות הכלכלית לשנת התקציב 2025), התשפ"ה-2024 [פוצל לפי סעיף 84(ב) לתקנון] </t>
  </si>
  <si>
    <t xml:space="preserve">חוק יום לציון עליית יהודי תימן לישראל ולהנצחת זכרם של הנספים בדרך לישראל, התשפ"ה–2025</t>
  </si>
  <si>
    <t xml:space="preserve"> (פ/4883/25)</t>
  </si>
  <si>
    <t xml:space="preserve"> (כ/1077)</t>
  </si>
  <si>
    <t xml:space="preserve">מדי שנה, ביום ט"ו בכסלו, יקוים יום לציון עליית יהודי תימן לישראל ולהנצחת זכרם של הנספים בדרך ארצה. יום זה יצויין בדיון מיוחד בכנסת. כמו כן, ייערך כנס עיוני בנושא עליית יהודי תימן לישראל והנצחת זכרם של הנספים בדרך, ברוח ערכי המסורת והמורשת של יהדות תימן. במוסדות החינוך תתקיים פעילות חינוכית-ערכית ככל שיחליט על כך שר החינוך.</t>
  </si>
  <si>
    <t xml:space="preserve">הצעת חוק הביטוח הלאומי (תיקון מס' 254) (מועד תשלום דמי לידה), התשפ"ה-2024</t>
  </si>
  <si>
    <t xml:space="preserve"> (פ/4469/25)</t>
  </si>
  <si>
    <t xml:space="preserve"> (כ/1082)</t>
  </si>
  <si>
    <t xml:space="preserve">חוק הגנת הצרכן (תיקון מס' 70), התשפ"ד–2024</t>
  </si>
  <si>
    <t xml:space="preserve"> (פ/4317/25)</t>
  </si>
  <si>
    <t xml:space="preserve"> (כ/1004)</t>
  </si>
  <si>
    <t xml:space="preserve">03.02.2025</t>
  </si>
  <si>
    <t xml:space="preserve">החוק נועד להתמודד עם העלאת מחירים באופן חריג ומשמעותי לאחר הכרזה על מצב חירום. מצב חירום מוגדר כאחד מאלה: מצב מיוחד בעורף, מצב של אירוע חירום אזרחי או מצב חירום שנקבע לפי חוק לשם התמודדות עם מחלה מידבקת מסוכנת. החוק קובע כי אם הוכרז על מצב חירום, ושר הכלכלה והתעשייה שוכנע כי יש חשש ממשי שעוסקים ינצלו את מצב החירום כדי להעלות מחירים של טובין ושירותים חיוניים, הוא רשאי, בהתייעצות עם שר האוצר, להכריז הכרזה על איסור השפעה בלתי הוגנת במצב חירום. החוק קובע כי בתקופת תוקפה של הכרזה זו עוסק לא יציע, יציג או ימכור לצרכן שירות או טובין המנויים ברשימה כאמור, במחיר העולה באופן ניכר וחריג על מחירו הממוצע בשלושת החודשים שקדמו להכרזה על מצב חירום.  לעניין המוצרים והשירותים שעליהם יחולו הוראות אלו, החוק קובע כי בתקופת תוקפה של הכרזה על איסור השפעה בלתי הוגנת במצב חירום, הממונה על הגנת הצרכן והסחר ההוגן והממונה על התקציבים במשרד האוצר יהיו מוסמכים לקבוע רשימה של טובין ושירותים חיוניים, שתפורסם ברשומות, וכן יהיו מוסמכים לעדכן את הרשימה. רשימה זו תיקבע בהתחשב במאפייניו ובנסיבותיו של מצב החירום שעליו יוכרז. מחלוקת בין שני הגורמים הללו ביחס להכללת טובין או שירות מסוים ברשימה, תובא להכרעתו של נציג ציבור שימונה על ידי שר האוצר ושר הכלכלה והתעשייה, אך לא יהיה בכך כדי למנוע פרסום של רשימת הטובין והשירותים שיש לגביהם הסכמה.  לצד איסור העלאת מחירים בעת מצב חירום נקבעו בחוק חריגים שבהם לא יראו עוסק שביצע את האמור לעיל כמי שהפעיל השפעה בלתי הוגנת. לדוגמה: מקרים שבהם העלאת המחיר נעשתה לפי דין או לפי הסכם בין עוסק לצרכן, שנחתם טרם ההכרזה על מצב חירום או מקרים שבהם העלייה במחיר השירות או הטובין נובעת מהתייקרות העלויות שבהן העוסק נדרש לשאת כדי לספק את השירות או הטובין. לצורך אכיפת הוראות החוק הוסמך הממונה על הצרכן והסחר ההוגן להוציא צו מינהלי להפסקת הפרה לפי סעיף 21ג לחוק לעוסק שהפעיל השפעה בלתי הוגנת בנסיבות כאמור, וכן להטיל עיצומים כספיים על עוסק שיפר את הצו המינהלי. העיצום הכספי אותו מוסמך הממונה להטיל אינו סכום קצוב מהסכומים המנויים בחוק הגנת הצרכן, אלא שיעור מתוך מחזור המכירות של המפר.  </t>
  </si>
  <si>
    <t xml:space="preserve">הצעת חוק לקביעת תקציב למרכזי ההנצחה - מרכז בגין, מרכז רבין ומכון למורשת בן-גוריון (תיקוני חקיקה), התשפ"ה-2025</t>
  </si>
  <si>
    <t xml:space="preserve"> (פ/5473/25)</t>
  </si>
  <si>
    <t xml:space="preserve">הצעת חוק מניעת סיוע הומניטרי לאויב, התשפ"ה-2025</t>
  </si>
  <si>
    <t xml:space="preserve"> (פ/5471/25)</t>
  </si>
  <si>
    <t xml:space="preserve"> (פ/5469/25)</t>
  </si>
  <si>
    <t xml:space="preserve"> (פ/5468/25)</t>
  </si>
  <si>
    <t xml:space="preserve">הצעת חוק הביטוח הלאומי (תיקון - מטרות המוסד, מינוי מנהל ופיקוח פרלמנטרי על מאזן ודוח כספי), התשפ"ה-2025</t>
  </si>
  <si>
    <t xml:space="preserve"> (פ/5467/25)</t>
  </si>
  <si>
    <t xml:space="preserve"> (פ/5465/25)</t>
  </si>
  <si>
    <t xml:space="preserve">הצעת חוק עובדים זרים (תיקון - אי-תחולת הסדר פנסיוני על עובד זר המועסק אצל יחיד בענף הסיעוד), התשפ"ה-2025</t>
  </si>
  <si>
    <t xml:space="preserve"> (פ/5464/25)</t>
  </si>
  <si>
    <t xml:space="preserve">הצעת חוק הגנה על מתחם הר הבית, התשפ"ה-2025</t>
  </si>
  <si>
    <t xml:space="preserve"> (פ/5462/25)</t>
  </si>
  <si>
    <t xml:space="preserve">הצעת חוק עידוד שירות צבאי, לאומי או לאומי-אזרחי במוסדות להשכלה גבוהה, התשפ"ה-2025</t>
  </si>
  <si>
    <t xml:space="preserve"> (פ/5461/25)</t>
  </si>
  <si>
    <t xml:space="preserve">הצעת חוק יסוד: רמת הגולן</t>
  </si>
  <si>
    <t xml:space="preserve"> (פ/5459/25)</t>
  </si>
  <si>
    <t xml:space="preserve">הצעת חוק לעידוד השקעות הון (תיקון - פעילות ייצורית הכוללת אריזה), התשפ"ה-2025</t>
  </si>
  <si>
    <t xml:space="preserve"> (פ/5458/25)</t>
  </si>
  <si>
    <t xml:space="preserve">הצעת חוק לצמצום הריכוזיות בענף הפרסום במדיה, התשפ"ה-2025</t>
  </si>
  <si>
    <t xml:space="preserve"> (פ/5455/25)</t>
  </si>
  <si>
    <t xml:space="preserve">הצעת חוק שירותי תעופה (פיצוי וסיוע בשל ביטול טיסה או שינוי בתנאיה) (תיקון - התאמת השירות והפיצוי לצורכי הלקוח), התשפ"ה-2025</t>
  </si>
  <si>
    <t xml:space="preserve"> (פ/5454/25)</t>
  </si>
  <si>
    <t xml:space="preserve">הצעת חוק הבנקאות (שירות ללקוח) (תיקון - הודעה ללקוח בדבר הטלת עיקול על חשבונו), התשפ"ה-2025</t>
  </si>
  <si>
    <t xml:space="preserve"> (פ/5453/25)</t>
  </si>
  <si>
    <t xml:space="preserve"> (פ/5451/25)</t>
  </si>
  <si>
    <t xml:space="preserve">הצעת חוק הפיקוח הפרלמנטרי, התשפ"ה-2025</t>
  </si>
  <si>
    <t xml:space="preserve"> (פ/5450/25)</t>
  </si>
  <si>
    <t xml:space="preserve"> (פ/5449/25)</t>
  </si>
  <si>
    <t xml:space="preserve"> (פ/5448/25)</t>
  </si>
  <si>
    <t xml:space="preserve">הצעת חוק החזקת תכשיר אפינפרין במוסדות חינוך ובמקומות ציבוריים (תיקון - החזקת תכשיר אפינפרין בכלי טיס וברכבות), התשפ"ה-2025</t>
  </si>
  <si>
    <t xml:space="preserve"> (פ/5447/25)</t>
  </si>
  <si>
    <t xml:space="preserve">הצעת חוק גירוש מיידי של מסתננים התומכים במשטר מדינתם, התשפ"ה-2025</t>
  </si>
  <si>
    <t xml:space="preserve"> (פ/5446/25)</t>
  </si>
  <si>
    <t xml:space="preserve"> (פ/5445/25)</t>
  </si>
  <si>
    <t xml:space="preserve"> (פ/5444/25)</t>
  </si>
  <si>
    <t xml:space="preserve">הצעת חוק איסור לשון הרע (תיקון - פיצוי בגין האשמות שווא בדבר פשעי מלחמה), התשפ"ה-2025</t>
  </si>
  <si>
    <t xml:space="preserve"> (פ/5443/25)</t>
  </si>
  <si>
    <t xml:space="preserve"> (פ/5442/25)</t>
  </si>
  <si>
    <t xml:space="preserve">הצעת חוק חינוך טכנולוגי חובה, התשפ"ה-2025</t>
  </si>
  <si>
    <t xml:space="preserve"> (פ/5441/25)</t>
  </si>
  <si>
    <t xml:space="preserve"> (פ/5440/25)</t>
  </si>
  <si>
    <t xml:space="preserve"> (פ/5439/25)</t>
  </si>
  <si>
    <t xml:space="preserve">הצעת חוק הסדרת העיסוק בייעוץ השקעות, בשיווק השקעות ובניהול תיקי השקעות (תיקון - לקוח כשיר), התשפ"ה-2025</t>
  </si>
  <si>
    <t xml:space="preserve"> (פ/5438/25)</t>
  </si>
  <si>
    <t xml:space="preserve">הצעת חוק הנגישות הלשונית, התשפ"ה-2025</t>
  </si>
  <si>
    <t xml:space="preserve"> (פ/5437/25)</t>
  </si>
  <si>
    <t xml:space="preserve">הצעת חוק שירות המדינה (מינויים) (תיקון - שקיפות בתהליך קבלה לעבודה), התשפ"ה-2025</t>
  </si>
  <si>
    <t xml:space="preserve"> (פ/5436/25)</t>
  </si>
  <si>
    <t xml:space="preserve">הצעת חוק איסור שהייה וישיבה בישראל שלא כדין (תיקוני חקיקה), התשפ"ה–2025</t>
  </si>
  <si>
    <t xml:space="preserve"> (פ/4476/25)</t>
  </si>
  <si>
    <t xml:space="preserve"> (כ/1086)</t>
  </si>
  <si>
    <t xml:space="preserve">סעיף 9(10) (פרסום התקשרויות רבעוני) מתוך הצעת חוק התוכנית הכלכלית (תיקוני חקיקה ליישום המדיניות הכלכלית לשנת התקציב 2025), התשפ"ה-2024 [פוצל לפי סעיף 84(ב) לתקנון]</t>
  </si>
  <si>
    <t xml:space="preserve">02.02.2025</t>
  </si>
  <si>
    <t xml:space="preserve">סעיפים 9(1), (2), (8), (9) ו-11(1) (הרכב ועדת המכרזים) מתוך הצעת חוק התוכנית הכלכלית (תיקוני חקיקה ליישום המדיניות הכלכלית לשנת התקציב 2025), התשפ"ה-2024 [פוצל לפי סעיף 84(ב) לתקנון] </t>
  </si>
  <si>
    <t xml:space="preserve">סעיף 9(3) עד (5) (ועדות המועצה) מתוך הצעת חוק התוכנית הכלכלית (תיקוני חקיקה ליישום המדיניות הכלכלית לשנת התקציב 2025), התשפ"ה-2024 [פוצל לפי סעיף 84(ב) לתקנון] </t>
  </si>
  <si>
    <t xml:space="preserve">קיזוז 5% בניכוי מס במקור מתוך הצעת חוק למתן הטבות למשרתים במילואים, התשפ"ה-2024</t>
  </si>
  <si>
    <t xml:space="preserve">29.01.2025</t>
  </si>
  <si>
    <t xml:space="preserve">נקודות זיכוי מתוך הצעת חוק למתן הטבות למשרתים במילואים, התשפ"ה-2024</t>
  </si>
  <si>
    <t xml:space="preserve">הנחה בתשלומי ארנונה, חשמל ומים מתוך הצעת חוק למתן הטבות למשרתים במילואים, התשפ"ה-2024</t>
  </si>
  <si>
    <t xml:space="preserve">חוק רישוי עסקים (תיקון מס' 39), התשפ"ה–2025</t>
  </si>
  <si>
    <t xml:space="preserve"> (פ/3567/25)</t>
  </si>
  <si>
    <t xml:space="preserve"> (כ/1062)</t>
  </si>
  <si>
    <t xml:space="preserve">נקבע פטור מחובת רישוי עסקים לקייטנות של תנועות נוער, ארגוני נוער וחוגי סיור שעומדים בתנאים הבאים- ראשית, הקייטנה מנוהלת על ידי גוף נתמך על ידי משרד החינוך או על ידי גוף נתמך כחוג סיור. שנית, הפעילות בקייטנה היא המשך של הפעילות החינוכית של אותו גוף במהלך השנה. לבסוף, היא פועלת באתר של גופים ציבוריים כגון בתי ספר, גני ילדים או מבנים של רשות מקומית שמיועדים לפעילות חינוכית או באתר הקבע של אותו גוף. </t>
  </si>
  <si>
    <t xml:space="preserve">הצעת חוק הסיוע המשפטי (תיקון - העמדת סיוע לנפגע פעולות איבה), התשפ"ה-2024</t>
  </si>
  <si>
    <t xml:space="preserve"> (פ/5183/25)</t>
  </si>
  <si>
    <t xml:space="preserve">הצעת חוק תמיכה בביטחון תזונתי אצל תינוקות, התשפ"ה-2024</t>
  </si>
  <si>
    <t xml:space="preserve"> (פ/5123/25)</t>
  </si>
  <si>
    <t xml:space="preserve">הצעת חוק הביטוח הלאומי (תיקון - שיפוי המעסיק על הפרשות פנסיוניות בעד עובדו המשרת במילואים בנסיבות חירום) (הוראת שעה - חרבות ברזל), התשפ"ד- 2024</t>
  </si>
  <si>
    <t xml:space="preserve"> (פ/4229/25)</t>
  </si>
  <si>
    <t xml:space="preserve">הצעת חוק שירותי רווחה (זכויות נשים ששהו במקלט לנשים מוכות) (תיקון - זכות למגורים בדיור ציבורי), התשפ"ג-2023</t>
  </si>
  <si>
    <t xml:space="preserve"> (פ/3126/25)</t>
  </si>
  <si>
    <t xml:space="preserve">הצעת חוק לתיקון פקודת המכס (איסור השמדת טובין חבי מכס), התשפ"ג-2023</t>
  </si>
  <si>
    <t xml:space="preserve"> (פ/2991/25)</t>
  </si>
  <si>
    <t xml:space="preserve"> (פ/2885/25)</t>
  </si>
  <si>
    <t xml:space="preserve">הצעת חוק לתיקון פקודת המכס (איסור השמדת טובין חבי מכס), התשפ"ג-2022</t>
  </si>
  <si>
    <t xml:space="preserve"> (פ/308/25)</t>
  </si>
  <si>
    <t xml:space="preserve">הצעת חוק תמיכה בביטחון תזונתי אצל תינוקות, התשפ"ג-2022</t>
  </si>
  <si>
    <t xml:space="preserve"> (פ/25/25)</t>
  </si>
  <si>
    <t xml:space="preserve">סעיף 1(3)-(ג), סעיף קטן (א2) המוצע; סעיף 1(3)-(ה) ההגדרה "הכנסה חייבת" המוצעת; וסעיף 4(ג) מתוך הצעת חוק ההתייעלות הכלכלית (תיקוני חקיקה להשגת יעדי התקציב לשנת התקציב 2025) (הקפאת עדכוני מס ומס יסף), התשפ"ה-2024 (מס יסף על השבח) </t>
  </si>
  <si>
    <t xml:space="preserve"> (מ/1799)</t>
  </si>
  <si>
    <t xml:space="preserve">28.01.2025</t>
  </si>
  <si>
    <t xml:space="preserve">פטור מתשלום אגרות רישום ורישוי מתוך הצעת חוק למתן הטבות למשרתים במילואים, התשפ"ה-2024</t>
  </si>
  <si>
    <t xml:space="preserve">חוק הכללת אמצעי זיהוי ביומטריים ונתוני זיהוי ביומטריים במסמכי זיהוי ובמאגר מידע (תיקון מס' 6), התשפ"ה-2025</t>
  </si>
  <si>
    <t xml:space="preserve"> (מ/1745)</t>
  </si>
  <si>
    <t xml:space="preserve">החוק קובע הסדרים הנוגעים לסמכויות האיסוף והשימוש באמצעי זיהוי ביומטריים. בין ההסדרים- הסמכת איש ביטחון כהגדרתו בחוק הטיס וממונה ביטחון או מאבטח שמונה לפי חוק להסדרת הביטחון של גופים מסויימים ליטול אמצעי זיהוי ביומטריים. בהתאם לכך, בנתב״ג, במעברים היבשתיים ובטיסות נכנסות לישראל של חברות ישראליות בחו"ל יוצבו מכונות אוטומטיות (אמצעי ממוכן) לבדיקה בטחונית באמצעות תווי פנים, תוך שמירה על ביטחון המידע והפרטיות.החוק קובע כי יתבצע  זיהוי בפני בעל תפקיד במקרה ובו בשל גיל או מוגבלות, נמנע מאדם להשתמש באמצעי הממוכן. בנוסף, קובע החוק כי צפייה בתמונת תווי פנים השמורה בשבב מסמך הזיהוי תחשב כשימוש מותר, תוך הטלת איסור על שמירתה שדין הפרתו מאסר שלוש שנים. זאת, על מנת לשפר יכולת זיהוי בביצוע עסקאות בין פרטים. לבסוף, מוצע כי רש״ת והגוף המוסמך ליטול אמצעי זיהוי בחו״ל ידווחו לשר התחבורה מדי שנה על נטילת טביעות אצבע לשם זיהוי בשדות תעופה בארץ ובטיסות של חברות תעופה ישראליות בחו"ל, וכן על נסיונות התחזות שדווחו למשטרה, והוא ידווח על כך לכנס</t>
  </si>
  <si>
    <t xml:space="preserve">חוק לתיקון פקודת הרוקחים (מס' 38), התשפ"ה–2025</t>
  </si>
  <si>
    <t xml:space="preserve">חוק זה מסדיר מקצוע חדש של טכנאי בית מרקחת. עיסוק כטכנאי בית מרקחת יתאפשר למי שנרשם במרשם טכנאי בית מרקחת שינוהל במשרד הבריאות, ועמד בתנאי כשירות המפורטים בחוק, וביניהם: השכלה של 12 שנות לימוד, שליטה בעברית ובאנגלית ועמידה בהכשרה עיונית והכשרה מעשית. החוק קובע מקרים שבהם יימחק טכנאי בית מרקחת מהמרשם. טכנאי בית המרקחת יוכל לבצע תפקידים של הרחפה ומזיגה של תכשיר, מסירה של תכשיר מרשם או של תכשיר ללא מרשם רק לאחר שניתן למטופל ייעוץ רוקחי על ידי רוקח, וכן מסירה של תכשיר מרשם קבוע אך זאת רק בתנאי שזו מסירה חוזרת למטופל בתוך שנה מאז שהתכשיר נופק למטופל על ידי רוקח. שר הבריאות הוסמך, באישור וועדת הבריאות, לקבוע תפקידים נוספים שיבוצעו על ידי טכנאי בית מרקחת.  לפי החוק, בעל בית מרקחת לא יעסיק יותר מ-3 טכנאי בית מרקחת לכל רוקח שהוא מעסיק באותה משמרת, אך בבתי מרקחת של בתי חולים מסוימים בהם מתבצעות פעולות רקיחה במעבדה או בבתי מרקחת פרטיים שעיקר עיסוקם בהכנות רוקחיות – יהיה היחס של עד חמישה טכנאים לכל רוקח.  החוק קובע הוראות לעניין ניהול מרשם טכנאי בית מרקחת ומחיקה מהמרשם, וכן קובע כי אם המנהל הכללי של משרד הבריאות מצא שיש סיכון ממשי לפגיעה בבריאות הציבור בשל פעילות טכנאי בית מרקחת הוא רשאי בהחלטה מנומקת לאסור לגבי בית מרקחת מסויים על העסקת טכנאי לביצוע הפעולות המותרות או לקבוע העסקה בתנאים, לתקופה מסוימת.  נוסף על כך, החוק מאפשר למנכ"ל משרד הבריאות לאשר לרוקח לשמש רוקח אחראי לשני בתי מרקחת התנאים המפורטים בחוק ובכפוף לכך שמצא כי אין בכך כדי לפגוע בניהולם התקין של בתי המרקחת. החוק קובע כי החובות להחזקת תכשירים בתנאים נאותים יחולו גם על עסק למכירת תכשירים ללא מרשם במכונות אוטומטיות. החוק מסמיך רוקח לתקן טעות במרשם, מבלי ליצור קשר עם נותן המרשם, אך זאת רק אם התיקון במרשם נדרש לשם השלמת פרטים במרשם המנויים בחוק, בלבד.  </t>
  </si>
  <si>
    <t xml:space="preserve">חוק משפחות חיילים שנספו במערכה (תגמולים ושיקום) (תיקון מס' 46), התשפ"ה–2025</t>
  </si>
  <si>
    <t xml:space="preserve"> (פ/4585/25)</t>
  </si>
  <si>
    <t xml:space="preserve"> (כ/1078)</t>
  </si>
  <si>
    <t xml:space="preserve">חוק זה קובע הגנות בתעסוקה בשנת האבל הראשונה לגבי עובד שהוא בן משפחה של נספה לפי חוק משפחות חיילים שנספו במערכה או של מי שמת כתוצאה מפגיעת איבה.  מיהו העובד המוגן: ההגדרה "בן משפחה" תכלול, נוסף לאלמנים והורים שכולים, יתומים ואחים בכל גיל. ההגנה תחול בהתאם להוראות שבחוק גם על ארוסה של הנספה (אף אם טרם הוכרה זכאותה לתגמול והטבות) וגם על הורהו האחר של יתום של הנפטר שטרם מלאו לו 18 שנים או על  אפוטרופוס או אומן של היתום כאמור, שהודיעו למעסיק על הזיקה לנפטר. ואולם ההגנה לא תחול לגבי מעסיק שהוא יחיד (ולא תאגיד) אם העובד הזכאי להגנה הוא העובד היחידי שלו.  ההגנה בתקופה של שלושת החודשים הראשונים לאחר הפטירה הדוקה יותר: אסור לפטר את העובד המוגן, אסור לפגוע בהכנסתו (למעט פגיעה שנובעת משינוי בדין או משינוי בתפוקת העבודה שמקורה אינו במעסיק) ואסור לפגוע בהיקף משרתו - למעט שינוי זמני שהעובד יזם בשל מצבו הרפואי או המשפחתי. בתקופה זו רק בנסיבות חמורות התלויות בעובד, או כשעסקו של המעסיק חדל לפעול באופן סופי, המעסיק יוכל לבקש מועדת תעסוקה לתת היתר לפיטורים. במקרה שעסקו של המעסיק חדל לפעול באופן זמני בנסיבות שאינן תלויות במעסיק והשפיעו על כל העובדים בו המעסיק יוכל לבקש היתר זמני לפגיעה בהיקף המשרה עד לחידוש הפעילות בעסק - ובלבד שהשינוי אינו כרוך בפגיעה בהכנסה.  בתקופה שמתום שלושת חודשים שלאחר הפטירה ועד תום השנה הראשונה לפטירה נאסר לפטר את העובד המוגן או להוציאו לחל"ת, ואולם ועדת תעסוקה תוכל להתיר את הפיטורים או לתת היתר להוצאה לחל"ת אם התקיימו התנאים לכך בנסיבות המפורטות בחוק.  אם העובד המוגן בחר להתפטר בשנת האבל הראשונה, הוא יהיה זכאי לפיצויי הפיטורים שהיה זכאי להם אילו פוטר, והתפטרות זו תיחשב כמוצדקת לעניין מועד תחילת הזכאות לדמי אבטלה.  עובד מוגן יוכל לקבל סיוע משפטי ללא מבחן הכנסה בהליך כנגד מעסיקו בבית הדין לעבודה או בוועדת תעסוקה, בקשר להגנה שבחוק או בקשר לקבלת פיצויי פיטורים. כמו כן במקרה של הפרה ניתן להטיל עיצום כספי, וזאת בנוסף לאפשרות להגיש תביעה לבית הדין לעבודה. </t>
  </si>
  <si>
    <t xml:space="preserve">הצעת חוק להפחתת סכום הפיצוי הכספי בשל נסיעה ללא תיקוף כרטיס בתחבורה ציבורית (תיקוני חקיקה), התשפ"ג-2023</t>
  </si>
  <si>
    <t xml:space="preserve"> (פ/3766/25)</t>
  </si>
  <si>
    <t xml:space="preserve">27.01.2025</t>
  </si>
  <si>
    <t xml:space="preserve"> (פ/3696/25)</t>
  </si>
  <si>
    <t xml:space="preserve">הצעת חוק לתיקון פקודת מס הכנסה (קרן השתלמות לחקלאי שומר שמיטה), התשפ"ה-2024</t>
  </si>
  <si>
    <t xml:space="preserve"> (פ/5279/25)</t>
  </si>
  <si>
    <t xml:space="preserve">הצעת חוק לתיקון פקודת מס הכנסה (קרן השתלמות לחקלאי שומר שמיטה), התשפ"ד-2024</t>
  </si>
  <si>
    <t xml:space="preserve"> (פ/4756/25)</t>
  </si>
  <si>
    <t xml:space="preserve">חוק להנצחת זכרו של מרן הרב עובדיה יוסף, התשפ"ה-2025</t>
  </si>
  <si>
    <t xml:space="preserve"> (פ/452/25)</t>
  </si>
  <si>
    <t xml:space="preserve"> (כ/980)</t>
  </si>
  <si>
    <t xml:space="preserve">החוק קובע הוראות לעניין הנצחת זכרו של מרן הרב עובדיה יוסף זצ"ל, בין השאר בקביעת יום ציון לזכרו, בקיום פעילויות חינוכיות-ערכיות וטקסים במוסדות המדינה וכן קיום לימוד ופעילויות כאמור בבתי הספר, ככל שיחליט על כך שר החינוך; עוד מאפשר החוק מתן מלגות למחקר ומתן תמיכות למוסדות ציבור הפועלים להגשמת מטרותיו. תוקם מועצה ציבורית אשר תייעץ לשר לשירותי דת הממונה על החוק, בכל הנוגע ליישומו. עיריית ירושלים רשאית להקים בתחומה תאגיד עירוני שישמש מרכז הנצחה לפועלו ולמורשתו של הרב עובדיה יוסף. </t>
  </si>
  <si>
    <t xml:space="preserve">חוק לתיקון פקודת בתי הסוהר (מס' 68), התשפ"ה–2025</t>
  </si>
  <si>
    <t xml:space="preserve">פקודת בתי הסוהר [נוסח חדש], התשל"ב–1971 מקנהלסוהר את הסמכויות המסורות לשוטר בנוגע למעצר בלא צו ולעיכוב חשוד במקום לפי חוק סדר הדין הפלילי (סמכויות אכיפה – מעצרים), התשנ"ו–1996, בעת מילוי תפקידו ולצורך כך, בתחום בית הסוהר וסביבתו, מתקניו שמחוץ לתחומיו וסביבתם, וכן בעת ליווי אסיר מחוץ לבית הסוהר או בעת רדיפה אחרי אסיר נמלט. במסגרת תיקון מס' 68, נקבע כי סמכויותיו של סוהר, בעת מילוי תפקידו ולצורך מילוי תפקידו, בסביבתם הקרובה של בית הסוהר או של מתקני שירות בתי הסוהר שמחוץ לתחומיו, יורחבו כך שיכללו גם סמכויות אלה: מתן הוראה סבירה לאדם המונע מסוהר לבצע את תפקידו, דרישת הזדהות מאדם, עריכת חיפוש על גופו של אדם או בכלי תחבורה תוך שימוש בכוח סביר במקרה של סירוב ותפיסת חפץ לשם שמירה על ביטחון בית הסוהר והשוהים בו. כמו כן מוסדרת חובת הזדהות מצד הסוהר בעת שימוש בסמכויותיו. עוד נקבע, כי סמכויות אלו, יהיו נתונות לסוהר גם בעת ליווי אסיר מחוץ לבית הסוהר או בעת רדיפה אחר אסיר נמלט, ולסוהר הנמנע עם יחידת ההתערבות והליווי המרכזית או היחידה המיוחדת להשתלטות על אסירים בעת שהוא מאבטח עובד של שירות בתי הסוהר, ובלבד שהפעלתן תעשה כלפי אדם שיש חשד סביר כי הוא עומד לסכן את האסיר, למלטו, להעביר לו חפץ אסור מסוכן או לפגוע בסוהר. </t>
  </si>
  <si>
    <t xml:space="preserve">חוק הביטוח הלאומי (תיקון מס' 254), התשפ"ה-2025 </t>
  </si>
  <si>
    <t xml:space="preserve"> (מ/1831)</t>
  </si>
  <si>
    <t xml:space="preserve">החוק מאפשר למוסד לביטוח לאומי להעניק לנפגעים מהשבעה באוקטובר ולבני משפחות הנספים מהשבעה באוקטובר, גם אם אינם תושבי ישראל, את ההטבות הסוציאליות שנקבעו בהסכם לפי סעיף 9 בין המדינה ובין המוסד לביטוח לאומי המאמץ את המלצות הוועדה הציבורית בעניין. </t>
  </si>
  <si>
    <t xml:space="preserve"> (פ/5435/25)</t>
  </si>
  <si>
    <t xml:space="preserve"> (פ/5434/25)</t>
  </si>
  <si>
    <t xml:space="preserve">הצעת חוק לתיקון פקודת סדר הדין הפלילי (מעצר וחיפוש) (חיפוש שלא על פי צו חיפוש) (הארכת הוראת השעה), התשפ"ה-2025 </t>
  </si>
  <si>
    <t xml:space="preserve"> (פ/5432/25)</t>
  </si>
  <si>
    <t xml:space="preserve">הצעת חוק הפיקוח על שירותים פיננסיים (ייעוץ, שיווק ומערכת סליקה פנסיוניים) (תיקון - חובת ייעוץ או שיווק פנסיוני בעת משיכת כספים שלא כדין), התשפ"ה-2025</t>
  </si>
  <si>
    <t xml:space="preserve"> (פ/5430/25)</t>
  </si>
  <si>
    <t xml:space="preserve">הצעת חוק הגנה על ישראלים מפני מוסדות בין-לאומיים עוינים, התשפ״ה-2025</t>
  </si>
  <si>
    <t xml:space="preserve"> (פ/5428/25)</t>
  </si>
  <si>
    <t xml:space="preserve"> (פ/5427/25)</t>
  </si>
  <si>
    <t xml:space="preserve">הצעת חוק שיקים ללא כיסוי (תיקון - הודעה על אי-כיבוד הרשאה לחיוב חשבון), התשפ"ה-2025</t>
  </si>
  <si>
    <t xml:space="preserve"> (פ/5426/25)</t>
  </si>
  <si>
    <t xml:space="preserve"> (פ/5425/25)</t>
  </si>
  <si>
    <t xml:space="preserve">הצעת חוק תקשורת דיגיטלית עם גופים ציבוריים (תיקון - אישור קבלה ועדכון על מצב הטיפול בפנייה), התשפ"ה-2025</t>
  </si>
  <si>
    <t xml:space="preserve"> (פ/5422/25)</t>
  </si>
  <si>
    <t xml:space="preserve">הצעת חוק-יסוד: משק המדינה (תיקון - סנקציה לאי-עמידה בזמני הגשת התקציב)</t>
  </si>
  <si>
    <t xml:space="preserve"> (פ/5421/25)</t>
  </si>
  <si>
    <t xml:space="preserve">הצעת חוק להסדרת הביטחון בגופים ציבוריים (תיקון - אבטחה במוסדות להשכלה גבוהה), התשפ"ה-2025</t>
  </si>
  <si>
    <t xml:space="preserve"> (פ/5419/25)</t>
  </si>
  <si>
    <t xml:space="preserve">הצעת חוק זכויות הסטודנט (תיקון - איסור הפליה מחמת מוגבלות), התשפ"ה-2025</t>
  </si>
  <si>
    <t xml:space="preserve"> (פ/5418/25)</t>
  </si>
  <si>
    <t xml:space="preserve">הצעת חוק הביטוח הלאומי (תיקון - חישוב התגמול לעצמאים בשירות מילואים), התשפ"ה-2025</t>
  </si>
  <si>
    <t xml:space="preserve"> (פ/5416/25)</t>
  </si>
  <si>
    <t xml:space="preserve">הצעת חוק תוספת ימי היעדרות והרחבת התקופה המוגנת מפני פיטורים לבן זוג של משרת מילואים (תיקוני חקיקה), התשפ"ה-2025</t>
  </si>
  <si>
    <t xml:space="preserve"> (פ/5414/25)</t>
  </si>
  <si>
    <t xml:space="preserve"> (פ/5413/25)</t>
  </si>
  <si>
    <t xml:space="preserve">הצעת חוק לתיקון פקודת התעבורה (פיצוי בשל איחור אוטובוס), התשפ"ה-2025</t>
  </si>
  <si>
    <t xml:space="preserve"> (פ/5409/25)</t>
  </si>
  <si>
    <t xml:space="preserve">הצעת חוק סיוע למשפחות נרצחי מאורעות 7 באוקטובר, התשפ"ה-2025</t>
  </si>
  <si>
    <t xml:space="preserve"> (פ/5408/25)</t>
  </si>
  <si>
    <t xml:space="preserve">הצעת חוק הגנת השכר (תיקון - תלוש שכר אחיד בשירות המדינה), התשפ"ה-2025</t>
  </si>
  <si>
    <t xml:space="preserve"> (פ/5406/25)</t>
  </si>
  <si>
    <t xml:space="preserve"> (פ/5405/25)</t>
  </si>
  <si>
    <t xml:space="preserve"> (פ/5404/25)</t>
  </si>
  <si>
    <t xml:space="preserve">הצעת חוק חסינות חברי הכנסת, זכויותיהם וחובותיהם (תיקון - ביקור במוסדות ציבוריים), התשפ"ה-2025</t>
  </si>
  <si>
    <t xml:space="preserve"> (פ/5403/25)</t>
  </si>
  <si>
    <t xml:space="preserve">הצעת חוק מס ערך מוסף (תיקון - פטור ממס על תשר), התשפ"ה-2024</t>
  </si>
  <si>
    <t xml:space="preserve"> (פ/4947/25)</t>
  </si>
  <si>
    <t xml:space="preserve">22.01.2025</t>
  </si>
  <si>
    <t xml:space="preserve"> (פ/4901/25)</t>
  </si>
  <si>
    <t xml:space="preserve">חוק לשכת עורכי הדין (תיקון מס' 45), התשפ"ה–2025</t>
  </si>
  <si>
    <t xml:space="preserve"> (פ/3787/25)</t>
  </si>
  <si>
    <t xml:space="preserve"> (כ/1075)</t>
  </si>
  <si>
    <t xml:space="preserve">בחוק זה נקבעו מספר שינויים באופן הגבייה והשימוש בדמי החבר והאגרות שמטילה לשכת עורכי הדין על ציבור עורכי הדין. ראשית, נקבע כי תשלומי חובה ייגבו רק לשם ביצוע התפקידים ופעולות הליבה של הלשכה הקבועים בחוק, כגון רישוי ואתיקה. לתשלומים אלו יתווספו 150% שייגבו גם כן באופן מחייב במסגרת דמי החבר. לצד זאת, יוכלו הלשכה ומחוזותיה לגבות תשלומי רשות שנתיים או לצורך עניין מסוים. שנית, נקבעו הוראות מפורטות לעניין חלוקת התקציב שמתקבל מציבור עורכי הדין, בין הלשכה הראשית לבין המחוזות. שלישית, נקבעו הוראות שנועדו לחזק את העצמאות התקציבית של המחוזות, וביניהן נקבע כי הלשכה לא תוכל לקזז חובות של המחוזות מתשלומים שהיא חייבת להעביר להם, ולא תוכל להשתמש ברזרבות שנותרו בתקציבי המחוזות ללא הסכמתם. רביעית, נקבע כי תינתן הנחה של 50% בדמי החבר למשרתי המילואים. חמישית, נקבע לעניין תחולת החוק שמרבית הוראות החוק יחולו משנת הכספים 2026, מלבד הפחתה של 20% בדמי החבר, שתחול כבר משנת 2025.</t>
  </si>
  <si>
    <t xml:space="preserve">הצעת חוק ועדת חקירה ממלכתית בגין אירועי 7 באוקטובר ומלחמת חרבות ברזל, התשפ"ה-2024 </t>
  </si>
  <si>
    <t xml:space="preserve"> (פ/5000/25)</t>
  </si>
  <si>
    <t xml:space="preserve">הצעת חוק הרחבת לימודי הבסיס בחינוך שאינו ממלכתי (הוראת שעה), התשפ"ג-2023</t>
  </si>
  <si>
    <t xml:space="preserve"> (פ/3795/25)</t>
  </si>
  <si>
    <t xml:space="preserve">הצעת חוק החלת הריבונות הישראלית על בקעת הירדן, התשפ"ג-2023</t>
  </si>
  <si>
    <t xml:space="preserve"> (פ/2975/25)</t>
  </si>
  <si>
    <t xml:space="preserve">הצעת חוק מיקוד לאומי לשיקום מרחיב לחבל התקומה, התשפ"ה-2024</t>
  </si>
  <si>
    <t xml:space="preserve"> (פ/5210/25)</t>
  </si>
  <si>
    <t xml:space="preserve">21.01.2025</t>
  </si>
  <si>
    <t xml:space="preserve">חוק איסור הכחשת אירועי טבח 7 באוקטובר 2023 (טבח שמיני עצרת), התשפ"ה–2025</t>
  </si>
  <si>
    <t xml:space="preserve"> (פ/4067/25)</t>
  </si>
  <si>
    <t xml:space="preserve"> (כ/1072)</t>
  </si>
  <si>
    <t xml:space="preserve">חוק זה קובע איסור פלילי על הכחשת אירועי טבח 7 באוקטובר 2023. על פי החוק, מי שיפרסם דברים המכחישים את טבח 7 באוקטובר 2023, בכוונה להגן על מי שביצע את המעשים או להביע להם אהדה או הזדהות, יואשם בעבירה פלילית שהעונש בצידה הוא חמש שנות מאסר. עוד נקבע כי פרסום כאמור לא יהווה עבירה פלילית אם הוא נעשה באקראי, בתום לב או למטרה כשרה. עוד נקבע כי כתב אישום בעבירה זו יוגש על ידי היועץ המשפטי לממשלה או בהסכמתו.</t>
  </si>
  <si>
    <t xml:space="preserve">חוק תאגידי מים וביוב (תיקון מס' 17), התשפ"ה-2025</t>
  </si>
  <si>
    <t xml:space="preserve"> (מ/1829)</t>
  </si>
  <si>
    <t xml:space="preserve">התיקון דוחה ל-1.1.2026 את המועד הקובע, שהוא המועד המחייב להקמה של תאגידי מים וביוב אזוריים שיספקו שירותי מים וביוב לכמה רשויות מקומיות. החל במועד הקובע, תאגיד מים וביוב ורשות מקומית לא יספקו  שירותי מים וביוב לצרכנים, אלא באמצעות תאגיד אזורי, ובלבד שלא ניתן פטור מהחובה להקים תאגיד אזורי בהתאם לתנאים הקבועים בחוק. כמו כן, ובהתאמה לדחיית המועד הקובע, התיקון דוחה את המועד לתחילת ביצועם של השלבים להקמת תאגידים אזוריים, כך שיחול ב-1.9.2025.</t>
  </si>
  <si>
    <t xml:space="preserve">הצעת חוק הביטוח הלאומי (תיקון מס' 255) (תשלום גמלה לשמירת היריון), התשפ"ה-2024</t>
  </si>
  <si>
    <t xml:space="preserve"> (פ/786/25)</t>
  </si>
  <si>
    <t xml:space="preserve"> (כ/1083)</t>
  </si>
  <si>
    <t xml:space="preserve">סעיפים 9(7), 13 ו-14 (אישור מיזמים משותפים) מתוך הצעת חוק התוכנית הכלכלית (תיקוני חקיקה ליישום המדיניות הכלכלית לשנת התקציב 2025), התשפ"ה-2024 [פוצל לפי סעיף 84(ב) לתקנון]</t>
  </si>
  <si>
    <t xml:space="preserve">20.01.2025</t>
  </si>
  <si>
    <t xml:space="preserve">חוק הגז הפחמימני המעובה (תיקון מס' 2), התשפ"ה-2025 </t>
  </si>
  <si>
    <t xml:space="preserve"> (מ/1802)</t>
  </si>
  <si>
    <t xml:space="preserve">החוק קובע כי מנהל מינהל הדלק רשאי להחליט על דחיית מועד לביצוע בדיקה תקופתית של מיתקן גז או להחלפת מכל נייח או מונה גז של בעל רישיון ספק גז שביקש זאת , בתקופה של ארבעה חודשים לכל היותר, אם שוכנע כי קיים קושי ממשי לביצועם במועד, שנובע מנסיבות חריגות. כמו כן, רשאי המנהל להורות על דחייה כאמור לכל בעלי רישיונות ספקי הגז,  אם שוכנע כי יש קושי של ממש אשר נובע ממצב מיוחד. מצב מיוחד מוגדר כאחד מאלה : מצב מיוחד בעורף, שהוא המצב הנוכחי מאז ה 7- באוקטובר, מצב של אירוע חירום אזרחי כגון אסון טבע או מצב חירום שנקבע לפי חוק לשם התמודדות עם מחלה מידבקת מסוכנת, כגון מצב החירום שהוכרז בעת מגפת הקורונה.  המנהל רשאי להאריך תקופה זו לתקופות מוגבלות, אם המשיכה להתקיים העילה לדחייה המקורית או אם העילה אינה מתקיימת, אך המנהל ראה כי הדבר נדרש בעקבות הנסיבות החריגות או המצב המיוחד שבשלהם ניתנה הדחייה ושההארכה נדרשת לצורך השלמת ביצוע הבדיקות או ההחלפות. המנהל רשאי להורות על תנאים למתן הדחייה המקורית או להארכתה, ובכלל זה לקבוע כי יחולו על כלל מיתקני הגז שבעל רישיון ספק גז מספק להם גז או על חלקם. החוק קובע אפשרות נוספת למתן דחייה וזאת בהתקיים נסיבות חריגות כפי שקבע שר האנרגיה והתשתיות בתקנות באישור ועדת הכלכלה של הכנסת  לאחר ששקל שיקולים הנוגעים לטובת הציבור ובטיחותו ושוכנע כי יש קושי של ממש לבצע  חובות אלו במועד.  כמו כן, החוק מוסיף הפרה מנהלית חדשה, מעבר להפרה המנהלית הקיימת היום, הנוגעת לאי ביצוע בדיקות במועד, ביחס לאי ביצוע תנאי או חובה שנקבעו בהוראות מנהל מינהל הדלק או בתקנות מכוח תיקון זה. </t>
  </si>
  <si>
    <t xml:space="preserve"> (פ/5402/25)</t>
  </si>
  <si>
    <t xml:space="preserve">הצעת חוק שירות המדינה (מינויים) (תיקון - מינוי יועצים משפטיים של משרדים), התשפ"ה-2025</t>
  </si>
  <si>
    <t xml:space="preserve"> (פ/5400/25)</t>
  </si>
  <si>
    <t xml:space="preserve"> (פ/5399/25)</t>
  </si>
  <si>
    <t xml:space="preserve">הצעת חוק-יסוד: השפיטה (תיקון - הגבלת זכות העמידה)</t>
  </si>
  <si>
    <t xml:space="preserve"> (פ/5398/25)</t>
  </si>
  <si>
    <t xml:space="preserve">הצעת חוק מעמד המשרת בשירות צבאי או לאומי, התשפ"ה-2025</t>
  </si>
  <si>
    <t xml:space="preserve"> (פ/5397/25)</t>
  </si>
  <si>
    <t xml:space="preserve"> (פ/5396/25)</t>
  </si>
  <si>
    <t xml:space="preserve">הצעת חוק-יסוד: השפיטה (תיקון - הפרדת רשויות)</t>
  </si>
  <si>
    <t xml:space="preserve"> (פ/5393/25)</t>
  </si>
  <si>
    <t xml:space="preserve">הצעת חוק רשות מקרקעי ישראל (תיקון - העדפת רכישת קרקע בפריפריה לחיילי מילואים), התשפ"ה-2025</t>
  </si>
  <si>
    <t xml:space="preserve"> (פ/5390/25)</t>
  </si>
  <si>
    <t xml:space="preserve">הצעת חוק מרשם האוכלוסין (תיקון - שינוי שם משפחה של קורבנות עבירת רצח שבוצעה על ידי בני משפחתם), התשפ"ה-2025</t>
  </si>
  <si>
    <t xml:space="preserve"> (פ/5388/25)</t>
  </si>
  <si>
    <t xml:space="preserve">הצעת חוק העברת הודעת פטירה, התשפ"ה-2025</t>
  </si>
  <si>
    <t xml:space="preserve"> (פ/5387/25)</t>
  </si>
  <si>
    <t xml:space="preserve">הצעת חוק האזנת סתר (תיקון - האזנת סתר באמצעות כלים טכנולוגיים), התשפ"ה-2025</t>
  </si>
  <si>
    <t xml:space="preserve"> (פ/5386/25)</t>
  </si>
  <si>
    <t xml:space="preserve">הצעת חוק קיום תפילה ומצוות דת בידי אסירים ועצירים (תיקוני חקיקה), התשפ"ה-2025</t>
  </si>
  <si>
    <t xml:space="preserve"> (פ/5385/25)</t>
  </si>
  <si>
    <t xml:space="preserve">הצעת חוק הפיקוח על יצוא ביטחוני (תיקון - מניעת יצוא ושיווק ביטחוני בשל הטלת אמברגו נשק על ישראל), התשפ"ה-2025</t>
  </si>
  <si>
    <t xml:space="preserve"> (פ/5384/25)</t>
  </si>
  <si>
    <t xml:space="preserve"> (פ/5383/25)</t>
  </si>
  <si>
    <t xml:space="preserve">הצעת חוק קידום התחרות בענפי המזון והפארם (תיקון - שידור נתוני מכר למאגר), התשפ"ה-2025</t>
  </si>
  <si>
    <t xml:space="preserve"> (פ/5382/25)</t>
  </si>
  <si>
    <t xml:space="preserve">הצעת חוק התגמולים לנפגעי פעולות איבה (תיקון - זכאויות לבני משפחה נוספים), התשפ"ה-2025</t>
  </si>
  <si>
    <t xml:space="preserve"> (פ/5381/25)</t>
  </si>
  <si>
    <t xml:space="preserve"> (פ/5380/25)</t>
  </si>
  <si>
    <t xml:space="preserve"> (פ/5379/25)</t>
  </si>
  <si>
    <t xml:space="preserve">הצעת חוק גיל פרישה (תיקון - ביטול גיל פרישת חובה), התשפ"ה-2025</t>
  </si>
  <si>
    <t xml:space="preserve"> (פ/5378/25)</t>
  </si>
  <si>
    <t xml:space="preserve">הצעת חוק העונשין (תיקון - ביטול עבירת מעשה סדום ושינוי מושגי בעבירות בעילה), התשפ"ה-2025</t>
  </si>
  <si>
    <t xml:space="preserve"> (פ/5376/25)</t>
  </si>
  <si>
    <t xml:space="preserve">הצעת חוק הגנת הצרכן (תיקון - איסור התניית תשלום בכרטיס אשראי בסכום רכישה מזערי), התשפ"ה-2025</t>
  </si>
  <si>
    <t xml:space="preserve"> (פ/5375/25)</t>
  </si>
  <si>
    <t xml:space="preserve"> (פ/5374/25)</t>
  </si>
  <si>
    <t xml:space="preserve">הצעת חוק-יסוד: השפיטה (תיקון - בחירת נשיא בית המשפט העליון בידי הכנסת)</t>
  </si>
  <si>
    <t xml:space="preserve"> (פ/5373/25)</t>
  </si>
  <si>
    <t xml:space="preserve">הצעת חוק לחיזוק ריבונותה ועצמאותה של מערכת הבריאות הישראלית ביחס לתקנות ארגון הבריאות העולמי, התשפ"ה-2025</t>
  </si>
  <si>
    <t xml:space="preserve"> (פ/5372/25)</t>
  </si>
  <si>
    <t xml:space="preserve">הצעת חוק לתיקון פקודת מס הכנסה (פטור ממס על תגמול מילואים ונקודות זיכוי מס למשרת מילואים פעיל), התשפ"ה-2025</t>
  </si>
  <si>
    <t xml:space="preserve"> (פ/5370/25)</t>
  </si>
  <si>
    <t xml:space="preserve">הצעת חוק לשכת עורכי הדין (תיקון - הורדת סף המעבר בבחינת ההתמחות של מועד דצמבר 2024), התשפ"ה-2025</t>
  </si>
  <si>
    <t xml:space="preserve"> (פ/5369/25)</t>
  </si>
  <si>
    <t xml:space="preserve">הצעת חוק המתווכים במקרקעין (תיקון - הגבלת דמי תיווך), התשפ"ה-2025</t>
  </si>
  <si>
    <t xml:space="preserve"> (פ/5368/25)</t>
  </si>
  <si>
    <t xml:space="preserve">הצעת חוק הפיקוח על שירותים פיננסיים (קופות גמל) (תיקון - מתן שיקול דעת לחברה מנהלת בהשתתפות ובהצבעה באסיפה של חברה דואלית), התשפ"ה-2025</t>
  </si>
  <si>
    <t xml:space="preserve"> (פ/5367/25)</t>
  </si>
  <si>
    <t xml:space="preserve">הצעת חוק ניירות ערך (תיקון - קביעת חלופת הגשת דוח חצי שנתי לתאגיד קטן), התשפ"ה-2025</t>
  </si>
  <si>
    <t xml:space="preserve"> (פ/5366/25)</t>
  </si>
  <si>
    <t xml:space="preserve">הצעת חוק התכנון והבנייה (תיקון - פטור מהיתר בנייה למעלית לנגישות), התשפ"ה-2025</t>
  </si>
  <si>
    <t xml:space="preserve"> (פ/5365/25)</t>
  </si>
  <si>
    <t xml:space="preserve">הצעת חוק בנק ישראל (תיקון - הרחבת שיקול הדעת של הוועדה המוניטרית), התשפ"ה-2025</t>
  </si>
  <si>
    <t xml:space="preserve"> (פ/5364/25)</t>
  </si>
  <si>
    <t xml:space="preserve">הצעת חוק הרשות הלאומית לרפואה משפטית, התשפ"ה-2025</t>
  </si>
  <si>
    <t xml:space="preserve"> (פ/5363/25)</t>
  </si>
  <si>
    <t xml:space="preserve">הצעת חוק עקרונות האסדרה (תיקון) (בחינה תקופתית של אסדרה ואי-הטלת אחריות בשל אי-פרסום אסדרה), התשפ''ד–2024</t>
  </si>
  <si>
    <t xml:space="preserve"> (פ/1521/25)</t>
  </si>
  <si>
    <t xml:space="preserve"> (כ/1056)</t>
  </si>
  <si>
    <t xml:space="preserve">הצעת חוק הביטוח הלאומי (תיקון - תגמול מילואים לעובד עצמאי) (הוראת שעה - חרבות ברזל), התשפ"ה-2024</t>
  </si>
  <si>
    <t xml:space="preserve"> (פ/4927/25)</t>
  </si>
  <si>
    <t xml:space="preserve">15.01.2025</t>
  </si>
  <si>
    <t xml:space="preserve">הצעת חוק רשות מקרקעי ישראל (תיקון - הקצאת קרקעות בנגב ובגליל לחיילים משוחררים), התשפ"ג-2022</t>
  </si>
  <si>
    <t xml:space="preserve"> (פ/569/25)</t>
  </si>
  <si>
    <t xml:space="preserve">הצעת חוק רשות מקרקעי ישראל (תיקון - הקצאת קרקעות בנגב ובגליל לחיילים משוחררים ומשרתי שירות לאומי-אזרחי), התשפ"ג-2022</t>
  </si>
  <si>
    <t xml:space="preserve"> (פ/566/25)</t>
  </si>
  <si>
    <t xml:space="preserve">הצעת חוק איסור לשון הרע (תיקון - חשיפת פרטי מידע של מנוי ברשת תקשורת אלקטרונית), התשפ"ג-2022</t>
  </si>
  <si>
    <t xml:space="preserve"> (פ/301/25)</t>
  </si>
  <si>
    <t xml:space="preserve">הצעת חוק הפרטת תאגיד השידור הציבורי הישראלי, התשפ"ג-2022</t>
  </si>
  <si>
    <t xml:space="preserve"> (פ/176/25)</t>
  </si>
  <si>
    <t xml:space="preserve">הצעת חוק התוכנית הכלכלית (תיקוני חקיקה ליישום המדיניות הכלכלית לשנת התקציב 2025), התשפ"ה-2024 </t>
  </si>
  <si>
    <t xml:space="preserve">חוק שירותי הדת היהודיים (תיקון מס' 27), התשפ"ה–2025</t>
  </si>
  <si>
    <t xml:space="preserve"> (פ/4540/25)</t>
  </si>
  <si>
    <t xml:space="preserve"> (כ/1036)</t>
  </si>
  <si>
    <t xml:space="preserve">חוק זה מאפשר לממשלה לתקצב שכר ותקנים של בעלי תפקידים שונים במועצות הדתיות שמונו כדין (למשל רבנים שמונו או שנבחרו, לרבות רבנים אזוריים, רבני יישובים ורבנים וקייסים לעדה האתיופית, בלניות, וכן בעלי תפקידים נוספים), נוסף על סכומי ההשתתפות שמועצות דתיות מקבלות בהתאם להוראות החוק, ובלי שיהיה בכך כדי לחייב את הרשות המקומית בסכומי ההשתתפות מטעמה בשל הוצאות אלו. התקציב יועבר על פי אמות מידה שוויוניות שייקבעו על ידי השר לשירותי דת, בהתייעצות עם שר האוצר. בחוק נקבע שהוראה זו תחול גם ביחס לרשויות מקומיות (עיריות, מועצות מקומיות ומועצות אזוריות) שאין בתחומן מועצה דתית.</t>
  </si>
  <si>
    <t xml:space="preserve">חוק לתיקון פקודת התעבורה (מס' 137), התשפ"ה-2025</t>
  </si>
  <si>
    <t xml:space="preserve"> (מ/1812)</t>
  </si>
  <si>
    <t xml:space="preserve">החוק דוחה את כניסתו לתוקף של ההסדר שנקבע במסגרת תיקון 129 לפקודת התעבורה (להלן – התיקון), לפיו הפער בין תעריפי החנייה שקובעת רשות מקומית לתושביה ולאילו שאינם תושביה לא יעלה על 30%, ל-1.1.2027.  בנוסף, החוק דוחה את כניסתו לתוקף של ההסדר, שנקבע במסגרת התיקון, האוסר על רשות מקומית לפטור את תושביה מתשלום בעד חנייה רק בשל היותם תושביה ל-1.1.2027. הסדר זה היה אמור היה לחול על רשויות מקומיות שמספר תושביהן הוא 40,000 ומעלה. חוק זה מצמצם את היקף תחולת ההסדר, כך שיחול רק על רשויות מקומיות שמספר תושביהן עולה על 120,000 איש. בהתאמה לדחיית מועד כניסת ההסדר לתוקף, תוקפן של הוראות שקבעה רשות מקומית לפני 1.1.2022, הפוטרות את תושביה מתשלום בעד חנייה, יוארך עד ליום 31.12.2026, אלא אם כן קבעה קודם לכן אזורי חנייה מוסדרים שתושבי אותם אזורים לא ישלמו בעד חנייה באזורים אלו.  עוד נקבע בחוק זה כי התקנות לעניין אמות מידה ותנאים לקביעת אזורי חנייה מוסדרים, ששר התחבורה והבטיחות בדרכים מוסמך להתקין בהתייעצות עם שר הפנים, יהיו טעונות אישור ועדת הכלכלה של הכנסת. </t>
  </si>
  <si>
    <t xml:space="preserve">הצעת חוק הקלות בבחינות לתלמידים וסטודנטים בעת מצב מיוחד בעורף או בשעת התקפה (תיקוני חקיקה), התשפ"ד-2024</t>
  </si>
  <si>
    <t xml:space="preserve"> (פ/4556/25)</t>
  </si>
  <si>
    <t xml:space="preserve">הצעת חוק דחיית מועדים (הוראת שעה - חרבות ברזל) (חוזה, פסק דין או תשלום לרשות) (תיקון - דחיית תשלום משכנתה למשרת מילואים), התשפ"ד-2024</t>
  </si>
  <si>
    <t xml:space="preserve"> (פ/4272/25)</t>
  </si>
  <si>
    <t xml:space="preserve">הצעת חוק הבנקאות (שירות ללקוח) (תיקון - כללים לעניין שיעורי ריבית ללקוחות), התשפ"ג-2023</t>
  </si>
  <si>
    <t xml:space="preserve"> (פ/3542/25)</t>
  </si>
  <si>
    <t xml:space="preserve">הצעת חוק הגנה על ישראלים מפני מוסדות בין-לאומיים עוינים, התשפ"ג-2023</t>
  </si>
  <si>
    <t xml:space="preserve"> (פ/3049/25)</t>
  </si>
  <si>
    <t xml:space="preserve">הצעת חוק לימוד חובה (תיקון - חובת דיווח על היעדרות תלמיד), התשפ"ג-2023</t>
  </si>
  <si>
    <t xml:space="preserve"> (פ/1693/25)</t>
  </si>
  <si>
    <t xml:space="preserve">הצעת חוק משפחות חיילים שנספו במערכה (תגמולים ושיקום) (תיקון - איסור פיטורים של בן משפחה בשנת השכול הראשונה), התשפ"ד-2024</t>
  </si>
  <si>
    <t xml:space="preserve"> (פ/4784/25)</t>
  </si>
  <si>
    <t xml:space="preserve">14.01.2025</t>
  </si>
  <si>
    <t xml:space="preserve">הצעת חוק הביטוח הלאומי (תיקון - תגמול מילואים לעובד עצמאי) (הוראת שעה - חרבות ברזל), התשפ''ה-2024</t>
  </si>
  <si>
    <t xml:space="preserve"> (פ/4989/25)</t>
  </si>
  <si>
    <t xml:space="preserve">חוק להנצחת זכרו של הרב חיים דרוקמן, התשפ"ה–2025</t>
  </si>
  <si>
    <t xml:space="preserve"> (פ/1648/25)</t>
  </si>
  <si>
    <t xml:space="preserve"> (כ/981)</t>
  </si>
  <si>
    <t xml:space="preserve">החוק להנצחת זכרו של הרב חיים דרוקמן מקים מרכז שינציח לדורות את פועלו ומורשתו של הרב דרוקמן ואת תרומתו לקירוב חלקי החברה הישראלית. המרכז הינו תאגיד חקוק והוא יכלול מכון מחקר, מוזיאון הנצחה וארכיון. למרכז תהיה מועצה ציבורית המורכבת מנציגי המדינה במשרדים הרלוונטיים, ומנציגי ציבור שיכללו איש אקדמיה, אנשי רוח, נציג תנועת נוער וראש הרשות המקומית שבתחומה פועל המרכז. הקמת המרכז ופעילותו ימומנו מאוצר המדינה ומכספי תרומות. בשנות הכספים 2025-2027 תחול מגבלה תקציבית על המימון מאוצר המדינה. השר הממונה על ביצוע החוק הוא שר ההתיישבות והמשימות הלאומיות. </t>
  </si>
  <si>
    <t xml:space="preserve">חוק עבודת נשים (תיקון מס' 65), התשפ"ה–2025</t>
  </si>
  <si>
    <t xml:space="preserve"> (פ/622/25)</t>
  </si>
  <si>
    <t xml:space="preserve"> (כ/1054)</t>
  </si>
  <si>
    <t xml:space="preserve">חוק זה קובע כי עובד שהילד שבת זוגו ילדה אושפז בבית החולים לאחר הלידה לתקופה שעולה על שבועיים, יהיה זכאי להיעדר מעבודתו 20 ימים בתקופת האשפוז על חשבון ימי המחלה הצבורים שלו או על חשבון ימי חופשה, לפי בחירתו.  היעדרות כאמור יכולה להיות לא רצופה, ובנוסף העובד יוכל להיעדר מהעבודה חלקי ימים. כמו כן, ימי ההיעדרות של העובד על חשבון ימי המחלה יימנו ברצף מהיום הראשון שבו נעדר העובד על חשבון ימי המחלה שלו, אף אם ההיעדרות לא היתה רציפה, זאת גם ביחס להיעדרות על חשבון ימי מחלה לפי סעיף 7(ג3) לחוק עבודת נשים, התשי"ד–1954, שקובע את הזכות של אב להיעדר אחרי הלידה. יובהר כי הסדר זה לא יגרע מזכותו של האב להיעדר 5 ימים לאחר הלידה לפי סעיף 7(ג3) האמור וכן לא תגרע מזכותו להיעדר לפי חוק דמי מחלה (היעדרות עקב היריון ולידה של בת הזוג), התש"ס–2000. לסיום, נקבע כי עובד יוכל לממש את זכאותו לפי ההסדר המוצע אם הוא מסר למעסיקו אישור רפואי על אשפוז הילד והצהיר כי בימי ההיעדרות הוא שהה עם הילד שאושפז או עם ילדיו האחרים. </t>
  </si>
  <si>
    <t xml:space="preserve">חוק שירות הקבע בצבא הגנה לישראל (גמלאות) (תיקון מס' 35), התשפ"ה-2025</t>
  </si>
  <si>
    <t xml:space="preserve"> (פ/3791/25)</t>
  </si>
  <si>
    <t xml:space="preserve"> (כ/1022)</t>
  </si>
  <si>
    <t xml:space="preserve">סעיף 33 לחוק שירות הקבע בצבא הגנה לישראל (גמלאות)[נוסח משולב], התשמ"ה-1985 קבע כי מי שזכאי לקצבת פרישה לאחר שפרש משירות קבע, וחזר לשרת בשירות הקבע או החל לעבוד כאזרח עובד צה"ל, והכנסתו הכוללת מהקצבה ומהמשכורת בעד השירות או העבודה כאמור, עולה על "המשכורת הקובעת המשוקללת" לפי החוק, יופחת חלק מהקצבה המשולמת לו כל עוד לא הגיע לגיל 57.  התיקון לחוק קובע כי ההפחתה של חלק מהקצבה לא תחול לגבי פורש משירות הקבע שהפך לאזרח עובד צה"ל לגבי הקצבאות המשולמות בעד התקופה שהחל מ-1 באפריל 2025.  </t>
  </si>
  <si>
    <t xml:space="preserve">הצעת חוק-יסוד: הממשלה (תיקון - ביטול ממשלת חילופים)</t>
  </si>
  <si>
    <t xml:space="preserve"> (פ/4646/25)</t>
  </si>
  <si>
    <t xml:space="preserve">13.01.2025</t>
  </si>
  <si>
    <t xml:space="preserve">הצעת חוק-יסוד: ביטול ממשלת החילופים (תיקוני חקיקה)</t>
  </si>
  <si>
    <t xml:space="preserve"> (פ/1294/25)</t>
  </si>
  <si>
    <t xml:space="preserve">חוק הביטוח הלאומי (תיקון מס' 252 והוראת שעה), התשפ"ה–2025</t>
  </si>
  <si>
    <t xml:space="preserve"> (מ/1809)</t>
  </si>
  <si>
    <t xml:space="preserve">במסגרת החקיקה שנועדה להשלים את הגירעונות הגדולים בתקציב המדינה שנוצרו עקב המלחמה, נקבע כי סכום קצבת הילדים על כל מרכיביה לא יעודכן בשנת 2025. יחד עם זאת מענק הלימודים המשולם לחלק מהמשפחות יעודכן כרגיל.  כמו כן, נקבעו בחקיקה הוראות שהיו קבועות בתקנות בעניין חובת תשלום דמי ביטוח נפגעי עבודה ודמי ביטוח אימהות למי שנמצא בהכשרה מקצועית או בשיקום מקצועי. בתשלומים אלה נושא מי שרואים אותו כמעסיק של אותו אדם שנמצא בהכשרה או בשיקום כאמור, וזאת מעבר לחובת אותו אדם לשלם בעד עצמו דמי ביטוח כמי שאינו עובד או עובד עצמאי.  נוסף על כך, נקבעו בחקיקה הוראות שהיו קבועות בתקנות לעניין דמי ביטוח לאומי המשולמים בעד עובד במשק בית, כלומר מי שמועסק אצל יחיד שלא במסגרת עסק או משלח יד, אשר שיעור דמי הביטוח עבורו קבוע כשיעור אחד של 6.25% ללא חלוקה לענפים שונים או הבחנה לפי גובה ההכנסה. למעסיק של העובד כאמור ניתנה אפשרות לנכות שיעור של 1% מהשכר שבעדו שילם דמי ביטוח. לגבי עובד כאמור שאינו מבוטח בביטוח אזרחים ותיקים ושאירים או שהגיע לגיל המזכה בקצבת אזרח ותיק ללא תלות בהכנסה או מקבל קצבת נכות כללית או נכות מעבודה, נקבעו דמי ביטוח מופחתים של 2%.   כהוראת שעה לשנים 2025 ו-2026 הועלו דמי הביטוח הלאומי המשולמים בעד חלק מההכנסה שעד 60% מהשכר הממוצע, וכן הועלו דמי הביטוח בעד עובד במשק בית ודמי ביטוח נפגעי עבודה ואימהות המשולמים בידי המעסיק בעד מי שנמצא בהכשרה מקצועית או שיקום מקצועי. כנגד העלאה זו תופחת ההקצבה מאוצר המדינה למוסד לביטוח לאומי. אף שהעלאת דמי הביטוח והפחת ההקצבה כאמור נקבעה כהוראת שעה לשנתיים בלבד, נקבע כי שר האוצר בהיוועצות עם שר העבודה ובאישור ועדת העבודה והרווחה יוכל להאריך את ההסדר לשנים 2027 ו-2028 בשנה כל פעם, תוך הפחתה מקבילה של הקצבות המדינה באותן שנים.  ההעלאה האמורה היא בשיעור של 1.6% מהשכר בעד עובד ובעד עובד עצמאי כשההעלאה לגבי ענפי הביטוח השונים בוצעה באופן מתאים לשיעוריהם היחסיים. נטל התוספת לדמי הביטוח בעד העובד לפי לוח י' לחוק הביטוח הלאומי יחולק בין המעסיק לעובד כך שהמעסיק יישא בחלק של 60% מאותה תוספת והעובד יישא בחלק של 40%. בעד מי שאינו עובד ואינו עובד עצמאי שיעור ההעלאה הוא 50% מדמי הביטוח.  </t>
  </si>
  <si>
    <t xml:space="preserve">חוק ביטוח בריאות ממלכתי (תיקון מס' 72 והוראת שעה), התשפ"ה-2025</t>
  </si>
  <si>
    <t xml:space="preserve"> (מ/1815)</t>
  </si>
  <si>
    <t xml:space="preserve">חוק זה מפחית ב0.005% את שיעור דמי ביטוח הבריאות ברמת ההכנסה הנמוכה, כך שיעמוד על 3.23%, ומנגד, מגדיל ב0.005% את שיעור דמי ביטוח הבריאות ברמת ההכנסה הגבוהה, כך שיעמוד על 5.17%. הגדלת שיעור דמי ביטוח הבריאות של רמת ההכנסה הגבוהה תחול רק מחודש פברואר של שנת 2025, ובחודש ינואר של שנת 2025, יעמוד אותו שיעור על 5.16%. </t>
  </si>
  <si>
    <t xml:space="preserve"> (פ/5362/25)</t>
  </si>
  <si>
    <t xml:space="preserve"> (פ/5361/25)</t>
  </si>
  <si>
    <t xml:space="preserve"> (פ/5360/25)</t>
  </si>
  <si>
    <t xml:space="preserve"> (פ/5359/25)</t>
  </si>
  <si>
    <t xml:space="preserve"> (פ/5358/25)</t>
  </si>
  <si>
    <t xml:space="preserve">הצעת חוק למניעת הסתננות (עבירות ושיפוט) (תיקון - מניעת שחרור בעירבון כספי), התשפ"ה-2025</t>
  </si>
  <si>
    <t xml:space="preserve"> (פ/5357/25)</t>
  </si>
  <si>
    <t xml:space="preserve">הצעת חוק מס ערך מוסף (תיקון - סובסידיה בגני ילדים), התשפ"ה-2025</t>
  </si>
  <si>
    <t xml:space="preserve"> (פ/5356/25)</t>
  </si>
  <si>
    <t xml:space="preserve">הצעת חוק שחרור על-תנאי ממאסר (תיקון - העברת הסמכות לדון בעבירות מין מהיחידה למאסרים קצרים לוועדת השחרורים), התשפ"ה-2025</t>
  </si>
  <si>
    <t xml:space="preserve"> (פ/5355/25)</t>
  </si>
  <si>
    <t xml:space="preserve">הצעת חוק האזרחות (תיקון - אזרחות לבן משפחה של חייל), התשפ"ה-2025</t>
  </si>
  <si>
    <t xml:space="preserve"> (פ/5354/25)</t>
  </si>
  <si>
    <t xml:space="preserve">הצעת חוק-יסוד: משאל עם (תיקון - משאל עם בעניין פינוי התיישבות חוקית באזור יהודה והשומרון)</t>
  </si>
  <si>
    <t xml:space="preserve"> (פ/5353/25)</t>
  </si>
  <si>
    <t xml:space="preserve">הצעת חוק השכירות והשאילה (תיקון - הארכת הסכמי חכירה לדורות), התשפ"ה-2025</t>
  </si>
  <si>
    <t xml:space="preserve"> (פ/5349/25)</t>
  </si>
  <si>
    <t xml:space="preserve">הצעת חוק ליווי בני משפחות של משרתים בגופי ביטחון ששלחו יד בנפשם, התשפ"ה-2025</t>
  </si>
  <si>
    <t xml:space="preserve"> (פ/5348/25)</t>
  </si>
  <si>
    <t xml:space="preserve">הצעת חוק הממשלה (תיקון - ועדת שרים לענייני חקיקה), התשפ"ה-2025</t>
  </si>
  <si>
    <t xml:space="preserve"> (פ/5347/25)</t>
  </si>
  <si>
    <t xml:space="preserve"> (פ/5346/25)</t>
  </si>
  <si>
    <t xml:space="preserve"> (פ/5345/25)</t>
  </si>
  <si>
    <t xml:space="preserve">הצעת חוק הדרכונים (תיקון - הנפקת דרכון או תעודת מעבר לקטין שמלאו לו 16 שנים), התשפ"ה-2025</t>
  </si>
  <si>
    <t xml:space="preserve"> (פ/5344/25)</t>
  </si>
  <si>
    <t xml:space="preserve">הצעת חוק הכניסה לישראל (תיקון - תוקף צווי הגבלת שימוש במקום וסמכויות תפיסה וחילוט), התשפ"ה-2025</t>
  </si>
  <si>
    <t xml:space="preserve"> (פ/5343/25)</t>
  </si>
  <si>
    <t xml:space="preserve"> (פ/5342/25)</t>
  </si>
  <si>
    <t xml:space="preserve">הצעת חוק שעות עבודה ומנוחה (תיקון - הגבלת שעות העסקה של מתמחה ברפואה), התשפ"ה-2025</t>
  </si>
  <si>
    <t xml:space="preserve"> (פ/5341/25)</t>
  </si>
  <si>
    <t xml:space="preserve"> (פ/5340/25)</t>
  </si>
  <si>
    <t xml:space="preserve"> (פ/5337/25)</t>
  </si>
  <si>
    <t xml:space="preserve">הצעת חוק-יסוד: הכנסת (תיקון - הצבעה מרחוק ונבצרות)</t>
  </si>
  <si>
    <t xml:space="preserve"> (פ/5336/25)</t>
  </si>
  <si>
    <t xml:space="preserve"> (פ/5335/25)</t>
  </si>
  <si>
    <t xml:space="preserve"> (פ/5334/25)</t>
  </si>
  <si>
    <t xml:space="preserve">הצעת חוק תרגום תעודות ציבוריות, התשפ"ה-2025</t>
  </si>
  <si>
    <t xml:space="preserve"> (פ/5332/25)</t>
  </si>
  <si>
    <t xml:space="preserve">הצעת חוק מס ערך מוסף (תיקון - מס בשיעור אפס במכירת מזונות המסייעים לקידום בריאות הציבור והביטחון התזונתי), התשפ"ה-2025</t>
  </si>
  <si>
    <t xml:space="preserve"> (פ/5328/25)</t>
  </si>
  <si>
    <t xml:space="preserve"> (פ/5326/25)</t>
  </si>
  <si>
    <t xml:space="preserve">הצעת חוק-יסוד: ישראל - מדינת הלאום של העם היהודי (תיקון - הוספת מחויבות לשוויון זכויות)</t>
  </si>
  <si>
    <t xml:space="preserve"> (פ/5325/25)</t>
  </si>
  <si>
    <t xml:space="preserve">הצעת חוק סדר הדין הפלילי (תיקון - הגבלת משך זמן החקירה המשטרתית וחקירת הפרקליטות), התשפ"ה-2025</t>
  </si>
  <si>
    <t xml:space="preserve"> (פ/5324/25)</t>
  </si>
  <si>
    <t xml:space="preserve">חוק הסדרת העיסוק בעבודה במערכת קירור או מיזוג אוויר, התשפ"ה-2025</t>
  </si>
  <si>
    <t xml:space="preserve"> (מ/1578)</t>
  </si>
  <si>
    <t xml:space="preserve">08.01.2025</t>
  </si>
  <si>
    <t xml:space="preserve">חוק זה מסדיר לראשונה בחקיקה את העיסוק במערכות קירור ומיזוג אוויר, בעקבות המעבר לשימוש בקררים חדשים הכוללים גזים דליקים, נפיצים ורעילים.  החוק קובע כי עבודה במערכות קירור או מיזוג אוויר טעונה אחד משלושת הרישיונות הבאים – רישיון דרגה 1 לביצוע עבודות במערכת שתפוקת הקירור שלה עד 18 קילו ואט, רישיון דרגה 2 לביצוע עבודות במערכות גדולות יותר, שתפוקת הקירור שלהן עד 70 קילו ואט או רישיון דרגה 3 לביצוע עבודה בכל מערכת קירור ומיזוג אוויר.  רישיונות אלו יינתנו לתקופה של חמש שנים ולצורך חידושו בעל הרישיון יידרש להשתתף בהשתלמות בהיקף של 8 שעות לפחות.  בהמשך לכך, החוק קובע מהן הפעולות מסוג התקנה ותחזוקה שייחשבו עבודות במערכת קירור או מיזוג אוויר שלצורך ביצוען יידרש רישיון. במסגרת עבודות אלה, המנויות בתוספת הראשונה ישנן עבודות של חיבור צנרת, בדיקת אטימות, תליית יחידת המיזוג, מילוי הקררים, מדידת לחץ ועוד.  בנוסף, החוק קובע את ההכשרה והלימודים שיידרשו לכל אחד מסוגי הרישיונות, בהתחשב בהכשרה או הניסיון הקודמים של מי שמבקש לעסוק בתחום. כמו כן, נקבע כי תהיה תקופה של 3 שנים במסגרתה מי שיש לו ניסיון קיים בעבודה במערכות קירור או מיזוג אוויר יוכל לעבור מסלול הכשרה מקוצר ולקבל רישיון על פי החוק. עוד נקבע כי בעל רישיון יבצע עבודה במערכת קירור או מיזוג אוויר על פי התקן הישראלי 994, הכולל את החובה לבצע בדיקת אטימות בסיום ההתקנה, שבאמצעותה ניתן לגלות אם יש דליפה מסוכנת של גז.  החוק כולל הוראות נוספות ובהן הוראות לעניין מינוי רשם, מינוי מועצה שחבריה ייעצו לשר ולרשם, הסמכת מפקחים וקביעת הסמכויות שיינתנו להם, מינוי מפקח בכיר, הסתייעות בבדיקות עזר ובחוות דעת מומחה, והסמכה של בודקים ומומחים שיסייעו לביצוע עבודות הפיקוח. בנוסף לכך, החוק כולל הוראות של אכיפה מנהלית והטלת עיצומים כספיים על בעלי רישיונות ועל העוסקים בתחום, כולל מפעילים.  הוראות חוק זה ייכנסו לתוקף שלושה חודשים מיום פרסומן לגבי מי שיבצע עבודות במערכות קירור ומיזוג אוויר שיש בהן גזים דליקים שמנויים בתוספת. לגבי כל שאר המערכות, תחילת החוק תהיה שנה וחצי מיום פרסומן.  </t>
  </si>
  <si>
    <t xml:space="preserve">חוק העונשין (תיקון מס' 140 – הוראת שעה) (תיקון), התשפ"ה-2025</t>
  </si>
  <si>
    <t xml:space="preserve"> (מ/1818)</t>
  </si>
  <si>
    <t xml:space="preserve">החוק מאריך עד ה-31 בדצמבר 2026, את הוראת השעה לפיה יוטל עונש מינימום של רבע מהעונש המרבי למי שהורשע בעבירות של החזקה, נשיאה וסחר בנשק, וזאת למעט במקרים מיוחדים.</t>
  </si>
  <si>
    <t xml:space="preserve">הצעת חוק לתיקון פקודת מס הכנסה (פטור ממס על תגמול מילואים ונקודות זיכוי מס למשרת מילואים פעיל), התשפ"ה-2024</t>
  </si>
  <si>
    <t xml:space="preserve"> (פ/5074/25)</t>
  </si>
  <si>
    <t xml:space="preserve">הצעת חוק לתיקון פקודת מס הכנסה (נקודת זיכוי בעד שירות מילואים), התשפ"ה-2024</t>
  </si>
  <si>
    <t xml:space="preserve"> (פ/5057/25)</t>
  </si>
  <si>
    <t xml:space="preserve">הצעת חוק-יסוד: הכנסת (תיקון - הזכות להיבחר) </t>
  </si>
  <si>
    <t xml:space="preserve"> (פ/4995/25)</t>
  </si>
  <si>
    <t xml:space="preserve">הצעת חוק הרשות הלאומית לרפואה משפטית, התשפ"ד-2024</t>
  </si>
  <si>
    <t xml:space="preserve"> (פ/4735/25)</t>
  </si>
  <si>
    <t xml:space="preserve">הצעת חוק הרשות הלאומית למאבק בסמים ובשימוש לרעה באלכוהול, התשפ"ד-2024</t>
  </si>
  <si>
    <t xml:space="preserve"> (פ/4245/25)</t>
  </si>
  <si>
    <t xml:space="preserve">הצעת חוק חינוך ממלכתי (תיקון - חינוך ממלכתי חרדי), התשפ"ג-2023</t>
  </si>
  <si>
    <t xml:space="preserve"> (פ/3797/25)</t>
  </si>
  <si>
    <t xml:space="preserve">הצעת חוק גנים לאומיים, שמורות טבע, אתרים לאומיים ואתרי הנצחה (תיקון - הגנה על סמלי הנצחה ומורשת), התשפ"ג-2023</t>
  </si>
  <si>
    <t xml:space="preserve"> (פ/3175/25)</t>
  </si>
  <si>
    <t xml:space="preserve">הצעת חוק חובת המכרזים (תיקון - העדפה מתקנת לנכי צה"ל), התשפ"ג-2023</t>
  </si>
  <si>
    <t xml:space="preserve"> (פ/2617/25)</t>
  </si>
  <si>
    <t xml:space="preserve">הצעת חוק החלת תקצוב מגדרי על תקציבים ציבוריים בישראל, התשפ"ג-2023</t>
  </si>
  <si>
    <t xml:space="preserve"> (פ/2336/25)</t>
  </si>
  <si>
    <t xml:space="preserve">הצעת חוק מרשם האוכלוסין (תיקון - שינוי שם משפחה של קורבנות עבירת רצח שבוצעה על ידי בני משפחתם), התשפ"ג-2023</t>
  </si>
  <si>
    <t xml:space="preserve"> (פ/2291/25)</t>
  </si>
  <si>
    <t xml:space="preserve">הצעת חוק שימוש בזרע של נפטר לשם הולדה, התשפ"ג-2022 </t>
  </si>
  <si>
    <t xml:space="preserve"> (פ/976/25)</t>
  </si>
  <si>
    <t xml:space="preserve">הצעת חוק החלת תקצוב מגדרי על תקציבים ציבוריים בישראל, התשפ"ג-2022</t>
  </si>
  <si>
    <t xml:space="preserve"> (פ/778/25)</t>
  </si>
  <si>
    <t xml:space="preserve">הצעת חוק ההתגוננות האזרחית (תיקון - פיקוח על מקלטים משותפים), התשפ"ד-2024</t>
  </si>
  <si>
    <t xml:space="preserve"> (פ/4167/25)</t>
  </si>
  <si>
    <t xml:space="preserve">07.01.2025</t>
  </si>
  <si>
    <t xml:space="preserve">חוק מרשם האוכלוסין (תיקון מס' 22), התשפ"ה-2025</t>
  </si>
  <si>
    <t xml:space="preserve"> (מ/1820)</t>
  </si>
  <si>
    <t xml:space="preserve">נקבע כי ביחס לחטוף שנפטר מחוץ לישראל יחולו כל ההוראות שחלות ביחס לפטירה בישראל כגון: הוראות לעניין מסירת הודעת פטירה, רישום הפטירה והנפקת תעודת פטירה, בשינויים המחויבים.</t>
  </si>
  <si>
    <t xml:space="preserve">חוק שחרור על־תנאי ממאסר (תיקון מס' 17 – הוראת שעה) (תיקון מס' 4), התשפ"ה-2025 </t>
  </si>
  <si>
    <t xml:space="preserve"> (מ/1816)</t>
  </si>
  <si>
    <t xml:space="preserve">06.01.2025</t>
  </si>
  <si>
    <t xml:space="preserve">ביום י"ד באב התשע"ח (26 ביולי 2018) פורסם חוק שחרור על-תנאי ממאסר (תיקון מס' 17 – הוראת שעה), התשע"ח–2018. במסגרת זו נקבע כהוראת שעה, לתקופה של שלוש שנים, כי תוקם יחידה מנהלית בשירות בתי הסוהר – יחידה לשחרור ממאסרים קצרים, שתוסמך לבחון בקשות לשחרור על תנאי של אסירים שנשפטו לתקופת מאסר שבין שלושה חודשים לשנה, שנשאו שני שלישים לפחות מתקופתם מאסרם. זאת במקום נציב בתי הסוהר שלו הייתה הסמכות לעניין אסירים שנשפטו לתקופה העולה על שלושה חודשים ושלא עולה על שישה חודשים, ובמקום ועדת השחרורים לעניין אסירים שנשפטו לתקופה העולה על שישה חודשים. היחידה לא תשחרר אסיר אלא אם שוכנעה שהוא ראוי לשחרור כאמור וכי הוא לא מסכן את שלום הציבור. בקשת האסיר לשחרורו על תנאי תיבחן ככלל על בסיס הבקשה בכתב ומסמכים שיובאו בפני היחידה. בקשות לשחרור על תנאי של אסירים המרצים את עונשם בשל עבירות מין, עבירות אלימות במשפחה ואסירים הלוקים בנפשם ידונו בפני היחידה המנהלית רק אם נגזרו עליהם בין שלושה לשישה חודשי מאסר. אסירים כאמור אשר נגזרה עליהם תקופה העולה על שישה חודשי מאסר יידונו בפני וועדת השחרורים, בשל מורכבותם. הסדר זה יחול גם על בקשות קטינים לשחרור על תנאי.  מאוחר יותר, במסגרת תיקונים נוספים, הוארכה הוראת השעה לתקופות נוספות.  במסגרת התיקון הרביעי, נקבע כי הוראת השעה תהפוך להסדר קבוע. עוד נקבע כי הדיווח בדבר אופן פעילות היחידה, הניתן אחת לשנה, מטעם השר לביטחון פנים לוועדת החוקה חוק ומשפט של הכנסת, ימשיך כל עוד עומדת בתוקפה הכרזה על מצב חירום כליאתי בהתאם לסעיף 19כ לפקודת בתי הסוהר [נוסח חדש], התשל"ב–1971. </t>
  </si>
  <si>
    <t xml:space="preserve">הצעת חוק רישוי שירותים ומקצועות בענף הרכב (תיקון - קידום תחרות בשוק שירותי הרכב), התשפ"ה-2025</t>
  </si>
  <si>
    <t xml:space="preserve"> (פ/5323/25)</t>
  </si>
  <si>
    <t xml:space="preserve">הצעת חוק חסינות חברי הכנסת, זכויותיהם וחובותיהם (תיקון - חובת גילוי של מסחר בניירות ערך לחבר בוועדת הכספים או הכלכלה של הכנסת), התשפ"ה-2025</t>
  </si>
  <si>
    <t xml:space="preserve"> (פ/5321/25)</t>
  </si>
  <si>
    <t xml:space="preserve"> (פ/5320/25)</t>
  </si>
  <si>
    <t xml:space="preserve">הצעת חוק למניעת אלימות במשפחה (תיקון - מתן צו הגנה בהליך פלילי), התשפ"ה-2025</t>
  </si>
  <si>
    <t xml:space="preserve"> (פ/5319/25)</t>
  </si>
  <si>
    <t xml:space="preserve">הצעת חוק סיירות ביטחון ברשויות המקומיות (הוראת שעה), התשפ"ה-2025</t>
  </si>
  <si>
    <t xml:space="preserve"> (פ/5318/25)</t>
  </si>
  <si>
    <t xml:space="preserve"> (פ/5316/25)</t>
  </si>
  <si>
    <t xml:space="preserve">הצעת חוק חינוך ממלכתי (תיקון - חינוך ממלכתי חרדי), התשפ"ה-2025</t>
  </si>
  <si>
    <t xml:space="preserve"> (פ/5315/25)</t>
  </si>
  <si>
    <t xml:space="preserve">הצעת חוק העונשין (תיקון - עונש מינימום על החזקת נשק בלתי חוקי), התשפ''ה-2025</t>
  </si>
  <si>
    <t xml:space="preserve"> (פ/5314/25)</t>
  </si>
  <si>
    <t xml:space="preserve">הצעת חוק הגנת הצרכן (תיקון - משלוח חשבונית ושובר זיכוי לצרכן בדרך מקוונת), התשפ"ה-2025</t>
  </si>
  <si>
    <t xml:space="preserve"> (פ/5313/25)</t>
  </si>
  <si>
    <t xml:space="preserve">הצעת חוק-יסוד: ישראל - מדינת הלאום של העם היהודי (תיקון - עיגון מעמדה של העדה הדרוזית)</t>
  </si>
  <si>
    <t xml:space="preserve"> (פ/5312/25)</t>
  </si>
  <si>
    <t xml:space="preserve">הצעת חוק חובת פרסום הודעות באינטרנט, התשפ"ה-2025 </t>
  </si>
  <si>
    <t xml:space="preserve"> (פ/5310/25)</t>
  </si>
  <si>
    <t xml:space="preserve">הצעת חוק הגנת הפרטיות (תיקון - איסור פרסום שמו של נפגע), התשפ"ה-2025</t>
  </si>
  <si>
    <t xml:space="preserve"> (פ/5309/25)</t>
  </si>
  <si>
    <t xml:space="preserve"> (פ/5308/25)</t>
  </si>
  <si>
    <t xml:space="preserve"> (פ/5307/25)</t>
  </si>
  <si>
    <t xml:space="preserve"> (פ/5306/25)</t>
  </si>
  <si>
    <t xml:space="preserve">הצעת חוק סדר הדין הפלילי (סמכויות אכיפה - מעצרים) (תיקון - מעצר עד תום ההליכים בגין עבירה של סחיטה באיומים), התשפ"ה-2025</t>
  </si>
  <si>
    <t xml:space="preserve"> (פ/5305/25)</t>
  </si>
  <si>
    <t xml:space="preserve">הצעת חוק הביטוח הלאומי (תיקון - מענק חודשי לתושבי הצפון שלא פונו מבתיהם) (הוראת שעה), התשפ"ה-2025</t>
  </si>
  <si>
    <t xml:space="preserve"> (פ/5303/25)</t>
  </si>
  <si>
    <t xml:space="preserve">הצעת חוק סמכויות שעת חירום (מעצרים) (תיקון - מעצרים מינהליים בגין חברות בארגון טרור), התשפ"ד-2024</t>
  </si>
  <si>
    <t xml:space="preserve"> (פ/4558/25)</t>
  </si>
  <si>
    <t xml:space="preserve">01.01.2025</t>
  </si>
  <si>
    <t xml:space="preserve">הצעת חוק מעמד המשרת בשירות צבאי או לאומי, התשפ"ה-2024</t>
  </si>
  <si>
    <t xml:space="preserve"> (פ/5006/25)</t>
  </si>
  <si>
    <t xml:space="preserve"> (פ/4970/25)</t>
  </si>
  <si>
    <t xml:space="preserve"> (פ/4657/25)</t>
  </si>
  <si>
    <t xml:space="preserve">הצעת חוק החיילים המשוחררים (החזרה לעבודה) (תיקון - הרחבת ההגנה מפני פיטורין), התשפ"ד-2024</t>
  </si>
  <si>
    <t xml:space="preserve"> (פ/4254/25)</t>
  </si>
  <si>
    <t xml:space="preserve">הצעת חוק-יסוד: מניעת חקיקה למטרות יחיד או קבוצות קטנות</t>
  </si>
  <si>
    <t xml:space="preserve"> (פ/3899/25)</t>
  </si>
  <si>
    <t xml:space="preserve">הצעת חוק חינוך ממלכתי (תיקון - חינוך פיננסי), התשפ"ג-2023</t>
  </si>
  <si>
    <t xml:space="preserve"> (פ/3846/25)</t>
  </si>
  <si>
    <t xml:space="preserve">הצעת חוק הביטוח הלאומי (תיקון - השוואת קצבת אזרח ותיק וקצבת נכות לשכר מינימום), התשפ"ג-2023</t>
  </si>
  <si>
    <t xml:space="preserve"> (פ/1628/25)</t>
  </si>
  <si>
    <t xml:space="preserve">חוק ההתייעלות הכלכלית (תיקוני חקיקה להשגת יעדי התקציב לשנת 2025) (מיסוי רווחים לא מחולקים), התשפ"ה-2024 </t>
  </si>
  <si>
    <t xml:space="preserve"> (מ/1808)</t>
  </si>
  <si>
    <t xml:space="preserve">31.12.2024</t>
  </si>
  <si>
    <t xml:space="preserve">החוק מסדיר את מיסוי הרווחים שלא חולקו בחברות מעטים. החוק קובע כי בעל מניות יחיד, הפעיל בחברה שמחזור עסקיה נמוך מ-30 מיליון ש"ח ושיעור רווחיותה עולה על 25%, יחויב במס שולי על הרווחים העודפים. נקבע מנגנון מיסוי לחברות מעטים המחזיקות בשותפויות, בהתאם להיקף הרווחים המיוחסים להן. בנוסף, הוטל מס של 2% על רווחים לא מחולקים, עם אפשרות לחלופה בדמות חלוקה של 6% מהרווחים בפועל. החוק כולל פטור לחברות עם רווחים צבורים הנמוכים מ-750,000 ש"ח, החרגה לחברות תעשייתיות וקבלנים, וכן הוראת שעה לשנת 2025 המאפשרת פירוק חברות בפטור ממס.</t>
  </si>
  <si>
    <t xml:space="preserve">הצעת חוק העונשין (תיקון - עונש מינימום על עבירת אונס וביטול סייג הקלה מטעמים מיוחדים), התשפ"ה-2024</t>
  </si>
  <si>
    <t xml:space="preserve"> (פ/5301/25)</t>
  </si>
  <si>
    <t xml:space="preserve">30.12.2024</t>
  </si>
  <si>
    <t xml:space="preserve">הצעת חוק חסינות חברי הכנסת, זכויותיהם וחובותיהם (תיקון - ביקור במוסדות ובמתקנים סגורים ותחולה באזור), התשפ"ה-2024</t>
  </si>
  <si>
    <t xml:space="preserve"> (פ/5300/25)</t>
  </si>
  <si>
    <t xml:space="preserve">הצעת חוק זיהוי קורבנות אסון (זק"א), התשפ"ה-2024</t>
  </si>
  <si>
    <t xml:space="preserve"> (פ/5299/25)</t>
  </si>
  <si>
    <t xml:space="preserve">הצעת חוק האזורים הימיים, התשפ"ה-2024</t>
  </si>
  <si>
    <t xml:space="preserve"> (פ/5298/25)</t>
  </si>
  <si>
    <t xml:space="preserve">הצעת חוק מרכזי חירום ושליטה ביישובים סמוכי גבול, התשפ"ה-2024</t>
  </si>
  <si>
    <t xml:space="preserve"> (פ/5297/25)</t>
  </si>
  <si>
    <t xml:space="preserve">הצעת חוק שירות המילואים (תיקון - חייל מילואים בודד), התשפ"ה-2024</t>
  </si>
  <si>
    <t xml:space="preserve"> (פ/5296/25)</t>
  </si>
  <si>
    <t xml:space="preserve">הצעת חוק הדחת נציג ציבור התומך במאבק מזוין נגד מדינת ישראל (תיקוני חקיקה), התשפ''ה-2024 </t>
  </si>
  <si>
    <t xml:space="preserve"> (פ/5295/25)</t>
  </si>
  <si>
    <t xml:space="preserve">הצעת חוק שלילת הטבות מבכירים במערכת הביטחון, התשפ"ה-2024 </t>
  </si>
  <si>
    <t xml:space="preserve"> (פ/5294/25)</t>
  </si>
  <si>
    <t xml:space="preserve">הצעת חוק שירות המילואים (תיקון - הפחתת שיעור המס שחל על תגמולים למשרתי מילואים), התשפ"ה-2024</t>
  </si>
  <si>
    <t xml:space="preserve"> (פ/5293/25)</t>
  </si>
  <si>
    <t xml:space="preserve">הצעת חוק הרשות הארצית לכבאות והצלה (תיקון - איסור התארגנות), התשפ"ה-2024 </t>
  </si>
  <si>
    <t xml:space="preserve"> (פ/5292/25)</t>
  </si>
  <si>
    <t xml:space="preserve">הצעת חוק להגדלת היצע הדיור ברשויות מקומיות (תיקוני חקיקה), התשפ"ה-2024</t>
  </si>
  <si>
    <t xml:space="preserve"> (פ/5291/25)</t>
  </si>
  <si>
    <t xml:space="preserve">הצעת חוק-יסוד: משאל עם (תיקון - חובת אישור החלת ריבונות במשאל עם)</t>
  </si>
  <si>
    <t xml:space="preserve"> (פ/5290/25)</t>
  </si>
  <si>
    <t xml:space="preserve">הצעת חוק גירוש מיידי של מסתננים התומכים במשטר מדינתם, התשפ"ה-2024</t>
  </si>
  <si>
    <t xml:space="preserve"> (פ/5288/25)</t>
  </si>
  <si>
    <t xml:space="preserve">הצעת חוק העונשין (תיקון - תקיפת עיתונאי או איש תקשורת), התשפ"ה-2024</t>
  </si>
  <si>
    <t xml:space="preserve"> (פ/5286/25)</t>
  </si>
  <si>
    <t xml:space="preserve">הצעת חוק שירות המדינה (מינויים) (תיקון - שקיפות בתהליך קבלה לעבודה), התשפ"ה-2024</t>
  </si>
  <si>
    <t xml:space="preserve"> (פ/5285/25)</t>
  </si>
  <si>
    <t xml:space="preserve">הצעת חוק האפוטרופוס הכללי (תיקון - ניהול נכסי מקרקעין), התשפ"ה-2024 </t>
  </si>
  <si>
    <t xml:space="preserve"> (פ/5284/25)</t>
  </si>
  <si>
    <t xml:space="preserve">הצעת חוק שוויון יישובים דרוזיים וצ'רקסיים, התשפ"ה-2024</t>
  </si>
  <si>
    <t xml:space="preserve"> (פ/5283/25)</t>
  </si>
  <si>
    <t xml:space="preserve">הצעת חוק התובע הכללי, התשפ"ה-2024</t>
  </si>
  <si>
    <t xml:space="preserve"> (פ/5282/25)</t>
  </si>
  <si>
    <t xml:space="preserve">הצעת חוק הבנקאות (שירות ללקוח) (תיקון - ניוד פקדונות ללקוחות הבנקים ללא העברת חשבון בנק), התשפ"ה-2024</t>
  </si>
  <si>
    <t xml:space="preserve"> (פ/5281/25)</t>
  </si>
  <si>
    <t xml:space="preserve">הצעת חוק צער בעלי חיים (הגנה על בעלי חיים) (תיקון - המעמד המשפטי של בעלי חיים), התשפ"ה-2024</t>
  </si>
  <si>
    <t xml:space="preserve"> (פ/5280/25)</t>
  </si>
  <si>
    <t xml:space="preserve">הצעת חוק תשלומים לפדויי שבי ולחטופים ששוחררו (תיקון - החזר הוצאות לקרוב של פדוי שבי מאושפז או של פדוי שבי שנדרש להשגחה צמודה), התשפ"ה-2024</t>
  </si>
  <si>
    <t xml:space="preserve"> (פ/5277/25)</t>
  </si>
  <si>
    <t xml:space="preserve">הצעת חוק התגמולים לנפגעי פעולות איבה (תיקון - משפחה מלווה ליתומים בגירים), התשפ"ה-2024</t>
  </si>
  <si>
    <t xml:space="preserve"> (פ/5275/25)</t>
  </si>
  <si>
    <t xml:space="preserve">הצעת חוק תקשורת דיגיטלית עם גופים ציבוריים (תיקון - אישור קבלה ועדכון על מצב הטיפול בפנייה), התשפ"ה-2024 </t>
  </si>
  <si>
    <t xml:space="preserve"> (פ/5274/25)</t>
  </si>
  <si>
    <t xml:space="preserve">הצעת חוק הבחירות לכנסת (תיקון - הצבעה על ידי אזרחים בחוץ לארץ), התשפ"ה-2024</t>
  </si>
  <si>
    <t xml:space="preserve"> (פ/5272/25)</t>
  </si>
  <si>
    <t xml:space="preserve"> (פ/5271/25)</t>
  </si>
  <si>
    <t xml:space="preserve">הצעת חוק למתן הטבות למשרתים במילואים (קדימות בתור לטיפולי בריאות הפה והשיניים - הוראת שעה - חרבות ברזל), התשפ"ה-2024 </t>
  </si>
  <si>
    <t xml:space="preserve"> (פ/5270/25)</t>
  </si>
  <si>
    <t xml:space="preserve">הצעת חוק לידה שקטה (תיקוני חקיקה), התשפ"ה-2024</t>
  </si>
  <si>
    <t xml:space="preserve"> (פ/5269/25)</t>
  </si>
  <si>
    <t xml:space="preserve">הצעת חוק זכויות הסטודנט (תיקון - הקלות בקבלה ללימודים אקדמיים למי ששירת כלוחם), התשפ"ה-2024</t>
  </si>
  <si>
    <t xml:space="preserve"> (פ/5268/25)</t>
  </si>
  <si>
    <t xml:space="preserve">הצעת חוק שירות המילואים (תיקון - הקצאת מקומות למשרתי מילואים באירועי תרבות וספורט), התשפ"ה-2024</t>
  </si>
  <si>
    <t xml:space="preserve"> (פ/5266/25)</t>
  </si>
  <si>
    <t xml:space="preserve">הצעת חוק לתיקון פקודת התעבורה (חובת הפעלת קווי תחבורה ציבורית ישירים לבתי חולים), התשפ"ה-2024</t>
  </si>
  <si>
    <t xml:space="preserve"> (פ/5265/25)</t>
  </si>
  <si>
    <t xml:space="preserve">הצעת חוק הבנקאות (שירות ללקוח) (תיקון - מתן שירותי הפקדה בכל כספומט בנקאי), התשפ"ה-2024</t>
  </si>
  <si>
    <t xml:space="preserve"> (פ/5264/25)</t>
  </si>
  <si>
    <t xml:space="preserve">הצעת חוק קבלת ילד של משרת מילואים למעון יום והשתתפות המדינה בעלות שכר הלימוד בו, התשפ"ה-2024</t>
  </si>
  <si>
    <t xml:space="preserve"> (פ/5002/25)</t>
  </si>
  <si>
    <t xml:space="preserve">25.12.2024</t>
  </si>
  <si>
    <t xml:space="preserve"> (פ/5001/25)</t>
  </si>
  <si>
    <t xml:space="preserve">הצעת חוק העונשין (תיקון - פריצה למיתקן ביטחוני), התשפ"ה-2024</t>
  </si>
  <si>
    <t xml:space="preserve"> (פ/4914/25)</t>
  </si>
  <si>
    <t xml:space="preserve">הצעת חוק הביטוח הלאומי (תיקון - משלוח הודעה בדבר זכאות המבוטח), התשפ"ג-2023</t>
  </si>
  <si>
    <t xml:space="preserve"> (פ/2795/25)</t>
  </si>
  <si>
    <t xml:space="preserve"> (פ/1176/25)</t>
  </si>
  <si>
    <t xml:space="preserve">24.12.2024</t>
  </si>
  <si>
    <t xml:space="preserve">חוק ההתייעלות הכלכלית (תיקוני חקיקה להשגת יעדי התקציב לשנת התקציב 2025) (הקפאת עדכוני מס ומס יסף), התשפ"ה-2024</t>
  </si>
  <si>
    <t xml:space="preserve">החוק קובע הקפאה של עדכוני סכומים במס הכנסה ובמיסוי מקרקעין כהוראת שעה לשנים 2025-2027, לרבות תקרות הכנסה, נקודות זיכוי, קצבאות, מדרגות מס רכישה ופטור ממס שבח. ההקפאה לא חלה על מענק מס הכנסה שלילי. כמו כן, הוטל מס יסף נוסף של 2% על הכנסה ממקורות הוניים, החורגת מתקרת הכנסה שנתית של 721,560 ש"ח (לשנת 2024). </t>
  </si>
  <si>
    <t xml:space="preserve">חוק הסמכת צבא הגנה לישראל ושירות הביטחון הכללי לביצוע חדירה לחומר מחשב המשמש להפעלת מצלמה נייחת ופעולה בו (הוראת שעה – חרבות ברזל) (תיקון מס' 3), התשפ"ה-2024</t>
  </si>
  <si>
    <t xml:space="preserve"> (מ/1824)</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</si>
  <si>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השירות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במסגרת תיקון מס' 3, הוארך תקופת תוקפה של הוראת השעה עד ליום ד' בתמוז התשפ"ה (30 ביוני 2025). </t>
  </si>
  <si>
    <t xml:space="preserve">חוק לתיקון פקודת בתי הסוהר (מס' 64 – הוראת שעה – חרבות ברזל) (מצב חירום כליאתי) (תיקון מס' 3), התשפ"ה-2024 </t>
  </si>
  <si>
    <t xml:space="preserve"> (מ/1827)</t>
  </si>
  <si>
    <t xml:space="preserve">במסגרת תיקון מספר 64 לפקודת בתי הסוהר [נוסח חדש], התשל"ב–1971, נקבע, כהוראת שעה, כי השר לביטחון לאומי, בהמלצת נציב בתי הסוהר ובהסכמת ראש הממשלה ושר הביטחון, יהיה רשאי להכריז על מצב חירום כליאתי אם שוכנע, נוכח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כי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בתיקון מספר 3, הוארך תוקפה של הוראת השעה המסדירה את ההכרזה על מצב חירום כליאתי בשל המצב הביטחוני השורר במדינה, עד ליום ו' באב התשפ"ה (31 ביולי 2025); לצד הארכת תוקפה של ההכרזה על מצב חירום כליאתי, עד ליום ל' בשבט התשפ"ה (28 בפברואר 2025). עוד נקבע כי בעת ההכרזה כאמור, תתאפשר חריגה מהוראות הדין גם לעניין החזקה בנפרד של עצורים מינהליים ולוחמים בלתי חוקיים מאסירים ביטחוניים שפוטים, כפי שכעת מתאפשר לעניין שטח המחיה וזכאות למיטה. כן נקבע כי הממשלה תהיה רשאית להאריך את ההכרזה לתקופות של עד חודשיים בכל פעם, ורווחו פרקי הזמן להעברת הדיווחים שמועברים לוועדה לביטחון לאומי של הכנסת במסגרת ההכרזה על מצב חירום כליאתי, כך שהם יועברו אחת לחודש במקום אחת לשבועיים. </t>
  </si>
  <si>
    <t xml:space="preserve">חוק הפחתת הגירעון והגבלת ההוצאה התקציבית (תיקון מס' 27), התשפ"ה-2024</t>
  </si>
  <si>
    <t xml:space="preserve"> (מ/1814)</t>
  </si>
  <si>
    <t xml:space="preserve">23.12.2024</t>
  </si>
  <si>
    <t xml:space="preserve"> מוצע להעלות את תקרת הגירעון לשנת 2024 כך ששיעור הגירעון הכולל לא יעלה על 7.7% מהתוצר הלאומי הגולמי (במקום שיעור של 6.6%), וכן להגדיל את ההוצאה הממשלתית המותרת בשנת 2024 בשיעור של 17.8% מסך ההוצאה הממשלתית לשנת 2023 לצורך המשך מימון הצרכים הצבאיים ובשיעור של 4.3% לצורך המשך מימון הצרכים האזרחיים הנובעים במישרין מהלחימה.    </t>
  </si>
  <si>
    <t xml:space="preserve">חוק תקציב נוסף לשנת הכספים 2024 (מס' 3), התשפ"ה-2024</t>
  </si>
  <si>
    <t xml:space="preserve"> (מ/1817)</t>
  </si>
  <si>
    <t xml:space="preserve">מוצע לקבוע כי תקציב ההוצאה לשנת הכספים 2024 יעמוד על 760,585,079,000 שקלים חדשים המורכב מתקציב רגיל בסך 557,712,771,000 שקלים חדשים ומתקציב פיתוח וחשבון הון בסך 202,872,308,000 שקלים חדשים.</t>
  </si>
  <si>
    <t xml:space="preserve">הצעת חוק הפיקוח על שירותים פיננסיים (ביטוח) (תיקון - חברות זרות), התשפ"ה-2024</t>
  </si>
  <si>
    <t xml:space="preserve"> (פ/5260/25)</t>
  </si>
  <si>
    <t xml:space="preserve">הצעת חוק הצמדת שכר שוטרים וסוהרים לשכר משרתי קבע בצה"ל (תיקוני חקיקה), התשפ"ה-2024</t>
  </si>
  <si>
    <t xml:space="preserve"> (פ/5259/25)</t>
  </si>
  <si>
    <t xml:space="preserve">הצעת חוק הממשלה (תיקון - ביצוע בדיקת פוליגרף לחברי ועדת השרים לענייני ביטחון לאומי), התשפ"ה-2024</t>
  </si>
  <si>
    <t xml:space="preserve"> (פ/5257/25)</t>
  </si>
  <si>
    <t xml:space="preserve">הצעת חוק גנים לאומיים, שמורות טבע, אתרים לאומיים ואתרי הנצחה (תיקון - כניסת חתן וכלה ללא תשלום), התשפ"ה-2024</t>
  </si>
  <si>
    <t xml:space="preserve"> (פ/5254/25)</t>
  </si>
  <si>
    <t xml:space="preserve">הצעת חוק מסירת מידע לחברי הכנסת ולוועדות הכנסת (תיקוני חקיקה), התשפ"ה-2024</t>
  </si>
  <si>
    <t xml:space="preserve"> (פ/5253/25)</t>
  </si>
  <si>
    <t xml:space="preserve">הצעת חוק שירות המדינה (מינויים) (תיקון - מניעת העסקת קרובי משפחה בשירות הציבורי), התשפ"ה-2024</t>
  </si>
  <si>
    <t xml:space="preserve"> (פ/5252/25)</t>
  </si>
  <si>
    <t xml:space="preserve">הצעת חוק קידום התחרות בענפי המזון והפארם (תיקון - עדכון הגדרת קמעונאי גדול), התשפ"ה-2024</t>
  </si>
  <si>
    <t xml:space="preserve"> (פ/5251/25)</t>
  </si>
  <si>
    <t xml:space="preserve">הצעת חוק הנגישות הלשונית, התשפ"ה-2024</t>
  </si>
  <si>
    <t xml:space="preserve"> (פ/5246/25)</t>
  </si>
  <si>
    <t xml:space="preserve">הצעת חוק הדגל, הסמל והמנון המדינה (תיקון - הצבת דגל המדינה בכל כיתות הלימוד בבתי הספר היסודיים והתיכוניים במדינת ישראל), התשפ"ה-2024</t>
  </si>
  <si>
    <t xml:space="preserve"> (פ/5245/25)</t>
  </si>
  <si>
    <t xml:space="preserve">הצעת חוק העונשין (תיקון - איסור מכירה והחזקה של צעצועים מסוכנים), התשפ"ה-2024</t>
  </si>
  <si>
    <t xml:space="preserve"> (פ/5244/25)</t>
  </si>
  <si>
    <t xml:space="preserve"> (פ/5243/25)</t>
  </si>
  <si>
    <t xml:space="preserve">הצעת חוק הביטוח הלאומי (תיקון - דמי ביטוח מופחתים למעסיק קולט עלייה), התשפ"ה-2024</t>
  </si>
  <si>
    <t xml:space="preserve"> (פ/5242/25)</t>
  </si>
  <si>
    <t xml:space="preserve">הצעת חוק הביטוח הלאומי (תיקון - הקלות בניידות), התשפ"ה-2024</t>
  </si>
  <si>
    <t xml:space="preserve"> (פ/5241/25)</t>
  </si>
  <si>
    <t xml:space="preserve">הצעת חוק הסיוע המשפטי (תיקון - סיוע משפטי למטופל סיעודי), התשפ"ה-2024</t>
  </si>
  <si>
    <t xml:space="preserve"> (פ/5240/25)</t>
  </si>
  <si>
    <t xml:space="preserve"> (פ/5239/25)</t>
  </si>
  <si>
    <t xml:space="preserve">הצעת חוק חינוך טכנולוגי חובה, התשפ"ה-2024</t>
  </si>
  <si>
    <t xml:space="preserve"> (פ/5238/25)</t>
  </si>
  <si>
    <t xml:space="preserve">הצעת חוק חינוך חינם לילדים חולים (תיקון - חלופות אשפוז), התשפ"ה-2024</t>
  </si>
  <si>
    <t xml:space="preserve"> (פ/5237/25)</t>
  </si>
  <si>
    <t xml:space="preserve">הצעת חוק הביטוח הלאומי (תיקון - תיאום דמי ביטוח), התשפ"ה-2024</t>
  </si>
  <si>
    <t xml:space="preserve"> (פ/5236/25)</t>
  </si>
  <si>
    <t xml:space="preserve">הצעת חוק הכניסה לישראל (תיקון - הרחקת מבצעי עבירת פשע), התשפ"ה-2024</t>
  </si>
  <si>
    <t xml:space="preserve"> (פ/5234/25)</t>
  </si>
  <si>
    <t xml:space="preserve">הצעת חוק פיקוח על מחירי מצרכים ושירותים (תיקון - פיקוח על מחיר מלח מועשר ביוד), התשפ"ה-2024</t>
  </si>
  <si>
    <t xml:space="preserve"> (פ/5232/25)</t>
  </si>
  <si>
    <t xml:space="preserve">הצעת חוק פטור מאגרה ללוחמים בשירות מילואים בנסיעה בכבישי אגרה ובנתיבים מהירים (תיקוני חקיקה), התשפ"ה-2024 </t>
  </si>
  <si>
    <t xml:space="preserve"> (פ/5231/25)</t>
  </si>
  <si>
    <t xml:space="preserve"> (פ/5228/25)</t>
  </si>
  <si>
    <t xml:space="preserve"> (פ/5226/25)</t>
  </si>
  <si>
    <t xml:space="preserve">חוק ההתייעלות הכלכלית (תיקוני חקיקה להשגת יעדי התקציב לשנת התקציב 2025) (הקפאת שכר נושאי משרה ברשויות השלטון וברשויות מקומיות בשנת 2025), התשפ"ה–2024</t>
  </si>
  <si>
    <t xml:space="preserve">18.12.2024</t>
  </si>
  <si>
    <t xml:space="preserve">מוצע לקבוע כי בשנת 2025 לא תעודכן משכורתם של נושאי משרה מסוימים ברשויות השלטון וברשויות המקומיות בהתאם לשינוי השכר הממוצע, וכן שלא תעודכן משכורתם של נושאי משרה כאמור שמשכורתם מעודכנת לפי מדד המחירים לצרכן.</t>
  </si>
  <si>
    <t xml:space="preserve">חוק לתיקון פקודת מס הכנסה (מס' 275), התשפ"ה–2024</t>
  </si>
  <si>
    <t xml:space="preserve">החוק קובע כי שיעור הפטור ממס על קצבה פנסיונית יעלה בהדרגה במהלך השנים, כך שבשנת 2025 יעמוד הפטור על 57%, בשנת 2026 על 57.5%, בשנת 2027 על 62.5%, ובשנת 2028 ואילך יעמוד על 67%. </t>
  </si>
  <si>
    <t xml:space="preserve">חוק לייעול האכיפה והפיקוח העירוניים ברשויות המקומיות (הוראת שעה) (תיקון מס' 14), התשפ"ה-2024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</si>
  <si>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14 לחוק, תוקן סעיף 23, כך שתוקפו של החוק הוארך לתקופת זמן נוספת ועד ליום כ"א בשבט התשפ"ה (19 בפברואר 2025). </t>
  </si>
  <si>
    <t xml:space="preserve">הצעת חוק מעמד המשרת בשירות סדיר או בשירות אזרחי, התשפ"ד-2024</t>
  </si>
  <si>
    <t xml:space="preserve"> (פ/4865/25)</t>
  </si>
  <si>
    <t xml:space="preserve">הצעת חוק קדימות בתור לחיילים, התשפ"ד-2024 </t>
  </si>
  <si>
    <t xml:space="preserve"> (פ/4402/25)</t>
  </si>
  <si>
    <t xml:space="preserve">הצעת חוק שירות המדינה (מינויים) (תיקון - מתן העדפה למשרתים בהעדפה מתקנת), התשפ"ג-2023</t>
  </si>
  <si>
    <t xml:space="preserve"> (פ/3040/25)</t>
  </si>
  <si>
    <t xml:space="preserve">הצעת חוק זכויות התורמים למדינה, התשפ"ג-2023</t>
  </si>
  <si>
    <t xml:space="preserve"> (פ/2561/25)</t>
  </si>
  <si>
    <t xml:space="preserve">הצעת חוק למתן הטבות למשרתים במילואים, התשפ"ה-2024</t>
  </si>
  <si>
    <t xml:space="preserve">הצעת חוק לימוד חובה (תיקון - ביטול גביית תשלומי הורים והשתתפות עצמית), התשפ"ד-2024</t>
  </si>
  <si>
    <t xml:space="preserve"> (פ/4537/25)</t>
  </si>
  <si>
    <t xml:space="preserve">הצעת חוק העונשין (תיקון - איסור מכירה והחזקה של צעצועים מסוכנים), התשפ"ד-2024</t>
  </si>
  <si>
    <t xml:space="preserve"> (פ/4535/25)</t>
  </si>
  <si>
    <t xml:space="preserve">הצעת חוק חינוך ממלכתי (תיקון - מועצה לחינוך ממלכתי כללי), התשפ"ד-2024</t>
  </si>
  <si>
    <t xml:space="preserve"> (פ/4385/25)</t>
  </si>
  <si>
    <t xml:space="preserve">הצעת חוק-יסוד: ישראל - מדינת הלאום של העם היהודי (תיקון - ביטול החוק)</t>
  </si>
  <si>
    <t xml:space="preserve"> (פ/1118/25)</t>
  </si>
  <si>
    <t xml:space="preserve">הצעת חוק זכויות התלמיד (תיקון - הנפקת תעודות בגרות), התשפ"ג-2022</t>
  </si>
  <si>
    <t xml:space="preserve"> (פ/562/25)</t>
  </si>
  <si>
    <t xml:space="preserve">הצעת חוק איסור לכידת בעלי חיים באמצעות מלכודות, התשפ"ג-2023</t>
  </si>
  <si>
    <t xml:space="preserve"> (פ/3509/25)</t>
  </si>
  <si>
    <t xml:space="preserve">17.12.2024</t>
  </si>
  <si>
    <t xml:space="preserve">חוק משפחות חיילים שנספו במערכה (תגמולים ושיקום) (תיקון מס' 45), התשפ"ה–2024</t>
  </si>
  <si>
    <t xml:space="preserve"> (פ/4708/25)</t>
  </si>
  <si>
    <t xml:space="preserve"> (כ/1065)</t>
  </si>
  <si>
    <t xml:space="preserve">חוק זה מגדיל את סל ההטבות והמענים שניתנים לבנות ובני זוג לשעבר של נופלי מערכות ישראל ולכל אדם שמגדל יתום של נספה כאמור שאינו אלמן או אלמנה של הנספה. ראשית, הוגדל סכום התגמול בעד יתום שסמוך על שולחנה של בת זוג לשעבר מ-5,800 ₪ ל-8,500 ₪. תגמול זה ישולם גם לאדם אחר שיתום של נספה סמוך על שולחנו. שנית, נקבע מענק חד פעמי לרכישת רכב בסכום 52,866 שקלים. שלישית, נקבע מענק חודשי לסיוע בהוצאות מימון מדור של משכנתא או שכירות בסכום של עד 2,500 שקלים לחודש, לתקופה של עד שלוש שנים או עד שצעיר היתומים הגיע לגיל 21. רביעית, נקבע סיוע במימון טיפול נפשי עד שצעיר היתומים הגיע לגיל 30. לבסוף, נקבעה למי שיתום של נספה סמוך על שולחנו זכאות להיעדר מהעבודה ביום הזיכרון לחללי מערכות ישראל ונפגעי פעולות האיבה. הוראות אלו יחולו גם על בת זוג לשעבר של אדם שנפטר כתוצאה מפגיעת איבה או על אדם שיתום של מי שנפטר כתוצאה מפגיעה כאמור סמוך על שולחנו.  הוראות אלה יחולו גם  אם יום פטירת הנספה היה לפני יום תחילתו של החוק, אולם התשלומים לפיהן ישולמו מכאן ואילך. נוסף על כך, נקבע כי העלאת התגמול עבור יתום תעשה מיום כ"ב בתשרי התשפ"ד (7 באוקטובר 2023), וההפרש בין סכום התגמול שכבר שולם מאז המועד האמור לבין הסכום הגבוה לפי הצעת החוק ישולם לזכאים באופן רטרואקטיבי. כמו כן, נקבע כי מענק הרכב והמענק למדור ישולמו גם הם החל מיום התחילה למי שיתום של נספה היה סמוך על שולחנו לפני יום התחילה, בתנאי שביום התחילה היתום טרם הגיע לגיל 21.  </t>
  </si>
  <si>
    <t xml:space="preserve">הצעת חוק מס ערך מוסף (תיקון - סובסידיה בגני ילדים), התשפ"ה-2024</t>
  </si>
  <si>
    <t xml:space="preserve"> (פ/5225/25)</t>
  </si>
  <si>
    <t xml:space="preserve">16.12.2024</t>
  </si>
  <si>
    <t xml:space="preserve">הצעת חוק רשות מקרקעי ישראל (תיקון - הקצאת קרקע בלא תמורה באזורי עדיפות לאומית לחיילים וחיילות בתפקידי לוחמה ולמשרתי מילואים), התשפ"ה-2024</t>
  </si>
  <si>
    <t xml:space="preserve"> (פ/5224/25)</t>
  </si>
  <si>
    <t xml:space="preserve">הצעת חוק חינוך פיננסי חובה, התשפ"ה-2024</t>
  </si>
  <si>
    <t xml:space="preserve"> (פ/5221/25)</t>
  </si>
  <si>
    <t xml:space="preserve">הצעת חוק מגבלות על חזרתו של מורשע בעבירת אלימות חמורה לסביבת נפגעי העבירה, התשפ"ה-2024</t>
  </si>
  <si>
    <t xml:space="preserve"> (פ/5217/25)</t>
  </si>
  <si>
    <t xml:space="preserve"> (פ/5216/25)</t>
  </si>
  <si>
    <t xml:space="preserve">הצעת חוק רשות מקרקעי ישראל (תיקון - הקצאת קרקע בלא תמורה בנגב או בגליל למשרת מילואים), התשפ"ה-2024</t>
  </si>
  <si>
    <t xml:space="preserve"> (פ/5212/25)</t>
  </si>
  <si>
    <t xml:space="preserve">הצעת חוק המאבק בטרור (תיקון - העלאת רף ענישה לנותני שירות או מידע לארגוני טרור או מדינות אויב המממנות פעילויות טרור), התשפ"ה-2024</t>
  </si>
  <si>
    <t xml:space="preserve"> (פ/5211/25)</t>
  </si>
  <si>
    <t xml:space="preserve">הצעת חוק העונשין (תיקון - עונש מנימום והחמרת הענישה בעבירת הסתה לגזענות שנעברה בידי עובד ציבור), התשפ"ה-2024</t>
  </si>
  <si>
    <t xml:space="preserve"> (פ/5209/25)</t>
  </si>
  <si>
    <t xml:space="preserve">הצעת חוק המאבק בטרור (תיקון - החמרת ענישה), התשפ"ה-2024</t>
  </si>
  <si>
    <t xml:space="preserve"> (פ/5208/25)</t>
  </si>
  <si>
    <t xml:space="preserve"> (פ/5207/25)</t>
  </si>
  <si>
    <t xml:space="preserve">הצעת חוק הבנקאות (שירות ללקוח) (תיקון - מסירת מידע על פוליסות ביטוח), התשפ"ה-2024</t>
  </si>
  <si>
    <t xml:space="preserve"> (פ/5206/25)</t>
  </si>
  <si>
    <t xml:space="preserve">הצעת חוק עוסק בכלכלת הפלטפורמה, התשפ"ה-2024</t>
  </si>
  <si>
    <t xml:space="preserve"> (פ/5205/25)</t>
  </si>
  <si>
    <t xml:space="preserve">הצעת חוק שיקים ללא כיסוי (תיקון - הודעה על אי-כיבוד הרשאה לחיוב חשבון), התשפ"ה-2024</t>
  </si>
  <si>
    <t xml:space="preserve"> (פ/5204/25)</t>
  </si>
  <si>
    <t xml:space="preserve">הצעת חוק הבנקאות (שירות ללקוח) (תיקון - מסירת מידע על עמלות וריביות בשל פירעון מוקדם של הלוואה), התשפ"ה-2024</t>
  </si>
  <si>
    <t xml:space="preserve"> (פ/5203/25)</t>
  </si>
  <si>
    <t xml:space="preserve">הצעת חוק שירות המילואים (תיקון - ביטוח פנסיוני), התשפ"ה-2024</t>
  </si>
  <si>
    <t xml:space="preserve"> (פ/5202/25)</t>
  </si>
  <si>
    <t xml:space="preserve">הצעת חוק הביטוח הלאומי (תיקון - מסלול ברירת מחדל בהפקדות לחיסכון ארוך טווח לילד), התשפ"ה-2024</t>
  </si>
  <si>
    <t xml:space="preserve"> (פ/5200/25)</t>
  </si>
  <si>
    <t xml:space="preserve">הצעת חוק ההתנתקות והפיצויים לנפגעיה (תיקון - נוכחות וחופש תנועה לישראלים בחבל עזה), התשפ"ה-2024 </t>
  </si>
  <si>
    <t xml:space="preserve"> (פ/5199/25)</t>
  </si>
  <si>
    <t xml:space="preserve">הצעת חוק מס ערך מוסף (תיקון - העברת חובות לתשלום מס ערך מוסף בייבוא שירותים דיגיטליים), התשפ"ה-2024</t>
  </si>
  <si>
    <t xml:space="preserve"> (פ/5198/25)</t>
  </si>
  <si>
    <t xml:space="preserve">הצעת חוק טיפול בפעוט עם מוגבלות (תיקוני חקיקה), התשפ"ה-2024</t>
  </si>
  <si>
    <t xml:space="preserve"> (פ/5197/25)</t>
  </si>
  <si>
    <t xml:space="preserve">הצעת חוק פיתוח והתחדשות של יישובים באזור חבל תקומה (תיקוני חקיקה, פיצויים, הטבות, הנצחה והוראת שעה), התשפ"ה-2024</t>
  </si>
  <si>
    <t xml:space="preserve"> (פ/5194/25)</t>
  </si>
  <si>
    <t xml:space="preserve">הצעת חוק תקצוב מיוחד לרשויות חינוך מקומיות מרוחקות, התשפ"ה-2024</t>
  </si>
  <si>
    <t xml:space="preserve"> (פ/5193/25)</t>
  </si>
  <si>
    <t xml:space="preserve">הצעת חוק הרשות לגיל הרך, התשפ"ה-2024</t>
  </si>
  <si>
    <t xml:space="preserve"> (פ/5192/25)</t>
  </si>
  <si>
    <t xml:space="preserve">הצעת חוק חינוך ממלכתי (תיקון - חינוך פיננסי), התשפ"ה-2024</t>
  </si>
  <si>
    <t xml:space="preserve"> (פ/5190/25)</t>
  </si>
  <si>
    <t xml:space="preserve">הצעת חוק לתיקון פקודת מס הכנסה (זיכוי למעסיק שעובדיו משרתים במילואים), התשפ"ה-2024</t>
  </si>
  <si>
    <t xml:space="preserve"> (פ/5188/25)</t>
  </si>
  <si>
    <t xml:space="preserve">הצעת חוק החברות (תיקון - פרסום דוחות כספיים של מונופול), התשפ"ה-2024</t>
  </si>
  <si>
    <t xml:space="preserve"> (פ/5187/25)</t>
  </si>
  <si>
    <t xml:space="preserve">הצעת חוק אסדרת שוק הקנאביס לצריכה עצמית, התשפ"ה-2024</t>
  </si>
  <si>
    <t xml:space="preserve"> (פ/5184/25)</t>
  </si>
  <si>
    <t xml:space="preserve">הצעת חוק הרשות לפיתוח הנגב (תיקון - הגדרת הנגב), התשפ"ה-2024</t>
  </si>
  <si>
    <t xml:space="preserve"> (פ/5182/25)</t>
  </si>
  <si>
    <t xml:space="preserve"> (פ/5181/25)</t>
  </si>
  <si>
    <t xml:space="preserve">הצעת חוק חסינות חברי הכנסת, זכויותיהם וחובותיהם (תיקון - התנהגות חברי הכנסת במליאה ובוועדות), התשפ"ה-2024</t>
  </si>
  <si>
    <t xml:space="preserve"> (פ/5179/25)</t>
  </si>
  <si>
    <t xml:space="preserve"> (פ/5178/25)</t>
  </si>
  <si>
    <t xml:space="preserve"> (פ/5177/25)</t>
  </si>
  <si>
    <t xml:space="preserve">הצעת חוק הרשויות המקומיות (בחירת ראש הרשות וסגניו וכהונתם) (תיקון מס' 40), התשפ"ה-2024</t>
  </si>
  <si>
    <t xml:space="preserve"> (פ/4611/25)</t>
  </si>
  <si>
    <t xml:space="preserve"> (כ/1063)</t>
  </si>
  <si>
    <t xml:space="preserve">חוק הגנה על הציבור מפני ארגוני פשיעה, התשפ"ה-2024</t>
  </si>
  <si>
    <t xml:space="preserve"> (פ/4386/25)</t>
  </si>
  <si>
    <t xml:space="preserve"> (כ/1034)</t>
  </si>
  <si>
    <t xml:space="preserve">11.12.2024</t>
  </si>
  <si>
    <t xml:space="preserve">במסגרת החוק נקבע, כהוראת שעה למשך שנתיים, כי נשיא בית המשפט המחוזי או סגנו רשאי, לבקשת המפכ"ל או קצין בדרגת ניצב המכהן כראש אגף החקירות והמודיעין במשטרת ישראל ולאחר אישור היועץ המשפטי לממשלה או מי שהוא הסמיך לכך מטעמו או אצל לו את סמכותו, להטיל בצו מגבלות על אדם הפועל במסגרת ארגון פשיעה, אם שוכנע כי יש יסוד סביר להניח כי הוצאת הצו והמגבלות הקבועות בו, בהתחשב ברמת הסיכון הנשקפת מאותו אדם, חיונית למניעת פגיעה חמורה בביטחונו של אדם, וכי לא ניתן להשיג את מטרת הצו באמצעות הדין הפלילי ובדרך שפגיעתה פחותה (להלן – צו הגבלה שיפוטי). המגבלות אותן ניתן להטיל כאמור מנויות בחוק, וכוללות, בין היתר, מגבלה על כניסה למקום בארץ, איסור יציאה ממקום המגורים, איסור על קיום קשר עם אדם ואף איסור יציאה מהארץ. לצד זאת, נקבע כי תוקפו של הצו שיינתן לא יעלה על חודשיים, למעט בצו הנוגע למגבלת איסור יציאה ממקום מגורים, שתוקפו לא יעלה על 45 ימים. ניתן להטיל צו לתקופה קצרה מכך, ולהאריכו לתקופות נוספות שלא יעלו במצטבר על התקופה המרבית. יחד עם זאת, אין מניעה להורות על הוצאת צו הגבלה שיפוטי חדש בתום התקופה המרבית. מעבר לכך, בית המשפט שהוציא את הצו, רשאי לקבוע בו סמכויות למשטרת ישראל לשם הבטחת קיומו של הצו, לרבות כניסה למקום המשמש למגוריו של האדם שכלפיו הוצא הצו, חיפוש על גופו וחדירה לחומר מחשב הנמצא בחזקתו או שליטתו.  כמו כן, נקבעו הסדרים נוספים בחוק, וביניהם: סדרי הדין להגשת הבקשה להוצאת צו כאמור והדיון בבקשה, עיון חוזר בבקשה וערר, סמכות מעצר נגד אדם שהפר צו הגבלה שיפוטי ובכלל זה עונש מאסר של ארבע שנים אשר לא יפחת מרבע מהעונש, אלא אם כן החליט בית המשפט להקל בעונש מטעמים מיוחדים שיירשמו, וכן חובת דיווח של השר לביטחון לאומי לוועדה לביטחון לאומי של הכנסת אחת לארבעה חודשים בדבר מימוש החוק.  </t>
  </si>
  <si>
    <t xml:space="preserve">חוק מניעת מימון לייצוג משפטי בידי מדינת ישראל (חשוד, נאשם או מורשע בעבירת ביטחון - חרבות ברזל), התשפ"ה–2024</t>
  </si>
  <si>
    <t xml:space="preserve"> (פ/4154/25)</t>
  </si>
  <si>
    <t xml:space="preserve"> (כ/1047)</t>
  </si>
  <si>
    <t xml:space="preserve">החוק קובע ששכרם של סניגורים שימונו או שמונו החל מה-7 באוקטובר 2023 על ידי בית המשפט למי שחשוד, נאשם או הורשע בעבירת ביטחון הקשורה לאירועי ה-7 באוקטובר או במסגרת מלחמת חרבות ברזל, יקוזז מהכספים אותם מעבירה ממשלת ישראל לרשות הפלסטינית.</t>
  </si>
  <si>
    <t xml:space="preserve">הצעת חוק הכניסה לישראל (תיקון - אי-מתן אשרה ורישיון ישיבה לקורא להשמדתה של מדינת ישראל או אזרחיה), התשפ"ד-2024</t>
  </si>
  <si>
    <t xml:space="preserve"> (פ/4604/25)</t>
  </si>
  <si>
    <t xml:space="preserve">הצעת חוק דמי מחלה (היעדרות בשל מחלת ילד) (תיקון - ימי מחלה נוספים בשל מחלת ילד לבני זוג של משרתי מילואים), התשפ"ד-2024</t>
  </si>
  <si>
    <t xml:space="preserve"> (פ/4235/25)</t>
  </si>
  <si>
    <t xml:space="preserve">הצעת חוק לתיקון פקודת מס הכנסה (נקודות זיכוי להורי חיילים), התשפ"ד-2023</t>
  </si>
  <si>
    <t xml:space="preserve"> (פ/3977/25)</t>
  </si>
  <si>
    <t xml:space="preserve">הצעת חוק בתי המשפט (תיקון - שקיפות בארגונים נתמכים), התשפ"ג-2023</t>
  </si>
  <si>
    <t xml:space="preserve"> (פ/3174/25)</t>
  </si>
  <si>
    <t xml:space="preserve">הצעת חוק איסור הפליה במוצרים, בשירותים ובכניסה למקומות בידור ולמקומות ציבוריים (תיקון - הגדלת סכום הפיצוי בלא הוכחת נזק), התשפ"ג-2023</t>
  </si>
  <si>
    <t xml:space="preserve"> (פ/3136/25)</t>
  </si>
  <si>
    <t xml:space="preserve">הצעת חוק לתיקון פקודת תעריף המכס והפטורים (העלאת רף הפטור ממכס על חפצים ל-400 דולר), התשפ"ג-2023</t>
  </si>
  <si>
    <t xml:space="preserve"> (פ/2441/25)</t>
  </si>
  <si>
    <t xml:space="preserve">הצעת חוק המאבק בטרור (תיקון - אי-החזרת גופות מחבלים), התשפ"ג-2023</t>
  </si>
  <si>
    <t xml:space="preserve"> (פ/1219/25)</t>
  </si>
  <si>
    <t xml:space="preserve">הצעת חוק-יסוד: שירות מילואים</t>
  </si>
  <si>
    <t xml:space="preserve"> (פ/4582/25)</t>
  </si>
  <si>
    <t xml:space="preserve">10.12.2024</t>
  </si>
  <si>
    <t xml:space="preserve">הצעת חוק הקפאת כספים ששילמה הרשות הפלסטינית בזיקה לטרור מהכספים המועברים אליה מממשלת ישראל (תיקון - חילוט הכספים וניהולם), התשפ"ד-2024</t>
  </si>
  <si>
    <t xml:space="preserve"> (פ/4379/25)</t>
  </si>
  <si>
    <t xml:space="preserve">הצעת חוק הקפאת כספים ששילמה הרשות הפלסטינית בזיקה לטרור מהכספים המועברים אליה מממשלת ישראל (תיקון - חילוט הכספים וניהולם), התשפ"ג-2023</t>
  </si>
  <si>
    <t xml:space="preserve"> (פ/2453/25)</t>
  </si>
  <si>
    <t xml:space="preserve">חוק רישום קבלנים לעבודות הנדסה בנאיות (תיקון מס' 8), התשפ"ה-2024</t>
  </si>
  <si>
    <t xml:space="preserve"> (מ/1784)</t>
  </si>
  <si>
    <t xml:space="preserve">09.12.2024</t>
  </si>
  <si>
    <t xml:space="preserve">הוסמך רשם הקבלנים לפי חוק רישום קבלנים לעבודות הנדסה בנאיות, התשכ"ט–1969 שלא לרשום או לבטל את הרישום בפנקס הקבלנים או לנקוט הליכים משמעתיים אחרים נגד מי שהרשם השתכנע בעקבות המלצת משטרת ישראל שנתן קצין משטרה בכיר, כי הוא מעורב במעשים העלולים לגרום לפגיעה בשלום הציבור וביטחונו או של פגיעה מהותית בענף, בהחלטה יתחשב הרשם בחומרת המעשים, מהותם, זיקתם לביצוע עבודה ועוד פרטיים המנויים בהצעה.  שונה הרכב המועצה המייעצת לשר, המועצה המוצעת תכלול 8 חברים ולא 17 שרובם נציגי ציבור והיא תייעץ לשר לעניין קביעת הוראות לפי החוק. כמו כן נקבעה סמכות לשר להסמכת פקחים לפי החוק האמור ולתת בהתאמה סמכויות פיקוח לפקחים שיוסמכו. </t>
  </si>
  <si>
    <t xml:space="preserve">חוק להסדרת הפיקוח על כלבים (תיקון מס' 6 – הוראת שעה – חרבות ברזל) (תיקון), התשפ"ה-2024</t>
  </si>
  <si>
    <t xml:space="preserve"> (מ/1813)</t>
  </si>
  <si>
    <t xml:space="preserve">החוק מאריך את תוקפה של הוראת השעה שנועדה להתמודד עם תופעת הכלבים המשוטטים שנכנסו מרצועת עזה לשטחי המדינה בשל פריצת גדר המערכת ומלחמת חרבות ברזל. לפי הוראת השעה, וטרינר עירוני מוסמך להורות על המתת כלב שנתפס בטווח של עד 20 קילומטרים מגדר המערכת המקיפה את רצועת עזה, שמתקיימים לגביו תנאים כמפורט בהוראת השעה, ארבעה ימים ממועד העברתו למכלאה ("מאורת הרשות" בלשון החוק), ולא לאחר עשרה ימים מהמועד האמור כפי שקובע החוק המקורי. הוראת השעה עמדה בתוקפה עד ליום כ"ט בחשוון התשפ"ה (30 בנובמבר 2024), והחוק מאריך את תוקפה עד ליום ב' בניסן התשפ"ה (31 במרץ 2025.(  בנוסף, החוק משנה את המועד הקבוע בחוק לדיווח שר החקלאות וביטחון המזון לוועדת הכלכלה על יישום הוראת השעה, כך שבמקום חודש לאחר תום תקופת הוראת השעה, ידווח השר לוועדה על יישום הוראת השעה לא יאוחר מיום ל' בכסלו התשפ"ה (31 בדצמבר 2024), וכן במועד נוסף הסמוך לתום תוקפה של הוראת השעה, כפי שהוארכה, וזאת לא יאוחר מיום ט"ז באדר התשפ"ה (16 במרץ 2025(</t>
  </si>
  <si>
    <t xml:space="preserve">הצעת חוק-יסוד: השפיטה (תיקון - מינוי נשיא לבית המשפט העליון)</t>
  </si>
  <si>
    <t xml:space="preserve"> (פ/5174/25)</t>
  </si>
  <si>
    <t xml:space="preserve">הצעת חוק משפחות חיילים שנספו במערכה (תגמולים ושיקום) (תיקון - פטור מתשלום בתחבורה ציבורית), התשפ"ה-2024</t>
  </si>
  <si>
    <t xml:space="preserve"> (פ/5172/25)</t>
  </si>
  <si>
    <t xml:space="preserve">הצעת חוק התכנון והבנייה (תיקון - האצת פיתוח תשתיות מלונאות) (הוראת שעה), התשפ"ה-2024</t>
  </si>
  <si>
    <t xml:space="preserve"> (פ/5171/25)</t>
  </si>
  <si>
    <t xml:space="preserve">הצעת חוק-יסוד: הממשלה (תיקון - ייצוג הממשלה בערכאות משפטיות)</t>
  </si>
  <si>
    <t xml:space="preserve"> (פ/5170/25)</t>
  </si>
  <si>
    <t xml:space="preserve">הצעת חוק לייעול הפיקוח של ועדת החוץ והביטחון של הכנסת, התשפ"ה-2024</t>
  </si>
  <si>
    <t xml:space="preserve"> (פ/5169/25)</t>
  </si>
  <si>
    <t xml:space="preserve">הצעת חוק שירות המילואים (תיקון - חובת יידוע חיילי מילואים בלתי מועסקים בדבר אחריות להפקדות פנסיוניות), התשפ"ה-2024</t>
  </si>
  <si>
    <t xml:space="preserve"> (פ/5168/25)</t>
  </si>
  <si>
    <t xml:space="preserve">הצעת חוק הסדרים במשק המדינה (תיקוני חקיקה להשגת יעדי התקציב) (תיקון - זכאות כפולה להנחה בארנונה למשרת מילואים שהוא הורה לילד נכה), התשפ"ה-2024</t>
  </si>
  <si>
    <t xml:space="preserve"> (פ/5167/25)</t>
  </si>
  <si>
    <t xml:space="preserve">הצעת חוק הממשלה (תיקון - ועדת שרים לענייני ביטחון לאומי), התשפ"ה-2024</t>
  </si>
  <si>
    <t xml:space="preserve"> (פ/5166/25)</t>
  </si>
  <si>
    <t xml:space="preserve"> (פ/5165/25)</t>
  </si>
  <si>
    <t xml:space="preserve">הצעת חוק התקשורת (בזק ושידורים) (תיקון - איסור על שליחת מסרוני פלאש), התשפ"ה-2024</t>
  </si>
  <si>
    <t xml:space="preserve"> (פ/5163/25)</t>
  </si>
  <si>
    <t xml:space="preserve"> (פ/5162/25)</t>
  </si>
  <si>
    <t xml:space="preserve"> (פ/5160/25)</t>
  </si>
  <si>
    <t xml:space="preserve">הצעת חוק-יסוד: הכנסת (תיקון - סמכויות ועדת חקירה פרלמנטרית)</t>
  </si>
  <si>
    <t xml:space="preserve"> (פ/5158/25)</t>
  </si>
  <si>
    <t xml:space="preserve">הצעת חוק הפצת שידורים באמצעות תחנות שידור ספרתיות (תיקון מס' 7 - הוראת שעה) (תיקון - הארכת הוראת השעה), התשפ"ה-2024</t>
  </si>
  <si>
    <t xml:space="preserve"> (פ/5157/25)</t>
  </si>
  <si>
    <t xml:space="preserve">הצעת חוק הביטוח הלאומי (תיקון מס' 231) (תיקון - הפיכת הוראת השעה לעניין תשלום דמי ביטוח לסטודנטים הלומדים בחוץ לארץ להוראת קבע), התשפ"ה-2024</t>
  </si>
  <si>
    <t xml:space="preserve"> (פ/5156/25)</t>
  </si>
  <si>
    <t xml:space="preserve"> (פ/5155/25)</t>
  </si>
  <si>
    <t xml:space="preserve"> (פ/5154/25)</t>
  </si>
  <si>
    <t xml:space="preserve"> (פ/5153/25)</t>
  </si>
  <si>
    <t xml:space="preserve">הצעת חוק האזרחות והכניסה לישראל (הוראת שעה) (תיקון - הפיכת הוראת השעה להוראת קבע), התשפ"ה-2024 </t>
  </si>
  <si>
    <t xml:space="preserve"> (פ/5152/25)</t>
  </si>
  <si>
    <t xml:space="preserve">הצעת חוק סיירות ביטחון ברשויות המקומיות (הוראת שעה), התשפ"ה-2024</t>
  </si>
  <si>
    <t xml:space="preserve"> (פ/5151/25)</t>
  </si>
  <si>
    <t xml:space="preserve">הצעת חוק לתיקון פקודת התעבורה (אישור שימוש לרכב מנועי דו-גלגלי בנתיב תחבורה ציבורית), התשפ"ה-2024</t>
  </si>
  <si>
    <t xml:space="preserve"> (פ/5150/25)</t>
  </si>
  <si>
    <t xml:space="preserve">הצעת חוק לתיקון פקודת הרופאים (תנאים לקבלה ללימודי רפואה בעיר אילת), התשפ"ה-2024</t>
  </si>
  <si>
    <t xml:space="preserve"> (פ/5149/25)</t>
  </si>
  <si>
    <t xml:space="preserve">הצעת חוק פיקוח על מחירי מצרכים ושירותים (תיקון - הוספת נציגי משרד הבריאות לוועדה לפיקוח על המחירים), התשפ"ה-2024 </t>
  </si>
  <si>
    <t xml:space="preserve"> (פ/5148/25)</t>
  </si>
  <si>
    <t xml:space="preserve">הצעת חוק שירות המדינה (מינויים) (תיקון - ייצוג הולם ללוחמים), התשפ"ה-2024</t>
  </si>
  <si>
    <t xml:space="preserve"> (פ/5147/25)</t>
  </si>
  <si>
    <t xml:space="preserve">הצעת חוק-יסוד: ישראל - מדינת הלאום של העם היהודי (תיקון - קביעת מעמד מגילת העצמאות)</t>
  </si>
  <si>
    <t xml:space="preserve"> (פ/5146/25)</t>
  </si>
  <si>
    <t xml:space="preserve">הצעת חוק לתיקון פקודת המסים (גבייה) (חובת איתור חייבים), התשפ"ה-2024</t>
  </si>
  <si>
    <t xml:space="preserve"> (פ/5144/25)</t>
  </si>
  <si>
    <t xml:space="preserve">הצעת חוק תאגידי מים וביוב (תיקון - פטור ממס חברות, מס דיבידנד ומס ריבית על הלוואה לשנים 2024 עד 2026), התשפ"ה-2024</t>
  </si>
  <si>
    <t xml:space="preserve"> (פ/5143/25)</t>
  </si>
  <si>
    <t xml:space="preserve">הצעת חוק הפרטת תאגיד השידור הציבורי הישראלי, התשפ"ה-2024</t>
  </si>
  <si>
    <t xml:space="preserve"> (פ/5142/25)</t>
  </si>
  <si>
    <t xml:space="preserve">הצעת חוק הפרטת גלי צה"ל, התשפ"ה-2024</t>
  </si>
  <si>
    <t xml:space="preserve"> (פ/5141/25)</t>
  </si>
  <si>
    <t xml:space="preserve"> (פ/5140/25)</t>
  </si>
  <si>
    <t xml:space="preserve">הצעת חוק הגנה על עובדים בשעת חירום (תיקון - זכות לשכר בהיעדרות בשעת חירום), התשפ"ה-2024</t>
  </si>
  <si>
    <t xml:space="preserve"> (פ/5139/25)</t>
  </si>
  <si>
    <t xml:space="preserve">הצעת חוק שירות אזרחי (תיקון - מתנדב בודד או חסר עורף משפחתי), התשפ"ה-2024</t>
  </si>
  <si>
    <t xml:space="preserve"> (פ/5138/25)</t>
  </si>
  <si>
    <t xml:space="preserve"> (פ/5137/25)</t>
  </si>
  <si>
    <t xml:space="preserve">הצעת חוק זכויות הסטודנט (תיקון - שוויון בתקציב מלגות לסטודנטים במוסדות), התשפ"ה-2024</t>
  </si>
  <si>
    <t xml:space="preserve"> (פ/5136/25)</t>
  </si>
  <si>
    <t xml:space="preserve">הצעת חוק ליישוב תחת איום מיידי (הוראת שעה), התשפ"ה-2024</t>
  </si>
  <si>
    <t xml:space="preserve"> (פ/5134/25)</t>
  </si>
  <si>
    <t xml:space="preserve"> (פ/5133/25)</t>
  </si>
  <si>
    <t xml:space="preserve"> (פ/5132/25)</t>
  </si>
  <si>
    <t xml:space="preserve">הצעת חוק זכויות הסטודנט (תיקון - העדפה מתקנת ללוחמים), התשפ"ה-2024</t>
  </si>
  <si>
    <t xml:space="preserve"> (פ/5131/25)</t>
  </si>
  <si>
    <t xml:space="preserve">הצעת חוק להקמת אוניברסיטה בעיר אשדוד, התשפ"ה-2024</t>
  </si>
  <si>
    <t xml:space="preserve"> (פ/5130/25)</t>
  </si>
  <si>
    <t xml:space="preserve">הצעת חוק הביטוח הלאומי (תיקון - חישוב התגמול למשרתים במילואים), התשפ"ה-2024</t>
  </si>
  <si>
    <t xml:space="preserve"> (פ/5129/25)</t>
  </si>
  <si>
    <t xml:space="preserve">הצעת חוק לתיקון פקודת מס הכנסה (מס למשתכרים בשכר נמוך), התשפ"ה-2024</t>
  </si>
  <si>
    <t xml:space="preserve"> (פ/5128/25)</t>
  </si>
  <si>
    <t xml:space="preserve">הצעת חוק שירות התעסוקה (תיקון - הקמת לשכות תעסוקה), התשפ"ה-2024</t>
  </si>
  <si>
    <t xml:space="preserve"> (פ/5127/25)</t>
  </si>
  <si>
    <t xml:space="preserve">הצעת חוק יסודות התקציב (תיקון - תקציב המשטרה), התשפ"ה-2024</t>
  </si>
  <si>
    <t xml:space="preserve"> (פ/5126/25)</t>
  </si>
  <si>
    <t xml:space="preserve">הצעת חוק העברת הודעת פטירה, התשפ"ה-2024</t>
  </si>
  <si>
    <t xml:space="preserve"> (פ/5125/25)</t>
  </si>
  <si>
    <t xml:space="preserve"> (פ/5124/25)</t>
  </si>
  <si>
    <t xml:space="preserve">הצעת חוק המרכז לגביית קנסות, אגרות והוצאות (תיקון - פיצויים שהוטלו על ידי בית משפט צבאי), התשפ"ד-2024</t>
  </si>
  <si>
    <t xml:space="preserve"> (פ/4759/25)</t>
  </si>
  <si>
    <t xml:space="preserve">04.12.2024</t>
  </si>
  <si>
    <t xml:space="preserve">הצעת חוק המים (תיקון - קביעת תעריפי מים לחקלאות), התשפ"ד-2024</t>
  </si>
  <si>
    <t xml:space="preserve"> (פ/4640/25)</t>
  </si>
  <si>
    <t xml:space="preserve"> (פ/4473/25)</t>
  </si>
  <si>
    <t xml:space="preserve">חוק התכנון והבנייה (תיקון מס' 159), התשפ"ה-2024 </t>
  </si>
  <si>
    <t xml:space="preserve"> (מ/1803)</t>
  </si>
  <si>
    <t xml:space="preserve">הוחלט להאריך בשנה את הוראת השעה הנותנת סמכות לשר הפנים לתת צו הפוטר, בין השאר, מאישור תכנית וקבלת היתרים לצורך הקמת מתחם שישמש למגורים למי שפונו מביתהם בשל המצב הביטחוני המיוחד. </t>
  </si>
  <si>
    <t xml:space="preserve">חוק הרבנות הראשית לישראל (תיקון מס' 8), התשפ"ה-2024</t>
  </si>
  <si>
    <t xml:space="preserve"> (מ/1794)</t>
  </si>
  <si>
    <t xml:space="preserve">החוק עורך שינויים בהרכב האסיפה הבוחרת לרבנים הראשיים ולמועצת הרבנות הראשית. החוק מגדיר כי "רב" שניתן למנותו במסגרת 10 הרבנים שממונים לאסיפה הבוחרת על ידי הרבנים הראשיים, הוא רב שמוסמך לרבנות מטעם הרבנות הראשית לישראל או רב שבידו תעודת כשירות לכהונת רב עיר, רב אזורי, רב מושב או רב שכונה. כמו כן, נקבע רף מינימלי למינוי של נשים לנציגות ציבור, מכל אחת מהקבוצות המיוצגות באסיפה הבוחרת ומנגנון למקרים שבהם אין מספיק נשים שמשמשות בתפקידים בקבוצות האמורות. בנוסף, נקבעו הסדרים בנושא ניגוד עניינים. לבסוף, נקבע כי החל מהבחירות שיתקיימו אחרי הבחירות הקרובות למועצת הרבנות הראשית, הגדרות בעלי התפקידים שחברים באסיפה הבוחרת, יחולו גם לגבי מי שממלא תפקיד זה ביהודה ושומרון.</t>
  </si>
  <si>
    <t xml:space="preserve">הצעת חוק מנהלת מילואים, התשפ"ד-2024</t>
  </si>
  <si>
    <t xml:space="preserve"> (פ/4772/25)</t>
  </si>
  <si>
    <t xml:space="preserve">הצעת חוק סנקציות על תומכי טרור, התשפ"ד-2024</t>
  </si>
  <si>
    <t xml:space="preserve"> (פ/4377/25)</t>
  </si>
  <si>
    <t xml:space="preserve">הצעת חוק הרשויות המקומיות (פטור חיילים, נפגעי מלחמה ושוטרים מארנונה) (תיקון - הנחה בארנונה למשרת בשירות מילואים פעיל) (הוראת שעה), התשפ"ד-2024</t>
  </si>
  <si>
    <t xml:space="preserve"> (פ/4285/25)</t>
  </si>
  <si>
    <t xml:space="preserve">הצעת חוק הביטוח הלאומי (תיקון - עבודה מועדפת ביישובי עוטף הגבול הדרומי והצפוני) (הוראת שעה), התשפ"ד-2024</t>
  </si>
  <si>
    <t xml:space="preserve"> (פ/4207/25)</t>
  </si>
  <si>
    <t xml:space="preserve">הצעת חוק התגמולים לנפגעי פעולות איבה (תיקון - תגמול לכל החיים ליתום מהורה אחד), התשפ"ד-2023</t>
  </si>
  <si>
    <t xml:space="preserve"> (פ/4099/25)</t>
  </si>
  <si>
    <t xml:space="preserve">הצעת חוק לעידוד השקעות הון (תיקון - תחולה על מפעל תעשייתי ביישובים הסמוכים לגבול העימות בצפון, בשדרות וביישובי עוטף עזה), התשפ"ג-2023</t>
  </si>
  <si>
    <t xml:space="preserve"> (פ/3546/25)</t>
  </si>
  <si>
    <t xml:space="preserve">הצעת חוק האקלים, התשפ"ד-2024</t>
  </si>
  <si>
    <t xml:space="preserve"> (מ/1735)</t>
  </si>
  <si>
    <t xml:space="preserve">03.12.2024</t>
  </si>
  <si>
    <t xml:space="preserve">חוק מכוני כושר (רישוי ופיקוח) (תיקון מס' 4), התשפ"ה-2024</t>
  </si>
  <si>
    <t xml:space="preserve"> (מ/1795)</t>
  </si>
  <si>
    <t xml:space="preserve">02.12.2024</t>
  </si>
  <si>
    <t xml:space="preserve">החוק מבטל את חובת נוכחות מדריך במכון כושר בכל עת שנמצאים בו מתאמינים בגירים, עם זאת, נותרה עומדת בעינה חובת נוכחות מדריך לאימון קטינים בעת שקטינים מתאמנים במכון. בחוק נקבעה חובה לפיה כשמתאמן מצהיר בעת הרשמתו למכון כושר, כי זו הפעם הראשונה שבה הוא מתאמן במכון כושר, על המכון לספק לו מדריך שיעביר לו הדרכה הכוללת: תוכנית אימון מותאמת אישית, כללי הבטיחות במכון הכושר ודרכי הפעלת המכשירים. כמו כן, נקבעה חובת נוכחות של אדם שעבר קורס עזרה ראשונה במתחם בו נמצא מכון כושר בכל עת שבה לא נוכח מדריך. דרישות אלו לא יחולו על מכון כושר הנמצא בבניין מגורים, במקום עבודה או בבית מלון ובלבד שהוא אינו פתוח לציבור הרחב. </t>
  </si>
  <si>
    <t xml:space="preserve">הצעת חוק חידוש ופיתוח חבל התקומה (תיקוני חקיקה) (הוראת שעה), התשפ"ה-2024 </t>
  </si>
  <si>
    <t xml:space="preserve"> (פ/5122/25)</t>
  </si>
  <si>
    <t xml:space="preserve">הצעת חוק חידוש ופיתוח חבל התקומה, התשפ"ה-2024</t>
  </si>
  <si>
    <t xml:space="preserve"> (פ/5121/25)</t>
  </si>
  <si>
    <t xml:space="preserve"> (פ/5119/25)</t>
  </si>
  <si>
    <t xml:space="preserve">הצעת חוק מתן עדיפות בהשכרה לטווח ארוך למשרתי מילואים פעילים בתפקידי לחימה (תיקוני חקיקה), התשפ"ה-2024</t>
  </si>
  <si>
    <t xml:space="preserve"> (פ/5118/25)</t>
  </si>
  <si>
    <t xml:space="preserve">הצעת חוק התאמות בבחינת השתתפות המדינה בעלות שכר הלימוד במעון יום למשרתי מילואים, התשפ"ה-2024</t>
  </si>
  <si>
    <t xml:space="preserve"> (פ/5116/25)</t>
  </si>
  <si>
    <t xml:space="preserve">הצעת חוק-יסוד: הממשלה (תיקון - התפטרות ראש הממשלה או שר עקב הגשת כתב אישום)</t>
  </si>
  <si>
    <t xml:space="preserve"> (פ/5114/25)</t>
  </si>
  <si>
    <t xml:space="preserve"> (פ/5113/25)</t>
  </si>
  <si>
    <t xml:space="preserve">הצעת חוק הטבות למשרתים בשירות צבאי או אזרחי, התשפ"ה-2024</t>
  </si>
  <si>
    <t xml:space="preserve"> (פ/5112/25)</t>
  </si>
  <si>
    <t xml:space="preserve">הצעת חוק להקפאת קצבאות שמשולמות לפעיל טרור ומשפחתו מקופת המדינה, התשפ"ה-2024</t>
  </si>
  <si>
    <t xml:space="preserve"> (פ/5111/25)</t>
  </si>
  <si>
    <t xml:space="preserve">הצעת חוק להסדר ההימורים בספורט (תיקון - שימוש ביתרת ההכנסות על ידי המועצה), התשפ"ה-2024</t>
  </si>
  <si>
    <t xml:space="preserve"> (פ/5109/25)</t>
  </si>
  <si>
    <t xml:space="preserve"> (פ/5107/25)</t>
  </si>
  <si>
    <t xml:space="preserve">הצעת חוק מס ערך מוסף (תיקון - פטור ממס על בניית מרחב מוגן ביישוב צמוד גדר), התשפ"ה-2024</t>
  </si>
  <si>
    <t xml:space="preserve"> (פ/5106/25)</t>
  </si>
  <si>
    <t xml:space="preserve">הצעת חוק הצבת מכשירי החייאה במקומות ציבוריים (תיקון - הוספת רכבת לתוספת), התשפ"ה-2024</t>
  </si>
  <si>
    <t xml:space="preserve"> (פ/5105/25)</t>
  </si>
  <si>
    <t xml:space="preserve">הצעת חוק האזרחים הוותיקים (תיקון - הנחה בארנונה לאזרח ותיק המתגורר בדירה שאינה בהחזקתו), התשפ"ה-2024</t>
  </si>
  <si>
    <t xml:space="preserve"> (פ/5104/25)</t>
  </si>
  <si>
    <t xml:space="preserve">הצעת חוק לתיקון פקודת מס הכנסה (פטור ממס למשרת מילואים פעיל) (הוראת שעה - חרבות ברזל), התשפ"ה-2024</t>
  </si>
  <si>
    <t xml:space="preserve"> (פ/5103/25)</t>
  </si>
  <si>
    <t xml:space="preserve"> (פ/5101/25)</t>
  </si>
  <si>
    <t xml:space="preserve">הצעת חוק-יסוד: השפיטה (תיקון - שלילת זכות עמידה למתגמל טרור)</t>
  </si>
  <si>
    <t xml:space="preserve"> (פ/5100/25)</t>
  </si>
  <si>
    <t xml:space="preserve">הצעת חוק הגבלת השימוש ורישום פעולות בחלקי רכב משומשים (מניעת גניבות) (תיקון - חובות החלות בעת רכישה או מכירה של רכב ניזוק), התשפ"ה-2024</t>
  </si>
  <si>
    <t xml:space="preserve"> (פ/5098/25)</t>
  </si>
  <si>
    <t xml:space="preserve">הצעת חוק לתיקון פקודת הדיג (איסור דיג מכמורת), התשפ"ה-2024</t>
  </si>
  <si>
    <t xml:space="preserve"> (פ/5097/25)</t>
  </si>
  <si>
    <t xml:space="preserve">הצעת חוק הביטוח הלאומי (תיקון - חישוב התגמול לעצמאים בשירות מילואים), התשפ"ה-2024</t>
  </si>
  <si>
    <t xml:space="preserve"> (פ/5095/25)</t>
  </si>
  <si>
    <t xml:space="preserve">הצעת חוק לתיקון פקודת העיריות (עובדים משטחי הרשות הפלסטינית), התשפ"ה-2024</t>
  </si>
  <si>
    <t xml:space="preserve"> (פ/5093/25)</t>
  </si>
  <si>
    <t xml:space="preserve">הצעת חוק קרן פיצויים לנזקי הפשיעה החקלאית, התשפ"ה-2024</t>
  </si>
  <si>
    <t xml:space="preserve"> (פ/5092/25)</t>
  </si>
  <si>
    <t xml:space="preserve">הצעת חוק פיקוח על מחירי מצרכים ושירותים (תיקון - פיקוח על מוצרי מזון בריא בסיסיים), התשפ"ה-2024 </t>
  </si>
  <si>
    <t xml:space="preserve"> (פ/5091/25)</t>
  </si>
  <si>
    <t xml:space="preserve">חוק העונשין (תיקון מס' 151), התשפ"ה–2024</t>
  </si>
  <si>
    <t xml:space="preserve"> (פ/4485/25)</t>
  </si>
  <si>
    <t xml:space="preserve"> (כ/1035)</t>
  </si>
  <si>
    <t xml:space="preserve">27.11.2024</t>
  </si>
  <si>
    <t xml:space="preserve">החוק קובע כי עבירת תקיפת סוהר, שהייתה מוסדרת כחלק מעבירת 'תקיפת עובד ציבור' תקבל התייחסות פרטנית בחוק העונשין, וכי הסימן בחוק העונשין שעניינו בתקיפה או הפרעה לשוטר, יחול בשינויים מסוימים גם על תקיפה או הפרעה לסוהר.</t>
  </si>
  <si>
    <t xml:space="preserve">חוק שוויון ההזדמנויות בעבודה (תיקון מס' 27), התשפ"ה–2024</t>
  </si>
  <si>
    <t xml:space="preserve"> (פ/1084/25)</t>
  </si>
  <si>
    <t xml:space="preserve"> (כ/1049)</t>
  </si>
  <si>
    <t xml:space="preserve">חוק זה מאריך  לחמש שנים את תקופת ההתיישנות בתביעה אזרחית על הפרת הוראות חוק שוויון ההזדמנויות בעבודה, התשמ"ח–1988, או הוראות פרק ד' שבחוק שוויון זכויות לאנשים עם מוגבלות, התשנ"ח–1988, (שעמדה קודם לכן על שלוש שנים). אולם, אם התביעה כאמור היא של דורש עבודה, תקופת ההתיישנות לעניינו תישאר שלוש שנים. </t>
  </si>
  <si>
    <t xml:space="preserve">חוק לתיקון פקודת בתי הסוהר (מס' 67 והוראת שעה), התשפ"ה-2024 </t>
  </si>
  <si>
    <t xml:space="preserve"> (מ/1804)</t>
  </si>
  <si>
    <t xml:space="preserve">ביום כ"ט בחשוון התשע"ט (7 בנובמבר 2018), פורסם חוק לתיקון פקודת בתי הסוהר (מס' 54 והוראת שעה), התשע"ט–2018, כאחד המענים לפסיקת בית המשפט העליון בבג"ץ 1892/14 האגודה לזכויות האזרח בישראל נ' השר לביטחון פנים, בה נקבע כי יש להגדיל את מרחב המחיה של האסירים בבתי הסוהר, וזאת באמצעות הרחבת תקופות השחרור המנהלי הקבועות בפקודת בתי הסוהר. מנגנון השחרור המנהלי קובע כי נציב בתי הסוהר יורה על שחרור אסירים לפני תום תקופת מאסרם ובתנאי שריצו לפחות מחצית מתקופת מאסרם, כדי להקל על הצפיפות בבתי הסוהר, לפי התקופות הקבועות כחוק. ההרחבה דאז לא הוחלה על אסירים ביטחוניים, ובהמשך נערכו שינויים נוספים, במסגרתם נקבע, כהוראת שעה, כי אסירים ביטחוניים לא יהיו זכאים לשחרור מנהלי כלל, וכן נקבעו מגבלות שונות ביחס לאסירים שהורשעו בעבירות מין ואלימות. במסגרת תיקון מס' 67, הוארכה תקופת תוקפה של הוראת השעה המסדירה תקופות שחרור מינהלי מורחבות עד ליום י"א בטבת התשפ"ו (31 בדצמבר 2025). בנוסף, נקבע כי ההוראה הקובעת כי אסירים ביטחוניים לא יהיו זכאים לשחרור מינהלי תהפוך להוראה קבועה. עוד נקבע כי תקן הכליאה, שהוא מספר האסירים שאם חורגים ממנו יש להחיל בשחרור מנהלי, ימשיך לעמוד על 14,500 מקומות כליאה עד ליום ד' בתמוז התשפ"ה (30 ביוני 2025). </t>
  </si>
  <si>
    <t xml:space="preserve">חוק כליאתם של לוחמים בלתי חוקיים (תיקון מס' 4 והוראת שעה – חרבות ברזל) (תיקון מס' 3), התשפ"ה-2024</t>
  </si>
  <si>
    <t xml:space="preserve"> (מ/1810)</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</si>
  <si>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במקרים שבהם הכריזה הממשלה על מלחמה או הודיעה על נקיטת פעולות צבאיות משמעותיות, הממשלה, באישור ועדת החוץ והביטחון, מוסמכת להכריז על שינויים בתחולת החוק. במהלך תקופת תוקפה של ההכרזה, התקופות המנויות בחוק ארוכות יותר והדרג המוסמך לקבל החלטות לפי החוק נמוך יותר. חוק כליאתם של לוחמים בלתי חוקיים (תיקון מס' 4 והוראת שעה – חרבות ברזל), התשפ"ד–2023, קבע, כהוראת שעה, כי במקרה של הכרזה כאמור, יוארכו התקופות המנויות בחוק אף יותר, הורד הדרג המוסמך לאשר הגבלות על פגישה עם עורך דין, וכן נקבע כי ניתן יהיה לקיים דיונים בדרך של היוועדות חזותית. הוראת השעה הוארכה מאז מספר פעמים, בתיקונים שונים. במסגרת תיקון מספר 3, הוארכה תוקפה של הוראת השעה כאמור עד ליום ב' בניסן התשפ"ה (31 במרץ 2025), וכן הוארכה תקופת תוקפה של הכרזת הממשלה על שינויים בתחולת החוק עד ליום ל' בשבט התשפ"ה (28 בפברואר 2025). עוד נקבע כי ההוראות הנוגעות לקיום דיונים בנוכחות הכלוא דרך היוועדות חזותית ולמבקרים רשמיים במתקן הכליאה יחולו במנותק מהכרזת הממשלה כאמור אך עדיין במסגרת הוראת השעה. </t>
  </si>
  <si>
    <t xml:space="preserve"> (פ/4453/25)</t>
  </si>
  <si>
    <t xml:space="preserve">הצעת חוק הממשלה (תיקון - ביצוע בדיקת פוליגרף לחברי ועדת השרים לענייני ביטחון לאומי), התשפ"ד-2024</t>
  </si>
  <si>
    <t xml:space="preserve"> (פ/4197/25)</t>
  </si>
  <si>
    <t xml:space="preserve">הצעת חוק ביטוח בריאות ממלכתי (תיקון - סבסוד מחוללי חמצן ניידים), התשפ"ג-2023</t>
  </si>
  <si>
    <t xml:space="preserve"> (פ/2789/25)</t>
  </si>
  <si>
    <t xml:space="preserve">הצעת חוק ההוצאה לפועל (תיקון מס' 78) (דיין הוצאה לפועל), התשפ"ה-2024 </t>
  </si>
  <si>
    <t xml:space="preserve"> (מ/1805)</t>
  </si>
  <si>
    <t xml:space="preserve">26.11.2024</t>
  </si>
  <si>
    <t xml:space="preserve">חוק עידוד תרומות מזון (תיקון), התשפ"ה–2024</t>
  </si>
  <si>
    <t xml:space="preserve"> (פ/2417/25)</t>
  </si>
  <si>
    <t xml:space="preserve"> (כ/1055)</t>
  </si>
  <si>
    <t xml:space="preserve">25.11.2024</t>
  </si>
  <si>
    <t xml:space="preserve">התיקון לחוק קובע כי גוף ציבורי המספק, בעצמו או על ידי ספק שירות מטעמו, שירותי הסעדה בהיקף של 500 מנות ליום עבודה, לא יוכל לסרב סירוב שאינו מוצדק, לבקשת ארגון לחלוקת מזון להתקשר עמו לצורך איסוף המזון העודף שנותר בחצריו. מזון עודף הוגדר כמזון ראוי למאכל אדם, שלא הוגש לסועדים, ושאין כל כוונה, של הגוף הציבורי או ספק השירות מטעמו, לעשות בו שימוש נוסף, ואם לא ייתרם הוא יושלך לאשפה. החובה להתקשר עם ארגון לחלוקת מזון לא תחול, אם איסוף המזון מטיל על הגוף הציבורי עלות עודפת ישירה. ההגדרה "גוף ציבורי" בחוק זה כוללת משרד ממשלתי או יחידת סמך שלו למעט יחידות ביטחוניות מסוימות, הכנסת, מבקר המדינה, רשות מקומית, חברה עירונית ומועצה דתית, חברה ממשלתית וחברה בת ממשלתית, תאגיד שהוקם בחוק או לפיו, צה"ל, משטרת ישראל ושב"ס. ואולם מוסד רפואי, לא ייחשב גוף ציבורי לעניין זה. לגבי צה"ל, המשטרה, השב"ס והרשות להגנה על עדים, נקבע כי השר הממונה עליהם יוכל להורות בנוהל על התאמות בתחולת ההסדר לגביהם או להורות בנוהל על פטור מתחולת ההסדר מסיבות ביטחוניות ליחידות מסוימות בגופים אלה ובלבד שהפטור יוגבל לעד שנה בכל פעם. ארגון לחלוקת מזון ימסור לגוף הציבורי שאיתו התקשר אחת לשנה אישור על כמות המזון שאסף ממנו והשימושים בו. ההסדר שתחילתו מיידית לא יחול על התקשרות קיימת של הגוף הציבורי עם ספק שירות למתן שירותי הסעדה, ובכלל זה על מכרז שפורסם כבר להתקשרות עם ספק שירות כאמור או על מימוש אופציה שניתנה לפי התקשרות קיימת. עוד נקבע שההוראות הקיימות בחוק עידוד תרומות מזון לעניין אחריות תורם מזון ומתן אות הוקרה לתורמי מזון, יחולו הן על הגוף ציבורי, והן על ספק שירותי ההסעדה מטעמו, בלי קשר לשאלת הבעלות במזון.</t>
  </si>
  <si>
    <t xml:space="preserve">חוק הטיס (תיקון מס' 6), התשפ"ה-2024 </t>
  </si>
  <si>
    <t xml:space="preserve"> (מ/1540)</t>
  </si>
  <si>
    <t xml:space="preserve">התיקון משנה את משטר האכיפה הקבוע בחוק הטיס, התשע"א–2011 (להלן – החוק), באמצעות ביטול חלק מהעבירות הפליליות הקבועות בו והרחבת הסמכות הנתונה למנהל רשות התעופה האזרחית להטיל עיצום כספי על מי שהפר את הוראות החוק, וכן משנה את המשטר החל לגבי הפעלת כלי טיס זר בישראל.  התיקון מבטל עבירות שנמצא כי אינן מתאימות לאכיפה באמצעות הליך פלילי, ונוגעות להפרות אסדרתיות במהותן – הפרות של כללי רגולציה שמכוונות לגורמים מפוקחים ובעלי ממשק מהותי עם הרגולטור – רשות התעופה האזרחית. את העבירות האמורות ניתן יהיה להמשיך ולאכוף באמצעות עיצומים כספיים. העבירות שלא בוטלו בתיקון, כלומר העבירות שנותרו על כנן בחוק העיקרי, הן עבירות שהשימוש בעיצומים כספיים אינו מתאים לגביהן, בשל חומרתן או בשל היותן עבירות המכוונות לציבור רחב שאינו מפוקח בידי הרגולטור.  התיקון מוסיף לחוק אמצעי אכיפה מנהליים – סמכות להטלת עיצומים כספיים – לעניין הפרות מסוימות דוגמת קיום פעילות תעופתית החייבת ברישיון לפי החוק, ללא רישיון מתאים (במקביל לעבירות פליליות שהיו קיימות ערב התיקון לעניין זה) והפרת הוראות שונות בעת הפעלת כלי טיס זר בישראל.  בנוסף, החוק משנה את המשטר שחל לגבי הפעלת כלי טיס זר בישראל, וקובע שעל כלי טיס כאמור לציית לסטנדרטים הבין-לאומיים של ארגון התעופה האזרחית הבין-לאומי החלים על כלי הטיס, על צוותו ועל הפעלתו, בהתאמה למקובל בעולם בעניין זה. אם לא חלים על כלי הטיס סטנדרטים בין-לאומיים, יחולו לגביו דיני הטיס הרגילים החלים על כלי טיס ישראלי. עוד קובע התיקון כי מנהל רשות התעופה האזרחית רשאי להכיר בתעודות וברישיונות שניתנו על ידי המדינה בה רשום כלי הטיס הזר, או מדינת מקום עסקיו העיקרי של המפעיל האווירי של כלי הטיס הזר, כשווי ערך לתעודות ולרישיונות הנדרשים לפי דיני הטיס הישראליים ולכן כמספקים לצורך הפעלתו בישראל. כן קובע התיקון, בנוסף לסמכות להטיל עיצומים כספיים על מי שמפעיל כלי טיס זר בישראל תוך הפרת הוראות החוק החלות לגביו, גם עבירות פליליות מתאימות לעניין זה. </t>
  </si>
  <si>
    <t xml:space="preserve">הצעת חוק הנוער (שפיטה, ענישה ודרכי טיפול) (תיקון - דלתיים סגורות), התשפ"ה-2024</t>
  </si>
  <si>
    <t xml:space="preserve"> (פ/5088/25)</t>
  </si>
  <si>
    <t xml:space="preserve"> (פ/5087/25)</t>
  </si>
  <si>
    <t xml:space="preserve">הצעת חוק להקפאת כספים ששילמה הרשות הפלסטינית בזיקה לטרור מהכספים המועברים אליה מממשלת ישראל (תיקון - הקפאת כספי הרשות הפלסטינית בגין טיפולים רפואיים לאסיר ביטחוני), התשפ"ה-2024</t>
  </si>
  <si>
    <t xml:space="preserve"> (פ/5086/25)</t>
  </si>
  <si>
    <t xml:space="preserve">הצעת חוק להקפאת כספים ששילמה הרשות הפלסטינית בזיקה לטרור מהכספים המועברים אליה מממשלת ישראל (תיקון - קיזוז עלויות טיפולים רפואיים במחבלים), התשפ"ה-2024</t>
  </si>
  <si>
    <t xml:space="preserve"> (פ/5085/25)</t>
  </si>
  <si>
    <t xml:space="preserve">הצעת חוק זכות יוצרים (תיקון - תשלום תמלוגים), התשפ"ה-2024</t>
  </si>
  <si>
    <t xml:space="preserve"> (פ/5084/25)</t>
  </si>
  <si>
    <t xml:space="preserve">הצעת חוק סמכויות להתמודדות עם כלי טיס בלתי מאויש, התשפ"ה-2024</t>
  </si>
  <si>
    <t xml:space="preserve"> (פ/5082/25)</t>
  </si>
  <si>
    <t xml:space="preserve">הצעת חוק הכניסה לישראל (תיקון - תוקף צווי הגבלת שימוש במקום וסמכויות תפיסה וחילוט), התשפ"ה-2024</t>
  </si>
  <si>
    <t xml:space="preserve"> (פ/5081/25)</t>
  </si>
  <si>
    <t xml:space="preserve">הצעת חוק לתיקון פקודת בתי הסוהר (שלילת ביקורים מאסירים המשתייכים לארגון טרור), התשפ"ה-2024 </t>
  </si>
  <si>
    <t xml:space="preserve"> (פ/5080/25)</t>
  </si>
  <si>
    <t xml:space="preserve">הצעת חוק הקמת מחלקה לגיבוש תפיסת מודיעין חלופית ("איפכא מסתברא") מגופי המודיעין, התשפ"ה-2024</t>
  </si>
  <si>
    <t xml:space="preserve"> (פ/5079/25)</t>
  </si>
  <si>
    <t xml:space="preserve">הצעת חוק הביטוח הלאומי (תיקון - פטור מהשבת תשלום ביתר של תגמול מילואים לעצמאי) (הוראת שעה - חרבות ברזל), התשפ"ה-2024</t>
  </si>
  <si>
    <t xml:space="preserve"> (פ/5078/25)</t>
  </si>
  <si>
    <t xml:space="preserve"> (פ/5076/25)</t>
  </si>
  <si>
    <t xml:space="preserve"> (פ/5075/25)</t>
  </si>
  <si>
    <t xml:space="preserve">הצעת חוק למניעת העסקה של עברייני מין במוסדות מסוימים (תיקון - איסור העסקה במוסד אקדמי), התשפ"ה-2024 </t>
  </si>
  <si>
    <t xml:space="preserve"> (פ/5073/25)</t>
  </si>
  <si>
    <t xml:space="preserve"> (פ/5072/25)</t>
  </si>
  <si>
    <t xml:space="preserve">הצעת חוק העונשין (תיקון - החמרת ענישה על החזקת מכשיר לשיבוש תדרי קליטה), התשפ"ה-2024</t>
  </si>
  <si>
    <t xml:space="preserve"> (פ/5071/25)</t>
  </si>
  <si>
    <t xml:space="preserve">הצעת חוק הביטוח הלאומי (תיקון - שלילת קצבאות ממחבלים), התשפ"ה-2024</t>
  </si>
  <si>
    <t xml:space="preserve"> (פ/5068/25)</t>
  </si>
  <si>
    <t xml:space="preserve">הצעת חוק משפחות חיילים שנספו במערכה (תגמולים ושיקום) (תיקון - הכרה במי שנספה בפגיעת איבה כחייל שנספה במערכה) (הוראת שעה - חרבות ברזל), התשפ"ה-2024</t>
  </si>
  <si>
    <t xml:space="preserve"> (פ/5067/25)</t>
  </si>
  <si>
    <t xml:space="preserve">הצעת חוק הביטוח הלאומי (תיקון - חישוב תגמול מילואים למשוחרר משירות קבע או לפורש ממנו) (הוראת שעה - חרבות ברזל), התשפ"ה-2024</t>
  </si>
  <si>
    <t xml:space="preserve"> (פ/5066/25)</t>
  </si>
  <si>
    <t xml:space="preserve"> (פ/5065/25)</t>
  </si>
  <si>
    <t xml:space="preserve">הצעת חוק שיפוט בתי דין דתיים (בוררות), התשפ"ה-2024</t>
  </si>
  <si>
    <t xml:space="preserve"> (פ/5063/25)</t>
  </si>
  <si>
    <t xml:space="preserve"> (פ/5062/25)</t>
  </si>
  <si>
    <t xml:space="preserve">הצעת חוק לביטול ההתיישנות בעבירות מין (תיקוני חקיקה), התשפ"ה-2024</t>
  </si>
  <si>
    <t xml:space="preserve"> (פ/5061/25)</t>
  </si>
  <si>
    <t xml:space="preserve"> (פ/5060/25)</t>
  </si>
  <si>
    <t xml:space="preserve"> (פ/5059/25)</t>
  </si>
  <si>
    <t xml:space="preserve">הצעת חוק העונשין (תיקון - איסור הנפת דגל של ישות עוינת), התשפ"ה-2024</t>
  </si>
  <si>
    <t xml:space="preserve"> (פ/5058/25)</t>
  </si>
  <si>
    <t xml:space="preserve"> (פ/5056/25)</t>
  </si>
  <si>
    <t xml:space="preserve">הצעת חוק לחילוט תקבולי עבירה בשווי בעבירת גניבה חקלאית ובעבירות הגורמות נזק לרכוש חקלאי, התשפ"ה-2024</t>
  </si>
  <si>
    <t xml:space="preserve"> (פ/5055/25)</t>
  </si>
  <si>
    <t xml:space="preserve">הצעת חוק לשכת עורכי הדין (תיקון מס' 45) (אימון שני מתמחים), התשפ"ה–2024</t>
  </si>
  <si>
    <t xml:space="preserve"> (פ/4579/25)</t>
  </si>
  <si>
    <t xml:space="preserve"> (כ/1073)</t>
  </si>
  <si>
    <t xml:space="preserve">הצעת חוק אומנה לילדים (תיקון - הזכות לחינוך לילדים בהשמה חוץ-ביתית), התשפ"ג-2023</t>
  </si>
  <si>
    <t xml:space="preserve"> (פ/1409/25)</t>
  </si>
  <si>
    <t xml:space="preserve">20.11.2024</t>
  </si>
  <si>
    <t xml:space="preserve">חוק מגבלות על חזרתו של עבריין מין לסביבת נפגע העבירה (תיקון מס' 10), התשפ"ה–2024 </t>
  </si>
  <si>
    <t xml:space="preserve"> (פ/4510/25)</t>
  </si>
  <si>
    <t xml:space="preserve"> (כ/1045)</t>
  </si>
  <si>
    <t xml:space="preserve">חוק מגבלות על חזרתו של עבריין מין לסביבת נפגע העבירה, התשס"ה-2004, נועד לאפשר לבית המשפט להטיל מגבלות על מי שהורשע בביצוע עבירת מין, במטרה למנוע מפגש בינו לבין נפגע העבירה בסביבת חייו השגרתית. החוק קבע כי ניתן להטיל את המגבלות רק אם בית המשפט השתכנע כי חזרת העבריין לסביבת הנפגע עלולה לגרום לו לנזק נפשי של ממש. כעת, במסגרת תיקון מס' 10 לחוק, התשפ"ה-2024, נמחקו המילים "של ממש" כדי להקל על דרישה זו, כך שבית המשפט מוסמך להורות על הטלת המגבלות אם סבר שמפגש כזה עלול לגרום לנפגע נזק נפשי, וזאת בלא צורך להוכיח רף מחמיר של נזק נפשי של ממש.</t>
  </si>
  <si>
    <t xml:space="preserve">חוק מניעת פגיעת גוף שידורים זר בביטחון המדינה (הוראת שעה – חרבות ברזל) (תיקון מס' 2), התשפ"ה-2024 </t>
  </si>
  <si>
    <t xml:space="preserve"> (מ/1806)</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</si>
  <si>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הראשון לחוק, הוארכה הוראת השעה עד ליום כ"ט בחשוון התשפ"ה (30 בנובמבר 2024). במסגרת תיקון מספר 2, הוארך תוקפה של הוראת השעה בעניין מניעת פגיעת גוף שידורים זר בביטחון המדינה עד ליום ד' בסיוון התשפ"ה (31 במאי 2025). בנוסף, נקבע כי  תוקף הוראותיו של שר התקשורת הקבועות בחוק, יוארך מתקופה מרבית של 45 לתקופה שלא תעלה על 60 ימים, ובהתאם לכך תעשה גם כל הארכה נוספת.    </t>
  </si>
  <si>
    <t xml:space="preserve">הצעת חוק קליטת חיילים משוחררים (תיקון - זכאות משרתי צבא ההגנה לישראל מקרן "ממדים ללימודים"), התשפ"ד-2024</t>
  </si>
  <si>
    <t xml:space="preserve"> (פ/4885/25)</t>
  </si>
  <si>
    <t xml:space="preserve">הצעת חוק כלי הירייה (תיקון - זכאות לרישיון כלי ירייה ללוחם שסיים את שירותו עקב פציעה בפעילות מבצעית), התשפ"ד-2024</t>
  </si>
  <si>
    <t xml:space="preserve"> (פ/4815/25)</t>
  </si>
  <si>
    <t xml:space="preserve">הצעת חוק הפיקוח על שירותים פיננסיים (שירותים פיננסיים מוסדרים) (תיקון - מסירת מידע על עמלות וריביות בידי נותן שירותים פיננסיים), התשפ"ד-2024</t>
  </si>
  <si>
    <t xml:space="preserve"> (פ/4660/25)</t>
  </si>
  <si>
    <t xml:space="preserve">הצעת חוק שירות ביטחון (תיקון - סיוע טיפולי לבוגרי השירות הצבאי), התשפ"ג-2023</t>
  </si>
  <si>
    <t xml:space="preserve"> (פ/1663/25)</t>
  </si>
  <si>
    <t xml:space="preserve">הצעת חוק עידוד שירות צבאי, לאומי או לאומי-אזרחי, התשפ"ג-2023</t>
  </si>
  <si>
    <t xml:space="preserve"> (פ/1609/25)</t>
  </si>
  <si>
    <t xml:space="preserve">הצעת חוק שירות המדינה (מינויים) (תיקון - ייצוג הולם ללוחמים), התשפ"ד-2024</t>
  </si>
  <si>
    <t xml:space="preserve"> (פ/4789/25)</t>
  </si>
  <si>
    <t xml:space="preserve">19.11.2024</t>
  </si>
  <si>
    <t xml:space="preserve">חוק העונשין (תיקון מס' 150), התשפ"ה-2024</t>
  </si>
  <si>
    <t xml:space="preserve"> (פ/4536/25)</t>
  </si>
  <si>
    <t xml:space="preserve"> (כ/1061)</t>
  </si>
  <si>
    <t xml:space="preserve">התיקון לחוק קובע כי עבירת השוטטות, שהעונש הקבוע בצידה היה שישה חודשי מאסר, אשר הופיעה כאחת מההתנהגויות שנחשבות כעבירה של "התנהגות פסולה במקום ציבורי", תימחק מחוק העונשין, התשל"ז–1977. </t>
  </si>
  <si>
    <t xml:space="preserve">חוק הביטוח הלאומי (תיקון מס' 251), התשפ"ה–2024</t>
  </si>
  <si>
    <t xml:space="preserve"> (פ/4232/25)</t>
  </si>
  <si>
    <t xml:space="preserve"> (כ/1053)</t>
  </si>
  <si>
    <t xml:space="preserve">נקבע, כי בתקופה שבה ילד שהורשע בעבירת ביטחון לפי סעיף 326(ג) לחוק הביטוח הלאומי, דהיינו בעבירת טרור חמורה לפי חוק המאבק בטרור, נמצא במאסר בשל הרשעתו, לא ישולמו להוריו גמלאות לפי פרק ג' לחוק הביטוח הלאומי, ובכלל זה קצבת ילדים ומענק לימודים וכן תוספות תלויים בעבור הילד – לעניין קצבת נפגעי עבודה, קצבת נכות, קצבת אזרח ותיק וקצבת שארים ותוספות בעד הילד לגמלת הבטחת הכנסה או לתשלום לפי חוק המזונות (הבטחת תשלום). כמו כן, בתקופת המאסר הילד לא יבוא במניין ילדיו של ההורה לצורך חישוב גמלאות כאמור. הוראות חוק זה יחולו לגבי מי שנמצא במאסר ביום תחילתו של חוק זה או לאחריו. </t>
  </si>
  <si>
    <t xml:space="preserve">חוק הביטוח הלאומי (תיקון מס' 250), התשפ"ה–2024</t>
  </si>
  <si>
    <t xml:space="preserve"> (פ/4664/25)</t>
  </si>
  <si>
    <t xml:space="preserve"> (כ/1048)</t>
  </si>
  <si>
    <t xml:space="preserve">נקבע כי מי שאינו תושב ישראל וזכאי, מכוח עצמו או מכוח בן משפחתו, לתשלום גמלה לפי חוק הביטוח הלאומי בהיותו מחוץ לישראל, לא תשולם לו הגמלה אם הוא הורשע בעבירת טרור חמורה לפי חוק המאבק בטרור או בעבירה שבית המשפט קבע כי היא מעשה טרור לפי חוק המאבק בטרור או שהורשע בעבירת טרור ביטחונית בבית משפט צבאי. עוד נקבע כי כבר בתקופת המעצר עד תום ההליכים של מי שאינו תושב ישראל וזכאי לגמלה כאמור, תשלום הגמלה יעוכב אם העבירה המיוחסת לו בכתב האישום היא אחת מן העבירות האמורות. בין מועד ההרשעה  ועד שפסק הדין לא יהיה ניתן לערעור הגמלה תעוכב בידי המוסד לביטוח לאומי.  לגבי אדם כאמור שנשפט בבית משפט צבאי, נקבעה רשימת עבירות שייכללו בהגדרה "עבירת טרור ביטחונית", כך שהרשעה בהן תביא לאי-תשלום הגמלה, ואולם מי שהגמלה נשללה ממנו או עוכבה בשל עבירת טרור בטחונית בבית המשפט הצבאי, יוכל לטעון בפני המוסד לביטוח לאומי כי עבירת הטרור הבטחונית שעבר לא נעברה בנסיבות של פגיעה בביטחון המדינה ובזיקה לטרור, אלא בנסיבות פליליות אחרות. אם המוסד לביטוח לאומי ישתכנע בכך על בסיס פסק הדין וכתב האישום, לא תחול ההוראה לעניין אי תשלום הגמלה. לשם החלטה מסוג זה, המוסד לביטוח לאומי יוכל לקבל מידע מהתובע המוסמך לדון בעבירה.  כמו כן, מוצע כי לא תשולם גמלה למי שאינו תושב ישראל וזכאי לגמלה לפי חוק הביטוח הלאומי בהיותו מחוץ לישראל, אם הוא הוכרז כפעיל טרור לפי חוק המאבק בטרור, וכל עוד ההכרזה עומדת בתוקף.  החוק קובע הסדר לקבלת מידע באופן חודשי משירות בתי הסוהר על מעצרים עד תום ההליכים בעברות כאמור, וממשרד הביטחון על הכרזות על פעיל טרור שעומדות בתוקפן. החוק מאפשר למוסד לביטוח לאומי לקבל מידע מהמרשם הפלילי, כולל מידע שהתיישן, לצורך ביצוע ההוראות האמורות, ולשם ביצוע הוראות סעיף 326 לחוק הביטוח הלאומי שקבועות בו הוראות לעניין שלילת גמלאות בשל פשעים שונים.  תחילתו של חוק זה תהיה ב1.1.2025 והוא יחול גם לעניין עבירות שנעברו לפני תחילתו, ככל שההרשעות לגביהן מופיעות במרשם הפלילי, או שנמשך מעצר עד תום ההליכים לגביהן, וכן על הכרזות על פעילי טרור לפני יום התחילה שעודן בתוקף. ואולם, אי העיכוב או אי התשלום יחולו רק לגבי גמלאות המגיעות בעד יום התחילה ואילך.  המוסד לביטוח לאומי יידרש לדווח לוועדת העבודה והרווחה אחת לשנה במשך חמש שנים על הגמלאות שלא שולמו או עוכבו, בנוסף לדיווח נוסף בתום שישה חודשים מתחילתו של חוק זה. נוסף על כך, חוק זה מאריך עד סוף שנת 2026 את הוראת סעיף 406(ה) לחוק הביטוח הלאומי שלפיה מענקים שניתנים לפי הסכמים מכוח סעיף 9, בשל מלחמת חרבות ברזל, לא ייחשבו כהכנסה בידי מקבליהם.  </t>
  </si>
  <si>
    <t xml:space="preserve">הצעת חוק יסוד: השפיטה (תיקון - שלילת זכות עמידה למתגמל טרור)</t>
  </si>
  <si>
    <t xml:space="preserve"> (פ/4860/25)</t>
  </si>
  <si>
    <t xml:space="preserve">18.11.2024</t>
  </si>
  <si>
    <t xml:space="preserve">חוק לתיקון פקודת בתי הסוהר (תיקון מס' 66 – הוראת שעה – חרבות ברזל) (חופשה מיוחדת לאסיר) (תיקון מס' 2), התשפ"ה-2024</t>
  </si>
  <si>
    <t xml:space="preserve"> (מ/1800)</t>
  </si>
  <si>
    <t xml:space="preserve">חוק לתיקון פקודת בתי הסוהר (תיקון מס' 66 – הוראת שעה – חרבות ברזל) (חופשה מיוחדת לאסיר), התשפ"ד–2024, נקבע כהוראת שעה לשלושה חודשים. במסגרתו נקבע כי הנציב או סוהר בדרגת גונדר שהוסמך, רשאי לתת לאסיר, בתנאים שייראו לשר לביטחון לאומי, חופשה מיוחדת שלא תעלה על 45 ימים; וזאת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הראשון הוארכה הוראת השעה לתקופה של חמישה חודשים, עד ליום י"ד בחשוון התשפ"ה (15 בנובמבר 2024). במסגרת תיקון מספר 2, הוארך תוקפה של הוראת השעה כאמור עד ליום י"ז באייר התשפ"ה (15 במאי 2025). </t>
  </si>
  <si>
    <t xml:space="preserve">הצעת חוק-יסוד: הכנסת (תיקון - מניעת התמודדות בבחירות של תומכי ומעודדי טרור)</t>
  </si>
  <si>
    <t xml:space="preserve"> (פ/5053/25)</t>
  </si>
  <si>
    <t xml:space="preserve">הצעת חוק הרשות לקידום הורות טובה ומיטיבה ותפקוד הורי ומשפחתי בריא, התשפ"ה-2024</t>
  </si>
  <si>
    <t xml:space="preserve"> (פ/5051/25)</t>
  </si>
  <si>
    <t xml:space="preserve">הצעת חוק סדר הדין הפלילי (סמכויות אכיפה - נתוני תקשורת) (תיקון - צו לקבלת נתוני מנוי ונתוני תקשורת ממקור אחר), התשפ"ה-2024</t>
  </si>
  <si>
    <t xml:space="preserve"> (פ/5050/25)</t>
  </si>
  <si>
    <t xml:space="preserve">הצעת חוק להנגשת מזון בריא לציבור, התשפ"ה-2024</t>
  </si>
  <si>
    <t xml:space="preserve"> (פ/5049/25)</t>
  </si>
  <si>
    <t xml:space="preserve"> (פ/5047/25)</t>
  </si>
  <si>
    <t xml:space="preserve">הצעת חוק להקפאת כספים ששילמה הרשות הפלסטינית בזיקה לטרור מהכספים המועברים אליה מממשלת ישראל (תיקון - קיזוז דוחות תעבורה), התשפ"ה-2024 </t>
  </si>
  <si>
    <t xml:space="preserve"> (פ/5046/25)</t>
  </si>
  <si>
    <t xml:space="preserve">הצעת חוק איסור הפליה במוצרים, בשירותים ובכניסה למקומות בידור ולמקומות ציבוריים (תיקון - הסמכת בית משפט למתן צו מניעה או צו עשה), התשפ"ה-2024</t>
  </si>
  <si>
    <t xml:space="preserve"> (פ/5045/25)</t>
  </si>
  <si>
    <t xml:space="preserve">הצעת חוק הרבנות הראשית לישראל (תיקון - הגדלת הייצוג הנשי באסיפה הבוחרת ובחירת נציגים מיהודה והשומרון), התשפ"ה-2024</t>
  </si>
  <si>
    <t xml:space="preserve"> (פ/5042/25)</t>
  </si>
  <si>
    <t xml:space="preserve"> (פ/5041/25)</t>
  </si>
  <si>
    <t xml:space="preserve">הצעת חוק התכנון והבנייה (הוראות מיוחדות לעניין אכיפה ביישובי מיעוטים ללא תוכנית) (הוראת שעה), התשפ"ה-2024</t>
  </si>
  <si>
    <t xml:space="preserve"> (פ/5040/25)</t>
  </si>
  <si>
    <t xml:space="preserve"> (פ/5039/25)</t>
  </si>
  <si>
    <t xml:space="preserve"> (פ/5038/25)</t>
  </si>
  <si>
    <t xml:space="preserve">הצעת חוק לתיקון פקודת מס הכנסה (משיכת כספי קרן השתלמות) (הוראת שעה - חרבות ברזל), התשפ"ה-2024</t>
  </si>
  <si>
    <t xml:space="preserve"> (פ/5036/25)</t>
  </si>
  <si>
    <t xml:space="preserve"> (פ/5035/25)</t>
  </si>
  <si>
    <t xml:space="preserve"> (פ/5034/25)</t>
  </si>
  <si>
    <t xml:space="preserve">הצעת חוק רשות מקרקעי ישראל (תיקון - הקצאת קרקעות בנגב ובגליל לחיילים משוחררים ומשרתי שירות לאומי-אזרחי), התשפ"ה-2024</t>
  </si>
  <si>
    <t xml:space="preserve"> (פ/5033/25)</t>
  </si>
  <si>
    <t xml:space="preserve">הצעת חוק משפחות חיילים שנספו במערכה (תגמולים ושיקום) (תיקון - ביטול מגבלת גיל להכרה ביתומי צה"ל וכוחות הביטחון), התשפ"ה-2024</t>
  </si>
  <si>
    <t xml:space="preserve"> (פ/5032/25)</t>
  </si>
  <si>
    <t xml:space="preserve"> (פ/5030/25)</t>
  </si>
  <si>
    <t xml:space="preserve">הצעת חוק משפחות חיילים שנספו במערכה (תגמולים ושיקום) (תיקון - תגמולי הורים, יתומים ואחים שכולים), התשפ"ה-2024</t>
  </si>
  <si>
    <t xml:space="preserve"> (פ/5029/25)</t>
  </si>
  <si>
    <t xml:space="preserve"> (פ/5028/25)</t>
  </si>
  <si>
    <t xml:space="preserve"> (פ/5027/25)</t>
  </si>
  <si>
    <t xml:space="preserve">הצעת חוק יום לציון עליית יהודי תימן ולזכר הנספים בדרך לישראל, התשפ"ה-2024</t>
  </si>
  <si>
    <t xml:space="preserve"> (פ/5026/25)</t>
  </si>
  <si>
    <t xml:space="preserve"> (פ/5025/25)</t>
  </si>
  <si>
    <t xml:space="preserve">הצעת חוק משפחות חיילים שנספו במערכה (תגמולים ושיקום) (תיקון - תגמול לגרושות), התשפ"ה-2024</t>
  </si>
  <si>
    <t xml:space="preserve"> (פ/5023/25)</t>
  </si>
  <si>
    <t xml:space="preserve">חוק כביש אגרה (כביש ארצי לישראל) (תיקון מס' 5), התשפ"ה–2024</t>
  </si>
  <si>
    <t xml:space="preserve"> (פ/2069/25)</t>
  </si>
  <si>
    <t xml:space="preserve"> (כ/1015)</t>
  </si>
  <si>
    <t xml:space="preserve">13.11.2024</t>
  </si>
  <si>
    <t xml:space="preserve">החוק קובע כי חיילי מילואים שנקראו להתייצב לשירות מילואים ונוסעים ברכבם הפרטי לבסיס השירות או ממנו בכביש מספר 6 ("כביש ארצי לישראל"), יהיו זכאים להחזר הוצאות בעד אגרת הנסיעה ששולמה עבור נסיעה בכביש כאמור. החוק מסמיך את שר הביטחון ושר האוצר, בהסכמת שר התחבורה והבטיחות בדרכים ובאישור ועדת הכלכלה של הכנסת, לקבוע בתקנות הוראות לעניין אופן הגשת הבקשה להחזר הוצאות האגרה, אופן קבלת ההחזר ומועד קבלתו וכן לעניין סכום ההחזר המרבי שיינתן. כמו כן החוק קובע כי תקנות ראשונות כאמור יובאו לאישור ועדת הכלכלה של הכנסת בתוך ארבעה חודשים מיום פרסומו של החוק. החוק ייכנס לתוקף ביום א' בטבת התשפ"ה (1 בינואר 2025). </t>
  </si>
  <si>
    <t xml:space="preserve">הצעת חוק המשטרה (חדירה לחומר מחשב), התשפ"ד-2024</t>
  </si>
  <si>
    <t xml:space="preserve"> (פ/4707/25)</t>
  </si>
  <si>
    <t xml:space="preserve">הצעת חוק מס הכנסה (פטור ממס על הכנסה מהשכרת דירת מגורים) (תיקון - אי-תחולת הפטור ממס על מי שהשכיר דירת מגורים לשוהים שלא כדין), התשפ"ד-2024</t>
  </si>
  <si>
    <t xml:space="preserve"> (פ/4353/25)</t>
  </si>
  <si>
    <t xml:space="preserve">הצעת חוק הרשות הארצית לכבאות והצלה (תיקון - תגמולים לכבאים ועובדים), התשפ"ד-2024</t>
  </si>
  <si>
    <t xml:space="preserve"> (פ/4198/25)</t>
  </si>
  <si>
    <t xml:space="preserve">הצעת חוק גמול לחיילים בשירות סדיר, התשפ"ג-2023</t>
  </si>
  <si>
    <t xml:space="preserve"> (פ/2818/25)</t>
  </si>
  <si>
    <t xml:space="preserve">הצעת חוק ביטוח סיעוד ממלכתי (תיקוני חקיקה), התשפ"ג-2023</t>
  </si>
  <si>
    <t xml:space="preserve"> (פ/1736/25)</t>
  </si>
  <si>
    <t xml:space="preserve">הצעת חוק-יסוד: ישראל - מדינת הלאום של העם היהודי (תיקון - שוויון ברוח עקרונות הכרזת העצמאות של מדינת ישראל)</t>
  </si>
  <si>
    <t xml:space="preserve"> (פ/1688/25)</t>
  </si>
  <si>
    <t xml:space="preserve">חוק לתיקון דיני הבחירות לרשויות המקומיות (הוראת שעה), התשפ"ה-2024</t>
  </si>
  <si>
    <t xml:space="preserve"> (פ/4964/25)</t>
  </si>
  <si>
    <t xml:space="preserve"> (כ/1071)</t>
  </si>
  <si>
    <t xml:space="preserve">12.11.2024</t>
  </si>
  <si>
    <t xml:space="preserve">נקבעו בהוראת שעה מספר תיקונים לעניין הבחירות שנדחו ליום כ' בשבט התשפ"ה, 18 בפברואר 2025 בצפון הארץ, ולבחירות שנדחו ליום י"ח חשוון התשפ"ה 19 בנובמבר 2024 בדרום הארץ: יום הבחירות נקבע כיום שבתון לתושבי הרשויות בהם יתקיימו בחירות, נקבעה חובה להצבת קלפיות חיילים בצה"ל, תינתן אפשרות לתושב להצביע במעטפות כפולות בקלפיות שיוצבו ברחבי הארץ, ונקבעה השוואה של שיעור המס לעובדים המועסקים בתקפות הבחירות לשיעור המס שנקבע בהוראת השעה.</t>
  </si>
  <si>
    <t xml:space="preserve">הצעת חוק לתיקון דיני הבחירות לרשויות המקומיות (הוראת שעה), התשפ"ה-2024</t>
  </si>
  <si>
    <t xml:space="preserve"> (פ/4975/25)</t>
  </si>
  <si>
    <t xml:space="preserve">הצעת חוק לתיקון פקודת מס הכנסה (ניכוי הוצאות הנפקה), התשפ"ג-2023</t>
  </si>
  <si>
    <t xml:space="preserve"> (פ/2373/25)</t>
  </si>
  <si>
    <t xml:space="preserve"> (פ/1782/25)</t>
  </si>
  <si>
    <t xml:space="preserve">חוק התקנת מצלמות לשם הגנה על פעוטות במעונות יום לפעוטות (תיקון), התשפ"ה–2024</t>
  </si>
  <si>
    <t xml:space="preserve"> (פ/2800/25)</t>
  </si>
  <si>
    <t xml:space="preserve"> (כ/1041)</t>
  </si>
  <si>
    <t xml:space="preserve"> החוק מסמיך מפעיל מעון יום לפעוטות, למעט מעון יום שיקומי, לאפשר, באופן יזום, להורי הפעוטות בגן, לצפות בצילומים ממצלמות המותקנות במעון לפי חוק התקנת מצלמות לשם הגנה על פעוטות במעונות יום לפעוטות, התשע"ט–2018. מפעיל מעון רשאי לאפשר דרך צפייה אחת בלבד מבין השלוש הבאות: צפייה מקוונת מרחוק בזמן אמת (און-ליין) לכל הורה, באמצעות מכשיר שאושר מראש (טלפון, מחשב וכיו"ב). דרך שנייה היא גם צפייה מקוונת מרחוק באמצעות מכשיר שאושר מראש (טלפון, מחשב וכיו"ב), אולם לא בשידור ישיר און ליין אלא מעת לעת, כפי שיוסכם בין מפעיל המעון והורי הפעוטות במעון, בתדירות שלא תעלה על אחת לחודש לפרק זמן של עד 48 שעות בו ניתן יהיה לצפות בצילומים שהצטברו במערכת המצלמות בגן עד למועד הצפייה. דרך שלישית היא צפייה מעת לעת, כפי שיוסכם בין מפעיל המעון והורי הפעוטות במעון, על ידי נציגות של הורי הפעוטות במעון, בצילומים שהצטברו במערכת המצלמות בגן עד למועד הצפייה, בשטח המעון, בתדירות שלא תעלה על אחת לשבוע. בצפייה כאמור מפעיל המעון יוכל לצפות אף הוא בצילומים ביחד עם נציגות ההורים. כדי לאפשר צפייה כאמור להורים, על המפעיל לעמוד במספר תנאים, ובכלל זה, יידוע ההורים, העובדים והמועמדים לעבודה במעון על כוונתו להפעיל את הצפייה, ואם הסתיים מועד הרישום למעון – עליו לקבל את הסכמת כלל הורי המעון; להציב במעון שילוט על הפעלת הצפייה וליידע גם את נותני השירותים הקבועים במעון; לעניין צפייה מקוונת מרחוק (און ליין או מעת לעת) על המפעיל לדאוג לקיומם של מנגנונים נאותים לאבטחת מידע ולהגנת הסייבר של המצלמות ולהגיש לממונה במשרד החינוך אישור שנתי שהמערכת עומדת בדרישות האבטחה והסייבר. כן קובע החוק איסורים על הורים אשר נועדו לשמור על פרטיות עובדות המעון והפעוטות המתחנכים במעון– כמו איסור העתקת צילומים או מתן אפשרות לאחר לצפות בהם או שימוש במידע שעולה מן הצילומים– שהפרתם תהווה עבירה פלילית ועוולה אזרחית לפי חוק הגנת הפרטיות, התשמ"א–1981. כן מעניק החוק למשרד החינוך סמכות להטיל עיצום כספי על מפעיל מעון יום, למעט מעון יום שיקומי, שהפר הוראה מהוראות החוק, וקובע כי שר החינוך ידווח אחד לשנה לוועדת החינוך, תרבות וספורט של הכנסת נתונים הקשורים לביצוע ויישום הצעת החוק. </t>
  </si>
  <si>
    <t xml:space="preserve">חוק שירותי הובלה (תיקון מס' 3), התשפ"ה–2024</t>
  </si>
  <si>
    <t xml:space="preserve"> (פ/2103/25)</t>
  </si>
  <si>
    <t xml:space="preserve"> (כ/1059)</t>
  </si>
  <si>
    <t xml:space="preserve">התיקון קובע חובה, שחלה על מוסר מטען, לבדוק בעת העמסת מטען על רכב מסחרי כי המטען מתאים למטען שהותר להובלה ברכב לפי התנאים שנקבעו לכך ברישיון הרכב, ולדרוש מהמוביל להפסיק מיד את ההעמסה אם המטען אינו תואם תנאי מהתנאים האמורים. בכך, התיקון מרחיב את החובה שהייתה מוטלת על מוסר המטען ערב התיקון, לפיה היה עליו לבדוק רק את התאמת משקל המטען המועמס על גבי הרכב למשקל שהותר להובלה לפי רישיון הרכב. הפרת החובה החדשה דינה קנס כאמור בסעיף 61(א)(3) לחוק העונשין, התשל"ז–1977 (העומד כיום על סך של עד 75,300 שקלים חדשים). אם נעברה העבירה בידי תאגיד, דינו של התאגיד קנס בגובה פי ארבעה מהקנס האמור. אולם, החובה האמורה אינה חלה על התאגיד הנמליים (נמלים), משום שנמצא כי הטלת חובה זו על הנמלים עלולה לגרום לעיכובים משמעותיים בשחרור סחורות מהנמלים.     בנוסף, התיקון קובע כי על נושא משרה בתאגיד מוטלת החובה לפקח ולעשות כל שניתן כדי למנוע ביצוע עבירות כאמור לעיל, כלומר, העמסה על רכב של מטען שאינו תואם את המטען המותר להובלה לפי תנאי רישיון הרכב, ובכלל זה מטען שמשקלו אינו תואם את המשקל המותר להובלה ברכב, בידי התאגיד ועובדיו. הפרת חובה זו דינה קנס כאמור בסעיף 61(א)(3) לחוק העונשין. כמו כן, התיקון מתקן את הסעיפים שהיו קיימים בחוק ערב תיקונו לעניין אחריות נושאי משרה, כך שיחול לגביהם הנוסח המקובל בעניין זה בחקיקה העדכנית. לעניין זה נותר על כנו משטר הענישה הקיים, כך שהפרת חובת הפיקוח האמורה לגבי חלק מהעבירות המנויות בחוק דינה קנס כאמור בסעיף 61(א)(3) לחוק העונשין, ואילו לעניין הפרת חובת הפיקוח לגבי עבירות אחרות, ובכלל זה לגבי ביצוע עבירה בעת הובלת חומרים מסוכנים, יוטל על נושא המשרה קנס כאמור בסעיף 61(א)(4) לחוק העונשין (העומד כיום על סך של עד 226,000 שקלים חדשים).  </t>
  </si>
  <si>
    <t xml:space="preserve">חוק סדר הדין הפלילי (סמכויות אכיפה – נתוני תקשורת) (תיקון מס' 3), התשפ"ה–2024</t>
  </si>
  <si>
    <t xml:space="preserve"> (פ/3531/25)</t>
  </si>
  <si>
    <t xml:space="preserve"> (כ/1046)</t>
  </si>
  <si>
    <t xml:space="preserve">התיקון קובע כי חובת הדיווח לועדת החוקה, חוק ומשפט אחת לשנה, בדבר יישומו של החוק, שהייתה בתוקף כהוראת שעה עד שנת 2011, ושלא הייתה בתוקף מאז, תתחדש ותעוגן כהוראת קבע. </t>
  </si>
  <si>
    <t xml:space="preserve">חוק לתיקון ולהארכת תוקפן של תקנות שעת חירום (חרבות ברזל) (פגישה עם עורך דין של עצור בעבירת ביטחון) (תיקון מס' 4), התשפ"ה-2024</t>
  </si>
  <si>
    <t xml:space="preserve"> (מ/1797)</t>
  </si>
  <si>
    <t xml:space="preserve">החוק מאריך את תוקפן של תקנות שעת חירום, המאפשרות מניעת פגישה של עצורים ביטחוניים, הקשורים לפעולות האיבה שהתרחשו בין ה-7 באוקטובר לבין ה-13 באוקטובר 2023, או מי שנעצר במסגרת פעולות המלחמה בעזה, עם עורכי הדין שלהם. התקנות יעמדו בתוקף עד ה-15 בפברואר 2025.</t>
  </si>
  <si>
    <t xml:space="preserve">חוק לתיקון ולהארכת תוקפן של תקנות שעת חירום (חרבות ברזל) (הארכת מעצר לחשוד בעבירת ביטחון) (תיקון מס' 4), התשפ"ה-2024</t>
  </si>
  <si>
    <t xml:space="preserve"> (מ/1796)</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</si>
  <si>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ה-13 באוקטובר 2023, או מי שנעצר במסגרת פעולות המלחמה בעזה. ההארכה שנקבעה בחוק זה היא עד ליום ה-15 בפברואר 2025.</t>
  </si>
  <si>
    <t xml:space="preserve">חוק התכנון והבנייה (תיקון מס' 158), התשפ"ה-2024</t>
  </si>
  <si>
    <t xml:space="preserve"> (פ/4141/25)</t>
  </si>
  <si>
    <t xml:space="preserve">11.11.2024</t>
  </si>
  <si>
    <t xml:space="preserve">נקבע כי ייעוד קרקע למגורים יראו אותו ככולל גם בתים מאזנים (מסגרת טיפולית למתמודדי נפש), זאת בנוסף למסגרות טיפוליות שיקומיות אחרות למתמודדי נפש הכלולות כבר היום על פי חוק.  </t>
  </si>
  <si>
    <t xml:space="preserve">הצעת חוק חימוש כל אדם מכוחות הביטחון המוצב בקו עימות או סמוך אליו, התשפ"ה-2024</t>
  </si>
  <si>
    <t xml:space="preserve"> (פ/5022/25)</t>
  </si>
  <si>
    <t xml:space="preserve">הצעת חוק תשלומי פיצוי על כניסת מוצרים שאינם סיוע הומניטרי, התשפ"ה-2024 </t>
  </si>
  <si>
    <t xml:space="preserve"> (פ/5021/25)</t>
  </si>
  <si>
    <t xml:space="preserve">הצעת חוק העברת אמצעי לחימה רוסיים שנתפסו בלבנון וברשות הפלסטינית לטובת חימוש אוקראינה, התשפ"ה-2024</t>
  </si>
  <si>
    <t xml:space="preserve"> (פ/5018/25)</t>
  </si>
  <si>
    <t xml:space="preserve">הצעת חוק כלי הירייה (תיקון - חימוש אזרחים בנשק ארוך בשעת חירום), התשפ"ה-2024</t>
  </si>
  <si>
    <t xml:space="preserve"> (פ/5017/25)</t>
  </si>
  <si>
    <t xml:space="preserve"> (פ/5016/25)</t>
  </si>
  <si>
    <t xml:space="preserve"> (פ/5015/25)</t>
  </si>
  <si>
    <t xml:space="preserve">הצעת חוק הרבנות הראשית לישראל (תיקון - הגדלת הייצוג הנשי באסיפה הבוחרת), התשפ"ה-2024</t>
  </si>
  <si>
    <t xml:space="preserve"> (פ/5014/25)</t>
  </si>
  <si>
    <t xml:space="preserve">הצעת חוק התכנון והבנייה (תיקון - הקלת רגולציה במסגרת שיקום עוטף עזה ויישובי הגדר בקו העימות הצפוני), התשפ"ה-2024</t>
  </si>
  <si>
    <t xml:space="preserve"> (פ/5013/25)</t>
  </si>
  <si>
    <t xml:space="preserve">הצעת חוק איסור שיתוף פעולה עם סנקציות של מדינות זרות על אזרחי ישראל, התשפ”ה-2024</t>
  </si>
  <si>
    <t xml:space="preserve"> (פ/5012/25)</t>
  </si>
  <si>
    <t xml:space="preserve">הצעת חוק השתתפות המדינה בעלות שכר הלימוד במעון יום למשרתי מילואים וקדימות בקבלה למעון, התשפ"ה-2024</t>
  </si>
  <si>
    <t xml:space="preserve"> (פ/5009/25)</t>
  </si>
  <si>
    <t xml:space="preserve"> (פ/5008/25)</t>
  </si>
  <si>
    <t xml:space="preserve"> (פ/5007/25)</t>
  </si>
  <si>
    <t xml:space="preserve"> (פ/5005/25)</t>
  </si>
  <si>
    <t xml:space="preserve">הצעת חוק העברת מידע בין רשויות, התשפ"ה-2024</t>
  </si>
  <si>
    <t xml:space="preserve"> (פ/5004/25)</t>
  </si>
  <si>
    <t xml:space="preserve">הצעת חוק לימוד חובה (תיקון - איסור על גביית תשלומי הורים), התשפ"ה-2024</t>
  </si>
  <si>
    <t xml:space="preserve"> (פ/5003/25)</t>
  </si>
  <si>
    <t xml:space="preserve">הצעת חוק חובת המכרזים (תיקון - הגדרת קווי העימות) (הוראת שעה), התשפ"ה-2024</t>
  </si>
  <si>
    <t xml:space="preserve"> (פ/4999/25)</t>
  </si>
  <si>
    <t xml:space="preserve"> (פ/4998/25)</t>
  </si>
  <si>
    <t xml:space="preserve"> (פ/4997/25)</t>
  </si>
  <si>
    <t xml:space="preserve">הצעת חוק-יסוד: ישראל - מדינת הלאום של העם היהודי (תיקון - הוספת ערך השוויון ברוח עקרונות הכרזת העצמאות)</t>
  </si>
  <si>
    <t xml:space="preserve"> (פ/4996/25)</t>
  </si>
  <si>
    <t xml:space="preserve">הצעת חוק הביטוח הלאומי (תיקון - גמלה בשל דיכאון סב לידתי), התשפ"ה-2024</t>
  </si>
  <si>
    <t xml:space="preserve"> (פ/4994/25)</t>
  </si>
  <si>
    <t xml:space="preserve">הצעת חוק מרשם האוכלוסין (תיקון - הוספת לאום ארמי), התשפ"ה-2024 </t>
  </si>
  <si>
    <t xml:space="preserve"> (פ/4993/25)</t>
  </si>
  <si>
    <t xml:space="preserve">הצעת חוק התכנון והבנייה (תיקון - פרסום שומות היטל השבחה), התשפ"ה-2024</t>
  </si>
  <si>
    <t xml:space="preserve"> (פ/4992/25)</t>
  </si>
  <si>
    <t xml:space="preserve">הצעת חוק לתיקון פקודת מס הכנסה (מס מופחת לנושאים בנטל), התשפ"ה-2024</t>
  </si>
  <si>
    <t xml:space="preserve"> (פ/4991/25)</t>
  </si>
  <si>
    <t xml:space="preserve">הצעת חוק הבנקאות (שירות ללקוח) (תיקון - הודעה ללקוח על אודות יתרה בחשבון עובר ושב שאינה נושאת ריבית), התשפ"ה-2024</t>
  </si>
  <si>
    <t xml:space="preserve"> (פ/4990/25)</t>
  </si>
  <si>
    <t xml:space="preserve"> (פ/4988/25)</t>
  </si>
  <si>
    <t xml:space="preserve">הצעת חוק הממשלה (תיקון - חובת עריכת הסכמים בכתב), התשפ"ה-2024</t>
  </si>
  <si>
    <t xml:space="preserve"> (פ/4986/25)</t>
  </si>
  <si>
    <t xml:space="preserve"> (פ/4985/25)</t>
  </si>
  <si>
    <t xml:space="preserve">חוק גירוש משפחות מחבלים, התשפ"ה–2024</t>
  </si>
  <si>
    <t xml:space="preserve"> (פ/729/25)</t>
  </si>
  <si>
    <t xml:space="preserve"> (כ/1037)</t>
  </si>
  <si>
    <t xml:space="preserve">06.11.2024</t>
  </si>
  <si>
    <t xml:space="preserve">נקבע כי שר הפנים רשאי להורות, לאחר קיום שימוע, על גירושו של בן משפחה של מחבל, אם הוא ידע מראש על תוכניתו של בן משפחתו לבצע מעשה טרור ולא עשה את כל המאמצים הנדרשים כדי למנוע את עשייתו, אם הביע תמיכה או הזדהות עם מעשה הטרור או אם פרסם דברי שבח, אהדה או עידוד למעשה טרור או לארגון טרור. תוקף צו הגירוש לעניין אזרח ישראלי לא יפחת משבע שנים ולא יעלה על 15 שנים, ולעניין תושב קבע או ארעי - לא יפחת מעשר שנים ולא יעלה על עשרים שנים</t>
  </si>
  <si>
    <t xml:space="preserve">חוק הנוער (שפיטה, ענישה ודרכי טיפול) (תיקון מס' 25 - הוראות שעה), התשפ"ד–2024</t>
  </si>
  <si>
    <t xml:space="preserve"> (פ/3058/25)</t>
  </si>
  <si>
    <t xml:space="preserve"> (כ/1006)</t>
  </si>
  <si>
    <t xml:space="preserve">התיקון לחוק נועד לתת מענה למקרים של קטינים בני 12 עד 14 שהורשעו בעבירות הטרור החמורות ביותר – עבירות רצח בנסיבות מחמירות או ניסיון לרצח, שהן מעשה טרור או שנעשו במסגרת ארגון טרור. במקרים אלה, נקבע כי גם אם לא מלאו לקטין 14 שנים בעת מתן גזר הדין, ניתן יהיה להטיל על הקטין עונש מאסר שירוצה במאסר בהגיעו לגיל 14 וכי עד הגיעו לגיל זה הוא יוחזק במעון נעול. ההסדר נקבע כהוראת שעה לחמש שנים, עם אפשרות הארכה לתקופות נוספות של עד שנתיים בכל פעם, בצו של שר המשפטים, בהסכמת שר הרווחה ובאישור ועדת החוקה. בנוסף, נקבעה הוראת שעה לשלוש שנים, הקובעת הסדרים לגבי קטינים המרצים עונש מאסר או מעצר במעון נעול עד לגיל 14, בגין העבירות האמורות. לעניין קטין שהורשע ונגזר עליו לרצות עונש מאסר לאחר שימלאו לו 14, הממונה על המעונות רשאי לבקש להחזיקו במאסר לתקופה של עד 10 ימים. זאת, אם הקטין מסכן או פוגע באחרים, או שעלול לסכן או לפגוע באחרים באופן שאינו מאפשר לקיים את הצו במעון נעול. אם לאחר חזרתו של הקטין למעון הנעול הוא ממשיך לסכן או לפגוע כאמור, רשאי בית המשפט להמיר את הצו במאסר לתקופה שייקבע ושלא תעלה על הזמן שנותר להשלמת הצו המקורי. לעניין קטין שנאשם ומוחזק במעון נעול במעצר, נקבע כי אם בית המשפט שוכנע, לבקשת הממונה על המעונות, שהקטין מסכן או פוגע באחרים, או עלול לסכן או לפגוע באחרים באופן שלא מאפשר את קיום הצו במעון, ניתן להורות, כי הקטין ייעצר לתקופה של עד 10 ימים. אם לאחר שחזר למעון התקיימו שוב הנסיבות האמורות, רשאי בית המשפט, לקבוע כי הקטין ייעצר לתקופה שייקבע ושלא תעלה על 30 ימים. אם לאחר חזרת הקטין למעון, חזרו והתקיימו שוב אותן נסיבות, רשאי בית המשפט להורות על מעצרו של הקטין לתקופות שלא יעלו על 45 ימים כל פעם.  </t>
  </si>
  <si>
    <t xml:space="preserve">הצעת חוק שירותי הדת היהודיים (תיקון - הכרזה על בית עלמין סגור), התשפ"ד-2024</t>
  </si>
  <si>
    <t xml:space="preserve"> (פ/4819/25)</t>
  </si>
  <si>
    <t xml:space="preserve">הצעת חוק הביטוח הלאומי (תיקון - זכאות לדמי לידה עבור משרתות מילואים), התשפ"ד-2024</t>
  </si>
  <si>
    <t xml:space="preserve"> (פ/4698/25)</t>
  </si>
  <si>
    <t xml:space="preserve">הצעת חוק לייצוב מחירי מצרכים בעת חירום, התשפ"ד-2024</t>
  </si>
  <si>
    <t xml:space="preserve"> (פ/4348/25)</t>
  </si>
  <si>
    <t xml:space="preserve">הצעת חוק לימוד חובה (תיקון - עובד סוציאלי או פסיכולוג חינוכי במוסד חינוכי ביישוב סמוך גבול), התשפ"ג-2023</t>
  </si>
  <si>
    <t xml:space="preserve"> (פ/2714/25)</t>
  </si>
  <si>
    <t xml:space="preserve">הצעת חוק הנצחת זכרם של קורבנות הטבח בכפר קאסם, התשפ"ג-2022</t>
  </si>
  <si>
    <t xml:space="preserve"> (פ/277/25)</t>
  </si>
  <si>
    <t xml:space="preserve">הצעת חוק זכויות הסטודנט (תיקון - העדפה מתקנת למשרתי מילואים), התשפ"ד-2024</t>
  </si>
  <si>
    <t xml:space="preserve"> (פ/4567/25)</t>
  </si>
  <si>
    <t xml:space="preserve">05.11.2024</t>
  </si>
  <si>
    <t xml:space="preserve">הצעת חוק זכויות הסטודנט (תיקון - הקלות בתנאי קבלה ללוחמים ולמשרתי מילואים), התשפ"ד-2024</t>
  </si>
  <si>
    <t xml:space="preserve"> (פ/4405/25)</t>
  </si>
  <si>
    <t xml:space="preserve">הצעת חוק זכויות הסטודנט (תיקון - העדפה מתקנת ללוחמים), התשפ"ד-2024</t>
  </si>
  <si>
    <t xml:space="preserve"> (פ/4189/25)</t>
  </si>
  <si>
    <t xml:space="preserve">הצעת חוק זכויות הסטודנט (תיקון - העדפה מתקנת ללוחמים), התשפ"ג-2023</t>
  </si>
  <si>
    <t xml:space="preserve"> (פ/2659/25)</t>
  </si>
  <si>
    <t xml:space="preserve">חוק התכנון והבנייה (תיקון מס' 157), התשפ"ה–2024</t>
  </si>
  <si>
    <t xml:space="preserve"> (פ/109/25)</t>
  </si>
  <si>
    <t xml:space="preserve"> (כ/1057)</t>
  </si>
  <si>
    <t xml:space="preserve">נקבע בחוק מנגנון מזורז לקביעת שומת השבחה כאשר ישנה מחלוקת על גובהו של היטל השבחה בסכומים של עד 90,000 ש"ח.  במקרה כזה, יוכל החייב להגיש לוועדה בקשה לבחינה מחודשת של השומה בצירוף שומה שלו. שמאי מטעם הועדה המקומית יבחן את הפניה והוא רשאי להפחית את ההיטל ולקבוע שומה מוסכמת באישור החייב. ההחלטה תועבר לעיונו של השמאי הממשלתי הראשי שרשאי שלא לאשרה. אם לא הודיע השמאי הממשלתי על החלטתו בתקופה האמורה בהצעת החוק יראו את השומה המתוקנת מוסכמת. במידה וההליך לא עבר במנגנון מזורז ניתן יהיה לפנות למנגנוגים הקבועים כיום בחוק של ערר או שמאי מכריע.</t>
  </si>
  <si>
    <t xml:space="preserve">חוק חובת המכרזים (תיקון מס' 26), התשפ"ה–2024</t>
  </si>
  <si>
    <t xml:space="preserve"> (פ/4422/25)</t>
  </si>
  <si>
    <t xml:space="preserve"> (כ/1050)</t>
  </si>
  <si>
    <t xml:space="preserve">החוק קובע שתינתן העדפה במכרזים של המדינה ושל גופים החייבים במכרז לפי חוק חובת המכרזים לעסק זעיר, קטן או בינוני ש-50% או יותר מאמצעי השליטה בו נמצאים בהחזקתו של משרת מילואים פעיל, ששירת שירות מילואים 20 ימים לפחות במהלך 12 החודשים לפני המועד האחרון להגשת ההצעות במכרז.  במצב בו שתי הצעות או יותר קיבלו תוצאה משוקללת זהה במכרז, שהיא ההצעה הגבוהה ביותר, ואחת מהן היא של עסק בשליטת משרת מילואים פעיל – תיבחר הצעתו של משרת המילואים כהצעה הזוכה.  על משרת המילואים לצרף להצעתו הצהרה בדבר היותו משרת מילואים פעיל, שהעסק בשליטתו ושההצעה אינה של חברת בת של עסק המעסיק יותר מ-100 עובדים או שמחזור העסקאות השנתי שלו עולה על 100 מיליון שקלים חדשים. </t>
  </si>
  <si>
    <t xml:space="preserve">הצעת חוק לתיקון פקודת מס הכנסה (פטור ממס במכירת מטבעות דיגיטליים לתושבי חוץ ובהקצאת מטבעות דיגיטליים לעובדים), התשפ"ג-2023</t>
  </si>
  <si>
    <t xml:space="preserve"> (פ/3071/25)</t>
  </si>
  <si>
    <t xml:space="preserve">04.11.2024</t>
  </si>
  <si>
    <t xml:space="preserve">הצעת חוק לתיקון פקודת התעבורה (סימון מקום חניה לרכב חשמלי), התשפ"ג-2023</t>
  </si>
  <si>
    <t xml:space="preserve"> (פ/2637/25)</t>
  </si>
  <si>
    <t xml:space="preserve">חוק איסור העסקת עובדי הוראה ושלילת תקציב ממוסדות חינוך עקב הזדהות עם מעשה טרור או עם ארגון טרור (תיקוני חקיקה), התשפ"ה–2024</t>
  </si>
  <si>
    <t xml:space="preserve"> (פ/2265/25)</t>
  </si>
  <si>
    <t xml:space="preserve"> (כ/988)</t>
  </si>
  <si>
    <t xml:space="preserve">החוק מסמיך את מנכ"ל משרד החינוך לפטר בפיטורים מינהליים, עובד הוראה שהוא עובד מדינה שהורשע בעבירת ביטחון חמורה או בעבירת טרור או הזדהה עם מעשה טרור בפומבי או פרסם קריאה ישירה לביצוע מעשה טרור או דברי שבח ואהדה למעשה טרור, או במקרה שהעובד ביצע מעשה המהווה עבירת טרור כהגדרתה בחוק המאבק בטרור, למעט כמשמעותה בסעיף 24 לחוק האמור, ובלבד ששירות הביטחון הכללי או משטרת ישראל  החליטו להעביר מידע בעניין למנהל הכללי של משרד החינוך. כל זאת בכפוף לתהליך הכולל יידוע של נציב שירות המדינה ומתן אפשרות תגובה לגורמים נוספים כמו למשל ארגון עובדים וכן עריכת שימוע.  החוק מסמיך את המנכ"ל לסרב לתת אישור העסקה לעובד חינוך שאיננו מועסק על ידי המדינה, בכל הנסיבות האמורות לעיל. החוק מסמיך את שר החינוך לשלול או להפחית את ההשתתפות בתקציבו של מוסד חינוך המקבל מאוצר המדינה תמיכה או השתתפות בתקציבו, אם התקיימו במוסד החינוך גילויי תמיכה או הזדהות עם מעשה טרור או עם ארגון טרור, שהנהלת המוסד היתה צריכה לדעת עליהם, זאת בכפוף להליך שימוע. בנסיבות כאלה גם רשות החינוך המקומית לא תשתתף בתקציבו של מוסד החינוך. </t>
  </si>
  <si>
    <t xml:space="preserve"> (פ/4984/25)</t>
  </si>
  <si>
    <t xml:space="preserve">הצעת חוק בנק ישראל (תיקון - חשבון חלופי ללקוח שהוטלו עליו עיצומים כלכליים על ידי מדינה זרה או חבר מדינות זרות), התשפ"ה-2024</t>
  </si>
  <si>
    <t xml:space="preserve"> (פ/4982/25)</t>
  </si>
  <si>
    <t xml:space="preserve">הצעת חוק קליטת חיילים משוחררים (תיקון - השקעת הפיקדון הצבאי בחסכון ארוך טווח), התשפ"ה-2024</t>
  </si>
  <si>
    <t xml:space="preserve"> (פ/4980/25)</t>
  </si>
  <si>
    <t xml:space="preserve">הצעת חוק-יסוד: הממשלה (תיקון - הפסקת כהונה של ראש הממשלה או שר מחמת הגשת כתב אישום)</t>
  </si>
  <si>
    <t xml:space="preserve"> (פ/4979/25)</t>
  </si>
  <si>
    <t xml:space="preserve">הצעת חוק אסטרטגיית הביטחון הלאומי, התשפ"ה-2024</t>
  </si>
  <si>
    <t xml:space="preserve"> (פ/4978/25)</t>
  </si>
  <si>
    <t xml:space="preserve">הצעת חוק הסיוע המשפטי (תיקון - סיוע משפטי לתובע בגין הפליה), התשפ"ה-2024</t>
  </si>
  <si>
    <t xml:space="preserve"> (פ/4977/25)</t>
  </si>
  <si>
    <t xml:space="preserve">הצעת חוק יישובים ושכונות בהליכי הסדרה, התשפ"ה-2024</t>
  </si>
  <si>
    <t xml:space="preserve"> (פ/4976/25)</t>
  </si>
  <si>
    <t xml:space="preserve">הצעת חוק בתי המשפט (תיקון - פרסום פסיקה בענייני משפחה), התשפ"ה-2024</t>
  </si>
  <si>
    <t xml:space="preserve"> (פ/4974/25)</t>
  </si>
  <si>
    <t xml:space="preserve"> (פ/4973/25)</t>
  </si>
  <si>
    <t xml:space="preserve">הצעת חוק הביטוח הלאומי (תיקון - מניין הימים לעניין מבוטח בשירות מילואים בנסיבות חירום), התשפ"ה-2024 </t>
  </si>
  <si>
    <t xml:space="preserve"> (פ/4972/25)</t>
  </si>
  <si>
    <t xml:space="preserve">הצעת חוק מס ערך מוסף (תיקון - פטור ממס במכירת תרופות לזכאים לקצבת אזרח ותיק), התשפ"ה-2024</t>
  </si>
  <si>
    <t xml:space="preserve"> (פ/4971/25)</t>
  </si>
  <si>
    <t xml:space="preserve">הצעת חוק פרעות התשפ"ד, התשפ"ה-2024</t>
  </si>
  <si>
    <t xml:space="preserve"> (פ/4969/25)</t>
  </si>
  <si>
    <t xml:space="preserve">הצעת חוק לתיקון פקודת המשטרה (תוקף סמכות שוטר לתת הוראות לציבור), התשפ"ה-2024</t>
  </si>
  <si>
    <t xml:space="preserve"> (פ/4968/25)</t>
  </si>
  <si>
    <t xml:space="preserve">הצעת חוק איסור הלבנת הון (תיקון - מתן סמכות פיקוח לרשות לאיסור הלבנת הון ומימון טרור על נותני שירותים פיננסיים), התשפ"ה-2024</t>
  </si>
  <si>
    <t xml:space="preserve"> (פ/4967/25)</t>
  </si>
  <si>
    <t xml:space="preserve">הצעת חוק שירות המדינה (מינויים) (תיקון - תקופת צינון במעבר מהמגזר הפרטי לשירות המדינה), התשפ"ה-2024</t>
  </si>
  <si>
    <t xml:space="preserve"> (פ/4965/25)</t>
  </si>
  <si>
    <t xml:space="preserve">חוק לייעול האכיפה והפיקוח העירוניים ברשויות המקומיות (הוראת שעה) (תיקון מס' 13), התשפ"ה-2024</t>
  </si>
  <si>
    <t xml:space="preserve"> (מ/1798)</t>
  </si>
  <si>
    <t xml:space="preserve">30.10.2024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</si>
  <si>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13 לחוק, תוקן סעיף 23, כך שתוקפו של החוק הוארך לתקופת זמן נוספת ועד ליום י"ז בכסלו התשפ"ה (18 בדצמבר 2024). </t>
  </si>
  <si>
    <t xml:space="preserve"> (פ/4891/25)</t>
  </si>
  <si>
    <t xml:space="preserve">הצעת חוק הממשלה (תיקון - קיום מסיבת עיתונאים עיתית לגופי התקשורת בישראל), התשפ"ד-2024</t>
  </si>
  <si>
    <t xml:space="preserve"> (פ/4722/25)</t>
  </si>
  <si>
    <t xml:space="preserve">הצעת חוק סגירה מוחלטת של מעברי הגבול לרצועת עזה (תיקוני חקיקה), התשפ"ד-2024 </t>
  </si>
  <si>
    <t xml:space="preserve"> (פ/4706/25)</t>
  </si>
  <si>
    <t xml:space="preserve">הצעת חוק העונשין (תיקון - נשק לפגיעה המונית), התשפ"ד-2024</t>
  </si>
  <si>
    <t xml:space="preserve"> (פ/4531/25)</t>
  </si>
  <si>
    <t xml:space="preserve">הצעת חוק שנת שירות, התשפ"ד-2024</t>
  </si>
  <si>
    <t xml:space="preserve"> (פ/4509/25)</t>
  </si>
  <si>
    <t xml:space="preserve">הצעת חוק כליאתם של לוחמים בלתי חוקיים (תיקון - החלפת המונח לוחמים בלתי חוקיים), התשפ"ד-2024 </t>
  </si>
  <si>
    <t xml:space="preserve"> (פ/4378/25)</t>
  </si>
  <si>
    <t xml:space="preserve">הצעת חוק הפיקוח על מעונות יום לפעוטות (תיקון - חובת מרחב מוגן כתנאי לרישיון), התשפ"ד-2024 </t>
  </si>
  <si>
    <t xml:space="preserve"> (פ/4273/25)</t>
  </si>
  <si>
    <t xml:space="preserve">הצעת חוק הגנת הצרכן (תיקון - מענה אנושי בשירות טלפוני לאזרח ותיק), התשפ"ג-2023</t>
  </si>
  <si>
    <t xml:space="preserve"> (פ/2932/25)</t>
  </si>
  <si>
    <t xml:space="preserve">חוק-יסוד: ירושלים בירת ישראל (תיקון מס' 3) </t>
  </si>
  <si>
    <t xml:space="preserve"> (פ/2437/25)</t>
  </si>
  <si>
    <t xml:space="preserve"> (כ/1043)</t>
  </si>
  <si>
    <t xml:space="preserve">29.10.2024</t>
  </si>
  <si>
    <t xml:space="preserve">התיקון לחוק היסוד קובע כי לא יוקמו בירושלים נציגויות רשמיות של מדינות זרות, אלא אם הן נציגויות דיפלומטיות המאומנות למדינת ישראל, כלומר, שגרירויות. כמו כן, נקבע כי מדינת ישראל תעודד הקמת נציגויות דיפלומטיות (שגרירויות) המאומנות למדינת ישראל בתחומי ירושלים בירת ישראל.</t>
  </si>
  <si>
    <t xml:space="preserve">חוק הסיוע המשפטי (תיקון מס' 27 – הוראת שעה), התשפ"ה–2024</t>
  </si>
  <si>
    <t xml:space="preserve"> (מ/1639)</t>
  </si>
  <si>
    <t xml:space="preserve">החוק קובע הוראת שעה לפיה למשך שלוש שנים, לשכות הסיוע המשפטי במשרד המשפטים יתנו סיוע משפטי בתביעות לפי חוק איסור הפליה במוצרים, בשירותים ובכניסה למקומות בידור ולמקומות ציבוריים, התשס"א–2000, ללא בדיקת זכאות כלכלית.</t>
  </si>
  <si>
    <t xml:space="preserve">הצעת חוק החברות הממשלתיות (תיקון - חובת תרומת מזון עודף), התשפ"ג-2023</t>
  </si>
  <si>
    <t xml:space="preserve"> (פ/2793/25)</t>
  </si>
  <si>
    <t xml:space="preserve">28.10.2024</t>
  </si>
  <si>
    <t xml:space="preserve">הצעת חוק שירות המדינה (מינויים) (תיקון - עדיפות למשרת מילואים פעיל), התשפ"ד-2024</t>
  </si>
  <si>
    <t xml:space="preserve"> (פ/4447/25)</t>
  </si>
  <si>
    <t xml:space="preserve"> (פ/4327/25)</t>
  </si>
  <si>
    <t xml:space="preserve">חוק הסכמים קיבוציים (תיקון מס' 11 – הוראת שעה – חרבות ברזל) (הוראות מיוחדות לעניין הרחבת הסכם קיבוצי כללי שנעשה בשל פעולות האיבה או פעולות המלחמה) (תיקון), התשפ"ד-2024</t>
  </si>
  <si>
    <t xml:space="preserve"> (מ/1787)</t>
  </si>
  <si>
    <t xml:space="preserve">הוארך תוקפן של הוראות השעה בחוק הסכמים קיבוציים שמקצרות את המועדים ומפשטות את ההליכים למתן צו הרחבה להסכם קיבוצי כללי, שלגביו שר העבודה ציין כי העניינים בו נובעים בעיקרם ממלחמת חרבות ברזל, ושוכנע שיש דחיפות בהרחבתו. הוראות אלו יחולו ברציפות עד תום שלושה חודשים מסיום התוקף של ההכרזה על מצב מיוחד בעורף שהוכרזה בתחילת המלחמה. </t>
  </si>
  <si>
    <t xml:space="preserve">חוק להפסקת פעילות אונר"א, התשפ"ה-2024</t>
  </si>
  <si>
    <t xml:space="preserve"> (פ/4323/25)</t>
  </si>
  <si>
    <t xml:space="preserve"> (כ/1044)</t>
  </si>
  <si>
    <t xml:space="preserve">במרוצת השנים התגלו אי סדרים שונים בפעילותה של אונר"א, ונמצאו הוכחות ישירות למעורבות שלה ושל עובדיה בפעילות טרור נגד ישראל, לרבות באמצעות מערכת החינוך של אונר"א המסיטה להסתה, שנאה ואלימות נגד ישראל ובכלל זה השתתפות עובדי אונר"א במתקפת הטרור שהחלה ביום כ״ב בתשרי התשפ״ד (7 באוקטובר 2023). לאור זאת, נחקקו שני חוקים העוסקים באופנים שונים בהפסקת פעילות סוכנות אונר"א. הראשון – חוק להפסקת פעילות אונר"א, התשפ"ה–2024, והשני – חוק להפסקת פעילות אונר"א בשטח מדינת ישראל, התשפ"ה–2024. במסגרת החוק הראשון, נקבע כי הזמנת אונר"א בהסתמך על חילופי האיגרות בין ישראל ובין אונר"א משנת 1967 תפקע, וכי שר החוץ יודיע על כך לאומות המאוחדות בתוך שבעה ימים מיום קבלתו של חוק זה בכנסת. עוד נקבע כי רשות מרשויות המדינה, לרבות גופים ואנשים הממלאים תפקידים ציבוריים על פי דין, לא יקיימו כל מגע עם אונר"א או עם מי מטעמה; וכי הוראות החוק לא ייתרו כל הליך פלילי נגד עובדי אונר"א ובפרט הליך כאמור בשל אירועי 7 באוקטובר 2023 ומלחמת חרבות ברזל.  בנוסף, נקבעו הוראות דיווח לכנסת ותחילה מאוחרת של הוראות החוק, תוך החרגת ההוראה בדבר פקיעת חילופי האגרות שתכנס לתוקף ביום ה' בתשרי התשפ"ה (7 באוקטובר 2024) או ביום הפרסום של החוק, לפי המאוחר. </t>
  </si>
  <si>
    <t xml:space="preserve">חוק להפסקת פעילות אונר"א בשטח מדינת ישראל, התשפ"ה-2024</t>
  </si>
  <si>
    <t xml:space="preserve"> (פ/1416/25)</t>
  </si>
  <si>
    <t xml:space="preserve">במרוצת השנים התגלו אי סדרים שונים בפעילותה של אונר"א ונמצאו הוכחות ישירות למעורבות שלה ושל עובדיה בפעילות טרור נגד ישראל, לרבות באמצעות מערכת החינוך של אונר"א המסיטה להסתה, שנאה ואלימות נגד ישראל ובכלל זה השתתפות עובדי אונר"א במתקפת הטרור שהחלה ביום כ״ב בתשרי התשפ״ד (7 באוקטובר 2023). לאור זאת, נחקקו שני חוקים העוסקים באופנים שונים בהפסקת פעילות סוכנות אונר"א. הראשון – חוק להפסקת פעילות אונר"א, התשפ"ה–2024, והשני – חוק להפסקת פעילות אונר"א בשטח מדינת ישראל, התשפ"ה–2024. במסגרת החוק האחרון, נקבע כי אונר"א לא תפעיל כל נציגות, לא תספק כל שירות ולא תקיים כל פעילות, במישרין או בעקיפין, בשטחה הריבוני של מדינת ישראל. בנוסף, נקבע כי תחילתו של חוק זה יהיה שלושה חודשים מיום פרסומו, וחובת דיווח של ראש המטה לביטחון לאומי או נציגו לוועדת החוץ והביטחון של הכנסת, אחת לשישה חודשים, ובשנה הראשונה מיום תחילתו של חוק זה – אחת לחודשיים, בנוגע ליישום הוראות חוק זה.  </t>
  </si>
  <si>
    <t xml:space="preserve">הצעת חוק יום לציון המאבק בגזענות, התשפ"ה-2024</t>
  </si>
  <si>
    <t xml:space="preserve"> (פ/4963/25)</t>
  </si>
  <si>
    <t xml:space="preserve">הצעת חוק העונשין (תיקון – נשיאת מאסר במשמורת בקהילה), התשפ"ה–2024</t>
  </si>
  <si>
    <t xml:space="preserve"> (פ/4962/25)</t>
  </si>
  <si>
    <t xml:space="preserve">הצעת חוק מס ערך מוסף (תיקון - תשלום המס במתן שירותי כוח אדם ועבודות בנייה), התשפ"ה-2024</t>
  </si>
  <si>
    <t xml:space="preserve"> (פ/4961/25)</t>
  </si>
  <si>
    <t xml:space="preserve">הצעת חוק כינון בית משפט צבאי מיוחד לשיפוט פשעים נגד העם היהודי, אזרחי ישראל ותושביה, התשפ"ה-2024</t>
  </si>
  <si>
    <t xml:space="preserve"> (פ/4959/25)</t>
  </si>
  <si>
    <t xml:space="preserve">הצעת חוק לקידום תשתיות לאומיות (תיקון - תחולה באזור), התשפ"ה-2024 </t>
  </si>
  <si>
    <t xml:space="preserve"> (פ/4958/25)</t>
  </si>
  <si>
    <t xml:space="preserve"> (פ/4956/25)</t>
  </si>
  <si>
    <t xml:space="preserve">הצעת חוק ביטוח בריאות ממלכתי (תיקון - הוספת מכשירי ניידות ממונעים לתוספת השנייה), התשפ"ה-2024</t>
  </si>
  <si>
    <t xml:space="preserve"> (פ/4954/25)</t>
  </si>
  <si>
    <t xml:space="preserve">הצעת חוק משפחות חיילים שנספו במערכה (תגמולים ושיקום) (הוראת שעה - חרבות ברזל) (תיקון - הכרה במי שנספה בפגיעת איבה כחייל שנספה במערכה), התשפ"ה-2024</t>
  </si>
  <si>
    <t xml:space="preserve"> (פ/4953/25)</t>
  </si>
  <si>
    <t xml:space="preserve"> (פ/4952/25)</t>
  </si>
  <si>
    <t xml:space="preserve"> (פ/4951/25)</t>
  </si>
  <si>
    <t xml:space="preserve">הצעת חוק סדר הדין הפלילי (תיקון - הגשת קובלנה בעבירות הקשורות לסדר הציבורי), התשפ״ה-2024 </t>
  </si>
  <si>
    <t xml:space="preserve"> (פ/4950/25)</t>
  </si>
  <si>
    <t xml:space="preserve">הצעת חוק שיקום שכונות דרום תל-אביב (תמריצים לפיזור גיאוגרפי של מסתננים) (הוראת שעה), התשפ"ה-2024</t>
  </si>
  <si>
    <t xml:space="preserve"> (פ/4949/25)</t>
  </si>
  <si>
    <t xml:space="preserve">הצעת חוק לתיקון פקודת העיריות (קביעת שירותי תחבורה ציבורית בתחומי הרשות המקומית), התשפ"ה-2024</t>
  </si>
  <si>
    <t xml:space="preserve"> (פ/4948/25)</t>
  </si>
  <si>
    <t xml:space="preserve">הצעת חוק אומנה לילדים (תיקון - הזכות לחינוך לילדים בהשמה חוץ-ביתית), התשפ"ה-2024</t>
  </si>
  <si>
    <t xml:space="preserve"> (פ/4946/25)</t>
  </si>
  <si>
    <t xml:space="preserve">הצעת חוק הרבנות הראשית לישראל (תיקון - כשירות רב ראשי והרכב האסיפה הבוחרת), התשפ"ה-2024</t>
  </si>
  <si>
    <t xml:space="preserve"> (פ/4945/25)</t>
  </si>
  <si>
    <t xml:space="preserve">הצעת חוק התכנון והבנייה (תיקון - הארכת הסמכות של ועדות מקומיות בגליל ובנגב), התשפ"ה-2024</t>
  </si>
  <si>
    <t xml:space="preserve"> (פ/4944/25)</t>
  </si>
  <si>
    <t xml:space="preserve">הצעת חוק התכנון והבנייה (תיקון מס' 116) (תיקון - ביטול החוק), התשפ"ה-2024</t>
  </si>
  <si>
    <t xml:space="preserve"> (פ/4943/25)</t>
  </si>
  <si>
    <t xml:space="preserve">הצעת חוק הביטוח הלאומי (תיקון - מועדי תשלום דמי לידה), התשפ"ה-2024</t>
  </si>
  <si>
    <t xml:space="preserve"> (פ/4942/25)</t>
  </si>
  <si>
    <t xml:space="preserve">הצעת חוק רישוי עסקים (תיקון - פטור מרישוי עסק לקייטנה לתנועות ולארגוני נוער), התשפ"ה-2024 </t>
  </si>
  <si>
    <t xml:space="preserve"> (פ/4941/25)</t>
  </si>
  <si>
    <t xml:space="preserve">הצעת חוק-יסוד: השפיטה (תיקון - זכות עמידה בבית המשפט הגבוה לצדק)</t>
  </si>
  <si>
    <t xml:space="preserve"> (פ/4938/25)</t>
  </si>
  <si>
    <t xml:space="preserve">הצעת חוק לעשיית דין במחבלי החמאס ובעוזריהם, התשפ"ה-2024</t>
  </si>
  <si>
    <t xml:space="preserve"> (פ/4937/25)</t>
  </si>
  <si>
    <t xml:space="preserve">הצעת חוק כלי הירייה (תיקון - איסור השתתפות בהתארגנות חמושה אסורה), התשפ"ה-2024</t>
  </si>
  <si>
    <t xml:space="preserve"> (פ/4935/25)</t>
  </si>
  <si>
    <t xml:space="preserve">הצעת חוק המרכז לזכר אירועי 7 באוקטובר ומלחמת חרבות ברזל, התשפ"ה-2024</t>
  </si>
  <si>
    <t xml:space="preserve"> (פ/4934/25)</t>
  </si>
  <si>
    <t xml:space="preserve">הצעת חוק הבנקאות (שירות ללקוח) (תיקון - איסור על תפעול הנפקה והסכמי הפצת כרטיסי אשראי), התשפ"ה-2024</t>
  </si>
  <si>
    <t xml:space="preserve"> (פ/4933/25)</t>
  </si>
  <si>
    <t xml:space="preserve">הצעת חוק הפיקוח על שירותים פיננסיים (קופות גמל) (תיקון - הגדלת הסכום המרבי להפקדה בקופות גמל להשקעה), התשפ"ה-2024</t>
  </si>
  <si>
    <t xml:space="preserve"> (פ/4932/25)</t>
  </si>
  <si>
    <t xml:space="preserve">הצעת חוק לתיקון פקודת התעבורה (חניית נשים בהריון והורה לתינוק), התשפ"ה-2024</t>
  </si>
  <si>
    <t xml:space="preserve"> (פ/4930/25)</t>
  </si>
  <si>
    <t xml:space="preserve">הצעת חוק בתי דין רבניים (קיום פסקי דין של גירושין) (תיקון - שלילת זכאות לסיוע משפטי לסרבני גט), התשפ"ה-2024 </t>
  </si>
  <si>
    <t xml:space="preserve"> (פ/4929/25)</t>
  </si>
  <si>
    <t xml:space="preserve">הצעת חוק אשראי הוגן (תיקון - ריבית מקסימלית על הלוואה), התשפ"ה-2024</t>
  </si>
  <si>
    <t xml:space="preserve"> (פ/4926/25)</t>
  </si>
  <si>
    <t xml:space="preserve"> (פ/4925/25)</t>
  </si>
  <si>
    <t xml:space="preserve">הצעת חוק בתי המשפט (תיקון - רוב מיוחד לבחירת נשיא בית המשפט העליון), התשפ"ה-2024</t>
  </si>
  <si>
    <t xml:space="preserve"> (פ/4924/25)</t>
  </si>
  <si>
    <t xml:space="preserve">הצעת חוק התגמולים לנפגעי פעולות איבה (תיקון - זכויות למי שמתגורר אצלו יתום ששני הוריו נפטרו כתוצאה מפעולות איבה) (הוראת שעה), התשפ"ה-2024</t>
  </si>
  <si>
    <t xml:space="preserve"> (פ/4923/25)</t>
  </si>
  <si>
    <t xml:space="preserve">הצעת חוק האזרחות (תיקון - אזרחות לבן משפחה של חלל), התשפ"ה-2024</t>
  </si>
  <si>
    <t xml:space="preserve"> (פ/4922/25)</t>
  </si>
  <si>
    <t xml:space="preserve">הצעת חוק משפחות חיילים שנספו במערכה (תגמולים ושיקום) (תיקון - סיוע בתשלום ביטוח רכב ואגרת רישיון לשכול), התשפ"ה-2024</t>
  </si>
  <si>
    <t xml:space="preserve"> (פ/4920/25)</t>
  </si>
  <si>
    <t xml:space="preserve">הצעת חוק הרבנות הראשית לישראל (תיקון - מינוי רבנים שהוסמכו לרבנות על ידי מועצת הרבנות הראשית לישראל), התשפ"ה-2024</t>
  </si>
  <si>
    <t xml:space="preserve"> (פ/4919/25)</t>
  </si>
  <si>
    <t xml:space="preserve">הצעת חוק התפזרות הכנסת העשרים וחמש, התשפ"ה-2024</t>
  </si>
  <si>
    <t xml:space="preserve"> (פ/4918/25)</t>
  </si>
  <si>
    <t xml:space="preserve">הצעת חוק משפחות חיילים שנספו במערכה (תגמולים ושיקום) (תיקון - תוספת תגמול להורים שכולים בגיל 60), התשפ"ה-2024</t>
  </si>
  <si>
    <t xml:space="preserve"> (פ/4917/25)</t>
  </si>
  <si>
    <t xml:space="preserve">הצעת חוק חסינות מפני אחריות פלילית בגין אירועי 7 באוקטובר, התשפ"ה-2024</t>
  </si>
  <si>
    <t xml:space="preserve"> (פ/4916/25)</t>
  </si>
  <si>
    <t xml:space="preserve">הצעת חוק האזרחים הוותיקים (תיקון - הנחה בארנונה), התשפ"ה-2024</t>
  </si>
  <si>
    <t xml:space="preserve"> (פ/4915/25)</t>
  </si>
  <si>
    <t xml:space="preserve">הצעת חוק עיקול מידתי של נכסים המוחזקים בידי צד שלישי (תיקוני חקיקה), התשפ"ה-2024</t>
  </si>
  <si>
    <t xml:space="preserve"> (פ/4913/25)</t>
  </si>
  <si>
    <t xml:space="preserve">הצעת חוק-יסוד: ישראל - מדינת הלאום של העם היהודי (תיקון - הוספת עקרון השוויון בפני החוק ועיגון מעמדה של מגילת העצמאות)</t>
  </si>
  <si>
    <t xml:space="preserve"> (פ/4912/25)</t>
  </si>
  <si>
    <t xml:space="preserve">הצעת חוק-יסוד: השפיטה (תיקון - הגבלת ערעורים של המדינה על פסקי דין פליליים)</t>
  </si>
  <si>
    <t xml:space="preserve"> (פ/4911/25)</t>
  </si>
  <si>
    <t xml:space="preserve">הצעת חוק שירות ביטחון (תיקון - הסדרי פטור משירות), התשפ"ה-2024</t>
  </si>
  <si>
    <t xml:space="preserve"> (פ/4910/25)</t>
  </si>
  <si>
    <t xml:space="preserve">הצעת חוק כליאתם של לוחמים בלתי חוקיים (תיקון - החלפת המונח לוחמים בלתי חוקיים), התשפ"ה-2024 </t>
  </si>
  <si>
    <t xml:space="preserve"> (פ/4909/25)</t>
  </si>
  <si>
    <t xml:space="preserve">הצעת חוק ההתנתקות והפיצויים לנפגעיה (תיקון - נוכחות וחופש תנועה לישראלים בחבל עזה), התשפ"ה-2024</t>
  </si>
  <si>
    <t xml:space="preserve"> (פ/4908/25)</t>
  </si>
  <si>
    <t xml:space="preserve">הצעת חוק הגנת הצרכן (תיקון - חובת הצגת מחיר מומלץ של ירקות), התשפ"ה-2024</t>
  </si>
  <si>
    <t xml:space="preserve"> (פ/4907/25)</t>
  </si>
  <si>
    <t xml:space="preserve">הצעת חוק הביטוח הלאומי (תיקון - ביטוח שאירים לאלמן), התשפ"ה-2024</t>
  </si>
  <si>
    <t xml:space="preserve"> (פ/4906/25)</t>
  </si>
  <si>
    <t xml:space="preserve">הצעת חוק שירות הציבור (הגבלות לאחר פרישה) (תיקון - תקופת צינון לעובד ציבור ברשויות פיננסיות), התשפ"ה-2024</t>
  </si>
  <si>
    <t xml:space="preserve"> (פ/4903/25)</t>
  </si>
  <si>
    <t xml:space="preserve"> (פ/4902/25)</t>
  </si>
  <si>
    <t xml:space="preserve"> (פ/4899/25)</t>
  </si>
  <si>
    <t xml:space="preserve">הצעת חוק להקמת פקולטה בין-לאומית ללימודי רפואה בעיר אילת, התשפ"ה-2024 </t>
  </si>
  <si>
    <t xml:space="preserve"> (פ/4898/25)</t>
  </si>
  <si>
    <t xml:space="preserve">הצעת חוק עיטור הפציעה הקרבית, התשפ"ה-2024</t>
  </si>
  <si>
    <t xml:space="preserve"> (פ/4897/25)</t>
  </si>
  <si>
    <t xml:space="preserve">הצעת חוק לתיקון פקודת מס הכנסה (הגדלת מספר התושבים ביישוב מוטב), התשפ"ה-2024</t>
  </si>
  <si>
    <t xml:space="preserve"> (פ/4896/25)</t>
  </si>
  <si>
    <t xml:space="preserve">הצעת חוק משפחות חיילים שנספו במערכה (תגמולים ושיקום) (תיקון - הגדלת הטבות להנצחה), התשפ"ה-2024</t>
  </si>
  <si>
    <t xml:space="preserve"> (פ/4895/25)</t>
  </si>
  <si>
    <t xml:space="preserve">הצעת חוק עידוד תרומות מזון (תיקון - הצלת מזון), התשפ"ה-2024</t>
  </si>
  <si>
    <t xml:space="preserve"> (פ/4894/25)</t>
  </si>
  <si>
    <t xml:space="preserve">חוק הגנה על עובדים בשעת חירום (תיקון מס' 5 והוראת שעה - חרבות ברזל) (תיקון מס' 2), התשפ"ד-2024</t>
  </si>
  <si>
    <t xml:space="preserve"> (מ/1793)</t>
  </si>
  <si>
    <t xml:space="preserve">30.09.2024</t>
  </si>
  <si>
    <t xml:space="preserve">תוקף הוראת השעה בחוק הגנה על עובדים בשעת חירום (תיקון מס' 5 והוראת שעה – חרבות ברזל) מוארך עד יום ט' בשבט התשפ"ה (7 בפברואר 2025), וסמכות השר להאריך את תוקף הוראת השעה מעבר לכך מבוטלת. הוראת השעה כאמור קובעת הגנות מפני פיטורים לגבי עובדים שהם מפונים, עובדים שהם חטופים או שהם בני משפחה של חטוף או נעדר, ועובדים שהם בני זוג של חיילים בסדיר או בקבע או בני זוג של מי שמנויים בסעיף 11 לחוק.</t>
  </si>
  <si>
    <t xml:space="preserve">הצעת חוק להפסקת יחסי מדינת ישראל עם סוכנות הסעד והתעסוקה של האו"ם לפליטי פלסטין במזרח הקרוב (אונר"א) והכרזה עליה כארגון טרור, התשפ"ד-2024</t>
  </si>
  <si>
    <t xml:space="preserve"> (פ/4332/25)</t>
  </si>
  <si>
    <t xml:space="preserve">29.09.2024</t>
  </si>
  <si>
    <t xml:space="preserve">חוק הרבנות הראשית לישראל (הארכת כהונה של הרבנים הראשיים לישראל ושל חברי מועצת הרבנות הראשית לישראל והוראות נוספות) (הוראת שעה) (תיקון מס' 2), התשפ"ד-2024</t>
  </si>
  <si>
    <t xml:space="preserve"> (מ/1789)</t>
  </si>
  <si>
    <t xml:space="preserve">הוארך תוקפו של חוק הרבנות הראשית לישראל (הארכת כהונה של הרבנים הראשיים לישראל ושל חברי מועצת הרבנות הראשית לישראל והוראות נוספות( (הוראת שעה), התשפ"ג–2023, עד לתאריך 28 בפברואר 2025, במקום 15 בספטמבר 2024.</t>
  </si>
  <si>
    <t xml:space="preserve">חוק תקציב נוסף לשנת הכספים 2024 (מס' 2), התשפ"ד-2024</t>
  </si>
  <si>
    <t xml:space="preserve"> (מ/1792)</t>
  </si>
  <si>
    <t xml:space="preserve">מוצע לקבוע כי תקציב ההוצאה לשנת הכספים 2024 יעמוד על 727,405,079,000 שקלים חדשים המורכב מתקציב רגיל בסך 524,522,771,000 שקלים חדשים ומתקציב פיתוח וחשבון הון בסך 202,882,308,000 שקלים חדשים.</t>
  </si>
  <si>
    <t xml:space="preserve">חוק הפחתת הגירעון והגבלת ההוצאה התקציבית (תיקון מס' 26), התשפ"ד-2024</t>
  </si>
  <si>
    <t xml:space="preserve"> (מ/1791)</t>
  </si>
  <si>
    <t xml:space="preserve">מוצע לתקן את חוק הפחתת הגירעון והגבלת ההוצאה התקציבית התשנ"ב-1992, ולהגדיל את ההוצאה הממשלתית בשנת 2024 בסכום של 3,357 מיליארד שקלים חדשים לצורך מימון ההוצאות הדרושות לצרכים אזרחיים הנובעים ממלחמת חרבות ברזל.</t>
  </si>
  <si>
    <t xml:space="preserve">הצעת חוק זיכרון אירועי הטרור של כ"ב בתשרי (ה-7 באוקטובר) ומלחמת חרבות ברזל, התשפ"ד-2024</t>
  </si>
  <si>
    <t xml:space="preserve"> (פ/4597/25)</t>
  </si>
  <si>
    <t xml:space="preserve">25.09.2024</t>
  </si>
  <si>
    <t xml:space="preserve"> (פ/4596/25)</t>
  </si>
  <si>
    <t xml:space="preserve"> (פ/4570/25)</t>
  </si>
  <si>
    <t xml:space="preserve">הצעת חוק זיכרון טבח ה-7 באוקטובר - יד עוטף ישראל, התשפ"ד-2023</t>
  </si>
  <si>
    <t xml:space="preserve"> (פ/4096/25)</t>
  </si>
  <si>
    <t xml:space="preserve">הצעת חוק הסיוע המשפטי (תיקון - סיוע משפטי לתובע בהליך אזרחי), התשפ"ג-2023</t>
  </si>
  <si>
    <t xml:space="preserve"> (פ/3095/25)</t>
  </si>
  <si>
    <t xml:space="preserve">23.09.2024</t>
  </si>
  <si>
    <t xml:space="preserve">הצעת חוק התכנון והבנייה (תיקון - הכללת בתים מאזנים בהיתר מגורים לחוסים), התשפ"ד-2024</t>
  </si>
  <si>
    <t xml:space="preserve"> (פ/4192/25)</t>
  </si>
  <si>
    <t xml:space="preserve">17.09.2024</t>
  </si>
  <si>
    <t xml:space="preserve">הצעת חוק לתיקון פקודת מס הכנסה (מס' 274), התשפ"ד-2024</t>
  </si>
  <si>
    <t xml:space="preserve"> (מ/1788)</t>
  </si>
  <si>
    <t xml:space="preserve">16.09.2024</t>
  </si>
  <si>
    <t xml:space="preserve">חוק החברות (תיקון מס' 37), התשפ"ד-2024</t>
  </si>
  <si>
    <t xml:space="preserve"> (מ/1719)</t>
  </si>
  <si>
    <t xml:space="preserve">09.09.2024</t>
  </si>
  <si>
    <t xml:space="preserve">בחוק נעשו מספר תיקונים לחוק החברות שנועדו לטייב את הרגולציה ולשפר את מהימנות המרשמים. התיקון המרכזי עניינו בהוספת הסדר המסמיך את רשם החברות למחוק חברות לא פעילות ממרשמי הרשם. התיקון כולל שורה של תיקונים נוספים, ובהם: ביטול החובה על חברת חוץ להגיש תרגום לעברית של מסמכי ההתאגדות שלה אם המסמכים הוגשו באנגלית, קיצור פרק הזמן להגשת תביעת חוב בהליך פירוק מרצון ל-90 ימים, הקלה בבקשה לרישום עמותה כך שלא יידרש לצרף לה תצהיר של המייסדים החתום בידי עורך דין וניתן יהיה להסתפק באימות דיגיטלי, והוראה בעניין עדכון סכומים במנגנון העדכון הקבוע לעניין הגדרת חברה או עמותה לא פעילה שרשאית לא למנות רואה חשבון מבקר.</t>
  </si>
  <si>
    <t xml:space="preserve">חוק לתיקון פקודת בריאות העם (מס' 43), התשפ"ד–2024</t>
  </si>
  <si>
    <t xml:space="preserve"> (פ/4088/25)</t>
  </si>
  <si>
    <t xml:space="preserve"> (כ/1051)</t>
  </si>
  <si>
    <t xml:space="preserve">בתיקון זה לפקודת בריאות העם נקבע כי שר הבריאות יקים מאגר חיסונים לאומי ממוחשב, שיכלול מידע לגבי חיסונים שניתנו על ידי גורמים מחסנים, ביניהם משרד הבריאות, קופות החולים, בתי חולים ומרפאות וארגונים הנותנים שירותי רפואת חירום. שר הבריאות מוסמך לפי חוק זה לקבוע גורמים מחסנים נוספים, בכפוף לאישור ועדת הבריאות של הכנסת.  השימוש במאגר החיסונים יוגבל למטרות הקבועות בחוק בלבד, ביניהן מתן טיפול רפואי, הצגת מידע לאדם בדבר החיסונים שקיבל, פנייה יזומה מטעם משרד הבריאות לאדם למתן חיסון או לטיפול מונע כנגד מחלה מידבקת, לשם מניעת התפשטות של המחלה, ולשם מעקב אחר שיעור הכיסוי החיסוני באוכלוסייה. כמו כן, נקבע כי על הגורמים המחסנים לדווח למשרד הבריאות, לגבי אדם שהם נתנו לו חיסון, את הפרטים הקבועים בחוק בסמוך ככל האפשר למועד מתן החיסון ולא יאוחר מ- 72 שעות ממועד מתן החיסון. שר הבריאות, בהסכמת שר המשפטים ובאישור ועדת הבריאות של הכנסת, רשאי לקבוע פרטים נוספים שעל הגורמים המחסנים לדווח עליהם. העברת המידע תיעשה כמפורט בחוק באמצעות ממשק ייעודי ומאובטח, עם זאת מנכ"ל משרד הבריאות יהיה מוסמך להורות, מטעמים מיוחדים שיירשמו, על דיווח בדרך מאובטחת אחרת או על פטור מחובת הדיווח לגורם מחסן מסוים. משרד הבריאות יאפשר למתחסן לצפות באופן דיגיטלי בחיסונים שקיבל באמצעות הגורמים המחסנים, וקופות החולים יציגו את הנתונים הללו באזור האישי של המבוטח באתר האינטרנט של הקופה, בהתאם למידע שיועבר אל קופת החולים ממשרד הבריאות. משרד הבריאות יחויב בהעברת מידע מהמאגר למקבל מידע על פי הסכמת המטופל, בהתאם לחוק ניוד מידע רפואי, התשפ"ד-2024. לעניין אבטחת המידע שבמאגר, מנכ"ל משרד הבריאות ייקבע בנוהל הוראות הדרושות לשם אבטחת המידע הכלול במאגר והנמסר ממנו. המערכת הטכנולוגית שתשמש את המאגר תמזער, ככל האפשר, את הסיכון לפגיעה בפרטיות של מי שיש לגביו מידע במאגר, תוך בחינת חלופות טכנולוגיות מקובלות מזמן לזמן.  אי-דיווח של גורם מחסן למשרד הבריאות לגבי אדם שקיבל חיסון על ידו בניגוד להוראות החוק, יהיה עבירה פלילית.  תחילתו של חוק זה היא שישה חודשים מיום פרסומו, וחובת הדיווח החלה על הגורמים המחסנים, כמו גם העבירה הפלילית הכרוכה בהפרתה, תחול לגבי חיסון שניתן ביום התחילה או לאחריו. על הגורמים המחסנים להעביר את הפרטים הקיימים ברשותם גם לגבי חיסונים שניתנו לפי יום התחילה, אך אי קיום הוראה זו לא יהיה עבירה פלילית.  </t>
  </si>
  <si>
    <t xml:space="preserve">חוק ההוצאה לפועל (תיקון מס' 77), התשפ"ד-2024 </t>
  </si>
  <si>
    <t xml:space="preserve"> (מ/1769)</t>
  </si>
  <si>
    <t xml:space="preserve">החוק כולל מספר תיקונים לחוק ההוצאה לפועל, התשפ"ד–2024. בין התיקונים, הגבלת שכר טרחת עורך הדין בתיקי הוצאה לפועל בחובות שסכומם נמוך מ-4,500 שקלים, כך שיעמוד על סכום של 244 שקלים או עד 10 אחוזים מהחוב, לפי הגבוה מביניהם. סכום שכר הטרחה יעודכן בתחילת כל שנה בהתאם למדד המחירים לצרכן. כמו כן, החוק מפריד בין התנאים לעיקול מיטלטלין מעסק, לרבות עסק הפועל בבית החייב, ובין התנאים לעיקול מיטלטלין מביתו של החייב שלא מנוהל בו עסק. בנוסף, קובע החוק כי הסמכות להורות על עיקול ברישום של מיטלטלין מבית החייב תהיה נתונה להחלטת הרשם, שיוכל להפעילה במקרים שבהם מתקיימות הנסיבות הנדרשות כגון חלוף שישה חודשים מיום המצאת האזהרה לחייב ומיצוי ההליכים האחרים לגביית החוב. כמו כן, יוכל הרשם להורות על הוצאות המיטלטלין מבית מגורי החייב, אם שוכנע בתועלת הכלכלית הצפויה ממכירת המיטלטלין ולאחר ששקל את קיומן של נסיבות מיוחדות המצדיקות את אי-עיקולו, כגון הפגיעה בחייב ובבני ביתו. בנוסף, קובע החוק כי מחשבים אישיים וטלפונים ניידים המשמשים את החייב ובני ביתו יוגדרו כנכסים שאינם ברי עיקול.</t>
  </si>
  <si>
    <t xml:space="preserve">הצעת חוק שירות לאומי-אזרחי (תיקון מס' 4), התשפ"ב-2021 </t>
  </si>
  <si>
    <t xml:space="preserve"> (מ/1489)</t>
  </si>
  <si>
    <t xml:space="preserve">02.09.2024</t>
  </si>
  <si>
    <t xml:space="preserve">הצעת חוק לתיקון פקודת התעבורה (מס' 136), התשפ"ד-2024</t>
  </si>
  <si>
    <t xml:space="preserve"> (מ/1781)</t>
  </si>
  <si>
    <t xml:space="preserve">לא התקבלה בקריאה הראשונה</t>
  </si>
  <si>
    <t xml:space="preserve">14.08.2024</t>
  </si>
  <si>
    <t xml:space="preserve">חוק הפצת שידורים באמצעות תחנות שידור ספרתיות (תיקון מס' 7 - הוראת שעה), התשפ"ד–2024</t>
  </si>
  <si>
    <t xml:space="preserve"> (פ/3653/25)</t>
  </si>
  <si>
    <t xml:space="preserve"> (כ/1042)</t>
  </si>
  <si>
    <t xml:space="preserve">06.08.2024</t>
  </si>
  <si>
    <t xml:space="preserve">התיקון קובע הוראת שעה שתוקפה עד ליום ב' בשבט התשפ"ה (31 בינואר 2025), ובמהלכה מוטלת חובה על הערוצים הזעירים והזעירים-הייעודיים להפיץ את שידוריהם באמצעות מערך הפצת השידורים באמצעות תחנות השידור הספרתיות, הידוע כמערך "עידן פלוס". זאת, במקום הרשות שהייתה נתונה להם לעשות כן לפי חוק הפצת שידורים באמצעות תחנות שידור ספרתיות, התשע"ב–2012 (להלן – החוק) טרם התיקון, ולצד החובה שמוטלת לפי החוק על תאגיד השידור הישראלי, על בעלי הרישיונות לשידורי טלוויזיה שהם הערוצים המסחריים הוותיקים ועל ערוץ הכנסת להפיץ את שידוריהם באמצעות המערך, ממנה התיקון אינו משנה. התיקון גם אינו משנה את המצב החוקי לעניין זה בקשר לתחנות הרדיו, ולפיו שידוריהן יופצו באמצעות המערך אם ביקשו זאת. ככלל, הפצת השידורים באמצעות המערך כרוכה בתשלום דמי הפצה שמשלמים הגורמים המופצים לגורם המפעיל את המערך – כיום מדובר ברשות השנייה לטלוויזיה ורדיו.  בשל הטלת החובה כאמור, התיקון פוטר את הערוצים הזעירים והזעירים-ייעודיים, למשך תקופת הוראת השעה, מהחובה שחלה לפי החוק על כל הערוצים המופצים באמצעות מערך עידן פלוס לתת לספקי תכנים רשומים, המשדרים באמצעות האינטרנט, הסכמה להעביר את שידוריהם בלא תמורה. בנוסף, התיקון קובע כי כל בעלי הרישיונות לשידורי טלוויזיה ובעלי הזיכיונות לשידורי רדיו יהיו פטורים מתשלום דמי הפצה לגורם המפעיל, החל מיום כ"ב בתשרי התשפ"ד (7 באוקטובר 2023), בהתאמה למועד פרוץ מלחמת חרבות ברזל ונוכח הצורך להפיץ התראות ביטחוניות לציבור נרחב ככל האפשר באמצעות ערוצי התקשורת, ועד תום תוקפה של הוראת השעה. עוד קובע התיקון כי תאגיד השידור הישראלי, הכנסת ואוצר המדינה הם שיישאו בדמי ההפצה האמורים לגבי הפצת שידוריהם של כלל בעלי הרישיונות לשידורי טלוויזיה בתקופת הפטור, לפי חישוב הקבוע כיום בחוק. אוצר המדינה הוא שיישא בדמי ההפצה לגבי הפצת שידוריהם של בעלי הזיכיונות לשידורי רדיו. הפטור מתשלום דמי ההפצה כאמור ייכנס לתוקפו רק אם תופסק פעילותו של אחד המרבבים – רכיב מיושן שהוא חלק ממערך עידן פלוס ועלותו גבוהה – וזאת עד למועד פקיעתה של הוראת השעה. הפסקת פעילותו של המרבב כרוכה בעלות של כשלושה וחצי מיליון שקלים חדשים, והתיקון קובע כי עלות זו תשולם לגורם המפעיל בידי הגופים שצפויים ליהנות מהחיסכון שבהפסקת פעילותו: תאגיד השידור הישראלי, הכנסת והערוצים המסחריים הוותיקים. אם הגורם המפעיל לא יפסיק את פעילותו של המרבב עד תום הוראת השעה, הוא ישיב את הסכומים שהועברו לו כאמור, ויישא בדמי ההפצה של הגופים שקיבלו פטור מדמי הפצה, מסכום שאוצר המדינה יעביר לו לשם כך.</t>
  </si>
  <si>
    <t xml:space="preserve">חוק הגנת הפרטיות (תיקון מס' 13), התשפ"ד-2024</t>
  </si>
  <si>
    <t xml:space="preserve"> (מ/1496)</t>
  </si>
  <si>
    <t xml:space="preserve">05.08.2024</t>
  </si>
  <si>
    <t xml:space="preserve">החוק מהווה תיקון מקיף לחוק הגנת הפרטיות, ובכלל זה עדכון של המונחים הבסיסיים וההגדרות של החוק וצמצום חובת הרישום כך שתחול רק על גופים ציבוריים ועל סוחרי מידע שבבעלותם מאגר מידע על 10,000 בני אדם ומעלה. עוד נקבע, כי יש לקבוע ולעדכן הגבלות על עיבוד מידע במאגר מידע, ובכלל זה איסור על עיבוד מידע אישי שלא למטרה שלשמה נמסר, איסור על עיבוד מידע ללא הרשאה או בחריגה מהרשאת בעל השליטה במאגר מידע ואיסור על עיבוד מידע אשר נוצר, התקבל, נצבר או נאסף בניגוד להוראות החוק או כל דין אחר המסדיר עיבוד מידע. נקבעה גם חובה למינוי ממונה על הגנת הפרטיות בגופים המחויבים בחובת רישום ובגופים המעבדים מידע אישי בהיקף ניכר.  בנוסף, החוק מחזק את הרשות להגנת הפרטיות ומקנה לה סמכויות מפורשות ומעודכנות של פיקוח, בירור מינהלי, אכיפה מינהלית וחקירה פלילית, בכפוף להגבלות ולתנאים המנויים בחוק. עוד נקבע כי לרשות תהיה סמכות לבקש מבית המשפט לעניינים מינהליים צו להפסקת עיבוד מידע אישי ומחיקתו. החוק מחליף את עבירות האחריות קפידה במתן סמכות לרשות לקביעת עיצומים כספיים או בעבירות עם כוונה נפשית, לפי העניין. לבסוף, נקבע לתת לבני אדם שזכויותיהם לפי החוק הופרו, זכות לתביעת פיצוי כספי ללא הוכחת נזק ולבטל את מגבלת ההתיישנות בת השנתיים בתביעות אזרחיות. עוד נקבע כי תחילתו של חוק זה שנה מיום פרסומו ברשומות. </t>
  </si>
  <si>
    <t xml:space="preserve">חוק התקנים (תיקון מס' 19), התשפ"ד-2024</t>
  </si>
  <si>
    <t xml:space="preserve"> (מ/1743)</t>
  </si>
  <si>
    <t xml:space="preserve"> חוק זה כולל תיקונים משמעותיים בחוק התקנים ובפקודת היבוא והיצוא, שהעיקרי שבהם הוא יצירת מסלול חדש ואופציונלי לייבוא, ייצור ושיווק טובין המתאימים לדרישות רגולציות או דירקטיבות אירופאיות, כתחליף לחובה לעמוד בדרישות התקינה הישראלית. החוק כולל הסדר ייחודי בדין הישראלי, שמאפשר להחיל בישראל את הדין האירופי, כאשר הנוסח המחייב יהיה בשפה האנגלית. לצד זאת, החוק מחייב את משרד הכלכלה לפרסם לציבור תרגום מקצועי ומהימן של האסדרות האירופיות שיחולו בישראל, וכן לבחון באופן ספציפי כל עדכון של האסדרה, כך ששינויים שייערכו בה באירופה לא יאומצו באופן אוטומטי בישראל. בחוק  מנויות האסדרות האירופיות – דירקטיבות ורגולציות אחרות –  שיחולו בישראל מכוחו וכן התנאים להחלתן ומועדי התחילה שלהן. החוק מסמיך את שר הכלכלה והתעשייה להרחיב בצו את רשימת האסדרות, ובכלל זה נספחים ועדכונים שלהן, תוך אימוצן בלא כל שינוי, וזאת בשים לב לשיקולים הנוגעים לאפשרות האכיפה של ההוראות הכלולות בצו. באופן דומה רשאי השר, מיוזמתו או לפי בקשת שר אחר, לדחות את מועדי התחילה לאימוץ האסדרות השונות החלות בדין האירופי, לתקופות שלא יעלו במצטבר על שנה, בהתאם להיערכות ליישומן. לעומת זאת, הסרה של דירקטיבה, החלתה בשינויים או הוספת תנאים בה וכן דחיית מועדי התחילה לתקופה של מעל שנה, ייעשו בצו של שר הכלכלה, אך רק לאחר שקיבל את המלצת ועדת החריגים לכך. ועדת החריגים הוא גוף ממשלתי מייעץ, הפועל מכוח פקודת הייבוא והייצוא בהתאם לרפורמה בייבוא שאושרה בשנת 2021. בחוק קבועות הוראות המסדירות את אופן הפניה לוועדת החריגים ואת האפשרות לפנות להכרעת הממשלה לאחר החלטת ועדת החריגים, וכן המקרים בהם שר הכלכלה יהיה מוסמך לפעול אף בלא המלצה של ועדת החריגים.  בחוק נקבעו החרגות למוצרים שונים, כגון: מוצרי מזון, רכב מנועי, וכל מצרך או תהליך עבודה שחל עליו תקן רשמי שעניינו בטיחות אש, למעט ציוד כיבוי מיטלטל שאינו מחובר חיבור של קבע למקרקעין או לבניין, חומרי כיבוי וגלאי עשן עצמאי. כמו כן נקבעו בחוק דרישות נוספות, מעבר לאילו של האסדרה האירופית המאומצת, ביחס למוצרים שיש בהם סכנה, כגון מכשירים המופעלים ע"י גז בישול (גפ"מ) או ביחס למוצרים שיש מקום לקבוע ביחס אליהם דרישות שונות בגלל תנאים ייחודיים בישראל המצדיקים זאת, כגון דרישות ביחס לריכוזי חומרים בנוזלי ניקוי למדיח כלים שעלולים לפגוע במי הקולחין, שבישראל, בניגוד לאירופה, נעשה בהם שימוש לצורך השקיית גידולים חקלאיים. בחוק קיימות גם הוראות שמטרתן להאיץ את תהליך התאמת החקיקה הישראלית לסטנדטים האירופיים, והן כוללות מנגנון ייחודי ותקדימי, לפיו שר הכלכלה יהיה מוסמך להוסיף בצו לתוספת השביעית לחוק, חקיקת משנה שהיא בתחום סמכותו של משרד אחר, ובכך לקבוע שלצד חיקוק בדין הישראלי, יחולו גם הוראות האסדרה האירופית, צו זה טעון אישור של ועדה מוועדות הכנסת שהנושא המוסדר הוא בתחום ענייניה.  החוק כולל גם הקלות נוספות ללא קשר למסלול היבוא החדש, לדוגמא, יבואן או יצרן של דוגמאות שאינן מיועדות לשיווק והפצה לציבור, לא יידרש לעמוד בדרישות תקינה כלשהן. רוב הוראות החוק יכנסו לתוקף ב- 1 בינואר 2025, אך חלקן ייכנסו לתוקף מאוחר יותר.  </t>
  </si>
  <si>
    <t xml:space="preserve">חוק הכשרות המשפטית והאפוטרופסות (תיקון מס' 21), התשפ"ד-2024</t>
  </si>
  <si>
    <t xml:space="preserve"> (מ/1763)</t>
  </si>
  <si>
    <t xml:space="preserve">החוק מסמיך את האפוטרופוס הכללי לאשר בקשות של אפוטרופוס, מיופה כוח או הורה לקטין, אשר בעבר נדרש בהן אישור מראש מבית המשפט כתנאי לביצוע הפעולה. החוק קובע כי ככל שיהיה מדובר בבירור מורכב, שתתעורר התנגדות לבקשה או שהאפוטרופוס הכללי לא ימצא לנכון לאשר את הבקשה, היא תועבר להכרעה של בית המשפט. בנוסף, נקבע כי השר, באישור ועדת החוקה, חוק ומשפט של הכנסת, יוכל לקבוע סוגי נכסים ופעולות שבעניינם האפוטרופוס יהיה מוסמך לעשות פעולה או לייצג את הקטין גם בלי אישור מראש.</t>
  </si>
  <si>
    <t xml:space="preserve">חוק בתי דין רבניים (קיום פסקי דין של גירושין) (תיקון מס' 9), התשפ"ד-2024</t>
  </si>
  <si>
    <t xml:space="preserve"> (מ/1626)</t>
  </si>
  <si>
    <t xml:space="preserve">החוק מרחיב את צווי ההגבלה שבית הדין הרבני רשאי להטיל על סרבן גט. במסגרת התיקון, הוספו צווי הגבלה כלכליים עליהם רשאי בית הדין להורות. כמו כן, החוק מסמיך את בית הדין להטיל בצו הגבלה תשלומי כפיית ציות לטובת מי שפסק הדין ניתן לזכותו בשים לב למצבו הכלכלי של מי שניתן נגדו הצו. עוד נקבע כי לבית הדין סמכות להכריז כי הרחקות דרבנו תם יחולו על מי שניתן נגדו פסק הדין או על אדם שלישי הגורם לסרבן לסרב למתן הגט. זאת ועוד, החוק מבצע הבחנה וקובע כי אם ננקטה לשון של כפיה, חובה או מצווה ולא קבע בית הדין אחרת, אזי ברי כי ניתן להטיל צווי הגבלה. ואולם, לעניין לשון הצעה או לשון אחרת, בית הדין יקבע האם ניתן יהיה לתת צווי הגבלה מכוח פסק הדין. בנוסף לכך, מוצע לשנות את הדין לעניין נשים שבית הדין קבע שעליהן לקבל את הגט, ולקבוע בהוראת שעה כי יהיה ניתן להטיל צו הגבלה על נשים כאמור גם ללא אישור מיוחד של נשיא בית הדין הרבני הגדול כפי שהיה נדרש עד לתיקון זה. </t>
  </si>
  <si>
    <t xml:space="preserve">חוק לשכת עורכי הדין (תיקון מס' 44), התשפ"ד–2024</t>
  </si>
  <si>
    <t xml:space="preserve"> (פ/3826/25)</t>
  </si>
  <si>
    <t xml:space="preserve"> (כ/1003)</t>
  </si>
  <si>
    <t xml:space="preserve">החוק מעביר את הסמכות להכרה בתארים זרים במשפטים מהאוניברסיטה העברית בירושלים, לממונה שימנה שר המשפטים מקרב עובדי משרד המשפטים. הממונה יפעל בהתאם לאמות המידה שתקבע ועדה שתמונה על ידי שר המשפטים, וחבריה יהיו עובד בכיר במשרד המשפטים, נציג לשכת עורכי הדין וחבר סגל אקדמי המתמחה במשפטים. כמו כן, מוצע לקבוע כי הפטור מבחינת התמחות הניתן כיום במקרים מסוימים לעורכי דין שהוסמכו בחו"ל כמו גם הקלות בנושא ההתמחות, יחולו גם על מי ששימש בחוץ לארץ כעורך דין במשך תקופה מסוימת אף אם לא הוסמך כעורך דין, במדינות שבהן ניתן לפעול כעורך דין ללא הסמכה. זאת, בתנאי שניסיונו הוכר כמספק לדעת הלשכה ועל פי אמות המידה שתקבע הוועדה האמורה בנושא.</t>
  </si>
  <si>
    <t xml:space="preserve">חוק התכנון והבנייה (תיקון מס' 156 - הוראת שעה), התשפ"ד-2024 </t>
  </si>
  <si>
    <t xml:space="preserve"> (מ/1768)</t>
  </si>
  <si>
    <t xml:space="preserve">הוחלט שבתקופה שבין ה30.06.24 לבין ה-31.12.25, יוכל שר הפנים לתת רישיון להפעלת מכון בקרה גם ללא בקר מורשה של הגנת הסביבה, תקופה זו ניתנת להארכה בצו של שר הפנים בזמן של עד שנה לכל הארכה, ועד שנתיים במצטבר לכלל ההארכות.</t>
  </si>
  <si>
    <t xml:space="preserve">חוק פיצויי פיטורים (תיקון מס' 34 – הוראת שעה – חרבות ברזל), התשפ"ד-2024</t>
  </si>
  <si>
    <t xml:space="preserve"> (מ/1749)</t>
  </si>
  <si>
    <t xml:space="preserve">לפי סעיף 5 לחוק פיצויי פיטורים, התשכ"ג-1963, מעסיק חייב לשלם לשאריו המפורטים בחוק של עובד שנפטר את פיצויי הפיטורים שהיה משלם לו אילו היו מפטר אותו, ואם אין לנפטר בן זוג או ילדים התלויים בו, נדרש הליך בבית הדין לעבודה לעניין מתן פיצויי הפיטורים לשאירים האחרים. התיקון לחוק נועד לייתר את הפנייה לבית הדין לעבודה בכך שהוא קובע כהוראת שעה לגבי עובד שנפטר בתקופה שמיום 7.10.23 ועד שנה מתום תקופת תוקפה של ההכרזה על מצב מיוחד בעורף שהוכרזה ביום האמור, שפיצויי הפיטורים ישולמו על ידי המעסיק לשאריו של העובד שנפטר, ואם אין שארים ישולמו הפיצויים ליורשים על פי דין או לזוכים לפי צוואה לפי חוק הירושה. החוק מסמיך את שר העבודה להאריך את התקופה שלגבי הנפטרים בה יחול ההסדר, בתקופות נוספות שמשכן הכולל לא יעלה על 12 חודשים אם הדבר נדרש עקב הימשכות מלחמת חרבות ברזל.</t>
  </si>
  <si>
    <t xml:space="preserve">חוק התכנון והבנייה (תיקון מס' 155), התשפ"ד-2024</t>
  </si>
  <si>
    <t xml:space="preserve">הוחלט שיתאפשר לבצע פיצול דירות בהקלה בשני מסלולים, האחד פיצול של היחידה הקיימת לשתי יחידות, במסלול זה מוצע שהועדה המקומית תהיה חייבת לאשר את הפיצול אלא אם ישנה חוות דעת של מהנדס הועדה כי התשתיות הקיימות לא נותנת מענה מספק להגדלת יחידות הדיור. במסלול השני, מוצע לאשר הוספה של עד 45 מ"ר ליחידה קיימת לטובת היחידה החדשה, בתנאים המנויים בהצעה ובכללם חובת תוספת של מרחב מוגן לדירה אם נוסף לה השטח המינימלי למרחב מוגן, לפחות. בנוסף מוצע שבמחוז הצפון והדרום, יחידות הדיור שפוצלו לא ייחשבו לעניין מגבלת כמות יחידות הדיור לפי תמ"א 35 עד לשיעור של 20% מהיחידות הקבועות לאותו ישוב. נקבעה הוראה נוספת שקובעת שיחידת הדיור שפוצלה תישאר בידי אותם בעלים והיא תוכל לשמש לשכירות או מגורים של בני אותה משפחה בלבד. הוחלט גם שהיטל ההשבחה יהיה בשיעור מופחת של 34%  על פיצול ללא תוספת שטח והיטל רגיל של 50% אם הפיצול כולל תוספת שטח.</t>
  </si>
  <si>
    <t xml:space="preserve">הצעת חוק-יסוד: הממשלה (תיקון מס' 17) (ביטול ממשלת חילופים)</t>
  </si>
  <si>
    <t xml:space="preserve">חוק סיוע לסטודנטים ששירתו במילואים (תיקוני חקיקה והוראת שעה), התשפ"ד-2024</t>
  </si>
  <si>
    <t xml:space="preserve"> (מ/1645)</t>
  </si>
  <si>
    <t xml:space="preserve">29.07.2024</t>
  </si>
  <si>
    <t xml:space="preserve">החוק כולל מספר תיקונים שמטרתם מתן סיוע כספי, הקלות והתאמות לסטודנטים ששירתו במילואים או בסדיר ולבני זוגם, בין היתר על רקע מלחמת חרבות ברזל. בחוק המועצה להשכלה גבוהה, התשי"ח–1958 הוסמכה קרן הסיוע של המל"ג להתחשב בחלוקת המענקים גם בשירות צבאי ובשירות מילואים. בחוק עידוד מעורבות סטודנטים בפעילות חברתית וקהילתית, השתע"ח–2018 שופרו תנאי ההכרה בשירות מילואים כמזכה בנקודות זכות במסגרת תואר אקדמי. בחוק זכויות הסטודנט, התשס"ז–2007 נקבע כי על המל"ג לקבוע כללים שעל בסיסם יקבעו המוסדות התאמות מיוחדות לסטודנטים ששירתו במילואים בנסיבות חירום ובהתראה קצרה מעל 30 ימים, ולבני זוג של מי ששירתו כאמור. בנוסף, נקבע כי מוסד מוסמך לתת הקלות בתנאי קבלה למי ששירתו בשירות סדיר כלוחמים, בכפוף לתנאים, וכן נקבע בהוראת שעה כי מוסד מוסמך לתת הקלות בתנאי קבלה לשנה"ל תשפ"ד ותשפ"ה למי ששירתו במלחמת חרבות ברזל, בהתחשב באופי ובתקופת השירות. הוראת השעה תחול עד תום 3 חודשים מתחילת החוק ושר החינוך רשאי להאריכה ב-6 חודשים נוספים בכפוך להמשך הלחימה.</t>
  </si>
  <si>
    <t xml:space="preserve">חוק כליאתם של לוחמים בלתי חוקיים (תיקון מס' 4 והוראת שעה – חרבות ברזל) (תיקון מס' 2), התשפ"ד-2024</t>
  </si>
  <si>
    <t xml:space="preserve"> (מ/1779)</t>
  </si>
  <si>
    <t xml:space="preserve">28.07.2024</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</si>
  <si>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חוק כליאתם של לוחמים בלתי חוקיים (תיקון מס' 4 והוראת שעה – חרבות ברזל), התשפ"ד–2023, מאריך את תקופת הכליאה הזמנית של לוחמים בלתי חוקיים, וקובע כי במקרה בו הודיעה הממשלה לוועדת החוץ והביטחון של הכנסת על החלטה לפתוח במלחמה או על פעולות צבאיות משמעותיות לפי חוק-יסוד: הממשלה, רשאית היא להכריז כי אלו מצריכות תחולה של הוראות שונות בחוק.  במסגרת תיקון מספר 2, הוארכה הוראת השעה לעניין התקופות המנויות בחוק כליאתם של לוחמים בלתי חוקיים, בין היתר לעניין משך הוראת כליאה זמנית, מועד ההבאה בפני שופט והתקופות שניתן למנוע בהן פגישה עם עורך דין, וכן לעניין דרגת הדרג הצבאי המאשר פעולות שונות לפי החוק, עד ליום כ"ט בחשוון התשפ"ה (30 בנובמבר 2024). כמו כן, קוצרו התקופות המרביות הקבועות בחוק, ובכלל זאת תקופת תוקפה של הוראת הכליאה הזמנית, התקופות הנוגעות למניעת מפגש עם עורך דין, והתקופה במהלכה ניתן לערוך ביקורת שיפוטית. זאת ועוד, נקבע כי בעת קביעתו של שר הביטחון מקום כליאה לטובת מימוש החוק, הוא ימנה מבקרים רשמיים למתקן כליאה מסוים, לחלק ממנו או באופן כללי לכל מתקן כליאה – ביניהם, יושב ראש ועדת החוץ והביטחון של הכנסת, היועץ המשפטי לממשלה והפרקליט הצבאי הראשי. מבקר רשמי כאמור רשאי להיכנס למתקן, לבדוק את תנאיו, ניהולו התקין והטיפול בכלואים, כשבסוף ביקורו יגיש דוח למפקד מיתקן הכליאה, שהתייחסותו תוגש בצירוף הדוח למספר גורמים, ביניהם שר הביטחון, הרמטכ"ל, היועץ המשפטי לממשלה ויושב ראש ועדת החוץ והביטחון של הכנסת. כמו כן, נקבעה חובת דיווח בעניין זה לוועדת החוץ והביטחון של הכנסת, וכי הכרזת הממשלה על שינויים בתחולתו של החוק בעקבות הכרזה על מלחמה, פעולה צבאית משמעותית או פעולות צבאיות אחרות, תעמוד בתוקפה עד ליום כ"ז באלול התשפ"ד (30 בספטמבר 2024). </t>
  </si>
  <si>
    <t xml:space="preserve">חוק לתיקון פקודת בתי הסוהר (הוראת שעה), התשפ"ד-2024</t>
  </si>
  <si>
    <t xml:space="preserve"> (מ/1783)</t>
  </si>
  <si>
    <t xml:space="preserve">ביום כ"ט בחשוון התשע"ט (7 בנובמבר 2018), פורסם חוק לתיקון פקודת בתי הסוהר (מס' 54 והוראת שעה), התשע"ט–2018, כאחד המענים לפסיקת בית המשפט העליון בבג"ץ 1892/14 האגודה לזכויות האזרח בישראל נ' השר לביטחון פנים, בה נקבע כי יש להגדיל את מרחב המחיה של האסירים בבתי הסוהר. החוק קבע, בהתבסס על מנגנון השחרור המנהלי הקיים בפקודת בתי הסוהר, כי הנציב יורה לשחרר אסירים לפני תום תקופת מאסרם ובתנאי שריצו לפחות מחצית מתקופת מאסרם, כדי להקל על הצפיפות בבתי הסוהר. כמו כן, נקבע כהוראת שעה לשלוש שנים, כי התקופות המרביות של השחרור המנהלי יוגדלו, כדי להקל עוד יותר על הצפיפות. עוד נקבע כי הרחבות השחרורים המנהליים במסגרת החוק לא יחולו על אסירים ביטחוניים. במסגרת חוק לתיקון פקודת בתי הסוהר (מס' 57 והוראות שעה), התשפ"ב–2021, הוארכה הוראת השעה הקובעת תקופות שחרור מינהלי מורחבות בשבעה חודשים, בשני שינויים. ראשית, נקבע כי אסירים שהורשעו בעבירות מין, אלימות במשפחה ואלימות חמורה, שנגזרו עליהם פחות משלוש שנות מאסר, יהיו זכאים לשחרור המינהלי המורחב רק אם ועדת השחרורים בחנה את עניינם באופן פרטני ומצאה שהם מתאימים לשחרור מוקדם. שנית, צומצמו תקופות השחרור המינהלי המורחב לגבי אסירים שנגזרו עליהם בין 18 ל-36 חודשי מאסר. מאוחר יותר, במסגרת חוק לתיקון פקודת בתי הסוהר (הוראות שעה), התשפ"ג–2023, הוארכה הוראת השעה בעניין הסדר השחרור המנהלי המורחב הקבוע בפקודת בתי הסוהר עד לתאריך כ"ה בתמוז התשפ"ד (31 ביולי 2023), במספר שינויים שעיקרם ביטול השחרור המינהלי לאסירים ביטחוניים, הרחבת תקופת השחרור המינהלי לאסירים שנגזרו עליהם 18 עד 36 חודשי מאסר וקביעה כי תקן הכליאה בבתי הסוהר יהיה 14,500. כעת, במסגרת התיקון הנוכחי, נקבע כי תוקפו של הסדר השחרור המנהלי המורחב כאמור יוארך עד ליום כ"ט בחשוון התשפ"ה (30 בנובמבר 2024), וכי תקן הכליאה יוסיף לעמוד על 14,500 מקומות כליאה עד ליום כ"ט בחשוון התשפ"ה (30 בנובמבר 2024). </t>
  </si>
  <si>
    <t xml:space="preserve">חוק הביטוח הלאומי (תיקון מס' 248), התשפ"ד-2024</t>
  </si>
  <si>
    <t xml:space="preserve"> (מ/1780)</t>
  </si>
  <si>
    <t xml:space="preserve">החוק קובע זכאות לתגמול חלף שכר למי שנחטף או נעדר בשל אירועי ה-7.10.23 (שעוגן עד כה בהסכם לפי סעיף 9 לחוק הביטוח הלאומי). גובה התגמול לא יפחת מכ-7,300 ₪ (או מ-9,500 ₪ אם מדובר בהורה) ויתבסס על הכנסתו של החטוף או הנעדר טרם חטיפתו או העדרותו, ככול שהוא עבד. גובה התגמול לא יעלה על כ-49,000 ₪. הזכאות תהיה כל עוד החטוף לא שוחרר או הנעדר לא אותר. ההסדר יעמוד בתוקפו עד ל-6.10.26. שר העבודה, באישור ועדת העבודה והרווחה של הכנסת, יוכל להאריך את התוקף בתקופות נוספות שמשכן לא יעלה על שנה בכל פעם. ההסדר לא יחול על חטופים שהם חיילים או משרתים בכוחות הביטחון.</t>
  </si>
  <si>
    <t xml:space="preserve">חוק הפרות תעבורה מינהליות, התשפ"ד-2024</t>
  </si>
  <si>
    <t xml:space="preserve"> (מ/1478)</t>
  </si>
  <si>
    <t xml:space="preserve">24.07.2024</t>
  </si>
  <si>
    <t xml:space="preserve">בהתאם לחוק, עבירות תעבורה שהן עבירות קנס, דהיינו עבירות שלמבצע אותן מוקנית האפשרות לבחור האם לשלם את הקנס או להישפט, יטופלו במישור המנהלי במסגרת בית דין מנהלי חדש וייעודי שיוקם במשרד המשפטים, ויקרא בית הדין לתעבורה. הדיונים בבית הדין לתעבורה, בשונה מהדיונים בבית המשפט לתעבורה, יתנהלו ככלל שלא בנוכחות הצדדים, על בסיס טענות וראיות שיוגשו בכתב בלבד, אלא אם כן ימצא בית הדין כי יש בכך כדי לפגוע בעשיית הצדק. אם יחליט בית הדין לדון בנוכחות הצדדים, הדיון יתקיים באמצעים טכנולוגיים, למעט במקרים בהם יחליט בית הדין כי יש בכך כדי לפגוע בעשיית הצדק, ואז יתקיים הדיון בנוכחות פיזית של הצדדים. בחוק מעוגנת חובת משרד המשפטים להפעיל עמדות שירות שתפקידן לסייע למי שמבקש לעשות שימוש במערכת המקוונת בהליכי ערר בבית הדין לתעבורה. עמדות אלה, שבהן יעמדו לרשות הציבור גם נציגי שירות, יוצבו בפריסה ארצית לפי מחוזות השיפוט, ותינתן בהן האפשרות גם להשתתף בדיונים המקוונים וגם להגיש את מסמכי הערר.  החוק כולל הוראות לעניין מינוי חברי בית הדין לתעבורה וכשירותם, וכן הוראות לעניין מרשם תעבורה מינהלי, שתנהל המשטרה ויחליף את מרשם עבירות התעבורה הקיים היום לגבי עבירות התעבורה שיהפכו להפרות תעבורה. מועד תחילתו של החוק הוא 15 חודשים מיום פרסומו ברשומות, אך שר התחבורה, באישור ועדת הכלכלה של הכנסת, רשאי לדחות מועד זה בשתי תקופות, שכל אחת מהן לא תעלה על 6 חודשים, אם שוכנע כי טרם הושלמה ההיערכות ליישום חוק זה. החוק יחול באופן מדורג – תחילה על עבירות תעבורה שהקנס הקבוע להן כיום מצוי בטווח שבין 100 ₪ ל-500 ₪ שהן אינן עבירות מהירות ורק חצי שנה לאחר מכן על עבירות תעבורה ששיעור הקנס הקבוע להן היום מצוי בטווח שבין  750 ₪ ל-1,500 ₪ וכן על עבירות מהירות. חריג למועדי תחילה אלו נקבע ביחס להוראה לעניין החלת שיטת הניקוד לגבי הפרות תעבורה. שיטת הניקוד היא הסדר לעניין רישום נקודות לחובתו של מי שעובר עבירת תעבורה, שערכן עולה ככל שהעבירה חמורה יותר. על מנת לתת שהות להתאים את התקנות בנושא להפרות תעבורה נקבע כי מועד כניסתה לתוקף של ההוראה לעניין החלת שיטת הניקוד לגבי הפרות תעבורה  יהיה במועד תחילתן של אותן תקנות, ונקבע בחוק מועד להבאתן של תקנות אלו לאישור ועדת הכלכלה.</t>
  </si>
  <si>
    <t xml:space="preserve">חוק רכבת תחתית (מטרו) (תיקון מס' 4), התשפ"ד-2024 </t>
  </si>
  <si>
    <t xml:space="preserve"> (מ/1443)</t>
  </si>
  <si>
    <t xml:space="preserve">החוק כולל הסדרים משלימים לטובת קידום מיזם המטרו. בין היתר, הוחלט להקים מועצה מאסדרת ברשות המטרו, המועצה תהיה אחראית על היבטים שונים של אסדרת עניינים הנוגים לקידום מיזם המטרו ועל היבטים של תיאום תשתיות בין חברה מבצעת לגופי תשתית אחרים. בנוסף מוצעת השלמה של היבטי המימון של המיזם, לרבות קביעת היטל מימון וקביעת הוראות למימוש המקרקעין במטרופולין גוש דן, ובייחוד אלה הכלולים במתחמי ההשפעה שייקבעו בתמ"א 70, בלוחות זמינים המקבילים לפיתוח המיזם. הוחלט שבכל תוכנית שתאושר בותמ"ל או בות"ל לעניין בינוי בתחומי תוכנית המטרו יוקצו 30% מיחידות הדיור בקרקע שהיא מקרקעי ישראל לדיור בהשיג יד– השכרה לטווח ארוך, השכרה במחיר מופחת, מעונות סטודנטים ודיור מוגן. בנוסף נקבע, הוחלט כי מי שיגיש בקשה להיתר בניה בשש וחצי השנים הקרובות, עד סוף שנת 2030, ישלם מס מופחת, כך ששיעור היטל ההשבחה ומס המטרו שהוא ישלם יחד יהיה 60% מההשבחה בלבד. בנוסף הוחלט שהיטל המימון לא יחול יחול על בעלי נכסים שסך גודל הנכסים בבעלותם נמוך מ-100 מ"ר. כמו כן, מוצעים פרקים העוסקים בפעילותם של גורמים מוסמכים לקידום המיזם, בתיאום תשתיות והסרת חסמים לרבות קביעת הסדרים מיוחדים בענייני רעש ותיקונים עקיפים בענייני תכנון ובנייה, חברות ממשלתיות, פקודת מסילות הברזל ועוד. מוצע להפחית את מס המטרו, הן בהסדר מיוחד למספר שנים והן באופן קבוע וכן מוצע מנגנון סיוע לעסקים הסמוכים לתוואי העבודות בשיעור שלא יפחת מ-500 מיליון ₪.</t>
  </si>
  <si>
    <t xml:space="preserve">חוק הגנה על בריאות הציבור (מזון) (תיקון מס' 10 והוראת שעה), התשפ"ד-2024</t>
  </si>
  <si>
    <t xml:space="preserve"> (מ/1742)</t>
  </si>
  <si>
    <t xml:space="preserve">התיקון לחוק קובע הקלות שונות על יבואנים ולעניין יבוא מזון. כמו כןן הרחיב התיקון לחוק את אימוץ הדין האירופי לעניין מזון בישראל, על בסיס תפיסת ניהול סיכונים בידי העוסק במזון, ובין השאר אומצו במסגרתו דירקטיבות ותקנות אירופיות בעניינים שונים כגון סימון מזון ובכלל זה סימון אלרגנים, סימון גלוטן, סימון תזונתי וכן ייחוס מסרים למזון,  הוראות בעניין תוספי מזון וחומרי טעם וריח, הוראות בעניין אריזת מזון וחומרים הבאים במגע עם מזון, הוראות לעניין מים מינרליים, והוראות נוספות לעניין בטיחות מזון. לפי התיקןן לחוק בתקופה שעד 31.12.2027 ההוראות האירופיות החדשות יחולו רק באופן מצומצם על יבואנים מאירופה ועל עוסקים במזון שיש להם מערכות בקרת בטיחות מזון עצמיות  ובחרו בכך, ונקבעו הוראות למניעת כפל והתנגשות עם הדין הישראלי. כמו כן נקבע כי תוקם ועדה מקצועית מייעצת שתוכל לאפשר שימוש מעבר למותר באירופה. נוסף על כך נקבעו הקלות במנגנון עדכון ההוראות המאומצות מאירופה.  </t>
  </si>
  <si>
    <t xml:space="preserve">חוק לתיקון פקודת הרוקחים (תיקון מס' 37), התשפ"ד-2024</t>
  </si>
  <si>
    <t xml:space="preserve"> (מ/1760)</t>
  </si>
  <si>
    <t xml:space="preserve">החוק קובע הסדרים המרחיבים את תחולת הדין האירופי לעניין עיסוק בתמרוקים בישראל וכולל שלושה נדבכים עיקריים: 1. ראשית, נקבע מסלול יבוא חלופי למסלול הקיים שמבוסס על העקרונות שבבסיס כללי האיחוד האירופי, המיועד ליבואנים נאותים כהגדרתם בחוק שמקיימים תוכנית בקרת איכות ובטיחות מקיפה בעבור כל תמרוק המיובא על ידם. מסלול זה יאפשר ליבואן נאות לייבא תמרוק באופן מהיר ויעיל יותר, בלי שנערכה לתמרוק הערכת בטיחות ובלי להחזיק תיק תמרוק, כפי שנדרש במסלול הקיים, כל זאת בכפוף לתנאים המפורטים בחוק. 2. שנית, נקבע כי הוראות האיחוד האירופי בעניין תמרוקים, יחולו בישראל, בתנאים, בהגבלות ובשינויים המפורטים בחוק, אימוץ זה יתרום להבטחת רמת בטיחות גבוהה בתמרוקים. כן נקבע מנגנון לאימוץ הוראות הדין האירופי בעתיד ודרך להכנסת תיקונים, התאמות ושינויים  3. שלישית, נקבע כי הרישום במרשם העוסקים יתאפשר באמצעות הצהרה עצמית על קיום תנאי ייצור נאותים (כפי שקיים באיחוד האירופי) שינוי זה יוביל לייעול הליך הרישום במרשם והוזלתו. בנוסף קובע החוק הסדרים והוראות מעבר לגבי רישיונות תמרוקים קיימים לעוסקים בתמרוקים. </t>
  </si>
  <si>
    <t xml:space="preserve">חוק הסיוע המשפטי (תיקון מס' 26 והוראת שעה), התשפ"ד-2024</t>
  </si>
  <si>
    <t xml:space="preserve"> (מ/1505)</t>
  </si>
  <si>
    <t xml:space="preserve">החוק מעגן סיוע משפטי למשפחותיהם של נפגעי עבירות המתה לרבות ליווי וקבלת ייעוץ וסיוע במימוש זכויותיהם בהליכים המשפטיים. החוק מרחיב את רשימת עבירות המין שבעניינן ניתן לקבל סיוע משפטי. בנוסף, החוק קובע הוראת שעה לפיה יורחב הסיוע המשפטי הניתן לנפגעי עבירות מין ועבירות של סחר בבני אדם, כך שיחול כבר משלב החקירה וגם על הליכים אזרחיים הנובעים מהעבירה.</t>
  </si>
  <si>
    <t xml:space="preserve">חוק התקשורת (בזק ושידורים) (תיקון מס' 79), התשפ"ד–2024</t>
  </si>
  <si>
    <t xml:space="preserve"> (פ/3637/24)</t>
  </si>
  <si>
    <t xml:space="preserve"> (כ/927)</t>
  </si>
  <si>
    <t xml:space="preserve">התיקון קובע הסדר מפורט המעגן את זכותו של מנוי לקבל, לפי בקשתו, שירותי תקשורת מספק מורשה (חברת התקשורת), בכפוף להגבלות או חסימות, כפי שיפורט להלן. עד לחקיקת התיקון, קבע סעיף 51ג לחוק התקשורת (בזק ושידורים), התשמ"ב–1982, הסדר לעניין אפשרותם של מנוי או קבוצת מנויים לקבל מספק תקשורת שירותים הכפופים להגבלות או לחסימות, אם ביקשו זאת בבקשה פרטנית ומפורשת שנמסרה בנפרד מהסכם ההתקשרות. לפי אותו סעיף, ניתן היה לבקש הגבלות וחסימות בנוגע לעניינים הבאים: שירותים המסופקים על גבי רשת האינטרנט; תכונות ומאפיינים של ציוד קצה או של ציוד תקשורת (כגון מכשירי הסלולר עצמם); ואפשרות המנוי לעשות שימוש בציוד כאמור בכל רשת בזק מתאימה. מכוח הסעיף האמור, פעל בשוק הסלולר משך שנים רבות הסדר שחל על כ-600,000 מנויים, הידוע בשם "הקומה הכשרה", שבמסגרתו קיבלו המנויים שבחרו בכך שירותי טלפוניה בכפוף להגבלות ולחסימות התואמות את אורחות חייהם, ובכלל זה הגבלת גישה לשירותי אינטרנט, חסימת שיחות למספרים מסוימים, ואף הגבלת ניידות מספרי טלפון כך שלא ניתן לנייד את המספר לתוכנית הכוללת שירותי תקשורת שאינם כפופים להגבלות אותן ביקש המנוי לכתחילה. התיקון מאפשר, בין השאר, את המשך פעולתה של הקומה הכשרה. התיקון עוסק במערכת היחסים שבין חברת התקשורת ובין המנוי שהתקשר עמה בהסכם, והוא מבוסס על הסכמתו של המנוי. התיקון קובע כי מנוי או קבוצת מנויים רשאים לבקש מספק מורשה, בבקשה מפורשת שנמסרה באופן הניתן לתיעוד, לקבל שירות בזק, כלומר שירות טלפוניה, בכפוף להגבלות או לחסימות ("סל שירותים ייעודי"). המנוי או קבוצת המנויים יכולים גם לבקש לקבל את השירות האמור בכפוף להגבלות או לחסימות שקבע תאגיד מסוים שציינו בבקשתם. בין ההגבלות או החסימות שרשאי מנוי לבקש במסגרת סל שירותים ייעודי: הגבלת חיוג למספרי טלפון; הגבלות שיחולו על מכשיר הסלולר והגבלת ניידות מספרים. לצד זאת קובע התיקון סייגים והגנות על המנויים המבקשים את ההגבלות או החסימות, וכן סייגים לשם שמירה על התחרות בתחום התקשורת. לעניין הגבלת החיוג למספרי טלפון, התיקון קובע כי ספק מורשה ישלח הודעה למנוי שהחיוג למספר הטלפון שלו הוגבל, ובהודעה יצוין גם מיהו התאגיד שביקש לחסום את המספר. כן קובע התיקון הוראות שתכליתן הגברת השקיפות לגבי מספרי טלפון של תאגידים שנחסמו והוראות האוסרות על ספק מורשה להעביר לתאגידים הקובעים הגבלות או חסימות מידע הכלול במאגר מידע שלו. לעניין ציוד קצה רט"ן, כלומר מכשיר הסלולר עצמו, קובע התיקון כי מנוי רשאי לבקש הגבלות או חסימות של המכשיר, ייחודו לציוד תקשורת מסוים, וכן ייחוד סל שירותים ייעודי למכשיר, לטווח מספרי טלפון, ועוד. הקשירה בין המכשיר ובין סל שירותים ייעודי אפשרית, לפי התיקון, רק אם המכשיר יכול לפעול במסגרת אותו סל שירותים ייעודי שמציע ספק מורשה אחר, ורק אם יש שלושה דגמים של מכשירים סלולריים המיוצרים על ידי יצרנים שונים שניתן להשתמש בהם במסגרת זו. לעניין ניידות מספרים, התיקון קובע כי ניתן להגבילה בהסכמה מפורשת של המנוי ובכפוף לכמה סייגים, שלפיהם הגבלה כאמור אפשרית רק אם למנוי נתונה האפשרות לנייד את מספר הטלפון שלו בתוך סל השירותים הייעודי, כלומר בין ספקי סלולר; רק אם פועלים בשוק כמה ספקים הנותנים שירות בהתאם לסל השירותים הייעודי והמקיפים מספר מינימלי של מנויים; ורק אם סל השירותים הייעודי כולל הגבלה משמעותית או חסימה של יותר משירות בזק אחד. לפי התיקון, אם ההתקשרות בין המנוי לבין הספק כוללת הגבלת ניידות כאמור, במקרה של ביטול ההתקשרות, המנוי לא יוכל לנייד את מספר הטלפון שלו אל מחוץ לסל השירותים הייעודי, והספק המורשה יהיה רשאי להקצות את מספר הטלפון רק במסגרת סל השירותים הייעודי שאליו משויך המספר. במקביל קובע התיקון הוראות שמטרתן להקל על מעבר של המנוי אל מחוץ לסל השירותים הייעודי אם הוא בחר בכך, ובכלל זה הוראות לפיהן הספק המורשה לא יקצה לאדם אחר את מספר הטלפון של המנוי שההתקשרות עמו בוטלה במשך 9 חודשים מיום ביטולה, וישמיע הודעה קולית למתקשרים למספר הטלפון, לפיה המנוי החליף את מספר הטלפון שלו ומהו המספר החדש, לפי בקשת המנוי.  לעניין הגבלת חיוג למספרי טלפון, התיקון קובע חובה על הספק המורשה לקבוע וליישם אמות מידה ברורות, מפורטות ושוויוניות להגבלת חיוג כאמור, ובלבד שיישום אמות המידה ייעשה בשים לב למאפייני קבוצת המנויים שביקשה את ההגבלות או החסימות. עוד קובע התיקון כי ניתן להשיג הן על אמות המידה עצמן והן על הגבלת החיוג למספר טלפון מסוים בניגוד לאמות המידה, בפני גורם מוסמך במשרד התקשורת. בעניין זה מחיל התיקון חובות שקיפות על הספק המורשה, ולפיהן עליו, בין השאר, למסור לשר התקשורת ולפרסם באתר האינטרנט שלו דיווחים ובהם נתונים כלליים לגבי הגבלת חיוג למספרי טלפון שביצע. עוד קובע התיקון איסור על חסימת מספרי טלפון מסוגים שונים, ובהם מספרי טלפון חיוניים ומספרי טלפון של המדינה ומוסדותיה, מספרי טלפון מקוצרים בני 3 או 4 ספרות, מספרי טלפון של רשויות מקומיות המיועדים למתן שירותים עירוניים חיוניים, איסור חסימה גורפת של מנויי חברת תקשורת מסוימת וכן איסור חסימת מספרי טלפון של מפלגות בתקופת בחירות. בנוסף קובע התיקון איסור על חסימה של הודעות "מסר אישי", שהן הודעות ביטחוניות הנשלחות בטכנולוגיה ייעודית. זאת, לצד קביעת איסור על שימוש בטכנולוגיה זו לשם משלוח הודעות שאינן ביטחוניות.  התיקון מוסיף וקובע איסור על חסימת מספרי טלפון של מוקדי חירום וסיוע לעזרה ראשונה פיזית או נפשית, כפי שיקבע שר התקשורת בתקנות, בהתייעצות עם שר הבריאות ושר הרווחה והביטחון החברתי ובאישור ועדת הכלכלה של הכנסת. תקנות ראשונות לעניין זה יובאו לאישור ועדת הכלכלה בתוך ארבעה חודשים מיום פרסום התיקון, ואם לא יובאו לאישור כאמור, החל מאותו מועד ספק מורשה לא יאפשר חסימת חיוג למספרי טלפון של מוקדי סיוע אם יש התקשרות בהיקף משמעותי, הכוללת הפעלת מענה אנושי, בין משרד ממשרדי הממשלה לבין הגוף שמפעיל את המוקד. עוד מקנה התיקון למנכ"ל משרד התקשורת סמכות להטיל עיצום כספי על ספק מורשה שביצע הגבלה או חסימה בניגוד להוראות האמורות. מאחר שבמסגרת ההגבלות והחסימות שרשאי מנוי לבקש לפי התיקון, הוא גם רשאי לבקש כי מכשיר הסלולר שלו יוגבל או ייחסם כך שלא ניתן להשתמש בו "מחוץ" לסל השירותים הייעודי, נקבע בתיקון כי ספק מורשה שמוכר מכשירי סלולר הכפופים להגבלה או לחסימה כאמור, חייב להציע במקביל למכירתם גם מסלול של השכרת המכשיר חלף רכישתו, לבחירת הלקוח, כדי להקל עליו במעבר למכשיר שאינו כפוף למגבלות.  התיקון כולל גם תיקון עקיף לחוק הגנת הצרכן, התשמ"א-1981, העוסק באיסור הטעיה של הצרכן לגבי פרט מהותי בעסקה. התיקון קובע כי ייראו מצג בנכס או על גבי הנכס שמעיד על השימוש, התועלת או הסיכונים הכרוכים בו כפרט מהותי בעסקה. בכך, מבהיר התיקון כי סימון מכשירים שאינם תואמים את ההגבלות והחסימות הרלוונטיות כמכשירים שכן תואמים אותן, הוא הפרה של איסור הטעיית הצרכן בנוגע לפרט מהותי בעסקה. זאת, כדי לתת מענה לתופעה של זיוף "מספרי הזיהוי" של מכשירי הטלפון שחלות עליהם הגבלות או חסימות. עוד קובע התיקון הוראות מעבר שיאפשרו להסדרים שפעלו ערב כניסתו של התיקון לתוקף, דוגמת הקומה הכשרה, להמשיך לפעול. לעניין זה קובע התיקון כי הכפפת השירות שצורך מנוי להגבלות או לחסימות חדשות, שלא נכללו בהתקשרות הקיימת עמו, טעונה הסכמה מפורשת של המנוי. בנוסף כולל התיקון גם מנגנון המחייב את חברות התקשורת לפנות לכל המנויים הקיימים כדי לוודא כי הם אכן מסכימים להגבלות ולחסימות שבמסגרת סל השירותים הייעודי. התיקון נכנס לתוקף ב-29.10.2024.</t>
  </si>
  <si>
    <t xml:space="preserve">חוק הספריות הציבוריות, התשפ"ד-2024 </t>
  </si>
  <si>
    <t xml:space="preserve"> (מ/1766)</t>
  </si>
  <si>
    <t xml:space="preserve">חוק הספריות הציבוריות, תשל"ה–1975 הוחלף בחוק חדש שמותאם למצב בפועל ומסדיר סוגיות נוספות, ובהן: 1. מינוי מועצת הספריות הציבוריות, הגדרת תפקידיה, שיפור והסדרת פעולתה כמקובל בחקיקה עדכנית לעניין מועצות ציבוריות; המועצה אף תגיש דוח שנתי על פעילותה והמלצותיה לשר התרבות והספורט ולוועדת החינוך. 2. התקציב לפעילות הספריות - סכום השתתפות הממשלה יעמוד על 100 מיליון ש"ח בשנה החל מ-2026, ויוצמד למדד החל מ-2027, וכן נקבע בהוראת שעה כי ב-2024 הסכום יהיה 89 מיליון ש"ח וב-2025 - 95 מיליון ש"ח. שר התרבות והספורט רשאי להקצות 10% מהתקציב לפרויקט או מיזם מיוחד שיש לו זיקה משמעותית ותרומה ניכרת לתחום הספריות הציבוריות. השתתפות הרשות המקומית תהיה לפחות זהה לסכום התמיכה של הממשלה בספריה, אך השר רשאי לקבוע בתקנות השתתפות שונה בהתחשב במדד החברתי-כלכלי והפריפריאלי של הרשויות המקומיות. שיעור התמיכה בכל ספרייה ייקבע לפי מבחני תמיכה, אשר יכללו, בין השאר, הוראות שיאפשרו לספריות ודאות ותכנון תקציבי, למשל באמצעות תשלום מקדמות וחובת פרסום ה"קול קורא" במועד מסוים. הרשות המקומית תחויב לנהל את כספי התמיכה הממשלתיים בחשבון נפרד והם יהיו מוגנים מעיקול ושעבוד. 3. שירותי הספריה הציבורית - עוגנו בחוק והורחבו השירותים שעל הספריות לספק לציבור, לרבות שירותים בחינם ושירותים אחרים כמו פעילויות לציבור בכלל ובפרט לתלמידי מערכת החינוך.</t>
  </si>
  <si>
    <t xml:space="preserve">חוק הרשות השנייה לטלוויזיה ורדיו (תיקון מס' 49), התשפ"ד-2024</t>
  </si>
  <si>
    <t xml:space="preserve"> (מ/1777)</t>
  </si>
  <si>
    <t xml:space="preserve">התיקון מאריך בשנה וחצי את תוקפה של הוראת מעבר שנקבעה בתיקון מס' 44 לחוק הרשות השנייה לטלוויזיה ולרדיו, התש"ן–1990 (להלן – תיקון 44), שהתקבל בכנסת בשנת 2018. בתיקון 44 נקבעה שורה של הקלות רגולטוריות לערוצים זעירים ולערוצים זעירים ייעודיים, שהם ערוצים בעלי היקף הכנסה מצומצם שנועדו לתת מענה לקהלים ולנושאים ספציפיים שלא מקבלים ייצוג הולם בערוצי התקשורת המרכזיים. ערוצים אלו היו בפיקוח של המועצה לשידורי כבלים ולשידורי לוויין, ועברו בתיקון 44 לפיקוח הרשות השנייה לטלוויזיה ולרדיו, ומשמעות המעבר היא שאותם ערוצים זכו להקלות משמעותיות במחויבויות החלות עליהם. מדובר בערוץ בשפה הערבית ("הלא TV"), בערוץ בשפה הרוסית (ערוץ 9), בערוץ 24 ובערוץ 14. נוסף על ההקלות שנקבעו בתיקון 44, נקבעה גם הוראת מעבר לתקופה של חמש שנים, עד ליום ד' באדר התשפ"ג (25.2.2023), שעניינה מתן הקלות נוספות וזמניות לערוצים האמורים, במטרה לאפשר את המשך קיומם נוכח היקף הכנסתם המצומצם. לקראת פקיעתה, הוארכה הוראת המעבר בתיקון חקיקה, לתקופה נוספת של שנה וחצי (ובסך הכל לתקופה של שש וחצי שנים), עד ליום כ"א באב התשפ"ד (25.8.2024). התיקון מאריך את הוראת המעבר בשנה וחצי נוספות, ובסך הכל לתקופה של שמונה שנים. ההקלות הזמניות שנקבעו בהוראת המעבר, ותוקפן מוארך לפי התיקון, הן פטור מתשלום דמי רישיון שנתיים;  חובה של חברות הכבלים והלוויין (כיום הוט ויס) להעביר במסגרת שידוריהם את שידורי הערוצים ופטור מתשלום עבור שידור כאמור;  פטור מחובת הפקדת בטוחות מעבר לערבויות קיימות;  וכן החרגתם של ערוצים אלה מהוראות מסוימות בחוק, כגון הוראות לעניין הגבלות על בעלויות צולבות של שידורי רדיו או טלוויזיה בנסיבות מסוימות וכן לעניין האיסור על החזקת אמצעי שליטה על ידי בעלים יחיד.</t>
  </si>
  <si>
    <t xml:space="preserve">הצעת חוק שירות ביטחון (תיקון - תגמול לחיילים סדירים בסוף שירותם בתנאי קבע) (הוראת שעה), התשפ"ד-2024</t>
  </si>
  <si>
    <t xml:space="preserve"> (פ/4889/25)</t>
  </si>
  <si>
    <t xml:space="preserve">הצעת חוק לתיקון פקודת המסים (גבייה) (חובת איתור חייבים), התשפ"ד-2024</t>
  </si>
  <si>
    <t xml:space="preserve"> (פ/4887/25)</t>
  </si>
  <si>
    <t xml:space="preserve">הצעת חוק להטמעת מורשת יהדות ספרד והמזרח במערכת החינוך וההשכלה הגבוהה, התשפ"ד-2024</t>
  </si>
  <si>
    <t xml:space="preserve"> (פ/4882/25)</t>
  </si>
  <si>
    <t xml:space="preserve">הצעת חוק זכויות הסטודנט (תיקון - הרחקת סטודנטים תומכי טרור ממוסד לימוד ופירוק תאים תומכי טרור), התשפ"ד-2024</t>
  </si>
  <si>
    <t xml:space="preserve"> (פ/4881/25)</t>
  </si>
  <si>
    <t xml:space="preserve">הצעת חוק מגבלות על חזרתו של עבריין מין לסביבת נפגע העבירה (תיקון - הגדרת גילו של העבריין), התשפ"ד-2024</t>
  </si>
  <si>
    <t xml:space="preserve"> (פ/4877/25)</t>
  </si>
  <si>
    <t xml:space="preserve"> (פ/4876/25)</t>
  </si>
  <si>
    <t xml:space="preserve">הצעת חוק מניעת ייצוג משפטי של מדינת ישראל ממחבלים זרים (תיקוני חקיקה), התשפ"ד-2024</t>
  </si>
  <si>
    <t xml:space="preserve"> (פ/4875/25)</t>
  </si>
  <si>
    <t xml:space="preserve">הצעת חוק דרישת פירוט מקורות רכוש בלתי מוסבר מאדם הפעיל בארגון פשיעה, התשפ״ד-2024</t>
  </si>
  <si>
    <t xml:space="preserve"> (פ/4874/25)</t>
  </si>
  <si>
    <t xml:space="preserve">הצעת חוק הנוער (טיפול והשגחה) (תיקון - טיפול בבריחה ממשמורת), התשפ"ד-2024</t>
  </si>
  <si>
    <t xml:space="preserve"> (פ/4872/25)</t>
  </si>
  <si>
    <t xml:space="preserve">הצעת חוק הרבנות הראשית לישראל (תיקון - שינוי הרכב האסיפה הבוחרת והגדלת הייצוג הנשי בה), התשפ"ד-2024</t>
  </si>
  <si>
    <t xml:space="preserve"> (פ/4871/25)</t>
  </si>
  <si>
    <t xml:space="preserve">הצעת חוק הרבנות הראשית לישראל (תיקון - הגדלת הייצוג הנשי באסיפה הבוחרת), התשפ"ד-2024</t>
  </si>
  <si>
    <t xml:space="preserve"> (פ/4869/25)</t>
  </si>
  <si>
    <t xml:space="preserve">הצעת חוק שירות ביטחון (תיקון - הסדרי פטור משירות), התשפ"ד-2024</t>
  </si>
  <si>
    <t xml:space="preserve"> (פ/4868/25)</t>
  </si>
  <si>
    <t xml:space="preserve">הצעת חוק העונשין (תיקון - עבירות אלימות במתחם הר הבית), התשפ"ד-2024</t>
  </si>
  <si>
    <t xml:space="preserve"> (פ/4867/25)</t>
  </si>
  <si>
    <t xml:space="preserve">הצעת חוק המרכז לגביית קנסות, אגרות והוצאות (תיקון - חובת איתור חייבים), התשפ"ד-2024</t>
  </si>
  <si>
    <t xml:space="preserve"> (פ/4866/25)</t>
  </si>
  <si>
    <t xml:space="preserve">הצעת חוק לשכת עורכי הדין (תיקון - מתן הקלות במבחני לשכה למשרתי מילואים) (הוראת שעה), התשפ"ד-2024 </t>
  </si>
  <si>
    <t xml:space="preserve"> (פ/4864/25)</t>
  </si>
  <si>
    <t xml:space="preserve">הצעת חוק החברות הממשלתיות (תיקון - הוועדה לבדיקת מינויים ושינוי מבנה הרשות), התשפ"ד-2024</t>
  </si>
  <si>
    <t xml:space="preserve"> (פ/4863/25)</t>
  </si>
  <si>
    <t xml:space="preserve">הצעת חוק הכשרות המשפטית והאפוטרופסות (תיקון - צמצום סמכותו של בית המשפט להטיל את ההכרעה בעניינו של קטין על עובד סוציאלי וגורמים אחרים), התשפ"ד-2024</t>
  </si>
  <si>
    <t xml:space="preserve"> (פ/4859/25)</t>
  </si>
  <si>
    <t xml:space="preserve">הצעת חוק קרן פיצויים לנזקי הפשיעה החקלאית, התשפ"ד-2024</t>
  </si>
  <si>
    <t xml:space="preserve"> (פ/4858/25)</t>
  </si>
  <si>
    <t xml:space="preserve">הצעת חוק המרכז למורשת יהדות קווקז, תשפ"ד-2024</t>
  </si>
  <si>
    <t xml:space="preserve"> (פ/4857/25)</t>
  </si>
  <si>
    <t xml:space="preserve">הצעת חוק הרשויות המקומיות (אזורי פיתוח אקלימיים) (הוראת שעה), התשפ"ד-2024 </t>
  </si>
  <si>
    <t xml:space="preserve"> (פ/4856/25)</t>
  </si>
  <si>
    <t xml:space="preserve">הצעת חוק זכויות הסטודנט (תיקון - הקלות בתנאי קבלה למשרתי מילואים), התשפ"ד-2024</t>
  </si>
  <si>
    <t xml:space="preserve"> (פ/4855/25)</t>
  </si>
  <si>
    <t xml:space="preserve">הצעת חוק להפסקת יחסי מדינת ישראל עם סוכנות הסעד והתעסוקה של האו"ם לפליטי פלסטין במזרח הקרוב (אונר"א) והכרזתה כארגון טרור, התשפ"ד-2024</t>
  </si>
  <si>
    <t xml:space="preserve"> (פ/4854/25)</t>
  </si>
  <si>
    <t xml:space="preserve">הצעת חוק חובת התקנת מתקנים פוטו-וולטאיים ומתקני אגירת אנרגיה בבתי חולים ציבוריים כלליים, התשפ״ד-2024</t>
  </si>
  <si>
    <t xml:space="preserve"> (פ/4853/25)</t>
  </si>
  <si>
    <t xml:space="preserve">הצעת חוק לתיקון פקודת העיריות (חובת איתור חייבים), התשפ"ד-2024</t>
  </si>
  <si>
    <t xml:space="preserve"> (פ/4852/25)</t>
  </si>
  <si>
    <t xml:space="preserve">הצעת חוק עידוד תרומות עודפי תוצרת חקלאית, התשפ"ד-2024</t>
  </si>
  <si>
    <t xml:space="preserve"> (פ/4851/25)</t>
  </si>
  <si>
    <t xml:space="preserve">הצעת חוק העברת עודפי מזון שנותר ברשות בית חולים ציבורי כללי לארגון לחלוקת מזון, התשפ"ד-2024</t>
  </si>
  <si>
    <t xml:space="preserve"> (פ/4850/25)</t>
  </si>
  <si>
    <t xml:space="preserve">הצעת חוק שכר חיילים לוחמים בשירות סדיר, התשפ"ד-2024</t>
  </si>
  <si>
    <t xml:space="preserve"> (פ/4849/25)</t>
  </si>
  <si>
    <t xml:space="preserve">הצעת חוק הבנקאות (שירות ללקוח) (תיקון - הלוואה לדיור לחסרי דיור לרכישת זכות מקרקעין בדירה ראשונה), התשפ"ד-2024</t>
  </si>
  <si>
    <t xml:space="preserve"> (פ/4848/25)</t>
  </si>
  <si>
    <t xml:space="preserve">הצעת חוק לתיקון פקודת החסינויות וזכויות-היתר של האומות המאוחדות (ביטול החסינויות וזכויות-היתר של סוכנות הסעד והתעסוקה של האו"ם לפליטי פלסטין במזרח הקרוב (אונר"א)), התשפ"ד-2024</t>
  </si>
  <si>
    <t xml:space="preserve"> (פ/4847/25)</t>
  </si>
  <si>
    <t xml:space="preserve">הצעת חוק הבנקאות (שירות ללקוח) (תיקון - מחיקת חוב בנקאי לעסקים זעירים, קטנים, בינוניים ואזרחים חדלי פירעון), התשפ"ד-2024</t>
  </si>
  <si>
    <t xml:space="preserve"> (פ/4846/25)</t>
  </si>
  <si>
    <t xml:space="preserve">הצעת חוק מרשם האוכלוסין (תיקון - לאום ארמי), התשפ"ד-2024</t>
  </si>
  <si>
    <t xml:space="preserve"> (פ/4845/25)</t>
  </si>
  <si>
    <t xml:space="preserve">הצעת חוק שירותי תעופה (פיצוי וסיוע בשל ביטול טיסה או שינוי בתנאיה) (תיקון - החלת החוק על מחלקת תיירים פרימיום), התשפ"ד-2024</t>
  </si>
  <si>
    <t xml:space="preserve"> (פ/4844/25)</t>
  </si>
  <si>
    <t xml:space="preserve">הצעת חוק הבחירות לכנסת (תיקון - כתובת לצורכי בחירות), התשפ״ד-2024</t>
  </si>
  <si>
    <t xml:space="preserve"> (פ/4843/25)</t>
  </si>
  <si>
    <t xml:space="preserve">הצעת חוק תעריפי התחבורה הציבורית (תיקון - הגבלת תעריפי תחבורה ציבורית), התשפ"ד-2024</t>
  </si>
  <si>
    <t xml:space="preserve"> (פ/4842/25)</t>
  </si>
  <si>
    <t xml:space="preserve">הצעת חוק המים (תיקון - קביעת תעריפי מים לתעשיית עיבוד תוצרת חקלאית הגדלה בישראל), התשפ"ד-2024</t>
  </si>
  <si>
    <t xml:space="preserve"> (פ/4841/25)</t>
  </si>
  <si>
    <t xml:space="preserve">הצעת חוק שחרור על-תנאי ממאסר (תיקון - המרת עונש מאסר עולם), התשפ"ד-2024</t>
  </si>
  <si>
    <t xml:space="preserve"> (פ/4840/25)</t>
  </si>
  <si>
    <t xml:space="preserve"> (פ/4839/25)</t>
  </si>
  <si>
    <t xml:space="preserve">הצעת חוק למאבק באלימות משטרתית (תיקוני חקיקה), התשפ"ד-2024</t>
  </si>
  <si>
    <t xml:space="preserve"> (פ/4838/25)</t>
  </si>
  <si>
    <t xml:space="preserve">הצעת חוק לתיקון פקודת הבנקאות (חובת איתור בעלי חשבונות ללא תנועה), התשפ"ד-2024</t>
  </si>
  <si>
    <t xml:space="preserve"> (פ/4837/25)</t>
  </si>
  <si>
    <t xml:space="preserve">הצעת חוק הבנקאות (שירות ללקוח) (תיקון - הודעה ללקוח על אודות יתרה בחשבון עובר ושב שאינה נושאת ריבית), התשפ"ד-2024</t>
  </si>
  <si>
    <t xml:space="preserve"> (פ/4836/25)</t>
  </si>
  <si>
    <t xml:space="preserve">הצעת חוק משפחות חיילים שנספו במערכה (תגמולים ושיקום) (תיקון – סיוע בתשלום ביטוח רכב ואגרת רישיון לשכול), התשפ"ד–2024</t>
  </si>
  <si>
    <t xml:space="preserve"> (פ/4833/25)</t>
  </si>
  <si>
    <t xml:space="preserve">הצעת חוק מגן דוד אדום (תיקון - חיזוק הפיקוח הפרלמנטרי על האגודה), התשפ"ד-2024</t>
  </si>
  <si>
    <t xml:space="preserve"> (פ/4832/25)</t>
  </si>
  <si>
    <t xml:space="preserve">הצעת חוק-יסוד: הממשלה (תיקון - הכרה בערך הציונות)</t>
  </si>
  <si>
    <t xml:space="preserve"> (פ/4831/25)</t>
  </si>
  <si>
    <t xml:space="preserve">הצעת חוק העברת הודעת פטירה, התשפ"ד-2024</t>
  </si>
  <si>
    <t xml:space="preserve"> (פ/4830/25)</t>
  </si>
  <si>
    <t xml:space="preserve">הצעת חוק ביטוח סיעודי ממלכתי (תיקוני חקיקה), התשפ"ד-2024</t>
  </si>
  <si>
    <t xml:space="preserve"> (פ/4829/25)</t>
  </si>
  <si>
    <t xml:space="preserve">הצעת חוק איסור ניהול חשבון ביישומון החשוף לשליטת מדינה זרה, התשפ"ד-2024</t>
  </si>
  <si>
    <t xml:space="preserve"> (פ/4828/25)</t>
  </si>
  <si>
    <t xml:space="preserve">הצעת חוק הביטוח הלאומי (תיקון - חישוב תגמול עבור שירות מילואים), התשפ"ד-2024</t>
  </si>
  <si>
    <t xml:space="preserve"> (פ/4827/25)</t>
  </si>
  <si>
    <t xml:space="preserve">הצעת חוק התכנון והבנייה (תיקון - חלף היטל השבחה), התשפ"ד-2024</t>
  </si>
  <si>
    <t xml:space="preserve"> (פ/4826/25)</t>
  </si>
  <si>
    <t xml:space="preserve">הצעת חוק דמי נסיעה לעובדי בתי חולים ציבוריים כלליים בתחבורה ציבורית (תיקוני חקיקה), התשפ"ד-2024</t>
  </si>
  <si>
    <t xml:space="preserve"> (פ/4825/25)</t>
  </si>
  <si>
    <t xml:space="preserve">הצעת חוק אומנה לילדים (תיקון - המשך השמה באומנה לבגיר והעלאת גיל אומן), התשפ"ד-2024</t>
  </si>
  <si>
    <t xml:space="preserve"> (פ/4823/25)</t>
  </si>
  <si>
    <t xml:space="preserve">הצעת חוק מס להפחתת גודש התנועה באזור גוש דן (תיקון - תנאים להחלת המס), התשפ"ד-2024</t>
  </si>
  <si>
    <t xml:space="preserve"> (פ/4822/25)</t>
  </si>
  <si>
    <t xml:space="preserve">הצעת חוק זכויות העיוור, התשפ"ד-2024</t>
  </si>
  <si>
    <t xml:space="preserve"> (פ/4820/25)</t>
  </si>
  <si>
    <t xml:space="preserve">הצעת חוק הסדרת העיסוק במקצועות הבריאות (תיקון - הסדרת מקצוע הליצנות הרפואית), התשפ"ד-2024</t>
  </si>
  <si>
    <t xml:space="preserve"> (פ/4818/25)</t>
  </si>
  <si>
    <t xml:space="preserve">הצעת חוק משפחות חיילים שנספו במערכה (תגמולים ושיקום) (תיקון - הכרה בסבו וסבתו של הנספה), התשפ"ד-2024</t>
  </si>
  <si>
    <t xml:space="preserve"> (פ/4817/25)</t>
  </si>
  <si>
    <t xml:space="preserve">הצעת חוק הסיוע המשפטי (תיקון - סיוע משפטי לנכי צה"ל ולנפגעי פעולות איבה), התשפ"ד-2024 </t>
  </si>
  <si>
    <t xml:space="preserve"> (פ/4816/25)</t>
  </si>
  <si>
    <t xml:space="preserve">הצעת חוק הגנה על מתחם הר הבית, התשפ"ד-2024</t>
  </si>
  <si>
    <t xml:space="preserve"> (פ/4814/25)</t>
  </si>
  <si>
    <t xml:space="preserve">הצעת חוק עידוד העסקת קציני ים ישראלים (הוראת שעה), התשפ"ד-2024</t>
  </si>
  <si>
    <t xml:space="preserve"> (פ/4812/25)</t>
  </si>
  <si>
    <t xml:space="preserve">הצעת חוק להגברת הפיקוח על תהליכי אסדרה של מפוקחי רשות שוק ההון, התשפ"ד-2024</t>
  </si>
  <si>
    <t xml:space="preserve"> (פ/4811/25)</t>
  </si>
  <si>
    <t xml:space="preserve">הצעת חוק להגברת הפיקוח על אסדרת גופים פיננסיים (תיקוני חקיקה), התשפ"ד-2024</t>
  </si>
  <si>
    <t xml:space="preserve"> (פ/4810/25)</t>
  </si>
  <si>
    <t xml:space="preserve">הצעת חוק שירות התעסוקה (תיקון - הקמת לשכות תעסוקה), התשפ"ד-2024</t>
  </si>
  <si>
    <t xml:space="preserve"> (פ/4809/25)</t>
  </si>
  <si>
    <t xml:space="preserve"> (פ/4808/25)</t>
  </si>
  <si>
    <t xml:space="preserve">הצעת חוק העונשין (תיקון מס' 153) (החזקה, נשיאה והובלה של כמה כלי נשק), התשפ"ד–2024</t>
  </si>
  <si>
    <t xml:space="preserve"> (פ/3311/25)</t>
  </si>
  <si>
    <t xml:space="preserve"> (כ/1060)</t>
  </si>
  <si>
    <t xml:space="preserve">חוק לתיקון סדרי הדין (חקירת עדים) (תיקון מס' 10), התשפ"ד–2024</t>
  </si>
  <si>
    <t xml:space="preserve"> (פ/3475/25)</t>
  </si>
  <si>
    <t xml:space="preserve"> (כ/1009)</t>
  </si>
  <si>
    <t xml:space="preserve">23.07.2024</t>
  </si>
  <si>
    <t xml:space="preserve">החוק מחיל את ההסדרים הקבועים לגבי עדות במשפט פלילי גם על תביעה נזיקית נגד נתבע שהוגש נגדו כתב אישום בעבירה שבה נמסרת עדות של קטין או חסר ישע שהוא נפגע עבירת מין, עבירת סחר בבני אדם או עבירת אלימות חמורה המנויה בתוספת, כך שהקטין יוכל למסור את עדותו בבית המשפט באופן המותאם לו. החוק קובע  הסדר שלפיו במשפט פלילי בשל עבירת מין או סחר בבני אדם או בשל עבירות אלימות חמורה במשפחה, בית המשפט רשאי להורות כי קטין או נפגע עבירת מין או סחר בבני אדם, ימסור את עדותו שלא בנוכחות הנאשם, אם נוכח שמסירת העדות בנוכחותו עלולה לפגוע במתלונן או לפגום בעדות. בית המשפט לא יחליט כאמור אלא לאחר שנתן הזדמנות לבעלי הדין להשמיע את טענותיהם ונעשו הסידורים הדרושים כדי לאפשר לבית המשפט ולנאשם לצפות בעדות. עוד קובע החוק לעניין קטינים כי בעדות בעניין עבירה המנויה בתוספת לחוק, הנאשם לא יחקור בעצמו את הקטין אלא באמצעות סניגורו. נוסף על כך, החוק מחיל את ההסדר הקבוע לגבי עדות במשפט פלילי גם על עדות של בגיר נפגע עבירת מין או סחר בבני אדם בתביעת נזיקין נגד נתבע שהוגש נגדו כתב אישום בעבירה כאמור. בנוסף נקבע כי במקרה שבו לא הוגש כתב אישום נגד הנתבע יחולו חלק מההסדרים כך שבמקרים של תקיפה מינית או התעללות שבוצעה בקטין על ידי בן משפחה או אחראי, ובמקרים של תקיפה מינית שבוצעה במי שטרם מלאו לו 21 שנים תוך ניצול יחסי מרות או על ידי בן משפחה, בית המשפט יהיה רשאי לקבוע שהנפגע יעיד שלא בנוכחות הנתבע, ואולם, לא תאסר חקירה נגדית על ידי הנתבע. כמו כן, נקבע כי תיאסר חקירתו בדבר עברו המיני. בנוסף, הורחבה התוספת לחוק המפרטת את העבירות שבהן יחול ההסדר לעניין קטינים ושעניינן עבירות מין ועבירות אלימות מסוימות והמתייחסת הן להסדרים הקבועים לגבי עדות במשפט פלילי והן לנקבע בחוק זה בדבר עדות בתביעה נזיקית, והוספו לה עבירות חמורות נוספות.</t>
  </si>
  <si>
    <t xml:space="preserve">חוק לתיקון פקודת הנמלים (מס' 6), התשפ"ד–2024</t>
  </si>
  <si>
    <t xml:space="preserve"> (פ/4017/25)</t>
  </si>
  <si>
    <t xml:space="preserve"> (כ/1018)</t>
  </si>
  <si>
    <t xml:space="preserve">החוק קובע לראשונה איסור גורף על השטת כלי שיט ומילוי תפקיד בכלי שיט תחת השפעת אלכוהול או סם מסוכן, באמצעות הוספת פרק חדש העוסק בעניין לפקודת הנמלים [נוסח חדש], התשל"א–1971. ככלל, ההסדרים הקבועים בחוק דומים להסדרים הקיימים בפקודת התעבורה ובחוק הטיס, התשע"א–2011, לעניין נהיגה ברכב או מילוי תפקיד בכלי טיס תחת השפעת אלכוהול או סם מסוכן. החוק קובע כי הפרת האיסור על השטת כלי שיט ומילוי תפקיד בכלי שיט תחת השפעת אלכוהול או סם מסוכן היא עבירה פלילית. האיסור חל על משיט כלי השיט בפועל, על נתב הנמצא בכלי השיט במסגרת תפקידו, על כל מי שממלא תפקיד בכלי השיט כתנאי לכשירותו ולהשטתו לפי כל דין, וכן, בשל אופן השטתו של אופנוע ים – גם על נוסע באופנוע ים. הענישה הפלילית בשל הפרת האיסור עומדת על שלוש שנות מאסר או קנס לפי סעיף 61(א)(3) לחוק העונשין, התשל"ז–1977, או שני העונשים גם יחד. בנוסף קובע החוק כי בית המשפט יטיל על מי שהורשע בעבירה כאמור פסילת מינימום לתקופה של שנתיים, שבהתאם לה לא יוכל להחזיק או לקבל תעודות למילוי תפקיד בכלי שיט או להשטתו לפי חוק הספנות (ימאים) התשל"ג–1973, אלא אם כן התקיימו נסיבות מיוחדות המצדיקות להטיל את הפסילה לתקופה קצרה יותר. אם אדם הורשע בעבירה מאותו סוג גם בשנה הקודמת, תעמוד תקופת פסילת המינימום על ארבע שנים. בית המשפט רשאי להטיל גם פסילה על תנאי. בנוסף, במקרים מסוימים יוכלו גם שוטר או קצין משטרה להטיל פסילה כאמור, וזאת לזמן מוגבל.  החוק קובע עבירה נוספת, שעניינה אדם שנמסרה לו הודעה על פסילתו מלהחזיק או מלקבל תעודות כאמור, ולמרות זאת הוא ממלא תפקיד בכלי שיט או שהוא ממלא את תפקידו בניגוד לתנאים שנוספו בתעודתו. העונש בשל עבירה זו יהיה מאסר של שלוש שנים, קנס לפי סעיף 61(א)(3) לחוק העונשין, או שניהם. עוד כולל החוק הוראות מפורטות לעניין סמכותם של שוטרים לבצע בדיקות וליטול דגימות מאדם העומד למלא תפקיד בכלי שיט, מאדם הממלא תפקיד בכלי שיט, או מאדם שסיים זה עתה למלא תפקיד כאמור, כדי לבחון האם מצוי בגופם אלכוהול או סם מסוכן, ובכלל זה הוראות לעניין אופן נטילת הדגימות.  החוק קובע כי בית המשפט, ובתנאים מסוימים גם שוטר, יוכלו להורות על איסור שימוש בכלי השיט, אם נמצא כי אדם מילא בו תפקיד בהיותו תחת השפעת אלכוהול או סם מסוכן, או לאחר שאדם הורשע כאמור.  עוד קובע החוק כי שופטי תעבורה הם שיהיו מוסמכים לדון בעבירות לפי החוק, וזאת בשל המומחיות שלהם בטיפול בתיקי נהיגה בשכרות, הדומים לתיקים שצפויים להגיע לפתחם לפי החוק. מועד כניסתו לתוקף של החוק הוא ביום ג' בניסן התשפ"ה (1.4.2025). </t>
  </si>
  <si>
    <t xml:space="preserve">חוק זכויות הסטודנט (תיקון מס' 9 – הוראת שעה – חרבות ברזל), התשפ"ד–2024</t>
  </si>
  <si>
    <t xml:space="preserve"> (פ/4381/25)</t>
  </si>
  <si>
    <t xml:space="preserve"> (כ/1038)</t>
  </si>
  <si>
    <t xml:space="preserve">נקבע תיקון לחוק בהוראת שעה לשנה"ל האקדמיות התשפ"ה והתשפ"ו, שקובע מתן עדיפות בזכאות לדיור במעונות - לסטודנט או למועמד ששירת במלחמת "חרבות ברזל" כלוחם בסדיר לתקופה ממושכת או כלוחם במילואים ל-30 יום לפחות, או שנפצע ובשל כך לא השלים את התקופה, וכן למי שפונה בשל המלחמה והיה מפונה חצי שנה לפני תחילת שנה"ל ולחטופים ששוחררו ולמשפחות החטופים והנעדרים. העדיפות תינתן בשני מסלולים: בראשון - המוסד יעניק ניקוד למועמד או לסטודנט כאמור לצורך קביעת זכאות למעונות, ובהתחשב בשיקולים נוספים כמו מצב חברתי-כלכלי; בשני - המוסד יקצה 30-25% מכלל המקומות במעונות לסטודנטים ולמועמדים כאמור. השיעור המדויק יקבע ע"י המוסד בהתחשב במאפייניו. ההסדר יחול על מי ששירתו כאמור או היו מפונים בתקופה שמ-7.10.23 ועד 3 חודשים מתחילת החוק; שר החינוך, בהתייעצות עם המל"ג ובאישור ועדת החינוך, יוכל להאריך את התקופה בשתי תקופות נוספות של עד 6 חודשים כל אחת, עקב הימשכות המלחמה. זכאות למעונות שנקבעה לפני תחילת החוק לא תבוטל.</t>
  </si>
  <si>
    <t xml:space="preserve">חוק הבנקאות (רישוי) (תיקון מס' 32), התשפ"ד–2024</t>
  </si>
  <si>
    <t xml:space="preserve"> (פ/2480/25)</t>
  </si>
  <si>
    <t xml:space="preserve"> (כ/1029)</t>
  </si>
  <si>
    <t xml:space="preserve">חוק הבנקאות (רישוי) מסמיך את המפקח על הבנקים או עובד בנק ישראל שהמפקח על הבנקים הסמיך לכך, לאשר בקשה של תאגיד בנקאי לסגור סניף בנק קבוע או להתנגד לסגירתו. כמו כן, רשאי המפקח להתנות את סגירת הסניף בתנאים, לרבות דחיית מועד הסגירה. בהחלטה כאמור, נדרש המפקח לאזן בין מגוון שיקולים שונים, ובהם תרומת הסניף לשירותים הניתנים ללקוחות התאגיד הבנקאי, להתפתחות עסקי התאגיד הבנקאי ולטובת הציבור, והכול כמפורט בחוק. בשל ההשלכות השליליות שעלולות להיות לסגירת סניף בנק על ציבור הלקוחות שלו, ובמיוחד על הקשישים שבהם, נקבע כי כל החלטה בבקשה לסגירת סניף תהיה טעונה אישור של ועדת הרישיונות, ולא רק החלטה בהתנגדות לסגירת סניף כפי שהיה קבוע עד היום. בהתאם לכך, ומשום שוועדת הרישיונות מתכנסת אחת למספר חודשים, הוארכו לוחות הזמנים למתן החלטת המפקח כך שזו תינתן בתוך 90 ימים מיום קבלת הבקשה לסגירת סניף או מיום קבלת פרטים נוספים הדרושים לבדיקת הבקשה, לפי העניין. ועדת הרישיונות הינה ועדה המורכבת מנציגי ציבור ותפקידה הוא לייעץ לנגיד בנק ישראל ולמפקח במתן רישיונות, היתרים ואישורים על פי החוק.  כמו כן, נקבע כי המפקח ידווח לוועדת הכלכלה של הכנסת, פעמיים בשנה, במהלך שלוש שנות הדיווח הראשונות, ולאחר מכן אחת לשנה, על יישום הוראות ההסדר הנוגעות לסגירת סניפי בנק קבועים וכן על מדיניות המפקח וועדת הרשיונות בבחינת בקשה לסגירת סניף בנק קבוע.  מעבר לכך, נקבע כי התאגיד הבנקאי יהיה חייב לפרסם הודעה על סגירת הסניף באתר האינטרנט שלו וזאת בנוסף לחובת ההודעה בדרך של הודעה בכתב וכן בדרכים שבהן הוא נוהג למסור הודעות ללקוחות, החלה עליו כבר היום. </t>
  </si>
  <si>
    <t xml:space="preserve">חוק לתיקון פקודת מס הכנסה (מס' 273), התשפ"ד–2024</t>
  </si>
  <si>
    <t xml:space="preserve"> (פ/4392/25)</t>
  </si>
  <si>
    <t xml:space="preserve"> (כ/1039)</t>
  </si>
  <si>
    <t xml:space="preserve">החוק קובע כי יחיד, שהוא או בן זוגו שירת שירות מילואים בתקופה שמיום 7 באוקטובר 2023 ועד סוף שנת המס 2023, יהיה רשאי לבקש לראות לעניין הטבות מס, סכומים ששילם לקופת גמל לקצבה או לקרן השתלמות לעצמאיים, כאילו שולמו בשנת המס 2023, אף אם שולמו בשנת 2024.</t>
  </si>
  <si>
    <t xml:space="preserve">חוק למניעת הטרדה מינית (תיקון מס' 16), התשפ"ד–2024</t>
  </si>
  <si>
    <t xml:space="preserve"> (פ/2705/25)</t>
  </si>
  <si>
    <t xml:space="preserve"> (כ/1024)</t>
  </si>
  <si>
    <t xml:space="preserve">הוועדה לקידום מעמד האישה ולשוויון מגדרי</t>
  </si>
  <si>
    <t xml:space="preserve">חוק הקמת מאגר מידע גנטי של כלבים, התשפ"ד–2024</t>
  </si>
  <si>
    <t xml:space="preserve"> (פ/690/25)</t>
  </si>
  <si>
    <t xml:space="preserve"> (כ/999)</t>
  </si>
  <si>
    <t xml:space="preserve">החוק מאפשר לרשות מקומית שתרצה בכך להקים ולהפעיל בתחומה מאגר DNA מקומי לכלבים אשר בעליהם מתגוררים דרך קבע באותה רשות. רשות מקומית שהקימה מאגר כאמור תהיה רשאית ליטול מכלבים אשר בעליהם מתגוררים דרך קבע בתחומה, באופן חד פעמי, דגימת DNA לשם עריכת בדיקה גנטית לכלב אולם לא תהיה סנקציה פלילית על בעל כלב שסירב לתת דגימה. הרשות תהיה רשאית להשתמש במידע הגנטי המצוי במאגר כדי לאתר בעלי כלב שגלליו נמצאו ברשות הרבים בתחומה. </t>
  </si>
  <si>
    <t xml:space="preserve">חוק יום בריאות הנפש, התשפ"ד-2024</t>
  </si>
  <si>
    <t xml:space="preserve"> (פ/47/25)</t>
  </si>
  <si>
    <t xml:space="preserve"> (כ/1027)</t>
  </si>
  <si>
    <t xml:space="preserve">נקבע בחוק כי יתקיים בישראל יום ציון שנתי לבריאות הנפש ב-10 באוקטובר, המועד שבו מצוין יום זה בעולם. זאת, לשם הגברת מודעות הציבור לנושא, קידום ההכרה בזכויות של מתמודדי נפש ולשם הפחתת דעות קדומות כלפיהם. יום זה יצוין, בין השאר, במליאת הכנסת, בבית הנשיא, במערכת הבריאות, במשרד הרווחה ובשירותי הרווחה ברשויות המקומיות, במוסד לביטוח לאומי, במשרדי העבודה, השיכון, המשפטים, העלייה והקליטה והתרבות והספורט; כן יצוין בערכאות השיפוט, בצה"ל ובמשטרה, ברשויות המקומיות, ובמסגרות החינוך הבלתי פורמלי. יום זה יצוין גם במערכת החינוך, אם יחליט על כך שר החינוך. שר הבריאות הוא הממונה על ביצוע החוק.</t>
  </si>
  <si>
    <t xml:space="preserve">חוק נטילת אמצעי זיהוי ביומטריים מזרים, הפקת נתוני זיהוי ביומטריים ומאגר מידע, התשפ"ד-2024</t>
  </si>
  <si>
    <t xml:space="preserve"> (מ/1458)</t>
  </si>
  <si>
    <t xml:space="preserve">22.07.2024</t>
  </si>
  <si>
    <t xml:space="preserve">נקבע שעובד משרד הפנים או עובד ציבורי אחר אותו הסמיך השר רשאים ליטול אמצעי זיהוי ביומטריים ולהפיק מהם נתוני זיהוי ביומטריים, לצורך הכללתם במאגר הביומטרי שהוקם לפי החוק. בנוסף הוחלט לאפשר לעובדי משרד החוץ לבצע פעולות טרם הגעתם של זרים ארצה לשם ייעול הליך הזיהוי, כמו כן הוחלט לאפשר שימוש באמצעים ממוענים לצורך קבלת המידע הביומטרי. בנוסף קובע החוק את בעלי התפקידים שרשאים לערוך השוואה בין אמצעי הזיהוי הביומטרים הניטלים מזר לבין מסמך נסיעה שלו, ופירוט של בעלי התפקידים שרשאים להשוות את אמצעי הזיהוי שניטלו לאלה הכלולים במאגר המידע. וכן נקבעו התנאים שבהם ניתן ליטול אמצעי זיהוי ביומטריים תוך שימוש בכוח סביר והאופן בו תבוצע נטילה במקרים חריגים אלה.    כמו כן, קובע החוק המוצע הסדרים שמטרתם לשמור על פרטיותם של הזרים שמהם ניטלו אמצעי זיהוי ביומטריים, הסדרים לשמירה על כבוד האדם ועל פרטיותו של זר שניטלים ממנו אמצעים ביומטריים, הגבלות על בעלי הסמכויות לביצוע פעולות על פי ההסדר שנקבע, הוראות מיוחדות לעניין השמירה על המידע ומניעת אגירתו במאגרים משניים שאינם המתנהלים לפי חוק זה. בנוסף, נקבעו בו הוראות שנועדו להבטיח את סודיות המידע שבמאגר, אבטחת המידע שבו, בין היתר, באמצעות מנגנוני פיקוח ובקרה שיופעלו בידי הממונה על יישומים ביומטריים וכן הפיקוח על שמירת המידע והגנת הפרטיות בידי עובד שזה יהיה תפקידו.</t>
  </si>
  <si>
    <t xml:space="preserve">חוק ניוד מידע רפואי, התשפ"ד-2024</t>
  </si>
  <si>
    <t xml:space="preserve"> (פ/956/25)</t>
  </si>
  <si>
    <t xml:space="preserve"> (כ/1032)</t>
  </si>
  <si>
    <t xml:space="preserve">מטרת החוק היא להסדיר את זכותו של כל אדם לניוד המידע הרפואי על אודותיו לשם שיפור הטיפול הרפואי בו ומצבו הבריאותי, והכול תוך שמירה על פרטיותו ובהסכמתו. נקבע כי נותני שירותי בריאות המנויים בחוק יחויבו בהעברת מידע רפואי ביניהם, אם ניתנה הסכמת המטופל להעברת המידע לגביו ורק למטרות הקבועות בחוק שהן: טיפול רפואי במטופל, העברת מידע מקופת חולים שבה היה אדם מבוטח לקופת החולים שעבר אליה ושירות של הצגת כלל המידע הרפואי למבוטח על ידי קופת החולים שבה הוא מבוטח. נותני שירותי הבריאות שיחויבו בהעברת מידע כאמור הם, בין היתר, קופת חולים, בית חולים ציבורי, מרכז רפואי גריאטרי ומשרד הבריאות לעניין שירותי הבריאות שהוא נותן לפי התוספת השלישית לחוק ביטוח בריאות ממלכתי (כגון טיפות החלב). המידע יועבר באמצעות ממשק שנועד להעברת מידע בין גופים באופן מאובטח ויבוקש לפי סלי המידע הדרושים למימוש המטרה ובהיקף הקטן ביותר הדרוש מתוך סלי המידע המנויים בתוספת לחוק. המנהל הכללי של משרד הבריאות מוסמך לקבוע הוראות לעניין אופן העברת המידע בממשק, ובכלל זה קידוד המידע והבניית הנתונים. כמו כן, המנהל מוסמך לקבוע הוראות לעניין הגנה על המידע הרפואי שיעבור בממשק לפי ההסדר. עוד נקבעו הוראות לעניין היתר לקבלת מידע רפואי לפי החוק, הסכמה להעברת המידע הרפואי, סייגים להעברת המידע, מערכת לניהול הרשאות גישה, אפשרות לכלול בתי חולים נוספים בהסדר, שמירת דינים, עונשין, דיווח של נותני שירותי הבריאות למנהל הכללי של משרד הבריאות ושל המנהל לוועדת הבריאות של הכנסת ותקנות ראשונות. תחילתו של החוק ב-24.7.2027, אך לגבי סלי מידע מסוימים נקבעה תחילה מאוחרת יותר. כמו כן, על פי החוק, שר הבריאות, באישור ועדת הבריאות של הכנסת, רשאי לדחות, בצו, את תחילת החוק בשתי תקופות נוספות שלא יעלו על שנתיים כל אחת כמפורט בחוק. </t>
  </si>
  <si>
    <t xml:space="preserve">חוק הבנקאות (רישוי) (תיקון מס' 31), התשפ"ד-2024</t>
  </si>
  <si>
    <t xml:space="preserve"> (מ/1738)</t>
  </si>
  <si>
    <t xml:space="preserve">החוק מטפל בשני נושאים: האחד, הקלה על מכירת אחזקותיה של חברת כרטיסי האשראי "כאל" על ידי בנק דיסקונט, וזאת על ידי ביטול האיסורים החלים על גוף מוסדי גדול ועל תאגיד ריאלי משמעותי הנוגעים לרכישת אמצעי שליטה בחברת כרטיסי אשראי מבנק בעל היקף פעילות רחב, וכן על ידי הארכת המועדים האחרונים להפרדה בין בנק דיסקונט לחברת כאל. הנושא השני נוגע לעידוד התחרות בשוק האשראי על ידי הרחבת האיסור לגבי שליטה בחברת כרטיסי אשראי גם לבנק בעל היקף פעילות בינוני, ועל ידי כך מניעת מצב שבו יש שחקן השולט בחברת כרטיסי אשראי, אך הוא נעדר תמריצים לפעול באופן אגרסיבי באותו שוק.  </t>
  </si>
  <si>
    <t xml:space="preserve">חוק הגישה לתוכן דיגיטלי לאחר פטירתו של אדם, התשפ"ד–2024</t>
  </si>
  <si>
    <t xml:space="preserve"> (פ/4163/25)</t>
  </si>
  <si>
    <t xml:space="preserve"> (כ/1016)</t>
  </si>
  <si>
    <t xml:space="preserve">החוק קובע כי ספקי שירות תוכן דיגיטלי יקבעו ויפרסמו כללים בנוגע לאופן הטיפול והגישה לתוכן אישי של משתמש לאחר פטירתו. נקבע כי אותם כללים יפורסמו באופן נגיש וברור בשפה שבה ניתן השירות. במסגרת אותם כללים, על הספק לקבוע הוראות שיאפשרו למשתמש לבחור להעניק לאדם אחר גישה לתוכן האישי שלו או לחלק ממנו, או לא להעניק גישה לאדם אחר כלל. עם זאת, הספק רשאי לקבוע כי לחלק מהתוכן האמור לא תינתן גישה. בנוסף, נקבע כי בנוגע לתקשורת בין אישית, בין אדם לאדם, לא תחול על הספק החובה לקבוע הוראות כאמור. כמו כן, נקבע כי שר המשפטים יהיה מוסמך, באישור ועדת החוקה, להוסיף בתוספת שירותים שעליהם לא תחול החובה לקביעת הוראות. נקבע כי על הספק לעדכן את המשתמשים על הכללים שקבע ועל בחירת המשתמש מעת לעת, וכי הוראות אלו יחולו גם על ספק שירות תוכן דיגיטלי שאינו מישראל ככל שהוא מציע את שירותיו למשתמשים ישראלים ומכוון את שירותיו למשתמשים כאמור.</t>
  </si>
  <si>
    <t xml:space="preserve">חוק בתי המשפט (תיקון מס' 103), התשפ"ד–2024</t>
  </si>
  <si>
    <t xml:space="preserve"> (מ/1633)</t>
  </si>
  <si>
    <t xml:space="preserve">החוק נחקק במטרה לאפשר לממשלה לאשרר את אמנת סינגפור, שישראל הייתה מעורבת במשא ומתן לגיבושה וחתמה עליה בשנת 2019. האמנה מבקשת להגביר את השימוש בהסדרי גישור בעניינים מסחריים ובינלאומיים, על ידי הענקת ודאות שהסדרי הגישור יכובדו וייאכפו במדינות שונות, בלי צורך לפרשנות דיני החוזים של כל מדינה. על כן, האמנה קובעת כי הרשויות המוסמכות במדינות שהן צד לאמנה יפעלו במהירות בעת דיון בבקשה לסעד מכוחה, יאכפו בתחומן הסדרי גישור בינלאומיים חתומים בעניינים מסחריים ויאפשרו שימוש בהסכמי גישור כטענת הגנה בהליך משפטי על ידי צד לסכסוך.  בחוק נקבע שהוראות האמנה יחולו רק על הסדרי גישור שהצדדים להם הסכימו שהאמנה תחול עליהם. </t>
  </si>
  <si>
    <t xml:space="preserve">חוק התמודדות עם תקיפות סייבר חמורות במגזר השירותים הדיגיטליים ושירותי האחסון (הוראת שעה – חרבות ברזל) (תיקון), התשפ"ד-2024</t>
  </si>
  <si>
    <t xml:space="preserve"> (מ/1754)</t>
  </si>
  <si>
    <t xml:space="preserve">ביום י"ד בטבת התשפ"ד (26 בדצמבר 2023), פורסם חוק התמודדות עם תקיפות סייבר חמורות במגזר השירותים הדיגיטליים ושירותי האחסון (הוראת שעה – חרבות ברזל) (תיקון), התשפ"ד–2024, כהוראת שעה למשך שבעה חודשים. 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במקרה שנקבע כי תקיפת סייבר היא חמורה, החוק קובע הליך פעולה לטובת איתור התקיפה, מניעתה או בלימתה בהקדם האפשרי. מעבר לכך, נקבעו הוראות בעניין חובת סודיות והגבלת שימוש במידע, וכן חובת דיווח ליועצת המשפטית לממשלה ולוועדת החוץ והביטחון של הכנסת.  במסגרת התיקון לחוק, נוספה לחובת הדיווח כאמור חובת דיווח בעניין מספר המקרים שבהם ניתנה לספק הזדמנות להשמיע את טענותיו כאשר העובד המוסמך הודיע לספק על כוונתו לתת לו הוראות לביצוע פעולות לרבות להגנת סייבר בחומר מחשב, במידה והספק לא פעל באופן הולם לאיתור התקיפה, מניעתה או בלימתה, ולא מסר תצהיר לעובד המוסמך בדבר פעולות אלו. כמו כן, הוארכה הוראת השעה כאמור עד ליום ב' בניסן התשפ"ה (31 במרץ 2025). </t>
  </si>
  <si>
    <t xml:space="preserve"> (פ/4807/25)</t>
  </si>
  <si>
    <t xml:space="preserve">הצעת חוק הנחה לחיילי צה"ל לוחמים בתחבורה ציבורית, התשפ"ד-2024</t>
  </si>
  <si>
    <t xml:space="preserve"> (פ/4806/25)</t>
  </si>
  <si>
    <t xml:space="preserve">הצעת חוק ליווי בני משפחות של משרתים בגופי ביטחון ששלחו יד בנפשם, התשפ"ד-2024</t>
  </si>
  <si>
    <t xml:space="preserve"> (פ/4805/25)</t>
  </si>
  <si>
    <t xml:space="preserve">הצעת חוק משפחות חיילים שנספו במערכה (תגמולים ושיקום) (תיקון - תגמולים לשכול שאין לו בן זוג שכול), התשפ"ד-2024</t>
  </si>
  <si>
    <t xml:space="preserve"> (פ/4804/25)</t>
  </si>
  <si>
    <t xml:space="preserve">הצעת חוק הכרה בתרומתם של כלבים בשירות ביטחון, התשפ"ד-2024</t>
  </si>
  <si>
    <t xml:space="preserve"> (פ/4803/25)</t>
  </si>
  <si>
    <t xml:space="preserve">הצעת חוק משפחות חיילים שנספו במערכה (תגמולים ושיקום) (תיקון - תוספת תגמול להורים שכולים מבוגרים), התשפ"ד-2024</t>
  </si>
  <si>
    <t xml:space="preserve"> (פ/4802/25)</t>
  </si>
  <si>
    <t xml:space="preserve">הצעת חוק שירות חובה לכל, התשפ"ד-2024</t>
  </si>
  <si>
    <t xml:space="preserve"> (פ/4801/25)</t>
  </si>
  <si>
    <t xml:space="preserve">הצעת חוק נציבות תלונות אסירים, התשפ"ד-2024</t>
  </si>
  <si>
    <t xml:space="preserve"> (פ/4799/25)</t>
  </si>
  <si>
    <t xml:space="preserve">הצעת חוק מימון שכר לימוד לסטודנטים באזורי מלחמה ועימות (הוראת שעה - חרבות ברזל), התשפ"ד-2024</t>
  </si>
  <si>
    <t xml:space="preserve"> (פ/4797/25)</t>
  </si>
  <si>
    <t xml:space="preserve">הצעת חוק מרשם האוכלוסין (תיקון - לאום ארמי), התשפ"ד-2024 </t>
  </si>
  <si>
    <t xml:space="preserve"> (פ/4796/25)</t>
  </si>
  <si>
    <t xml:space="preserve">הצעת חוק הפיקוח על שירותים פיננסיים (קופות גמל) (תיקון - הגדלת הסכום המרבי להפקדה בקופות גמל להשקעה), התשפ"ד-2024</t>
  </si>
  <si>
    <t xml:space="preserve"> (פ/4795/25)</t>
  </si>
  <si>
    <t xml:space="preserve">הצעת חוק הביטוח הלאומי (תיקון - שלילת קצבאות שמשולמות לפעילי טרור ובני משפחותיהם מחוץ לישראל), התשפ"ד-2024</t>
  </si>
  <si>
    <t xml:space="preserve"> (פ/4794/25)</t>
  </si>
  <si>
    <t xml:space="preserve">הצעת חוק הביטוח הלאומי (תיקון - הגבלת שכר טרחה עבור טיפול בתביעה לנפגעי איבה), התשפ"ד-2024</t>
  </si>
  <si>
    <t xml:space="preserve"> (פ/4793/25)</t>
  </si>
  <si>
    <t xml:space="preserve">הצעת חוק ביטוח סיעוד ממלכתי (תיקוני חקיקה), התשפ"ד-2024</t>
  </si>
  <si>
    <t xml:space="preserve"> (פ/4792/25)</t>
  </si>
  <si>
    <t xml:space="preserve">הצעת חוק הרשות הלאומית למאבק בעוני, התשפ"ד-2024</t>
  </si>
  <si>
    <t xml:space="preserve"> (פ/4791/25)</t>
  </si>
  <si>
    <t xml:space="preserve">הצעת חוק היקף עבודה במתכונת חודשית, התשפ"ד-2024</t>
  </si>
  <si>
    <t xml:space="preserve"> (פ/4788/25)</t>
  </si>
  <si>
    <t xml:space="preserve">הצעת חוק העונשין (תיקון - מאבק בפשיעה החקלאית), התשפ"ד-2024 </t>
  </si>
  <si>
    <t xml:space="preserve"> (פ/4786/25)</t>
  </si>
  <si>
    <t xml:space="preserve">הצעת חוק לתיקון פקודת מס הכנסה (הוראת שעה - חרבות ברזל) (נקודות זיכוי בעד בן זוג במילואים), התשפ"ד-2024</t>
  </si>
  <si>
    <t xml:space="preserve"> (פ/4785/25)</t>
  </si>
  <si>
    <t xml:space="preserve">הצעת חוק הסיוע המשפטי (תיקון - נפגעי עבירות מין), התשפ"ד-2024</t>
  </si>
  <si>
    <t xml:space="preserve"> (פ/4783/25)</t>
  </si>
  <si>
    <t xml:space="preserve">הצעת חוק סל הקליטה (תיקון - זכאות בני משפחה של עולה), התשפ"ד-2024</t>
  </si>
  <si>
    <t xml:space="preserve"> (פ/4781/25)</t>
  </si>
  <si>
    <t xml:space="preserve">הצעת חוק הביטוח הלאומי (תיקון - מענק לכיסוי הוצאות בלידת בית), התשפ"ד-2024</t>
  </si>
  <si>
    <t xml:space="preserve"> (פ/4780/25)</t>
  </si>
  <si>
    <t xml:space="preserve">הצעת חוק לשכת עורכי הדין (תיקון - התמחות ומבחני הסמכה), התשפ"ד-2024</t>
  </si>
  <si>
    <t xml:space="preserve"> (פ/4778/25)</t>
  </si>
  <si>
    <t xml:space="preserve">הצעת חוק משפחות חיילים שנספו במערכה (תגמולים ושיקום) (תיקון - תגמולים ושיקום לאישה שהיא הורה ליתומיו של נספה), התשפ"ד-2024</t>
  </si>
  <si>
    <t xml:space="preserve"> (פ/4777/25)</t>
  </si>
  <si>
    <t xml:space="preserve">הצעת חוק התאמת לוח חופשות הלימודים לשעות העבודה והמנוחה במשק (תיקוני חקיקה), התשפ"ד-2024</t>
  </si>
  <si>
    <t xml:space="preserve"> (פ/4775/25)</t>
  </si>
  <si>
    <t xml:space="preserve">הצעת חוק הפיקוח על מעונות יום לפעוטות (תיקון - סמכות משרד החינוך), התשפ"ד-2024</t>
  </si>
  <si>
    <t xml:space="preserve"> (פ/4774/25)</t>
  </si>
  <si>
    <t xml:space="preserve">הצעת חוק המאבק בטרור (תיקון - סנקציות על מוסדות פיננסיים), התשפ"ד-2024</t>
  </si>
  <si>
    <t xml:space="preserve"> (פ/4773/25)</t>
  </si>
  <si>
    <t xml:space="preserve">הצעת חוק מוכנות ותגובה לתקריות של זיהום הים והסביבה החופית בשמן, התשפ"ד-2024</t>
  </si>
  <si>
    <t xml:space="preserve"> (פ/4771/25)</t>
  </si>
  <si>
    <t xml:space="preserve">הצעת חוק הנכים (תגמולים ושיקום) (תיקון - פצועים בשירות סדיר), התשפ"ד-2024</t>
  </si>
  <si>
    <t xml:space="preserve"> (פ/4770/25)</t>
  </si>
  <si>
    <t xml:space="preserve">הצעת חוק התכנון והבנייה (תיקון - חובת הקמת מערכת סולארית לייצור חשמל במבנים), התשפ"ד-2024</t>
  </si>
  <si>
    <t xml:space="preserve"> (פ/4769/25)</t>
  </si>
  <si>
    <t xml:space="preserve">הצעת חוק חובת המכרזים (תיקון - עידוד עסקים קטנים ובינוניים בשליטת משרתי מילואים), התשפ"ד-2024</t>
  </si>
  <si>
    <t xml:space="preserve"> (פ/4768/25)</t>
  </si>
  <si>
    <t xml:space="preserve">הצעת חוק הרשויות המקומיות (פטור חיילים, נפגעי מלחמה ושוטרים מארנונה) (תיקון - פטור מארנונה לבית עסק של משרת בשירות מילואים פעיל), התשפ"ד-2024</t>
  </si>
  <si>
    <t xml:space="preserve"> (פ/4767/25)</t>
  </si>
  <si>
    <t xml:space="preserve">הצעת חוק החיילים המשוחררים (החזרה לעבודה) (תיקון - הרחבת תקופת הגנה מפני פיטורים למשרתים במילואים), התשפ"ד-2024</t>
  </si>
  <si>
    <t xml:space="preserve"> (פ/4766/25)</t>
  </si>
  <si>
    <t xml:space="preserve">הצעת חוק-יסוד: הממשלה (תיקון - תקופת כהונה מרבית בתפקיד ראש הממשלה)</t>
  </si>
  <si>
    <t xml:space="preserve"> (פ/4765/25)</t>
  </si>
  <si>
    <t xml:space="preserve">הצעת חוק תחנות טיפת חלב, התשפ''ד-2024</t>
  </si>
  <si>
    <t xml:space="preserve"> (פ/4764/25)</t>
  </si>
  <si>
    <t xml:space="preserve"> (פ/4763/25)</t>
  </si>
  <si>
    <t xml:space="preserve">הצעת חוק הכנסת (תיקון – חובת התייצבות בפני ועדות הכנסת), התשפ"ד–2024</t>
  </si>
  <si>
    <t xml:space="preserve"> (פ/4762/25)</t>
  </si>
  <si>
    <t xml:space="preserve">הצעת חוק זיכרון השואה והגבורה - יד ושם (תיקון - הנצחת גבורתם ופעילותם של יהודים שחרפו נפשם על מנת להציל את בני עמם בשטחים הכבושים על ידי הנאצים), התשפ"ד-2024</t>
  </si>
  <si>
    <t xml:space="preserve"> (פ/4761/25)</t>
  </si>
  <si>
    <t xml:space="preserve">הצעת חוק החיילים המשוחררים (החזרה לעבודה) (תיקון - צבירת חופשה למשרתים במילואים), התשפ"ד-2024</t>
  </si>
  <si>
    <t xml:space="preserve"> (פ/4760/25)</t>
  </si>
  <si>
    <t xml:space="preserve">הצעת חוק להפסקת פעילות סוכנות הסעד והתעסוקה של האו"ם לפליטי פלסטין במזרח הקרוב (אונר"א), התשפ"ג-2022</t>
  </si>
  <si>
    <t xml:space="preserve"> (פ/741/25)</t>
  </si>
  <si>
    <t xml:space="preserve">הצעת חוק העונשין (תיקון - חזקת סוחר בכלי נשק), התשפ"ג-2023</t>
  </si>
  <si>
    <t xml:space="preserve"> (פ/3683/25)</t>
  </si>
  <si>
    <t xml:space="preserve">21.07.2024</t>
  </si>
  <si>
    <t xml:space="preserve">הצעת חוק הסיוע המשפטי (תיקון - נפגעי עבירות מין), התשפ"ג-2023</t>
  </si>
  <si>
    <t xml:space="preserve"> (פ/2088/25)</t>
  </si>
  <si>
    <t xml:space="preserve">הצעת חוק צער בעלי חיים (הגנה על בעלי חיים) (תיקון מס' 12) (איסור עיסוק ברבייה ובמכירה של כלבים ללא היתר), התשפ"ד–2024</t>
  </si>
  <si>
    <t xml:space="preserve"> (פ/2130/25)</t>
  </si>
  <si>
    <t xml:space="preserve"> (כ/1005)</t>
  </si>
  <si>
    <t xml:space="preserve">18.07.2024</t>
  </si>
  <si>
    <t xml:space="preserve">הצעת חוק ביטוח בריאות ממלכתי (תיקון - מתן מענה מנומק על ידי קופת החולים), התשפ"ד-2024</t>
  </si>
  <si>
    <t xml:space="preserve"> (פ/4601/25)</t>
  </si>
  <si>
    <t xml:space="preserve"> (פ/4349/25)</t>
  </si>
  <si>
    <t xml:space="preserve">הצעת חוק ביטוח בריאות ממלכתי (תיקון מס' 70) (מענה מנומק על אי-אישור קבלת שירות בריאות מקופת חולים), התשפ"ד–2024</t>
  </si>
  <si>
    <t xml:space="preserve"> (פ/4193/25)</t>
  </si>
  <si>
    <t xml:space="preserve"> (כ/1031)</t>
  </si>
  <si>
    <t xml:space="preserve">הצעת חוק הכשרות המשפטית והאפוטרופסות (תיקון - סמכויות האפוטרופוס), התשפ"ג-2023</t>
  </si>
  <si>
    <t xml:space="preserve"> (פ/3748/25)</t>
  </si>
  <si>
    <t xml:space="preserve">הצעת חוק עקרונות האסדרה (תיקון - פקיעת אסדרה), התשפ"ג-2023</t>
  </si>
  <si>
    <t xml:space="preserve"> (פ/2213/25)</t>
  </si>
  <si>
    <t xml:space="preserve">17.07.2024</t>
  </si>
  <si>
    <t xml:space="preserve">הצעת חוק המועצה להשכלה גבוהה (תיקון - פיטורי סגל אקדמי בשל הסתה או תמיכה בטרור והפחתת תקציב), התשפ"ד-2024</t>
  </si>
  <si>
    <t xml:space="preserve"> (פ/4684/25)</t>
  </si>
  <si>
    <t xml:space="preserve">חוק מניעת פגיעת גוף שידורים זר בביטחון המדינה (הוראת שעה – חרבות ברזל) (תיקון), התשפ"ד–2024</t>
  </si>
  <si>
    <t xml:space="preserve"> (מ/1776)</t>
  </si>
  <si>
    <t xml:space="preserve">ביום כ"ג באדר ב' התשפ"ד (2 באפריל 2024), פורסם חוק מניעת פגיעת גוף שידורים זר בביטחון המדינה (הוראת שעה – חרבות ברזל), התשפ"ד–2024, במסגרתו 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הוראה זו תינתן לאחר שתוצג בפני ראש הממשלה ושר התקשורת חוות דעת מקצועית אחת לפחות מגורמי הביטחון;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לצד אפשרות להאריך תקופה זו לתקופה זהה לכל היותר בכל פעם, בכפוף, בין היתר, להצגת חוות דעת מקצועית כאמור. כמו כן, נקבע כי הוראה של שר התקשורת כאמור, ובפרט הארכתה, תובא לפני נשיא בית משפט מחוזי או סגנו בהקדם האפשרי לטובת ביקורת שיפוטית, במסגרתה יחליט האם לשנותה.   במסגרת התיקון, הוארכה הוראת השעה כאמור עד ליום כ"ט בחשוון התשפ"ה (30 בנובמבר 2024).  </t>
  </si>
  <si>
    <t xml:space="preserve">הצעת חוק הקמת ועדת חקירה ממלכתית לאירועי 7 באוקטובר ומלחמת חרבות ברזל, התשפ"ד-2024</t>
  </si>
  <si>
    <t xml:space="preserve"> (פ/4620/25)</t>
  </si>
  <si>
    <t xml:space="preserve">הצעת חוק הקמת ועדת חקירה ממלכתית לאירועי 7 באוקטובר, התשפ"ד-2024</t>
  </si>
  <si>
    <t xml:space="preserve"> (פ/4618/25)</t>
  </si>
  <si>
    <t xml:space="preserve">הצעת חוק היחידה המיוחדת לחילופי מידע של גופי הביטחון והרשויות האזרחיות, התשפ"ד-2024 </t>
  </si>
  <si>
    <t xml:space="preserve"> (פ/4480/25)</t>
  </si>
  <si>
    <t xml:space="preserve">הצעת חוק הביטוח הלאומי (תיקון - החשבת תקופת מילואים לעניין עבודה מועדפת), התשפ"ד-2024</t>
  </si>
  <si>
    <t xml:space="preserve"> (פ/4183/25)</t>
  </si>
  <si>
    <t xml:space="preserve">הצעת חוק הביטוח הלאומי (תיקון - הארכת תקופת הזכאות למענק עבודה מועדפת בחקלאות ובבנייה) (הוראת שעה), התשפ"ד-2024</t>
  </si>
  <si>
    <t xml:space="preserve"> (פ/4159/25)</t>
  </si>
  <si>
    <t xml:space="preserve">הצעת חוק יום הזיכרון לטבח שמחת תורה, התשפ"ד-2023</t>
  </si>
  <si>
    <t xml:space="preserve"> (פ/4100/25)</t>
  </si>
  <si>
    <t xml:space="preserve">הצעת חוק הביטוח הלאומי (תיקון - עבודה במסגרות טיפוליות), התשפ"ג-2023</t>
  </si>
  <si>
    <t xml:space="preserve"> (פ/3784/25)</t>
  </si>
  <si>
    <t xml:space="preserve">הצעת חוק להענקת זכויות במקרקעין ביישוב מיעוטים למי שנבצר ממנו להשלים את שירותו הצבאי ולאלמנות צה"ל (תיקוני חקיקה), התשפ"ג-2023</t>
  </si>
  <si>
    <t xml:space="preserve"> (פ/2246/25)</t>
  </si>
  <si>
    <t xml:space="preserve">הצעת חוק סדר הדין הפלילי (סמכויות אכיפה - מעצרים) (תיקון - הגדרת מסוכנות של פוגעים בבעלי חיים), התשפ"ג-2023</t>
  </si>
  <si>
    <t xml:space="preserve"> (פ/1939/25)</t>
  </si>
  <si>
    <t xml:space="preserve">הצעת חוק הביטוח הלאומי (תיקון - עבודה מועדפת בענף המסעדנות), התשפ"ג-2023</t>
  </si>
  <si>
    <t xml:space="preserve"> (פ/1667/25)</t>
  </si>
  <si>
    <t xml:space="preserve">הצעת חוק רכזי ביטחון שוטף צבאיים, התשפ''ג-2023</t>
  </si>
  <si>
    <t xml:space="preserve"> (פ/1246/25)</t>
  </si>
  <si>
    <t xml:space="preserve">הצעת חוק הרשות לטיפול בנפגעי הלם קרב, התשפ"ג-2022</t>
  </si>
  <si>
    <t xml:space="preserve"> (פ/763/25)</t>
  </si>
  <si>
    <t xml:space="preserve">הצעת חוק מס ערך מוסף (תיקון - מס בשיעור אפס על ספרי לימוד), התשפ"ג-2022</t>
  </si>
  <si>
    <t xml:space="preserve"> (פ/357/25)</t>
  </si>
  <si>
    <t xml:space="preserve">הצעת חוק רכזי ביטחון שוטף צבאיים, התשפ"ג-2022</t>
  </si>
  <si>
    <t xml:space="preserve"> (פ/216/25)</t>
  </si>
  <si>
    <t xml:space="preserve">הצעת חוק העונשין (תיקון - השחתת מודעות על רקע מגדר), התשפ"ג-2022</t>
  </si>
  <si>
    <t xml:space="preserve"> (פ/115/25)</t>
  </si>
  <si>
    <t xml:space="preserve">הצעת חוק ההוצאה לפועל (תיקון - טלפונים ניידים ומחשבים אישיים), התשפ"ג-2022</t>
  </si>
  <si>
    <t xml:space="preserve"> (פ/45/25)</t>
  </si>
  <si>
    <t xml:space="preserve">16.07.2024</t>
  </si>
  <si>
    <t xml:space="preserve">הצעת חוק לתיקון פקודת מסי העירייה ומסי הממשלה (פטורין) (פטור מארנונה למצללה), התשפ"ג-2023 </t>
  </si>
  <si>
    <t xml:space="preserve"> (פ/3467/25)</t>
  </si>
  <si>
    <t xml:space="preserve">הצעת חוק לתיקון פקודת בריאות העם (הנגשת מידע ופנקס חיסונים למחוסן), התשפ"ד-2024</t>
  </si>
  <si>
    <t xml:space="preserve"> (פ/4359/25)</t>
  </si>
  <si>
    <t xml:space="preserve">חוק מחיקת רישומים פליליים ומשטרתיים של יוצאי אתיופיה, התשפ"ד–2024</t>
  </si>
  <si>
    <t xml:space="preserve"> (פ/4005/25)</t>
  </si>
  <si>
    <t xml:space="preserve"> (כ/1019)</t>
  </si>
  <si>
    <t xml:space="preserve">החוק קובע כי יימחק פרט רישום פלילי ויבוטל פרט רישום משטרתי של יוצא אתיופיה, שעניינו עבירה של הפרת סדר ציבורי המנויה בתוספת לחוק ואשר נעברה עד סוף שנת 2020. זאת, בתנאי שלא הוטל על אותו אדם עונש מאסר בפועל לגבי אותה עבירה או שאין לו פרט רישום פלילי או משטרתי נוסף. בין העבירות המנויות בתוספת: עבירת ההפרעה לסדר ציבורי, העלבה והפרעה לעובד ציבור, הפרעה לשוטר במילוי תפקידו, התפרעות והתקהלות אסורה, התנהגות פסולה במקום ציבורי והכשלת מעצר חוקי. </t>
  </si>
  <si>
    <t xml:space="preserve">חוק שיקום נכי נפש בקהילה (תיקון מס' 2), התשפ"ד-2024</t>
  </si>
  <si>
    <t xml:space="preserve"> (פ/4255/25)</t>
  </si>
  <si>
    <t xml:space="preserve"> (כ/1026)</t>
  </si>
  <si>
    <t xml:space="preserve">חוק זה מחליף בחוק שיקום נכי נפש בקהילה, התש"ס-2000, את המונח "נכה נפש" על הטיותיו במונח "מתמודד נפש", וכן מתקן בהתאמה אזכורים של חוק שיקום נכי נפש בקהילה בחוקים אחרים.</t>
  </si>
  <si>
    <t xml:space="preserve">חוק הגנה על זכויות בדירת המשפחה של ילד שהורהו הומת בידי בן זוגו, התשפ"ד-2024</t>
  </si>
  <si>
    <t xml:space="preserve"> (פ/358/25)</t>
  </si>
  <si>
    <t xml:space="preserve"> (כ/1013)</t>
  </si>
  <si>
    <t xml:space="preserve">החוק קובע שבמקרה בו אדם מורשע בהמתה של בן זוגו ולבני הזוג יש דירת מגורים משותפת, ההחלטות באשר לניהול הדירה יתקבלו על ידי הילדים המשותפים או ילדי בן הזוג שהומת בלבד, ללא צורך בהסכמת בן הזוג הממית. הילדים יוכלו להחליט לגור בדירה ללא הסכמת בן הזוג הממית כאמור, או לחילופין להשכיר או למכור את הדירה, ואולם החלטה על מכירת הדירה תהיה טעונה את אישורו של בית המשפט. בכל מקרה, ככל שהתקבלה תמורה מהשכרה או ממכירה של הדירה, בן הזוג שהמית יקבלו את חלקו. החוק קובע כי למעט החלטה באשר לעסקה במקרקעין הטעונה רישום, ההסדר יחול כבר מעת הגשת כתב האישום. בנוסף, אם חויב בן הזוג הממית במזונות או במדור עבור הילדים, יוכלו הילדים לקזז את הסכומים המגיעים להם מהכספים להם הוא זכאי מהם כתמורה מהשכרה או מכירה של הדירה.</t>
  </si>
  <si>
    <t xml:space="preserve"> (פ/2729/25)</t>
  </si>
  <si>
    <t xml:space="preserve">15.07.2024</t>
  </si>
  <si>
    <t xml:space="preserve"> (פ/2376/25)</t>
  </si>
  <si>
    <t xml:space="preserve"> (פ/2375/25)</t>
  </si>
  <si>
    <t xml:space="preserve"> (פ/2374/25)</t>
  </si>
  <si>
    <t xml:space="preserve">חוק שוויון זכויות לאנשים עם מוגבלות (תיקון מס' 22 והוראת שעה) (תיקון), התשפ"ד-2024</t>
  </si>
  <si>
    <t xml:space="preserve"> (מ/1637)</t>
  </si>
  <si>
    <t xml:space="preserve">בהתחשב בעיכוב שחל בהפעלת ההסדר בעניין נגישות אדם עם מוגבלות המסתייע בחיית סיוע, וכדי הקל על אדם כאמור, התיקון לחוק מעדכן את מועדי הוראות השעה והוראות המעבר המפורטים להלן שנקבעו בחוק שוויון זכויות לאנשים עם מוגבלות (תיקון מס' 22), התשפ"ב–2022:  א. ההוראה הפוטרת אדם עם מוגבלות המלווה בחיית סיוע מנשיאת תעודת חיית סיוע הוארכה עד ליום 1.7.2025 (במקום 1.11.2023).  ב. ההוראה המזכה את מי שכבר נעזר בחיית סיוע לקבל עבורה תעודה בכפוף להשלמת מבחן כשירות, תתייחס למי שהייתה לו חיית סיוע ביום 31.12.2024 (במקום רק למי שהיתה לו חיית סיוע ביום 30.4.2023).  ג. שלוש השנים שבהן הליך ההכשרה יוכר גם אם הוא בוצע שלא על ידי מרכז הכשרה והדרכה, והשנתיים שבהן יוכל השר להכיר במרכז הכשרה והדרכה גם אם רק החל בהליך הכרה בארגון הגג יחלו להימנות מיום 1.1.2025 (במקום מיום 1.5.2023). </t>
  </si>
  <si>
    <t xml:space="preserve">חוק סמכויות לשם שמירה על ביטחון הציבור (תיקון מס' 8), התשפ"ד–2024</t>
  </si>
  <si>
    <t xml:space="preserve"> (כ/1020)</t>
  </si>
  <si>
    <t xml:space="preserve">חוק סמכויות לשם שמירה על ביטחון הציבור, התשס"ה–2005, נועד להקנות סמכויות שונות לשוטרים, חיילים ומאבטחים לשם שמירה על ביטחון הציבור מפני פעילות חבלנית עוינת ומפני אלימות, וזאת במקום ובדרך שיבטיחו שמירה מרבית על כבוד האדם, פרטיותו וזכויותיו.  במסגרת תיקון מספר 8, נקבע כי לחייל שנתמנה לפי פקודות הצבא לשמור על מקום המוחזק על ידי צבא הגנה לישראל או המשמש למטרה ביטחונית, תהא סמכות חיפוש על גופו של אדם או בכלי תחבורה אם ישנו חשד סביר כי ניסה להיכנס או לחדור לאותו מקום ללא רשות כדין, על מנת לברר האם אותו אדם נושא עימו נשק שלא כדין או מחזיק בכלי התחבורה נשק שלא כדין. כמו כן, נקבע כי חייל כאמור יהיה רשאי לעכב אדם המנסה להיכנס או לחדור ללא רשות כדין למקום עליו הוא שומר, עד לבואו של שוטר. עוד נקבע כי ראש המטה הכללי, או מי שהסמיך לכך, יקבע הוראות לעניין סימון ומעקב אחר כלי נשק צבאי, אחריות קצין המפקד על בסיסי צבא הגנה לישראל לשמור על כלי נשק המוחזקים בו וסימון וגידור מתחמים המוחזקים על ידי צבא הגנה לישראל.  </t>
  </si>
  <si>
    <t xml:space="preserve">חוק מקורות אנרגיה (תיקון מס' 5), התשפ"ד-2024</t>
  </si>
  <si>
    <t xml:space="preserve"> (מ/1741)</t>
  </si>
  <si>
    <t xml:space="preserve">מטרת החוק היא להפחית את הנטל הרגולטורי על יבוא מכשירי חשמל ובכך להפחית את יוקר המחיה. מוצע להקל על יבואני מכשירים צורכי אנרגיה ולאפשר להם להציג מסמך התאמה לדרישות חוקית היבוא האירופיות כתנאי לאישור היבוא, להסמיך את השר לפטור סוגי מכשירים שיקבע מקבל אישור יבוא ולקבוע כי אישור שניתן ינתן לתקופה בלתי מוגבלת אלא אם השתנו דרישות הנצילות האנרגטית שעל בסיסה ניתן האישור. כן מוצע להוסיף פרק שעוסק בהתראה מינהלית שאותה ניתן להמציא חלף הטלת עיצום כספי.</t>
  </si>
  <si>
    <t xml:space="preserve">חוק הביטוח הלאומי (תיקון מס' 247), התשפ"ד–2024</t>
  </si>
  <si>
    <t xml:space="preserve"> (פ/775/24)</t>
  </si>
  <si>
    <t xml:space="preserve"> (כ/902)</t>
  </si>
  <si>
    <t xml:space="preserve">החוק קובע כי חיסכון ארוך טווח לילד שהוריו לא בחרו היכן יופקדו הכספים תוך שישה חודשים מיום לידתו, ינוהל בקופת גמל להשקעה במסלול בסיכון מוגבר עד גיל 15. בהגיע הילד לגיל 15, יועבר החיסכון למסלול בסיכון מועט באותה קופת גמל. </t>
  </si>
  <si>
    <t xml:space="preserve">חוק לתיקון ולהארכת תוקפן של תקנות שעת חירום (חרבות ברזל) (פגישה עם עורך דין של עצור בעבירת ביטחון) (תיקון מס' 3), התשפ"ד-2024</t>
  </si>
  <si>
    <t xml:space="preserve"> (מ/1775)</t>
  </si>
  <si>
    <t xml:space="preserve">החוק מאריך את תוקפן של תקנות שעת חירום המאפשרות מניעת פגישה של עצורים ביטחוניים, הקשורים לפעולות האיבה שהתרחשו בין יום ה-7 באוקטובר לבין ה-10 באוקטובר 2023 או למלחמה בעזה, עם עורכי הדין שלהם התקנות יעמדו בתוקף עד ה-15 בנובמבר 2024.</t>
  </si>
  <si>
    <t xml:space="preserve">חוק לתיקון ולהארכת תוקפן של תקנות שעת חירום (חרבות ברזל) (הארכת מעצר לחשוד בעבירת ביטחון) (תיקון מס' 3), התשפ"ד-2024</t>
  </si>
  <si>
    <t xml:space="preserve"> (מ/1774)</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</si>
  <si>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ה-15 בנובמבר 2024.</t>
  </si>
  <si>
    <t xml:space="preserve">הצעת חוק הכנסת (תיקון - אמירת אמת והתייצבות בפני ועדות הכנסת), התשפ"ד-2024</t>
  </si>
  <si>
    <t xml:space="preserve"> (פ/4758/25)</t>
  </si>
  <si>
    <t xml:space="preserve">הצעת חוק יסודות התקציב (תיקון - אישור תוספת שכרית לגוף ביטחוני והעברת תקציב בין תוכניות ובין משרדים - הוראת שעה), התשפ"ד-2024</t>
  </si>
  <si>
    <t xml:space="preserve"> (פ/4757/25)</t>
  </si>
  <si>
    <t xml:space="preserve"> (פ/4755/25)</t>
  </si>
  <si>
    <t xml:space="preserve">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t>
  </si>
  <si>
    <t xml:space="preserve"> (פ/4754/25)</t>
  </si>
  <si>
    <t xml:space="preserve">הצעת חוק עיטור הפציעה הקרבית, התשפ"ד-2024 </t>
  </si>
  <si>
    <t xml:space="preserve"> (פ/4752/25)</t>
  </si>
  <si>
    <t xml:space="preserve">הצעת חוק העונשין (תיקון מס' 140 - הוראת שעה) (תיקון - הארכת תוקף ושינוי הוועדה המפקחת), התשפ"ד-2024</t>
  </si>
  <si>
    <t xml:space="preserve"> (פ/4751/25)</t>
  </si>
  <si>
    <t xml:space="preserve">הצעת חוק יום לציון אסון יהודי תימן (גירוש מוזע), התשפ"ד-2024</t>
  </si>
  <si>
    <t xml:space="preserve"> (פ/4750/25)</t>
  </si>
  <si>
    <t xml:space="preserve"> (פ/4748/25)</t>
  </si>
  <si>
    <t xml:space="preserve">הצעת חוק זכויות החולה (תיקון - קבלת חוות דעת נוספת על מצב רפואי), התשפ"ד-2024</t>
  </si>
  <si>
    <t xml:space="preserve"> (פ/4747/25)</t>
  </si>
  <si>
    <t xml:space="preserve">הצעת חוק הירושה (תיקון - זכאות מתמודד נפש לרשת), התשפ"ד-2024</t>
  </si>
  <si>
    <t xml:space="preserve"> (פ/4746/25)</t>
  </si>
  <si>
    <t xml:space="preserve">הצעת חוק הנצחת זכרם וגבורתם של נופלי ושורדי מלחמת עוטף ישראל, התשפ"ד-2024</t>
  </si>
  <si>
    <t xml:space="preserve"> (פ/4744/25)</t>
  </si>
  <si>
    <t xml:space="preserve">הצעת חוק להטמעת מורשת יהדות צפון אפריקה במערכת החינוך וההשכלה הגבוהה, התשפ"ד-2024</t>
  </si>
  <si>
    <t xml:space="preserve"> (פ/4743/25)</t>
  </si>
  <si>
    <t xml:space="preserve">הצעת חוק צער בעלי חיים (הגנה על בעלי חיים) (תיקון - המעמד המשפטי של בעל חיים כיצור חי בעל תחושות ורגשות), התשפ"ד-2024</t>
  </si>
  <si>
    <t xml:space="preserve"> (פ/4742/25)</t>
  </si>
  <si>
    <t xml:space="preserve">הצעת חוק התגמולים לנפגעי פעולות איבה (תיקון - קבורה בחלקה לבחירת המשפחה), התשפ"ד-2024</t>
  </si>
  <si>
    <t xml:space="preserve"> (פ/4741/25)</t>
  </si>
  <si>
    <t xml:space="preserve">הצעת חוק שוויון זכויות לאנשים עם מוגבלות (תיקון - הנפקת תעודות לבעלי מוגבלות בראיה), התשפ"ד-2024</t>
  </si>
  <si>
    <t xml:space="preserve"> (פ/4740/25)</t>
  </si>
  <si>
    <t xml:space="preserve"> (פ/4739/25)</t>
  </si>
  <si>
    <t xml:space="preserve">הצעת חוק הבנקאות (שירות ללקוח) (תיקון - סירוב בלתי סביר למתן שירות בנקאי בשל הטלת עיצומים מצד מדינה זרה), התשפ"ד-2024</t>
  </si>
  <si>
    <t xml:space="preserve"> (פ/4734/25)</t>
  </si>
  <si>
    <t xml:space="preserve">הצעת חוק הגבלת השימוש ורישום פעולות בחלקי רכב משומשים (מניעת גניבות) (תיקון - חובות החלות בעת רכישה או מכירה של רכב ניזוק), התשפ"ד-2024</t>
  </si>
  <si>
    <t xml:space="preserve"> (פ/4732/25)</t>
  </si>
  <si>
    <t xml:space="preserve">הצעת חוק הכשרות המשפטית והאפוטרופסות (תיקון - קבלת אישור מראש לביצוע עסקה), התשפ"ד-2024</t>
  </si>
  <si>
    <t xml:space="preserve"> (פ/4731/25)</t>
  </si>
  <si>
    <t xml:space="preserve">הצעת חוק התקשורת (בזק ושידורים) (תיקון - הקפאת שימוש במספר טלפון של חייל שנספה במערכה או אדם שנספה בפעולת איבה), התשפ"ד-2024</t>
  </si>
  <si>
    <t xml:space="preserve"> (פ/4730/25)</t>
  </si>
  <si>
    <t xml:space="preserve">הצעת חוק הסיוע המשפטי (תיקון - סיוע משפטי לנפגעי עבירות), התשפ"ג-2022</t>
  </si>
  <si>
    <t xml:space="preserve"> (פ/344/25)</t>
  </si>
  <si>
    <t xml:space="preserve">11.07.2024</t>
  </si>
  <si>
    <t xml:space="preserve">הצעת חוק פיקוח על מחירי מצרכים ושירותים (תיקון - פיקוח על מוצרי מזון בריא בסיסיים), התשפ"ד-2024 </t>
  </si>
  <si>
    <t xml:space="preserve"> (פ/4395/25)</t>
  </si>
  <si>
    <t xml:space="preserve">10.07.2024</t>
  </si>
  <si>
    <t xml:space="preserve">הצעת חוק חניה לנכים (תיקון - זכאות תג נכה לצמיתות), התשפ"ד-2024</t>
  </si>
  <si>
    <t xml:space="preserve"> (פ/4388/25)</t>
  </si>
  <si>
    <t xml:space="preserve"> (פ/4109/25)</t>
  </si>
  <si>
    <t xml:space="preserve">הצעת חוק פיקוח על מחירי מצרכים ושירותים (תיקון - פיקוח על מוצרי מזון בריא בסיסיים), התשפ"ג-2023 </t>
  </si>
  <si>
    <t xml:space="preserve"> (פ/1469/25)</t>
  </si>
  <si>
    <t xml:space="preserve">הצעת חוק זכויות הסטודנט (תיקון - התאמות לאוכלוסייה הערבית - חגים), התשפ"ג-2023</t>
  </si>
  <si>
    <t xml:space="preserve"> (פ/1267/25)</t>
  </si>
  <si>
    <t xml:space="preserve">הצעת חוק התכנון והבנייה (תיקון - ביטול התניית חיבור לחשמל, מים וטלפון באישור תאגיד המים), התשפ"ג-2022</t>
  </si>
  <si>
    <t xml:space="preserve"> (פ/555/25)</t>
  </si>
  <si>
    <t xml:space="preserve">הצעת חוק עבודת נשים (תיקון - תקופת לידה והורות להורה יחיד), התשפ"ג-2022</t>
  </si>
  <si>
    <t xml:space="preserve"> (פ/541/25)</t>
  </si>
  <si>
    <t xml:space="preserve">הצעת חוק הסדרים במשק המדינה (תיקוני חקיקה להשגת יעדי התקציב) (תיקון - חישוב עליית מחירי הארנונה), התשפ"ג-2023</t>
  </si>
  <si>
    <t xml:space="preserve"> (פ/1928/25)</t>
  </si>
  <si>
    <t xml:space="preserve">09.07.2024</t>
  </si>
  <si>
    <t xml:space="preserve">הצעת חוק לתיקון פקודת החסינות וזכויות-היתר של האומות המאוחדות (ביטול החסינויות וזכויות-היתר של סוכנות הסעד והתעסוקה של האו"ם לפליטי פלסטין במזרח הקרוב (אונר"א)), התשפ"ד-2024</t>
  </si>
  <si>
    <t xml:space="preserve"> (פ/4333/25)</t>
  </si>
  <si>
    <t xml:space="preserve">הצעת חוק-יסוד: ירושלים בירת ישראל (תיקון - איסור על פתיחת נציגות דיפלומטית זרה)</t>
  </si>
  <si>
    <t xml:space="preserve"> (פ/3570/25)</t>
  </si>
  <si>
    <t xml:space="preserve">הצעת חוק שוויון ההזדמנויות בעבודה (תיקון - הארכת תקופת ההתיישנות), התשפ"ג-2023</t>
  </si>
  <si>
    <t xml:space="preserve"> (פ/3600/25)</t>
  </si>
  <si>
    <t xml:space="preserve">08.07.2024</t>
  </si>
  <si>
    <t xml:space="preserve"> (פ/1431/25)</t>
  </si>
  <si>
    <t xml:space="preserve">פרק ז' (רכבת תחתית (מטרו) – רכיב למימון) מתוך הצעת חוק ההתייעלות הכלכלית (תיקוני חקיקה להשגת יעדי התקציב לשנות התקציב 2023 ו-2024), התשפ"ג-2023 [פוצלה לפי סעיף 84(ב) לתקנון]</t>
  </si>
  <si>
    <t xml:space="preserve"> (פ/4727/25)</t>
  </si>
  <si>
    <t xml:space="preserve">הצעת חוק המועצה לענף הלול (ייצור ושיווק) (תיקון - סימון ביצים), התשפ"ד-2024</t>
  </si>
  <si>
    <t xml:space="preserve"> (פ/4725/25)</t>
  </si>
  <si>
    <t xml:space="preserve">הצעת חוק שירות המדינה (מינויים) (תיקון - מינוי נציב שירות המדינה ומינויים באמצעות ועדת איתור), התשפ"ד-2024</t>
  </si>
  <si>
    <t xml:space="preserve"> (פ/4724/25)</t>
  </si>
  <si>
    <t xml:space="preserve">הצעת חוק העונשין (תיקון - חיוב בהוצאות משפט שהוציא נפגע העבירה), התשפ"ד-2024</t>
  </si>
  <si>
    <t xml:space="preserve"> (פ/4721/25)</t>
  </si>
  <si>
    <t xml:space="preserve">הצעת חוק מועדי כינוס הכנסת בתקופת מלחמת חרבות ברזל וביטול הפגרה (הוראת שעה), התשפ"ד-2024 </t>
  </si>
  <si>
    <t xml:space="preserve"> (פ/4718/25)</t>
  </si>
  <si>
    <t xml:space="preserve">הצעת חוק הכנסת (תיקון - כינוס הכנסת בעת מצב מיוחד בעורף או מצב מלחמה), התשפ"ד-2024</t>
  </si>
  <si>
    <t xml:space="preserve"> (פ/4717/25)</t>
  </si>
  <si>
    <t xml:space="preserve">הצעת חוק לתיקון פקודת התעבורה (סימון אחיד להסדרי חניה), התשפ"ד-2024</t>
  </si>
  <si>
    <t xml:space="preserve"> (פ/4716/25)</t>
  </si>
  <si>
    <t xml:space="preserve">הצעת חוק דמי הבראה, התשפ"ד-2024</t>
  </si>
  <si>
    <t xml:space="preserve"> (פ/4715/25)</t>
  </si>
  <si>
    <t xml:space="preserve">הצעת חוק המכר (דירות) (תיקון - חובת מסירת תוכניות הדירה לקונה), התשפ"ד-2024</t>
  </si>
  <si>
    <t xml:space="preserve"> (פ/4714/25)</t>
  </si>
  <si>
    <t xml:space="preserve"> (פ/4713/25)</t>
  </si>
  <si>
    <t xml:space="preserve"> (פ/4712/25)</t>
  </si>
  <si>
    <t xml:space="preserve">חוק הירושה (תיקון מס' 21), התשפ"ד–2024</t>
  </si>
  <si>
    <t xml:space="preserve"> (פ/514/25)</t>
  </si>
  <si>
    <t xml:space="preserve">03.07.2024</t>
  </si>
  <si>
    <t xml:space="preserve">בתיקון החוק נקבע כי די יהיה בכך שבית המשפט יקבע, בהליך אזרחי ועל פי כללי המשפט האזרחי, כי אדם גרם, בכוונה או באדישות, למותו של המוריש, כדי שהוא יהיה פסול לרשת אותו ולא רק אם הוא הורשע בהמתה בדין פלילי כפי שהיה עד לתיקון. אולם, ההרחבה האמורה לא תחול על יורש שיוכיח, ברמת ההוכחה הנדרשת במשפט אזרחי, כי מתקיימות נסיבות של סייג לפליליות המעשה. נקבע כי לבית המשפט יש שיקול דעת לקבוע, מנימוקים מיוחדים שיירשמו, כי מי שגרם למותו של המוריש לא ייפסל מלרשת אותו או ייפסל רק חלקית מלרשת אותו, בהתחשב בנסיבות ההמתה או ההרשעה, אם שוכנע כי זה היה רצון המוריש. בנוסף, הצעת החוק קובעת הסדרים הנוגעים לחליפים של אותם יורשים שנפסלו מלרשת. לגבי ילדיו של יורש שפסול לרשת, שהוא ילדו או צאצא ילדו של המוריש נקבע כי ברירת המחדל היא שילדים אלה יורשים את המוריש במקום ההורה שנפסל לרשת. ואולם, בית המשפט מוסמך לקבוע כי הילדים האמורים לא ירשו במקום ההורה, אם שוכנע כי זהו רצון המוריש. לגבי ילדיו של יורש שפסול לרשת שהוא קרובו של המוריש אך אינו ילדו או צאצא ילדו נקבע כי ברירת מחדל תהיה הפוכה, כלומר ילדים אלה לא ירשו את המוריש במקום ההורה שנפסל לרשת. גם במקרה זה בית המשפט מוסמך לקבוע כי הילדים האמורים כן ירשו במקום ההורה, אם שוכנע כי זהו רצון המוריש.</t>
  </si>
  <si>
    <t xml:space="preserve">חוק לדחיית הבחירות הכלליות לרשויות המקומיות (תיקון מס' 2), התשפ"ד-2024</t>
  </si>
  <si>
    <t xml:space="preserve"> (מ/1759)</t>
  </si>
  <si>
    <t xml:space="preserve">נקבע שאוצר המדינה ישפה סיעה, מועמד או רשימה שהתמודדו בבחירות האחרונות לרשויות המקומיות ובהם לא התרחשו לבסוף בחירות, בסכום השווה להוצאות הבחירות שהוציאו בפועל וכדין, ובלבד שהסכום לא יעלה על 75% מסכום המימון הכולל ברשות, בניכוי מקדמות שהתקבלו. עלה הסכום הכולל לתשלום לכלל המועמדים על 115% מסכום המימון לכלל הרשויות המקומיות הרלוונטיות, יופחתו סכומי התשלום אותם יקבלו המועמדים בשיעור שווה. התשלום יותנה בהגשת בקשה תוך 30 ימים לשר הפנים והגשת דוח כספי למבקר המדינה. בנוסף מוצע שתותר תרומה נוספת מאדם, אף אם תרם את התרומה המירבית לטובת הבחירות שלא התקיימו.</t>
  </si>
  <si>
    <t xml:space="preserve">חוק הכנסת (תיקון מס' 52), התשפ"ד–2024</t>
  </si>
  <si>
    <t xml:space="preserve"> (כ/1021)</t>
  </si>
  <si>
    <t xml:space="preserve">תיקון מס' 52 לחוק הכנסת מסדיר את הליך הערעור על החלטה של ועדת הכנסת שלפיה חבר הכנסת פרש מסיעתו. לפי התיקון, חבר הכנסת שהוגדר כפורש וסיעתו יהיו רשאים לערער לבית המשפט העליון (ולא המחוזי כקבוע היום). כמו כן נקצבו זמנים להליך: הערעור יוגש בתוך 14 ימים מיום ההחלטה, ופסק הדין יינתן בהקדם האפשרי ולא יאוחר מ-30 ימים מיום הגשת הערעור.</t>
  </si>
  <si>
    <t xml:space="preserve">חוק העונשין (תיקון מס' 143 והוראת שעה) (תיקון), התשפ"ד–2024</t>
  </si>
  <si>
    <t xml:space="preserve"> (פ/4062/25)</t>
  </si>
  <si>
    <t xml:space="preserve"> (כ/1028)</t>
  </si>
  <si>
    <t xml:space="preserve">תיקון החוק קובע הוראת שעה, עד ל-5 ביולי 2028, לפיה בחוק העונשין נקבעו עונשי מינימום בגין פגיעה בקטינים ובחסרי ישע בידי האחראים עליהם במסגרת חינוכית או טיפולית, שאינם בני משפחתם. כך, נקבע שככלל, על בית המשפט להטיל עליהם עונש מאסר בפועל, בגין עבירת חבלה של ממש או חבלה חמורה, ועונש מינימום של חמישית מהעונש המרבי בגין עבירה של התעללות. </t>
  </si>
  <si>
    <t xml:space="preserve">חוק הגנת הסביבה (ייעול הליכי רישוי סביבתי) (תיקוני חקיקה), התשפ"ד-2024</t>
  </si>
  <si>
    <t xml:space="preserve">מטרת החוק להביא לרפורמה כוללת במשטר הרישוי הנוהג של מפעלים ועסקים שהם בעלי פוטנציאל לגרימת מפגעים וסיכונים לבריאות הציבור ולסביבה , זאת באמצעות תיקון מקיף לחוק אויר נקי התשס"ח - 2008 ולחוק החמרים המסוכנים התשנ"ג - 1993 החוק קובע הסדר לקבלת היתר אחוד לפיו יידרשו מפעלים או עסקים להחזיק באחד מתוך שני היתרים, לפי סוג  הפעילות המבוצעת בהם – היתר פליטה אחוד מכוח חוק אוויר נקי או היתר רעלים אחוד מכוח חוק החמרים המסוכנים. ההיתר האחוד יחליף את הצורך בקבלת כמה סוגי היתרים כפי שנדרש במצב הקיים ערב חקיקת החוק, והוא יכלול  תנאים המסדירים את כלל ההשפעות של העיסוק טעון ההיתר על בריאות הציבור והסביבה בהיבטים של צמצום פליטות וזיהום לאוויר, לקרקע ולמים, להגנה על בריאות הציבור ולמניעת מפגעים ומטרדים לסביבה. קביעת התנאים בהיתרים תיעשה מתוך בחינת מכלול ההשפעות הסביבתיות של העיסוק ותוך איזון ביניהן. עיקרון מרכזי נוסף בחוק קובע כי הליכי הרישוי ובכללם אופן הגשת הבקשה להיתר והתנאים שיקבעו בו, וכן תקנות שייקבעו מכוח החוק  ייעשו ככלל  בהתאם לאסדרה המקובלת באיחוד האירופי,  ולסטנדרטים המקובלים הקבועים בה, זאת בהתאם להנחיות שיפרסם בעניין המשרד להגנת הסביבה..  לעניין תיקון חוק החמרים המסוכנים כולל החוק גם תיקונים משמעותיים להוראות החוק הקיים שהיה צורך בעדכונן. בנוסף, במסגרת תיקון זה  סווגו מחדש סוגי הפעילויות שטעונות היתר רעלים לפי החוק, גם כן בהתאם לאסדרה האירופית, כך שנקבעו בו שני סוגי היתרי רעלים (היתר רעלים א' ו-ב') וכן נקבע פטור מהיתר לחלק מהפעילויות הטעונות היתר כיום. עוד נקבע כי תוקף היתרי הרעלים יוארך משמעותית ויעמוד על עשר שנים. עוד נקבעו בחוק הוראות מעבר, לפיהן תיושם הרפורמה באופן הדרגתי עד להחלתה על כלל סוגי העיסוקים המוסדרים בחוק. </t>
  </si>
  <si>
    <t xml:space="preserve">הצעת חוק חיילים משוחררים (החזרה לעבודה) (תיקון - הרחבת תקופת הגנה מפני פיטורים למשרתים במילואים), התשפ"ד-2024</t>
  </si>
  <si>
    <t xml:space="preserve"> (פ/4339/25)</t>
  </si>
  <si>
    <t xml:space="preserve"> (פ/4261/25)</t>
  </si>
  <si>
    <t xml:space="preserve"> (פ/4114/25)</t>
  </si>
  <si>
    <t xml:space="preserve"> (פ/4105/25)</t>
  </si>
  <si>
    <t xml:space="preserve">הצעת חוק החברות (תיקון - מכסות ייצוג לנשים בדירקטוריונים של חברות ציבוריות), התשפ"ג-2023</t>
  </si>
  <si>
    <t xml:space="preserve"> (פ/3833/25)</t>
  </si>
  <si>
    <t xml:space="preserve"> (פ/3369/25)</t>
  </si>
  <si>
    <t xml:space="preserve">הצעת חוק העסקת עובדים על ידי קבלני כוח אדם (תיקון - קבלן שירות בתחום הסיעוד), התשפ"ד-2024</t>
  </si>
  <si>
    <t xml:space="preserve"> (פ/4407/25)</t>
  </si>
  <si>
    <t xml:space="preserve">02.07.2024</t>
  </si>
  <si>
    <t xml:space="preserve">הצעת חוק עובדים זרים (תיקון - אי־תחולת הסדר פנסיוני על עובד זר המועסק אצל יחיד בענף הסיעוד), התשפ"ג-2023</t>
  </si>
  <si>
    <t xml:space="preserve"> (פ/3818/25)</t>
  </si>
  <si>
    <t xml:space="preserve"> (פ/3579/25)</t>
  </si>
  <si>
    <t xml:space="preserve">הצעת חוק עובדים זרים (תיקון - אי-תחולת הסדר פנסיוני על עובד זר המועסק אצל יחיד בענף הסיעוד), התשפ"ג-2023</t>
  </si>
  <si>
    <t xml:space="preserve"> (פ/3038/25)</t>
  </si>
  <si>
    <t xml:space="preserve">הצעת חוק עובדים זרים (תיקון - אי-תחולת הסדר פנסיוני על עובד זר המועסק אצל יחיד בענף הסיעוד), התשפ"ג-2022</t>
  </si>
  <si>
    <t xml:space="preserve"> (פ/749/25)</t>
  </si>
  <si>
    <t xml:space="preserve">הצעת חוק העונשין (תיקון מס' 146) (תקיפת עובד ציבור שהוא מטפל או ממלא תפקיד בארגון חירום והצלה טרום אשפוז או בחדר מיון), התשפ"ב-2022</t>
  </si>
  <si>
    <t xml:space="preserve"> (מ/1573)</t>
  </si>
  <si>
    <t xml:space="preserve">[מובילה במיזוג] [הוחל דין רציפות]</t>
  </si>
  <si>
    <t xml:space="preserve">הצעת חוק נציב תלונות הציבור על רבנים, התשפ"ד-2024 </t>
  </si>
  <si>
    <t xml:space="preserve"> (פ/4541/25)</t>
  </si>
  <si>
    <t xml:space="preserve">חוק יום לציון אירועי הפרהוד, התשפ"ד–2024</t>
  </si>
  <si>
    <t xml:space="preserve"> (פ/312/25)</t>
  </si>
  <si>
    <t xml:space="preserve"> (כ/1014)</t>
  </si>
  <si>
    <t xml:space="preserve">נקבע בחוק יום לציון אירועי הפרהוד, הפרעות שהתחוללו ביהודי בגדד בחג השבועות של שנת 1941, אשר יחול מדי שנה ביום החול הראשון שלאחר חג השבועות ואסרו חג. יום זה יצויין בטקס מרכזי לפי החלטת השר לשוויון חברתי וקידום מעמד האישה ובהתייעצות עם שר המורשת, בדיון מיוחד במליאת הכנסת וכן במוסדות החינוך ככל שיחליט על כך שר החינוך.</t>
  </si>
  <si>
    <t xml:space="preserve">חוק התקשורת (בזק ושידורים) (תיקון מס' 78), התשפ"ד–2024</t>
  </si>
  <si>
    <t xml:space="preserve"> (פ/2994/25)</t>
  </si>
  <si>
    <t xml:space="preserve"> (כ/1017)</t>
  </si>
  <si>
    <t xml:space="preserve">נקבע כי בעל דירה יהיה רשאי להתקין במקום סביר בגג הבית המשותף שהוא רכוש משותף מתקן של חובב רדיו, בתנאים המנוים בהצעת החוק ובתנאי שלא הובעה התנגדות בכתב מצד רוב הדיירים בבית המשותף להתקנה או בתנאי שהמפקח לא אסר את ההתקנה לאחר בחינת פנייה של אחד מדיירי הבניין. בהתאם לכך נקבע כי ההתקנה והתחזוקה תהיה על חשבונו של הדייר המתקין ויהיה עליו להסיר את המיתקן  בנסיבות הקבועות בחוק.  </t>
  </si>
  <si>
    <t xml:space="preserve">חוק הרשויות המקומיות (ריבית והפרשי הצמדה על תשלומי חובה) (תיקון מס' 3), התשפ"ד–2024</t>
  </si>
  <si>
    <t xml:space="preserve"> (פ/3614/25)</t>
  </si>
  <si>
    <t xml:space="preserve"> (כ/1007)</t>
  </si>
  <si>
    <t xml:space="preserve">נקבע שבמקרה בו אדם הודיע לרשות המקומית כי חדל להיות מחזיק או בעלים בנכס ונגבו ממנו שיעורי תשלומי חובה עודפים, העירייה תשיב את תשלום היתר ששולם באופן יזום לאדם בתוך 30 ימים ממסירת ההודעה. בנוסף נקבע כי 10 ימים לאחר מסירת ההודעה על העזיבה, יראו בה כהודאה בכתב לפי הכתוב בסעיף 6(א), ההוראה לא תחול אם הרשות ביקשה ממוסר ההודעה פרטים לגבי אופן ההשבה והוא לא מסר לרשות פרטים כאמור, אלא אם פרטי המבקש ידועים לרשות.</t>
  </si>
  <si>
    <t xml:space="preserve">חוק קידום התחרות בענף המזון (תיקון מס' 8 והוראת שעה), התשפ"ד–2024</t>
  </si>
  <si>
    <t xml:space="preserve"> (פ/2592/25)</t>
  </si>
  <si>
    <t xml:space="preserve"> (כ/992)</t>
  </si>
  <si>
    <t xml:space="preserve">01.07.2024</t>
  </si>
  <si>
    <t xml:space="preserve">חוק קידום התחרות בענף המזון (להלן – החוק העיקרי) קובע הוראות לעניין התנהגויות שעלולות לפגוע בתחרות ולהביא לעליית מחירים לגבי כל אחד משלושת יחסי הכוחות העיקריים בתחום שיווק מוצרי מזון: קמעונאי–ספק, קמעונאי–קמעונאי וקמעונאי–צרכן. לעניין זה, קמעונאי מוגדר בחוק כאדם המחזיק בחנות וכן כל אדם הקשור אליו, ואילו ספק מוגדר בחוק כמי שמספק לקמעונאי, או באמצעות קמעונאי, במישרין או באמצעות מפיץ, מצרכים, ובכלל זה מצרכי מותג פרטי וכן כל אדם קשור לאלה. פרק ב' לחוק, שעניינו הסדרת פעילות ספקים וקמעונאים, חל היום רק על רשתות שיווק מזון, וקובע בין השאר חובות מוגברות שיחולו על קמעונאים גדולים ועל ספקים גדולים, המוגדרים בחוק על פי היקף המכירות שלהם (נכון לשנת 2024, מחזור מכירות של כ-333 מיליון שקלים חדשים לספק גדול, ומחזור מכירות של כ-277 מיליון שקלים חדשים לקמעונאי גדול). בפרק זה שני חלקים:  סימן א' שקובע איסורים והגבלות החלים לעניין יחסי קמעונאי–ספק, ובהם איסור על ספקים וקמעונאים להתערב זה אצל זה לעניין ההסדרים של הקמעונאי עם ספק אחר או של הספק עם קמעונאי אחר, איסור על ספקים גדולים להתערב בסידור מצרכים בחנויות של קמעונאים גדולים ואיסורים לעניין תימחור ומתן הנחות;  סימן ב' מסדיר את התחרות הגאוגרפית בין קמעונאים גדולים, ובעיקר קביעת החובה של קמעונאי גדול, בתנאים מסוימים כמפורט בחוק, לפנות לממונה על התחרות אם הוא מעוניין לפתוח חנות חדשה באזור שהוא כבר פועל בו. בשל מספרם המצומצם של קמעונאי הפארם ובהתחשב בכך שלא מתקיימת תחרות מלאה בענף זה, נקבע בחוק קידום התחרות בענף המזון (תיקון מס' 8 והוראת שעה), התשפ"ד–2024 (להלן – תיקון מס' 8) כי הוראות פרק ב' לחוק העיקרי יחולו גם על רשתות הפארם הגדולות. בהתאם לכך, בתיקון מס' 8 נקבע כי "חנות פארם" תוגדר כחנות שבה נמכרים דרך קבע מוצרי טואלטיקה, תמרוקים ועוד, ואשר יותר מרבע ממחזור המכירות בה הוא ממכירת אותם מוצרים. כמו כן, נקבע כי "קמעונאי פארם גדול" יוגדר כקמעונאי פארם שמחזור המכירות שלו בחנויות הפארם שלו עולה על סכום העומד היום על כ-277 מיליון שקלים חדשים, שהוא כאמור הסכום הקבוע היום לגבי רשתות המזון הגדולות. בנוסף נקבע כי בעקבות החלת פרק ב' על ענף הפארם, ישונה שם החוק העיקרי ל"חוק לקידום התחרות בענפי המזון והפארם". בהתאם לתיקון, האיסורים וההגבלות הקבועים בסימן א' לפרק ב' יחולו, בשינויים המחויבים, גם על חנות פארם, על מצרך פארם, על קמעונאי פארם גדול ועל ספק גדול בעת התקשרות עם קמעונאי פארם גדול.  כלומר, כל אותם איסורים אשר חלים על רשתות המזון, יחולו גם על רשתות הפארם הגדולות. ביחס לסימן ב' לפרק ב', שכאמור עוסק בהסדרת התחרות הגאוגרפית בין קמעונאים גדולים, הוראות הסימן לא הוחלו כפי שהן על ענף הפארם, ובמקומן נקבעו הוראות חדשות ביחס לפתיחת חנות פארם נוספת על ידי קמעונאי פארם גדול, אם זו ממוקמת במרכז מסחרי. ההוראות כאמור נקבעו רק ביחס לפתיחת חנות פארם נוספת במרכז מסחרי, לרבות קניון, שסך שטחי המסחר שבו עולה על 3,000 מ"ר. חנות תיחשב כ"חנות נוספת" אם לקמעונאי פארם הגדול יש חנות פארם במרחק מסוים מאותו מרכז מסחרי שבו הוא מבקש לפתוח את חנות הפארם.  עוד נקבע כי לעניין רשות מקומית גדולה, שתוגדר כרשות מקומית שמספר תושביה הרשומים במרשם האוכלוסין עולה על 200 אלף, המרחק בין החנות הקיימת למרכז המסחרי שבו קמעונאי פארם גדול מבקש לפתוח חנות פארם נוספת יעמוד על עד קילומטר, ואילו לעניין רשות מקומית קטנה, שהיא רשות מקומית שאינה רשות מקומית גדולה כאמור, המרחק בין החנות הקיימת למרכז המסחרי שבו קמעונאי כאמור מבקש לפתוח חנות פארם נוספת יעמוד על עד שני קילומטרים.  החובה שתוטל על קמעונאי פארם גדול שמתקיימים בו התנאים לעיל היא לערוך "הערכה עצמית" ביחס לאפשרות שפתיחת חנות הפארם במרכז המסחרי תגרום לפגיעה בתחרות, ורק אם אין חשש כאמור הוא יכול לפתוח את החנות. כלומר, קמעונאי הפארם יידרש לערוך בעצמו את כל הבדיקות הכלכליות והמשפטיות כדי לוודא כי פתיחת חנות לא תביא לחשש לפגיעה בתחרות. עם זאת, מכיוון שמדובר בהוראה חדשה, וכדי להגדיל את הוודאות בקרב קמעונאי הפארם, ההסדר כאמור נקבע בהוראת שעה שלפיה בתקופה של חמש שנים מיום פרסום תיקון מס' 8, קמעונאי פארם גדול המבקש לפתוח חנות כאמור יהיה חייב לפנות לממונה על התחרות בבקשה לקבל אישור לפתיחת החנות. הממונה יהיה רשאי להתנגד לבקשה לפתיחת חנות או להתנות אותה בתנאים, אם לדעתו קיים חשש סביר כי פתיחת החנות תגרום לפגיעה בתחרות. כחצי שנה לפני תום הוראת השעה, רשות התחרות תידרש לפרסם "גילוי דעת" לעניין יישום האיסור שיחול על קמעונאי פארם גדול לערוך את אותה הערכה עצמית. </t>
  </si>
  <si>
    <t xml:space="preserve">חוק להגנה על הצרכן מפני עוסקים המבצעים הפרות בנסיבות מחמירות (תיקוני חקיקה), התשפ"ד-2024</t>
  </si>
  <si>
    <t xml:space="preserve"> (מ/1733)</t>
  </si>
  <si>
    <t xml:space="preserve">החוק מבקש לחזק את הכלים במאבק של עוקץ ועושק של קשישים וצרכנים נוספים הנמצאים בעמדת חולשה משמעותית במיוחד זאת אל מול עוסקים שעמם הם מבקשים להתקשר. החוק מרחיב ומבסס את ההגנה על צרכנים כאמור וזאת באמצעות תיקון של שלושה חוקים – חוק הגנת הצרכן, התשמ"א–1981 (להלן – חוק הגנת הצרכן), חוק שירותי תשלום, התשע"ט–2019 (להלן – חוק שירותי תשלום) וחוק ההוצאה לפועל, התשכ"ז–1967 (להלן – חוק ההוצאה לפועל). חוק הגנת הצרכן קובע כי הממונה להגנת הצרכן ולסחר הוגן (להלן – הממונה) רשאי להסמיך מפקחים מבין עובדי הרשות להגנת הצרכן ולסחר הוגן או עובדי משרד הכלכלה, באישור שר הכלכלה והתעשייה, שיהיו אמונים על אכיפת הוראות חוק הגנת הצרכן. ערב כניסתו לתוקף של החוק, לממונה ולמפקחים לא הייתה, בין כלל הסמכויות המוקנות להם לשם אכיפת הוראות חוק הגנת הצרכן, סמכות חדירה לחומר מחשב. העדר סמכות כאמור פוגעת במקרים רבים בקידום החקירה הפלילית ומונעת ממפקחי הרשות לתפוס ראיות אשר נדרשות לביסוס ולהוכחת העבירה, וזאת בשל העובדה שרובם המוחלט של העוסקים שומרים את התיעוד וההתנהלות העסקית שלהם על גבי המחשב. בהתאם לכך, החוק תיקן את חוק הגנת הצרכן וקבע כי אם היה לממונה או למפקח שהוסמך כאמור חשד סביר כי עוסק עבר עבירה בנסיבות מחמירות, רשאי מי מהם לבקש מבית המשפט צו חדירה לחומר מחשב וכן הפקת פלט תוך חדירה כאמור. החוק מקנה לממונה סמכות לקבוע כי עוסק הוא מפר בנסיבות מחמירות, זאת לשם החלת הגבלות על עוסק כאמור לפי התיקונים שנעשו בחוק שירותי תשלום ובחוק ההוצאה לפועל. יש לציין כי הפרה בנסיבות מחמירות יכולה להיות הפרה הנעשית תוך שימוש חוזר ונשנה של התנהגות כלפי צרכן שהוא אדם בעל מאפיינים מיוחדים, כלומר כלפיי אדם עם מוגבלות, אזרח ותיק, עולה חדש, קטין, חסר ישע או אדם שאינו מבין את השפה בה נקשרת העסקה במידה מספקת לשם הבנת העסקה. החוק מסמיך את שר הכלכלה והתעשייה, באישור ועדת הכלכלה של הכנסת, לקבוע צרכנים נוספים שייחשבו כאנשים עם מאפיינים מיוחדים לצורך החוק. כמו כן, הפרה בנסיבות מחמירות יכולה להיות הפרה שנעשית תוך כדי איום או נקיטת אמצעי הפחדה כלשהו כלפי צרכן או כלפי בני משפחתו, או ביצוע הפרה הגורמת נזק משמעותי למספר רב של צרכנים.  החוק מסדיר את השלבים לקביעה כי עוסק הוא מפר בנסיבות מחמירות. ראשית בטרם יקבע הממונה כי עוסק ביצע הפרה בנסיבות מחמירות, ימסור הממונה לעוסק הודעה על כוונתו לקבוע כי הוא עוסק מפר כאמור. בהודעה יציין הממונה, בין השאר, את המעשה או המחדל המהווים את ההפרה, ההגבלות שיחולו על העוסק אם יקבע כי הוא אכן עוסק מפר בנסיבות מחמירות ואת זכותו של עוסק לטעון את טענותיו בפני הממונה. העתק מההודעה כאמור יועבר לנותן שירותי תשלום ולמנהל מערכת ההוצאה לפועל. משמעות ההודעה לנותן שירותי תשלום היא שנותן שירותי תשלום כאמור יפסיק לבצע סליקה עבור עוסק שהממונה מסר לו הודעה על הכוונה לקבוע כי הוא עוסק מפר בנסיבות מחמירות, כלומר מתבצעת הקפאה של כספים שצרכנים שילמו אך הם טרם הועברו לעוסק. אם ייקבע באופן סופי, לאחר שימוע, כי העוסק הוא עוסק מפר בנסיבות מחמירות, כספים אלו יוחזרו לצרכנים. משמעות ההודעה למנהל מערכת ההוצאה לפועל היא שמנהל המערכת יעכב הליכים וכספים בתיקים שבהם העוסק שלגביו נמסרה הודעת הכוונה, הוא הזוכה. שנית, במהלך 14 הימים שלאחר משלוח הודעת הכוונה או 21 ימים לאחריה, במקרה של הארכה תינתן לעוסק הזדמנות, לטעון את טענותיו בפני הממונה. אם טען העוסק את טענותיו כאמור, יחליט הממונה, בתוך 14 ימים או 21 ימים במקרה של הארכה, מתום תקופת השימוע או מהיום שבו התקבלו טענות העוסק, לפי המוקדם, אם לקבוע כי עוסק הוא מפר בנסיבות מחמירות ואם לאו. אף על פי כן, הממונה יוכל לתת את החלטתו בדבר קביעה כאמור בתוך תקופה ארוכה יותר של 45 ימים מתום תקופת השימוע או מהיום שבו התקבלו טענות העוסק, לפי המוקדם, אך תקופת הקפאת הכספים לא תעלה על אותם  21 יום. יש לציין כי אם עוסק לא טען את טענותיו בתקופה של 14 ימים, או במקרה של הארכה בתוך תקופה של 21 ימים מיום מסירת הודעת הכוונה – ייקבע הממונה כי הועסק הוא עוסק מפר בנסיבות מחמירות.  בשלב השלישי, אם החליט הממונה לקבוע כי עוסק הוא עוסק מפר בנסיבות מחמירות או אם החליט שלא לקבוע כי עוסק הוא עוסק מפר בנסיבות מחמירות – ימסור הממונה הודעה על החלטתו לעוסק, לנותן שירותי תשלום ולמנהל מערכת ההוצאה לפועל. מעבר לסמכויות המוקנות לממונה לקבוע כי עוסק הוא עוסק מפר בנסיבות מחמירות עוד נקבע כי הממונה יוסמך לקבוע כי גם עוסק שהוא בעל זיקה לעוסק שנקבע כי הוא עוסק מפר בנסיבות מחמירות, הוא עוסק מפר בנסיבות מחמירות בעצמו, בהתקיים אחת משתי חלופות: הראשונה, העברת הפעילות העסקית של העוסק המפר הראשון לבעל הזיקה והשנייה - זיהוי דפוס התנהגות דומה לזה של המפר בנסיבות מחמירות אצל בעל הזיקה. הזיקה בין שני העוסקים יכולה להתבטא ביחסי שליטה הקיימים בין העוסקים, יחסי קרבת משפחה ועוד. הקביעה לגבי עוסק בעל זיקה תתבצע רק על ידי הממונה ורק בהתאם לנהלים שיורה עליהם הממונה. נהלים כאמור יאושרו על ידי היועץ המשפטי לממשלה ויפורסמו באתר האינטרנט של הרשות.   עוד נקבע, וזאת לאור המודל התקדימי שאומץ בחוק לעניין הסמכויות שהוקנו לממונה, נוספה חובת דיווח לוועדת הכלכלה, שלפיה הממונה ידווח לוועדה על הודעות הקביעה שמסר לעוסקים, ובפרט על הודעות שנמסרו לבעל זיקה לעוסק מפר, וכן על קשיים ביישום הוראות החוק, ככל שיהיו, כל זאת בהתאם להוראות החוק.  </t>
  </si>
  <si>
    <t xml:space="preserve">חוק הרשות לחקירה בטיחותית בתעופה, התשפ"ד-2024</t>
  </si>
  <si>
    <t xml:space="preserve"> (מ/1630)</t>
  </si>
  <si>
    <t xml:space="preserve">חוק הרשות לחקירה בטיחותית בתעופה, התשפ"ד–2024 (להלן – החוק) מקים רשות ממשלתית לחקירה בטיחותית בתעופה שמחליפה את משרד "החוקר הראשי" במשרד התחבורה והבטיחות בדרכים, ובכך מתאים את הדין הישראלי למחויבויותיה הבין-לאומיות של מדינת ישראל לנספח 13 ל"אמנת שיקגו" ולהסכם "השמיים הפתוחים". הרשות החדשה תוקם במסגרת משרד התחבורה והבטיחות בדרכים, ותהיה אמונה על ביצוען של חקירות הנוגעות לאירועים בטיחותיים בתחום התעופה. יצוין כי מטרתה של חקירה בטיחותית בתעופה אינה למצוא או להצביע על אשמים, אלא לשפר את בטיחות התעופה, והכל בהתאם להוראות שנקבעו באמנות בין-לאומיות בעניין. פרק ז' לחוק הטיס, התשע"א–2011 (להלן – חוק הטיס), כנוסחו טרם התיקון, הסדיר את ביצוען של חקירות בטיחותיות בתחום התעופה ואת מעמדו של החוקר הראשי שהיה הממונה על ביצוע חקירות בטיחותיות בתעופה בישראל טרם התיקון. הוראות פרק ז' מבוססות על הוראות נספח 13 ל"אמנת שיקגו" – אמנת התעופה האזרחית הבין-לאומית מ-1944, שבה חברה מדינת ישראל. נספח 13 לאמנה קובע הסדרים לעניין החובה של כל מדינה החברה באמנה לבצע חקירות בטיחותיות של תאונות ותקריות חמורות של כלי טיס בתעופה האזרחית. בנוסף, ישראל חתמה על "הסכם השמיים הפתוחים" עם האיחוד האירופי, ובמסגרתו מחויבת ישראל לעמוד בסטנדרטים הקבועים בחקיקה האירופאית בעניין חקירה של תאונות ותקריות בתעופה האזרחית, המבוססים גם הם על הוראות נספח 13. אולם, בביקורת שערך ארגון התעופה האזרחית הבין-לאומי (ICAO) בשנת 2016, נמצא כי ההסדר הקיים בישראל לוקה בחסר ואינו עומד במלוא תנאי הנספח. בביקורת זו נמצא כי על ישראל להקים רשות עצמאית לחקירה בטיחותית בתעופה, ולא להסתפק בהסדרה הקיימת בחוק הטיס לעניין החוקר הראשי; וכן נמצא כי חלק מההסדרים שאותם מחויבת ישראל ליישם בהתאם לנספח 13 לוקים בחסר או כלל אינם קיימים.  כחלק מיישום מסקנות הביקורת, הוקמה מכוח החוק רשות עצמאית לחקירה בטיחותית בתעופה. נקבע כי הרשות החדשה תהיה אמונה על ביצוען של חקירות הנוגעות לאירועים בטיחותיים בתחום התעופה – תאונות טיס, תקריות שכמעט והביאו לתאונות טיס, ותקריות שהיה בהן כדי להשפיע על בטיחות הפעלתו של כלי טיס. תפקידי הרשות עוגנו בחוק, ונקבע שתפקידיה הם, בין השאר, ביצוע חקירות בטיחותיות; איסוף, תיעוד וניתוח כל מידע הקשור לאירוע בטיחותי; קביעת הסיבות והגורמים לאירוע בטיחותי; עריכה, הגשה ופרסום של דוחות חקירה בטיחותית; שמירה על חיסיון וסודיות של חומרי חקירה בטיחותית; עריכה ופרסום של מחקרים בתחום וכן ייעוץ לשר התחבורה והבטיחות בדרכים בכל עניין הנוגע לתחום חקירת אירועים בטיחותיים. עוד נקבעו בחוק הוראות רבות ומשמעותיות שנועדו להבטיח את מעמדה העצמאי של הרשות החדשה בכלל, ואת עצמאותו של מנהל הרשות בפרט, וכך לשפר את התאמת הדין הישראלי להוראות אמנת שיקגו והסכם "השמיים הפתוחים". בין השאר נקבע כי מנהל הרשות ימונה בידי שר התחבורה והבטיחות בדרכים באישור הממשלה, ותקופת כהונתו נקבעה בחוק. עוד נקבע כי ימונה ממלא מקום למנהל הרשות, וזאת בדומה לקבוע בחוק הטיס כנוסחו טרם התיקון לגבי ממלא מקום החוקר הראשי. כמו כן, נקבע כי תקציב הרשות ייקבע בתחום פעולה נפרד במסגרת סעיף תקציב משרד התחבורה והבטיחות בדרכים בחוק התקציב השנתי, וכי לשם ביצוע תפקידיה, הרשות תחזיק ותפעיל את כלל הציוד והאמצעים הנדרשים לביצוע חקירות בטיחותיות במקרה הצורך. כחלק מהתאמת החקיקה הישראלית להוראות אמנת שיקגו והסכם השמיים הפתוחים, הוסדר הליך החקירה הבטיחותית בתחום התעופה, ובכלל זה החובה למנות חוקר שיהיה ממונה על ביצוע החקירה של אירוע בטיחותי נתון ("חוקר ממונה"), גיבושן ופרסומן של הצהרות ביניים לעניין החקירה, וגיבושו ופרסומו של הדוח הסופי. עוד כולל החוק הוראות הנוגעות להמלצות בטיחות שמטרתן למנוע אירועים בטיחותיים עתידיים, אותן רשאי מנהל הרשות לתת, והוראות הנוגעות למעקב אחר יישומן.  בשל טבעו של תחום התעופה האזרחית, פעמים רבות תאונות ותקריות טיס מערבות יותר ממדינה אחת. כך למשל, במקרים רבים המדינה שבה התרחשה התאונה, מדינת מושבו של יצרן כלי הטיס, ומדינת מושבו של מפעיל כלי הטיס, שונות זו מזו, אך כולן באות בגדר "מדינה מעורבת" לעניין חקירת האירוע הבטיחותי. לפיכך, החוק מכיל גם הוראות שמטרתן להסדיר את הממשק של הרשות עם מדינות ורשויות אחרות המעורבות בתאונה, כולל הודעות שיש לשלוח להן ומצבים שבהם ניתן לשתף נציגים של רשות מקבילה במדינה אחרת, בחקירת אירוע בטיחותי שנערכת בישראל. בין התיקונים נקבעו גם הוראות הנוגעות למחויבותה של ישראל לפתוח בחקירת אירוע בטיחותי חמור שאירע בשטח של מדינה שאינה חברה באמנה, וכן הוראות הנוגעות למסירת הודעות ומידע למדינות החברות באמנת שיקגו ולגורמים אחרים, כגון מי שנפגעו באירוע בטיחותי ומשפחותיהם, ואף לארגון התעופה הבין-לאומי עצמו. כמו כן נקבעו הוראות לעניין העברת הסמכות לביצוע חקירה בטיחותית לגבי אירוע בטיחותי חמור שאירע בישראל למדינה אחרת החברה באמנה או לארגון אזורי לחקירת תאונות טיס ותקריות טיס, שהוא הליך שמדינת ישראל מחויבת לעגן בחקיקה מכוח הוראות אמנת שיקגו. נקבע כי הליך כאמור יופעל רק אם מנהל הרשות לחקירה בטיחותית מצא כי מתקיימים טעמים מיוחדים לכך. כן נקבע שמנהל הרשות לחקירה בטיחותית יפרסם הודעה על ההחלטה להעביר את סמכות ביצוע החקירה כאמור ואת הטעמים המיוחדים לכך באתר האינטרנט של הרשות לחקירה בטיחותית. זאת, כדי להדגיש את החשיבות ואת העדיפות המובהקת בכך שישראל היא שתחקור אירועים בטיחותיים חמורים בתעופה שאירעו בשטחה, וכדי להגביר את השקיפות לציבור בעניין.  </t>
  </si>
  <si>
    <t xml:space="preserve">חוק השקעות משותפות בנאמנות (תיקון מס' 31), התשפ"ד-2024</t>
  </si>
  <si>
    <t xml:space="preserve"> (מ/1734)</t>
  </si>
  <si>
    <t xml:space="preserve">החוק מעודד את השקעת הציבור בקרנות כספיות באמצעות הסדרת הרגולציה, הסרת חסמים והגברת הנגישות. </t>
  </si>
  <si>
    <t xml:space="preserve">חוק הביטוח הלאומי (תיקון מס' 246 - הוראת שעה), התשפ"ד-2024</t>
  </si>
  <si>
    <t xml:space="preserve"> (מ/1732)</t>
  </si>
  <si>
    <t xml:space="preserve">חוק זה קובע כי האחריות לאספקת שירותים של מכשירי שיקום וניידות לנפגעי תאונות עבודה תמשיך לחול על המוסד לביטוח לאומי מתוקף ההסכם שנחתם בין המוסד לביטוח לאומי ובין קופות החולים ולא תועבר לקופות החולים מכח צו ביטוח בריאות ממלכתי (תיקון התוספות השנייה והשלישית לחוק), התשפ"ג-2022 שהעביר את האחריות לספק מכשירי שיקום וניידות מהמדינה לקופות החולים. תוקפו של תיקון זה יהיה מיום תחילתו של  הצו האמור ועד לתאריך 26.03.2026. שר העבודה, באישור ועדת העבודה והרווחה של הכנסת, יהיה רשאי להאריך בצו את תוקפו של החוק לתקופה אחת שלא תעלה על שנה.</t>
  </si>
  <si>
    <t xml:space="preserve">הצעת חוק ליישוב תחת איום מיידי (הוראת שעה), התשפ"ד-2024</t>
  </si>
  <si>
    <t xml:space="preserve"> (פ/4710/25)</t>
  </si>
  <si>
    <t xml:space="preserve">הצעת חוק הרשויות המקומיות (בחירות) (תיקון - קיצור תקופת הצינון למנהל כללי), התשפ"ד-2024</t>
  </si>
  <si>
    <t xml:space="preserve"> (פ/4705/25)</t>
  </si>
  <si>
    <t xml:space="preserve"> (פ/4704/25)</t>
  </si>
  <si>
    <t xml:space="preserve">הצעת חוק בתי קברות צבאיים (תיקון - הוספת ביטוי אישי בקדמת המצבה לבקשת קרוב משפחה של חייל שנפטר), התשפ"ד-2024</t>
  </si>
  <si>
    <t xml:space="preserve"> (פ/4703/25)</t>
  </si>
  <si>
    <t xml:space="preserve">הצעת חוק בתי קברות צבאיים (תיקון - כתיבת האותיות הי"ד על מצבת חלל), התשפ"ד-2024</t>
  </si>
  <si>
    <t xml:space="preserve"> (פ/4702/25)</t>
  </si>
  <si>
    <t xml:space="preserve"> (פ/4701/25)</t>
  </si>
  <si>
    <t xml:space="preserve">הצעת חוק הסדרים במשק המדינה (תיקוני חקיקה להשגת יעדי התקציב) (תיקון - חובת הענקת הנחה בארנונה לבעלי עסקים של תושבי אזור הצפון שנפגעו בעקבות מלחמת חרבות ברזל), התשפ"ד-2024</t>
  </si>
  <si>
    <t xml:space="preserve"> (פ/4699/25)</t>
  </si>
  <si>
    <t xml:space="preserve">הצעת חוק עיקול מידתי של נכסים המוחזקים בידי צד שלישי (תיקוני חקיקה), התשפ"ד-2024</t>
  </si>
  <si>
    <t xml:space="preserve"> (פ/4697/25)</t>
  </si>
  <si>
    <t xml:space="preserve">הצעת חוק הרשויות המקומיות (פטור חיילים, נפגעי מלחמה ושוטרים מארנונה) (תיקון - סיוע לחיילים בודדים), התשפ"ד-2024</t>
  </si>
  <si>
    <t xml:space="preserve"> (פ/4696/25)</t>
  </si>
  <si>
    <t xml:space="preserve">הצעת חוק כביש אגרה (כביש ארצי לישראל) (תיקון - גביית קנסות ופיגורי תשלומים דרך המרכז לגביית קנסות), התשפ"ד-2024</t>
  </si>
  <si>
    <t xml:space="preserve"> (פ/4695/25)</t>
  </si>
  <si>
    <t xml:space="preserve"> (פ/4694/25)</t>
  </si>
  <si>
    <t xml:space="preserve">הצעת חוק הסדרים במשק המדינה (תיקוני חקיקה להשגת יעדי התקציב) (תיקון - חישוב עליית מחירי הארנונה), התשפ"ד-2024</t>
  </si>
  <si>
    <t xml:space="preserve"> (פ/4693/25)</t>
  </si>
  <si>
    <t xml:space="preserve">הצעת חוק העונשין (תיקון - עונש מינימום למתעלל בקטין או חסר ישע), התשפ"ד-2024</t>
  </si>
  <si>
    <t xml:space="preserve"> (פ/4692/25)</t>
  </si>
  <si>
    <t xml:space="preserve">הצעת חוק שירות ביטחון (תיקון מס' 27) (העלאת גיל הפטור – חרבות ברזל – הארכת הוראת שעה), התשפ"ד-2024</t>
  </si>
  <si>
    <t xml:space="preserve"> (מ/1770)</t>
  </si>
  <si>
    <t xml:space="preserve">26.06.2024</t>
  </si>
  <si>
    <t xml:space="preserve">חוק הרשויות המקומיות (מימון בחירות) (הוראת שעה), התשפ"ד–2024</t>
  </si>
  <si>
    <t xml:space="preserve"> (פ/4593/25)</t>
  </si>
  <si>
    <t xml:space="preserve"> (כ/1030)</t>
  </si>
  <si>
    <t xml:space="preserve">נקבע שרשימה, סיעה או מועמד שזכאים למימון ולא מסרו הודעה לשר הפנים לעניין מימון הבחירות בבחירות האחרונות, רשאים למסור הודעה בתקופה של 30 יום לאחר כניסת החוק לתוקף, ולקבל את המימון בכפוף לתנאי החוק. </t>
  </si>
  <si>
    <t xml:space="preserve">חוק שירות לאומי-אזרחי (תיקון מס' 6), התשפ"ד-2024</t>
  </si>
  <si>
    <t xml:space="preserve"> (מ/1762)</t>
  </si>
  <si>
    <t xml:space="preserve">חוק שירות לאומי-אזרחי, התשע"ד–2014, הינו הוראת שעה המסדירה את שירותם של מיועדים לשירות ביטחון שהם בוגרי ישיבות ומוסדות חינוך חרדיים שמלאו להם 21 שנים, לשרת בשירות לאומי־אזרחי כתחליף לשירותם בצבא הגנה לישראל. השירות במסגרת החוק נעשה על בסיס שני מסלולים: האחד, שירות אזרחי-חברתי תחת אחד מהתחומים או התפקידים המפורטים בחוק, לרבות ביטחון הפנים והגנת העורף, בריאות, רווחה וחינוך; השני, שירות אזרחי-ביטחוני באחד מהגופים המפורטים, לרבות משטרת ישראל, שירות בתי הסוהר והרשות הארצית לכבאות והצלה. כמו כן, החוק כולל הוראות לעניין ביצוע השירות, תקופת השירות והיקפו, תנאי השירות, הסדרת השירות במסגרת הגוף המפעיל ובכלל זה חובותיו. בנוסף, במסגרת החוק הוקמה הרשות לשירות לאומי-אזרחי, אשר אחראית על הפעלת השירות הלאומי-אזרחי בהתאם להוראות החוק, וזאת לצד מתן אפשרות לשר, שהוא חבר הממשלה שהוסמך על ידה לכך, להסמיך מבין עובדי הרשות, מפקחים לשם פיקוח על ביצוע הוראות החוק, ובכלל זה לעניין אופי השירות הלאומי-אזרחי ואיכותו.  מאחר שתוקפו של ההסדר המאפשר את דחיית השירות לתלמידי ישיבות פקע ב-30.6.2023, ועמו גם פקע תוקפו של חוק שירות לאומי–אזרחי וכדי להמשיך ולאפשר למי ששירותו כבר נדחה להשתלב בשירות לאומי-אזרחי, הוארך תוקפו של חוק שירות לאומי-אזרחי, עד ליום כ"ד בסיוון התשפ"ד (30 ביוני 2024).  במסגרת תיקון מספר 6, הוארך תוקפו עד ליום ד' בתמוז התשפ"ה (30 ביוני 2025).</t>
  </si>
  <si>
    <t xml:space="preserve">חוק לתיקון פקודת סדר הדין הפלילי (מעצר וחיפוש) (מס' 17), התשפ"ד–2024</t>
  </si>
  <si>
    <t xml:space="preserve"> (מ/1756)</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</si>
  <si>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17 לפקודה, נקבע כי הוראת השעה כאמור תוארך בשנה אחת, עד ליום ד' בתמוז התשפ"ה (30 ביוני 2025). </t>
  </si>
  <si>
    <t xml:space="preserve"> (פ/4497/25)</t>
  </si>
  <si>
    <t xml:space="preserve">הצעת חוק הגנת הצרכן (תיקון - צמצום בזבוז מזון שתוקפו עומד לפוג ברשתות הקמעונאות הגדולות), התשפ"ד-2023</t>
  </si>
  <si>
    <t xml:space="preserve"> (פ/4150/25)</t>
  </si>
  <si>
    <t xml:space="preserve">הצעת חוק ביטוח בריאות ממלכתי (תיקון - מתן שירותים במרפאה ביישוב קטן לחברי קופה אחרת), התשפ"ג-2023</t>
  </si>
  <si>
    <t xml:space="preserve"> (פ/3532/25)</t>
  </si>
  <si>
    <t xml:space="preserve">הצעת חוק גירוש משפחות מחבלים, התשפ"ד-2023</t>
  </si>
  <si>
    <t xml:space="preserve"> (פ/4131/25)</t>
  </si>
  <si>
    <t xml:space="preserve">25.06.2024</t>
  </si>
  <si>
    <t xml:space="preserve">הצעת חוק גירוש משפחות מחבלים, התשפ"ג-2023</t>
  </si>
  <si>
    <t xml:space="preserve"> (פ/1700/25)</t>
  </si>
  <si>
    <t xml:space="preserve"> (פ/1299/25)</t>
  </si>
  <si>
    <t xml:space="preserve">הצעת חוק הפיקוח על שירותים פיננסיים (קופות גמל) (תיקון - הגדלת הסכום המרבי להפקדה בקופות גמל להשקעה), התשפ"ג-2023</t>
  </si>
  <si>
    <t xml:space="preserve"> (פ/2600/25)</t>
  </si>
  <si>
    <t xml:space="preserve">הצעת חוק הפיקוח על שירותים פיננסיים (קופות גמל) (תיקון - הגדלת הסכום המרבי להפקדה בקופות גמל להשקעה), התשפ"ג-2023 </t>
  </si>
  <si>
    <t xml:space="preserve"> (פ/2333/25)</t>
  </si>
  <si>
    <t xml:space="preserve">הצעת חוק העונשין (תיקון - החמרת ענישה בשל תקיפת צוות רפואי), התשפ"ג-2023</t>
  </si>
  <si>
    <t xml:space="preserve"> (פ/2456/25)</t>
  </si>
  <si>
    <t xml:space="preserve">הצעת חוק העונשין (תיקון - תקיפת עובד ציבור מטפל), התשפ"ג-2023</t>
  </si>
  <si>
    <t xml:space="preserve"> (פ/2361/25)</t>
  </si>
  <si>
    <t xml:space="preserve">הצעת חוק העונשין (תיקון - החמרת הענישה על עבירות כלפי אנשי צוות רפואי), התשפ"ג-2023</t>
  </si>
  <si>
    <t xml:space="preserve"> (פ/2066/25)</t>
  </si>
  <si>
    <t xml:space="preserve">הצעת חוק העונשין (תיקון - החמרת הענישה על עבירות כלפי אנשי צוות רפואי), התשפ"ג-2022</t>
  </si>
  <si>
    <t xml:space="preserve"> (פ/827/25)</t>
  </si>
  <si>
    <t xml:space="preserve">הצעת חוק העונשין (תיקון - החמרת ענישה בשל תקיפת צוות רפואי), התשפ"ג-2022</t>
  </si>
  <si>
    <t xml:space="preserve"> (פ/392/25)</t>
  </si>
  <si>
    <t xml:space="preserve">הצעת חוק ביטוח בריאות ממלכתי (תיקון - העברת מידע בין קופות החולים בעת מעבר תושב), התשפ"ג-2023</t>
  </si>
  <si>
    <t xml:space="preserve"> (פ/3061/25)</t>
  </si>
  <si>
    <t xml:space="preserve">הצעת חוק המאבק בטרור (תיקון - הסתה לטרור ברשתות חברתיות), התשפ"ד-2024</t>
  </si>
  <si>
    <t xml:space="preserve"> (פ/4345/25)</t>
  </si>
  <si>
    <t xml:space="preserve">24.06.2024</t>
  </si>
  <si>
    <t xml:space="preserve">הצעת חוק המאבק בטרור (תיקון - עבירת הזדהות עם ארגון טרור ופיצוי בגין פרסום דברי הסתה לטרור), התשפ"ד-2023</t>
  </si>
  <si>
    <t xml:space="preserve"> (פ/4138/25)</t>
  </si>
  <si>
    <t xml:space="preserve">הצעת חוק המאבק בטרור (תיקון - מניעת הזדהות עם ארגון טרור), התשפ"ג-2023</t>
  </si>
  <si>
    <t xml:space="preserve"> (פ/2227/25)</t>
  </si>
  <si>
    <t xml:space="preserve">הצעת חוק רכבת תחתית (מטרו) (תיקון), התשפ"ד-2024</t>
  </si>
  <si>
    <t xml:space="preserve"> (פ/4690/25)</t>
  </si>
  <si>
    <t xml:space="preserve">הצעת חוק איסור שימוש בסוסים בפיזור אי-סדר ציבורי (תיקוני חקיקה), התשפ"ד-2024</t>
  </si>
  <si>
    <t xml:space="preserve"> (פ/4688/25)</t>
  </si>
  <si>
    <t xml:space="preserve">הצעת חוק מתן פטור מתשלום חשבונות עבור שירותים חיוניים לחיילים בודדים, התשפ"ד-2024</t>
  </si>
  <si>
    <t xml:space="preserve"> (פ/4687/25)</t>
  </si>
  <si>
    <t xml:space="preserve">הצעת חוק קליטת חיילים משוחררים (תיקון - סיוע בשכר דירה לחיילים בודדים), התשפ"ד-2024</t>
  </si>
  <si>
    <t xml:space="preserve"> (פ/4686/25)</t>
  </si>
  <si>
    <t xml:space="preserve">הצעת חוק חיזוק הפיקוח על עבירות צער בעלי חיים (תיקוני חקיקה), התשפ"ד-2024</t>
  </si>
  <si>
    <t xml:space="preserve"> (פ/4685/25)</t>
  </si>
  <si>
    <t xml:space="preserve"> (פ/4683/25)</t>
  </si>
  <si>
    <t xml:space="preserve">הצעת חוק ייסוד כיתות כוננות ביישובים, התשפ"ד-2024</t>
  </si>
  <si>
    <t xml:space="preserve"> (פ/4682/25)</t>
  </si>
  <si>
    <t xml:space="preserve">הצעת חוק הסדרת העיסוק במקצועות הבריאות (תיקון - הסדרת העיסוק בניתוח התנהגות), התשפ"ד-2024</t>
  </si>
  <si>
    <t xml:space="preserve"> (פ/4681/25)</t>
  </si>
  <si>
    <t xml:space="preserve">הצעת חוק פיצוי מפונים בני רשות, התשפ"ד-2024</t>
  </si>
  <si>
    <t xml:space="preserve"> (פ/4680/25)</t>
  </si>
  <si>
    <t xml:space="preserve"> (פ/4679/25)</t>
  </si>
  <si>
    <t xml:space="preserve">הצעת חוק לתיקון פקודת המשטרה (השעיית שוטר בגין תלונה על אלימות), התשפ"ד-2024</t>
  </si>
  <si>
    <t xml:space="preserve"> (פ/4678/25)</t>
  </si>
  <si>
    <t xml:space="preserve">הצעת חוק המקרקעין (תיקון - מנגנון מכני לפתיחת דלת בשבת), התשפ"ד-2024</t>
  </si>
  <si>
    <t xml:space="preserve"> (פ/4677/25)</t>
  </si>
  <si>
    <t xml:space="preserve">הצעת חוק זיהוי קורבנות אסון, התשפ"ד-2024</t>
  </si>
  <si>
    <t xml:space="preserve"> (פ/4675/25)</t>
  </si>
  <si>
    <t xml:space="preserve">הצעת חוק לתיקון פקודת מס הכנסה (הגדלת מספר התושבים ביישוב מוטב), התשפ"ד-2024</t>
  </si>
  <si>
    <t xml:space="preserve"> (פ/4674/25)</t>
  </si>
  <si>
    <t xml:space="preserve"> (פ/4673/25)</t>
  </si>
  <si>
    <t xml:space="preserve"> (פ/4672/25)</t>
  </si>
  <si>
    <t xml:space="preserve">הצעת חוק הביטוח הלאומי (תיקון - הגבלת קיזוז גמלת נכות לתשלום מזונות), התשפ״ד-2024</t>
  </si>
  <si>
    <t xml:space="preserve"> (פ/4671/25)</t>
  </si>
  <si>
    <t xml:space="preserve"> (פ/4670/25)</t>
  </si>
  <si>
    <t xml:space="preserve">הצעת חוק הרשויות המקומיות (מנהל יחידת ספורט), התשפ"ד-2024</t>
  </si>
  <si>
    <t xml:space="preserve"> (פ/4669/25)</t>
  </si>
  <si>
    <t xml:space="preserve"> (פ/4668/25)</t>
  </si>
  <si>
    <t xml:space="preserve">הצעת חוק הקמת חדרי מיון קדמיים, התשפ"ד-2024 </t>
  </si>
  <si>
    <t xml:space="preserve"> (פ/4666/25)</t>
  </si>
  <si>
    <t xml:space="preserve">הצעת חוק הבחירות לכנסת (תיקון - אחוז החסימה), התשפ"ד-2024</t>
  </si>
  <si>
    <t xml:space="preserve"> (פ/4665/25)</t>
  </si>
  <si>
    <t xml:space="preserve">הצעת חוק הביטוח הלאומי (תיקון - תשלום גמלה לשמירת היריון בעד כל התקופה), התשפ"ד-2024</t>
  </si>
  <si>
    <t xml:space="preserve"> (פ/4663/25)</t>
  </si>
  <si>
    <t xml:space="preserve">חוק רישוי עסקים (תיקון מס' 38), התשפ"ד-2024</t>
  </si>
  <si>
    <t xml:space="preserve"> (פ/1313/25)</t>
  </si>
  <si>
    <t xml:space="preserve"> (כ/998)</t>
  </si>
  <si>
    <t xml:space="preserve">19.06.2024</t>
  </si>
  <si>
    <t xml:space="preserve">נקבע חריג לאיסור מכירת משקאות משכרים בשעות הלילה, כך שהותרה מכירתם של יינות בלבד בימי חמישי ובימים הקודמים לחגי ישראל בין השעון 23:00-02:00, בחנות ששטחה גדול מ-280 מ"ר והיא מוכרת באופן קבוע מוצרי נקיון, חלב וירקות, ובתנאי שתבוצע רכישה ביותר מ-300 ש"ח לא כולל עלות היין. עוד נקבע כי בתום שנה מיום פרסום החוק שר הפנים, בהתייעצות עם השר לביטחון לאומי יוכל לקבוע בצו  שמכירת יין כאמור תותר בחנויות ששטחן גדול יותר מ-280 מ"ר. </t>
  </si>
  <si>
    <t xml:space="preserve">הצעת חוק התקשורת (בזק ושידורים) (תיקון - איסור על מסרוני פלאש), התשפ"ד-2024</t>
  </si>
  <si>
    <t xml:space="preserve"> (פ/4522/25)</t>
  </si>
  <si>
    <t xml:space="preserve"> (פ/4257/25)</t>
  </si>
  <si>
    <t xml:space="preserve">הצעת חוק הכרה בחטוף כנכה או כחלל צה"ל (תיקוני חקיקה), התשפ"ד-2024</t>
  </si>
  <si>
    <t xml:space="preserve"> (פ/4214/25)</t>
  </si>
  <si>
    <t xml:space="preserve">הצעת חוק חובת המכרזים (תיקון - משרד החינוך), התשפ"ג-2023</t>
  </si>
  <si>
    <t xml:space="preserve"> (פ/3837/25)</t>
  </si>
  <si>
    <t xml:space="preserve">הצעת חוק הפיקוח על מעונות יום לפעוטות (תיקון - העסקת עובד זר בתחזוקה וניקיון במעון היום), התשפ"ג-2023</t>
  </si>
  <si>
    <t xml:space="preserve"> (פ/3118/25)</t>
  </si>
  <si>
    <t xml:space="preserve">הצעת חוק שירותי הדת היהודיים (בחירות רבני עיר, רבנים אזוריים, רבני יישוב ורבני שכונות), התשפ"ג-2023</t>
  </si>
  <si>
    <t xml:space="preserve"> (פ/3446/25)</t>
  </si>
  <si>
    <t xml:space="preserve">18.06.2024</t>
  </si>
  <si>
    <t xml:space="preserve">הצעת חוק לתיקון פקודת מס הכנסה (העברת מידע לבקשת הנישום), התשפ"ד-2024</t>
  </si>
  <si>
    <t xml:space="preserve"> (פ/4186/25)</t>
  </si>
  <si>
    <t xml:space="preserve">הצעת חוק הרשויות המקומיות (מימון בחירות) (הוראת שעה) (הארכת מועד לבקשת קבלת מימון), התשפ"ד-2024</t>
  </si>
  <si>
    <t xml:space="preserve"> (פ/4595/25)</t>
  </si>
  <si>
    <t xml:space="preserve"> (פ/4594/25)</t>
  </si>
  <si>
    <t xml:space="preserve">חוק לתיקון פקודת בתי הסוהר (תיקון מס' 66 – הוראת שעה – חרבות ברזל) (חופשה מיוחדת לאסיר) (תיקון), התשפ"ד–2024</t>
  </si>
  <si>
    <t xml:space="preserve"> (מ/1764)</t>
  </si>
  <si>
    <t xml:space="preserve">חוק לתיקון פקודת בתי הסוהר (תיקון מס' 66 – הוראת שעה – חרבות ברזל) (חופשה מיוחדת לאסיר), התשפ"ד–2024, נקבע כהוראת שעה לשלושה חודשים. במסגרתו נקבע כי הנציב או סוהר בדרגת גונדר שהוסמך, רשאי לתת לאסיר, בתנאים שייראו לשר לביטחון לאומי, חופשה מיוחדת שלא תעלה על 45 ימים; וזאת בשל העלייה המשמעותית בתפוסת האסירים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נקבע כי הסדר זה לא יחול לגבי אסירים שהורשעו בעבירות מסוימות, לרבות עבירות ביטחון או כאלו שיש לגביהן חזקת מסוכנות, וכי תקופת מאסרו של אסיר לא תוארך בשל חופשה מיוחדת שניתנה לו במסגרת חוק זה. במסגרת התיקון נקבע כי הוראת השעה כאמור תוארך לתקופה של חמישה חודשים, עד ליום י"ד בחשוון התשפ"ה (15 בנובמבר 2024). </t>
  </si>
  <si>
    <t xml:space="preserve">חוק זכויות נפגעי עבירה (תיקון מס' 18), התשפ"ד–2024</t>
  </si>
  <si>
    <t xml:space="preserve"> (פ/4286/25)</t>
  </si>
  <si>
    <t xml:space="preserve"> (כ/1012)</t>
  </si>
  <si>
    <t xml:space="preserve">מטרת החוק היא לתת מענה לקשיים הייחודיים במימוש זכויות נפגעי עבירה לעניין האירועים הקשים של מתקפת הטרור הרצחנית של ה-7 באוקטובר והימים שלאחריו. החוק מרחיב את מעגל בני המשפחה ומכליל גם סבים, נכדים, דודים ואחיינים, כדי לתת מענה למקרים שבהם לא נותרו בני משפחה בחיים מהמעגלים הקרובים כמפורט בחוק כיום. החוק מאפשר לבני משפחתו של אדם שנהרג כתוצאה ממעשה טרור או פעולות איבה מהשבעה עד התשעה באוקטובר 2023, לקבל את זכויותיו של המנוח לפי סדר קדימויות המפורט בחוק. ביחס לנפגעי עבירה שנחטפו, נקבע שהענקת הזכויות לבין משפחה תהיה כפופה לבחינה של פגיעה בפרטיות החטוף. אם פרקליט המחוז או ממונה בכיר בפרקליטות שהוא הסמיך קבע כי זכות מסוימת או מידע תפגע בפרטיותו, היא לא תמסר. בנוסף נקבע כי נפגע העבירה או מי מטעמו שזכאי לקבל את זכויותיו לפי החוק, רשאי לתת הסכמה להעברת מימוש הזכויות לאדם אחר, ואם מדובר בבן משפחה של חטוף, ככל שהצהיר בכתב על קרבה אישית בין החטוף לאותו אדם.</t>
  </si>
  <si>
    <t xml:space="preserve">חוק לתיקון ולהארכת תוקפן של תקנות שעת חירום (חרבות ברזל) (הארכת מעצר לחשוד בעבירת ביטחון) (תיקון מס' 2), התשפ"ד-2024</t>
  </si>
  <si>
    <t xml:space="preserve"> (מ/1758)</t>
  </si>
  <si>
    <t xml:space="preserve">17.06.2024</t>
  </si>
  <si>
    <t xml:space="preserve">החוק מאריך בחודש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ה-18 ביולי 2024.</t>
  </si>
  <si>
    <t xml:space="preserve">חוק לתיקון ולהארכת תוקפן של תקנות שעת חירום (חרבות ברזל) (פגישה עם עורך דין של עצור בעבירת ביטחון) (תיקון מס' 2), התשפ"ד-2024</t>
  </si>
  <si>
    <t xml:space="preserve"> (מ/1757)</t>
  </si>
  <si>
    <t xml:space="preserve">החוק מאריך בחודש בדיוק את תוקפן של תקנות שעת חירום המאפשרות מניעת פגישה של עצורים ביטחוניים, הקשורים לפעולות האיבה שהתרחשו בין ה-7 באוקטובר לבין ה-10 לאוקטובר 2023 או למלחמה בעזה, עם עורכי הדין שלהם. התקנות יעמדו בתוקף עד ה-18 ביולי 2024.</t>
  </si>
  <si>
    <t xml:space="preserve">הצעת חוק העונשין (תיקון - ייצוא חומר הנחשב לסם מסוכן בחוץ לארץ), התשפ''ד-2024</t>
  </si>
  <si>
    <t xml:space="preserve"> (פ/4662/25)</t>
  </si>
  <si>
    <t xml:space="preserve"> (פ/4661/25)</t>
  </si>
  <si>
    <t xml:space="preserve"> (פ/4659/25)</t>
  </si>
  <si>
    <t xml:space="preserve">הצעת חוק התחדשות עירונית (הסכמים לארגון עסקאות) (תיקון - אסדרת עבודת עורך דין), התשפ"ד-2024</t>
  </si>
  <si>
    <t xml:space="preserve"> (פ/4655/25)</t>
  </si>
  <si>
    <t xml:space="preserve">הצעת חוק הלוואות למיגון דירות, התשפ"ד-2024</t>
  </si>
  <si>
    <t xml:space="preserve"> (פ/4654/25)</t>
  </si>
  <si>
    <t xml:space="preserve"> (פ/4653/25)</t>
  </si>
  <si>
    <t xml:space="preserve">הצעת חוק אסדרת שוק הקנאביס לצריכה עצמית, התשפ"ד-2024</t>
  </si>
  <si>
    <t xml:space="preserve"> (פ/4652/25)</t>
  </si>
  <si>
    <t xml:space="preserve">הצעת חוק פיקוח על מחירי מצרכים ושירותים (תיקון - פיקוח על מחירי ענף ביטוחי הרכב) (הוראת שעה), התשפ"ד-2024</t>
  </si>
  <si>
    <t xml:space="preserve"> (פ/4651/25)</t>
  </si>
  <si>
    <t xml:space="preserve"> (פ/4650/25)</t>
  </si>
  <si>
    <t xml:space="preserve">הצעת חוק לתיקון פקודת השותפויות (מס' 6), התשפ"ד-2024</t>
  </si>
  <si>
    <t xml:space="preserve"> (מ/1761)</t>
  </si>
  <si>
    <t xml:space="preserve">הצעת חוק הגנה על הציבור מפני ארגוני פשיעה, התשפ"ד-2024</t>
  </si>
  <si>
    <t xml:space="preserve"> (פ/4489/25)</t>
  </si>
  <si>
    <t xml:space="preserve">10.06.2024</t>
  </si>
  <si>
    <t xml:space="preserve">הצעת חוק שירות ביטחון (תיקון - פטור זקן לחיילים), התשפ"ד-2024</t>
  </si>
  <si>
    <t xml:space="preserve"> (פ/4648/25)</t>
  </si>
  <si>
    <t xml:space="preserve"> (פ/4645/25)</t>
  </si>
  <si>
    <t xml:space="preserve">הצעת חוק העונשין (תיקון - ייצוא חומר הנחשב לסם מסוכן בחוץ לארץ), התשפ"ד-2024</t>
  </si>
  <si>
    <t xml:space="preserve"> (פ/4644/25)</t>
  </si>
  <si>
    <t xml:space="preserve">הצעת חוק הבחירות לכנסת (תיקון - הצבעה של אזרחים המשרתים שירות לאומי-אזרחי בחוץ לארץ), התשפ"ד-2024</t>
  </si>
  <si>
    <t xml:space="preserve"> (פ/4643/25)</t>
  </si>
  <si>
    <t xml:space="preserve">הצעת חוק הכרה בוותק של עולים, התשפ"ד-2024</t>
  </si>
  <si>
    <t xml:space="preserve"> (פ/4642/25)</t>
  </si>
  <si>
    <t xml:space="preserve"> (פ/4641/25)</t>
  </si>
  <si>
    <t xml:space="preserve">הצעת חוק תקשורת דיגיטלית עם גופים ציבוריים (תיקון - אימות זהות באמצעות מסר קולי מוקלט), התשפ"ד-2024</t>
  </si>
  <si>
    <t xml:space="preserve"> (פ/4639/25)</t>
  </si>
  <si>
    <t xml:space="preserve"> (פ/4638/25)</t>
  </si>
  <si>
    <t xml:space="preserve"> (פ/4637/25)</t>
  </si>
  <si>
    <t xml:space="preserve"> (פ/4636/25)</t>
  </si>
  <si>
    <t xml:space="preserve">הצעת חוק-יסוד: הממשלה (תיקון - איסור מינוי אדם שהורשע בעבירת טרור לשר בעל אחריות ביטחונית)</t>
  </si>
  <si>
    <t xml:space="preserve"> (פ/4635/25)</t>
  </si>
  <si>
    <t xml:space="preserve">הצעת חוק הסיוע המשפטי (תיקון - סיוע משפטי למטופל סיעודי), התשפ"ד-2024</t>
  </si>
  <si>
    <t xml:space="preserve"> (פ/4634/25)</t>
  </si>
  <si>
    <t xml:space="preserve"> (פ/4633/25)</t>
  </si>
  <si>
    <t xml:space="preserve"> (פ/4632/25)</t>
  </si>
  <si>
    <t xml:space="preserve">הצעת חוק החברות הממשלתיות (תיקון - ביטוי הולם בדירקטוריונים לתושבי יישובי הצפון והדרום), התשפ"ד-2024</t>
  </si>
  <si>
    <t xml:space="preserve"> (פ/4631/25)</t>
  </si>
  <si>
    <t xml:space="preserve">הצעת חוק הבחירות לכנסת (תיקון - מועדים לעניין בחירות מוקדמות), התשפ"ד-2024</t>
  </si>
  <si>
    <t xml:space="preserve"> (פ/4630/25)</t>
  </si>
  <si>
    <t xml:space="preserve">הצעת חוק-יסוד: קיצור תקופת הבחירות (תיקוני חקיקה)</t>
  </si>
  <si>
    <t xml:space="preserve"> (פ/4629/25)</t>
  </si>
  <si>
    <t xml:space="preserve">הצעת חוק שירות המדינה (מינויים) (תיקון - ועדת איתור למינוי נציב שירות המדינה), התשפ"ד-2024</t>
  </si>
  <si>
    <t xml:space="preserve"> (פ/4628/25)</t>
  </si>
  <si>
    <t xml:space="preserve">הצעת חוק מניעת פגיעת גוף שידורים זר בביטחון המדינה (הוראת שעה - חרבות ברזל) (תיקון - הארכת תוקף), התשפ"ד-2024</t>
  </si>
  <si>
    <t xml:space="preserve"> (פ/4627/25)</t>
  </si>
  <si>
    <t xml:space="preserve">הצעת חוק משפחות חיילים שנספו במערכה (תגמולים ושיקום) (תיקון - מעטפת שיקומית לאחים שכולים), התשפ"ד-2024</t>
  </si>
  <si>
    <t xml:space="preserve"> (פ/4624/25)</t>
  </si>
  <si>
    <t xml:space="preserve">הצעת חוק דמי מחלה (היעדרות בשל מחלת ילד) (תיקון - היעדרות בעקבות תקיפה או התעללות בילד), התשפ"ד-2024</t>
  </si>
  <si>
    <t xml:space="preserve"> (פ/4623/25)</t>
  </si>
  <si>
    <t xml:space="preserve">הצעת חוק צער בעלי חיים (הגנה על בעלי חיים) (תיקון - איסור שימוש באביזרים חשמליים), התשפ"ד-2024</t>
  </si>
  <si>
    <t xml:space="preserve"> (פ/4622/25)</t>
  </si>
  <si>
    <t xml:space="preserve">חוק הסמכת צבא הגנה לישראל ושירות הביטחון הכללי לביצוע חדירה לחומר מחשב המשמש להפעלת מצלמה נייחת ופעולה בו (הוראת שעה - חרבות ברזל) (תיקון), התשפ"ד-2024</t>
  </si>
  <si>
    <t xml:space="preserve"> (מ/1752)</t>
  </si>
  <si>
    <t xml:space="preserve">05.06.2024</t>
  </si>
  <si>
    <t xml:space="preserve">חוק הסמכת צבא הגנה לישראל ושירות הביטחון הכללי לביצוע חדירה לחומר מחשב המשמש להפעלת מצלמה נייחת ופעולה בו (הוראת שעה – חרבות ברזל), התשפ"ד–2023, מסמיך את צבא הגנה לישראל ואת השירות הביטחון הכללי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צבא הגנה לישראל, בקשר לפעילות במסגרת מלחמת "חרבות ברזל". כמו כן, נקבעו בו הסדרים שונים הנוגעים למידתיות הפעלת הסמכויות, תיעוד וחובת דיווח לוועדת המשנה למודיעין ולשירותים חשאיים של ועדת החוץ והביטחון של הכנסת. חוק זה, נקבע כהוראת שעה לשישה חודשים, עם אפשרות להארכה לתקופה של עד שלושה חודשים. במסגרת התיקון נקבע כי הוראת השעה כאמור תוארך עד ליום ל' בכסלו התשפ"ה (31 בדצמבר 2024). </t>
  </si>
  <si>
    <t xml:space="preserve">הצעת חוק-יסוד: הכנסת (תיקון - הצהרה בדבר זהותה של מדינת ישראל)</t>
  </si>
  <si>
    <t xml:space="preserve"> (פ/4366/25)</t>
  </si>
  <si>
    <t xml:space="preserve">הצעת חוק לתיקון פקודת המשטרה (פתיחה בחקירה פלילית), התשפ"ג-2023</t>
  </si>
  <si>
    <t xml:space="preserve"> (פ/3917/25)</t>
  </si>
  <si>
    <t xml:space="preserve">הצעת חוק הגנת הצרכן (תיקון - ביטול עסקת מכר מרחוק למתן שירותי תיירות בישראל), התשפ"ג-2023</t>
  </si>
  <si>
    <t xml:space="preserve"> (פ/3335/25)</t>
  </si>
  <si>
    <t xml:space="preserve"> (פ/3281/25)</t>
  </si>
  <si>
    <t xml:space="preserve">הצעת חוק לתיקון פקודת המשטרה (טיוב הטיפול בתלונות בגין אלימות משטרתית), התשפ"ג-2023</t>
  </si>
  <si>
    <t xml:space="preserve"> (פ/1847/25)</t>
  </si>
  <si>
    <t xml:space="preserve">הצעת חוק הרשות הלאומית למאבק בעוני, התשפ"ג-2023</t>
  </si>
  <si>
    <t xml:space="preserve"> (פ/1645/25)</t>
  </si>
  <si>
    <t xml:space="preserve">04.06.2024</t>
  </si>
  <si>
    <t xml:space="preserve">הצעת חוק הרשות הלאומית למאבק בעוני, התשפ"ג-2022</t>
  </si>
  <si>
    <t xml:space="preserve"> (פ/430/25)</t>
  </si>
  <si>
    <t xml:space="preserve">הצעת חוק העונשין (תיקון - מאבק בפשיעה החקלאית), התשפ"ג-2023 </t>
  </si>
  <si>
    <t xml:space="preserve"> (פ/3752/25)</t>
  </si>
  <si>
    <t xml:space="preserve">הצעת חוק הביטוח הלאומי (תיקון - פטור מכפל תשלום דמי ביטוח לאומי), התשפ"ג-2023</t>
  </si>
  <si>
    <t xml:space="preserve"> (פ/3003/25)</t>
  </si>
  <si>
    <t xml:space="preserve"> (פ/2643/25)</t>
  </si>
  <si>
    <t xml:space="preserve">הצעת חוק הביטוח הלאומי (תיקון - פטור מכפל תשלום דמי ביטוח לאומי), התשפ"ג-2022</t>
  </si>
  <si>
    <t xml:space="preserve"> (פ/706/25)</t>
  </si>
  <si>
    <t xml:space="preserve">הצעת חוק לעידוד השקעות הון בחקלאות (תיקון - השוואת ההטבות בתעשייה להטבות בחקלאות), התשפ"ג-2023</t>
  </si>
  <si>
    <t xml:space="preserve"> (פ/1951/25)</t>
  </si>
  <si>
    <t xml:space="preserve"> (פ/1763/25)</t>
  </si>
  <si>
    <t xml:space="preserve">חוק יום האחדות, התשפ"ד-2024</t>
  </si>
  <si>
    <t xml:space="preserve"> (מ/1699)</t>
  </si>
  <si>
    <t xml:space="preserve">בחוק זה נקבע יום ציון שנתי שייקרא "יום האחדות" לשם ציון וקידום הלכידות החברתית והערבות ההדדית בחברה הישראלית ובעם היהודי בארץ ובתפוצות. יום האחדות יתקיים מדי שנה ביום א' בסיוון, ויצוין, בין השאר, בממשלה, בבית הנשיא, בכנסת, במערכת החינוך, בפעילות המשרד לשוויון חברתי וקידום מעמד האישה, בצה"ל, ברשויות המקומיות בפעילות מטעם יחידות הנוער, וכן בפעילות מסגרות החינוך הבלתי פורמלי והמכינות הקדם-צבאיות אם יבחרו לעשות כן. הפעולות לציון יום האחדות ימומנו מתקציב משרד החינוך כפי שייקבע בחוק התקציב השנתי.</t>
  </si>
  <si>
    <t xml:space="preserve">חוק תשלומים לפדויי שבי (תיקון מס' 6), התשפ"ד-2024</t>
  </si>
  <si>
    <t xml:space="preserve"> (מ/1750)</t>
  </si>
  <si>
    <t xml:space="preserve">מטרת התיקון לשפר את הזכויות המוקנות לפדויי שבי ולחטופים ששוחררו.  ראשית, התשלום החודשי לפדוי שבי הועלה ל-3,300 שקלים חדשים. ההגדלה חלה גם על מי שהוכר כפדוי שבי לפני תחילתו של החוק אך הזכאות להגדלה חלה מה-.1.6.24 שנית, מי שהוכר כפדוי שבי לאחר 7.10.23 זכאי למענק הסתגלות חד-פעמי של 50,000 שקלים חדשים.  שלישית, מי שנחטף ב-7.10.23 והוכר כפדוי שבי זכאי לכל הזכויות שלהן זכאי נכה צה"ל או נפגע פעולות איבה שנקבעה לו דרגת נכות של 50% בשל הפרעה בתר-חבלתית ולמימון טיפול רפואי למשך 36 חודשים, אשר לא יינתן על טיפולים הכלולים בתוספת השניה או השלישית לחוק ביטוח בריאות ממלכתי, אם החטוף זכאי להם לפי החוק האמור, ועל טיפולים המוענקים על ידי ביטוח הבריאות הקולקטיבי שהמדינה משתתפת במימונו. הזכאויות כאמור חלות מהמועד שבו הוכר החטוף ששוחרר  כפדוי שבי, אלא אם מדובר בחייל בסדיר או בחייל מילואים שיקבל את הזכויות רק מיום שחרורו. הזכאות האוטומטית אינה מונעת קביעת נכות נפשית של מעל 50% או קביעת נכות פיזית על ידי ועדה רפואית.  עוד מוצע לקבוע כי הוועדה להכרה בפדויי שבי לא תכיר באדם שנחטף שלא בעת שירותו הצבאי או שירותו בכוחות ההביטחון כפדוי שבי, גם אם מתקיימים בו התנאים להכרה, אם מצאה שהוא משתייך לכוחות אויב, מסייע להם או פועל בשליחותם או מטעמם או על מנת לקדם את מטרותיהם, בדומה להוראה שקיימת בחוק התגמולים לנפגעי פעולות איבה. כמו כן מוצע לתקן את תנאי הזכאות בחוק תגמולים לבני משפחה של חטופים ונעדרים בפעולת איבה, ובעקבות כך גם את ההכרה באדם כפדויי שבי, בהתאמה לתנאים המפורטים בהגדרת "נפגע" בחוק התגמולים לנפגעי פעולות איבה. כלומר, להתנות את ההכרה בחטוף שהוא אזרח ישראלי שבמועד החטיפה חלפה יותר משנה מהמועד שבו הוא חדל להיות תושב ישראל בכך שהחטיפה היתה בישראל או באזור, ולגבי מי שאינו אזרח או תושב אך נכנס כדין לישראל להתנות בכך שהחטיפה היתה בישראל או בשטח אחר שקבע שר הביטחון.  </t>
  </si>
  <si>
    <t xml:space="preserve">הצעת חוק למניעת הטרדה מינית (תיקון - הרחבת תחולה על עובד של קבלן שירות המועסק אצל מזמין השירות), התשפ"ג-2023</t>
  </si>
  <si>
    <t xml:space="preserve"> (פ/3561/25)</t>
  </si>
  <si>
    <t xml:space="preserve">03.06.2024</t>
  </si>
  <si>
    <t xml:space="preserve">הצעת חוק ניוד מידע רפואי, התשפ"ד-2024</t>
  </si>
  <si>
    <t xml:space="preserve"> (פ/4436/25)</t>
  </si>
  <si>
    <t xml:space="preserve">הצעת חוק ביטוח בריאות ממלכתי (תיקון - העברת מידע מלא בעת מעבר בין קופות החולים), התשפ"ג-2023</t>
  </si>
  <si>
    <t xml:space="preserve"> (פ/2628/25)</t>
  </si>
  <si>
    <t xml:space="preserve">הצעת חוק בריאות ממלכתי (תיקון - העברת מידע מלא בעת מעבר בין קופות החולים), התשפ"ג-2022</t>
  </si>
  <si>
    <t xml:space="preserve"> (פ/655/25)</t>
  </si>
  <si>
    <t xml:space="preserve">חוק עדכון סכומי תגמולים לנכי רדיפות הנאצים ולנכי המלחמה בנאצים וביטול המרת תגמולים (תיקוני חקיקה), התשפ"ד-2024</t>
  </si>
  <si>
    <t xml:space="preserve"> (מ/1739)</t>
  </si>
  <si>
    <t xml:space="preserve">מדובר בהצעת חוק ממשלתית שבה מוצע להחליף את ההסדר הקיים לעניין אופן עדכון סכומי התגמולים לזכאים מכוח חוק נכי רדיפות הנאצים, התשי"ז-1957, וחוק נכי המלחמה בנאצים, התשי"ד-1957, וזאת בדומה לאופן עדכון התגמולים לפי חוק הנכים (תגמולים ושיקום), התשי"ט-1959. ההסדר החדש יגלם עלייה חצי-שנתית של המדד ויביא בחשבון את כלל התוספות הניתנות על פני תקופה זו, וכך יטיב עם הזכאים. העדכון יעשה באופן אוטומטי, ולכן נוספה חובת דיווח שנתית לוועדת הכספים מהרשות לניצולי שואה, ביחס לזכאות לתגמולים, להטבות ולמענקים על פי חוקים אלה, וזאת בפילוח לפי סוג הזכאות ומספר הזכאים, וכן בעניין סכום התגמולים או ההטבות וכיוצב'. חובת הדיווח תוכל ללמד על צרכים נוספים, ככל שיידרשו, ויש בה כדי להבטיח את פיקוח הוועדה ביחס לאוכלוסייה זו.</t>
  </si>
  <si>
    <t xml:space="preserve">חוק עבודת הנוער (תיקון מס' 22), התשפ"ד-2024</t>
  </si>
  <si>
    <t xml:space="preserve"> (מ/1629)</t>
  </si>
  <si>
    <t xml:space="preserve">התיקון לחוק קובע  כי מעסיק יהיה רשאי להעסיק צעיר (בגילאים 16 עד 18) עד השעה 1:00 בלילה (במקום עד השעה 20.00) בתקופת חופשת לימודים רשמית, למעט ביום שלמחרתו מתקיימים לימודים. כמו כן התיקון לחוק קובע כי אם עבודתו של הצעיר בחופשה כאמור הסתיימה לאחר השעה 23:00, המעסיק יהיה מחויב להחזיר את הצעיר הביתה בעצמו או על ידי מי מטעמו, ולעניין זה קובע התיקון כי אם הפרש הזמנים בין סיום העבודה לאחר השעה 23:00 ובין יציאת הצעיר בחזרה לביתו עלה על חצי שעה, יראו במעסיק כמי שלא החזיר את הצעיר לביתו בסיום העבודה. התיקון מסמיך את שר העבודה לקבוע, לשם הגנה על צעירים, שההוראות האמורות לא יחולו בעבודות או בענפי עבודה מסוימים. התיקון לחוק קובע עבירה פלילית וכן עיצום כספי לגבי מעסיק שהפר את החובה להחזיר את הצעיר לביתו. עוד קובע התיקון לחוק כי באפשרות בית הדין לעבודה לפסוק פיצויים לדוגמה (דהיינו, פיצויים שאינם תלויים בנזק) בסכום שלא יעלה על 5,000 ש"ח בתביעה אזרחית שהגיש נער או ארגון עובדים מטעמו, בשל כך שהנער שהועסק בשעות הלילה שלא במסגרת השעות שנקבעו בחוק או שהועסק אחרי השעה 23.00 בלא שהמעסיק החזירו לביתו. כמו כן נקבע כי בתביעה אזרחית כאמור שבה המעסיק לא הציג רישומי נוכחות של הנער או הצעיר תהיה חובת ההוכחה עליו שלא העסיק את הנער בניגוד להוראות האמורות.</t>
  </si>
  <si>
    <t xml:space="preserve">הצעת חוק להפסקת פעילות סוכנות הסעד והתעסוקה של האו"ם לפליטי פלסטין במזרח הקרוב (אונר"א), התשפ"ד-2024</t>
  </si>
  <si>
    <t xml:space="preserve"> (פ/4621/25)</t>
  </si>
  <si>
    <t xml:space="preserve">הצעת חוק מניעת פגיעת גוף שידורים זר בביטחון המדינה (הוראת שעה - חרבות ברזל) (תיקון - אכיפה והארכת הוראת השעה), התשפ"ד-2024</t>
  </si>
  <si>
    <t xml:space="preserve"> (פ/4619/25)</t>
  </si>
  <si>
    <t xml:space="preserve">הצעת חוק מס ערך מוסף (תיקון - מס בשיעור אפס על מרחבים מוגנים), התשפ"ד-2024</t>
  </si>
  <si>
    <t xml:space="preserve"> (פ/4617/25)</t>
  </si>
  <si>
    <t xml:space="preserve"> (פ/4616/25)</t>
  </si>
  <si>
    <t xml:space="preserve">הצעת חוק הבחירות לכנסת (תיקון - קיצור תקופת צינון לבכירים במערכת הביטחון), התשפ"ד-2024</t>
  </si>
  <si>
    <t xml:space="preserve"> (פ/4615/25)</t>
  </si>
  <si>
    <t xml:space="preserve">הצעת חוק זיכרון השואה והגבורה - יד ושם (תיקון - זיכרון גבורת היהודים שהצילו את בני עמם), התשפ"ד-2024</t>
  </si>
  <si>
    <t xml:space="preserve"> (פ/4614/25)</t>
  </si>
  <si>
    <t xml:space="preserve">הצעת חוק לתיקון פקודת היערות (הגברת ההגנה על עצים בוגרים), התשפ"ד-2024</t>
  </si>
  <si>
    <t xml:space="preserve"> (פ/4613/25)</t>
  </si>
  <si>
    <t xml:space="preserve">הצעת חוק סדר הדין הפלילי (סמכויות אכיפה - מעצרים) (תיקון - פיצוי בשל מעצר), התשפ"ד-2024</t>
  </si>
  <si>
    <t xml:space="preserve"> (פ/4612/25)</t>
  </si>
  <si>
    <t xml:space="preserve">הצעת חוק חסינות חברי הכנסת, זכויותיהם וחובותיהם (תיקון - חבר כנסת ערבי בוועדת האתיקה), התשפ"ד-2024</t>
  </si>
  <si>
    <t xml:space="preserve"> (פ/4609/25)</t>
  </si>
  <si>
    <t xml:space="preserve"> (פ/4608/25)</t>
  </si>
  <si>
    <t xml:space="preserve">הצעת חוק הטבות לניצולי שואה (תיקון - הטבות לניצולים שעלו לאחר שנת 1953), התשפ"ד-2024</t>
  </si>
  <si>
    <t xml:space="preserve"> (פ/4607/25)</t>
  </si>
  <si>
    <t xml:space="preserve">הצעת חוק משפחות חיילים שנספו במערכה (תגמולים ושיקום) (תיקון - הסדרת זכויות יתומים בוגרים), התשפ"ד-2024</t>
  </si>
  <si>
    <t xml:space="preserve"> (פ/4606/25)</t>
  </si>
  <si>
    <t xml:space="preserve">הצעת חוק צער בעלי חיים (הגנה על בעלי חיים) (תיקון - בעלי חיים כיצורים תחושתיים), התשפ"ד-2024</t>
  </si>
  <si>
    <t xml:space="preserve"> (פ/4605/25)</t>
  </si>
  <si>
    <t xml:space="preserve">הצעת חוק הביטוח הלאומי (תיקון - מניין הימים לעניין מבוטח בשירות מילואים בנסיבות חירום), התשפ"ד-2024 </t>
  </si>
  <si>
    <t xml:space="preserve"> (פ/4603/25)</t>
  </si>
  <si>
    <t xml:space="preserve">הצעת חוק משפחות חיילים שנספו במערכה (תגמולים ושיקום) (תיקון - מלווה למימון הוצאות משק הבית לשכול ולאלמנה), התשפ״ד-2024</t>
  </si>
  <si>
    <t xml:space="preserve"> (פ/4602/25)</t>
  </si>
  <si>
    <t xml:space="preserve">הצעת חוק החולה הנוטה למות (תיקון - תוקף ההנחיות המקדימות), התשפ"ד- 2024</t>
  </si>
  <si>
    <t xml:space="preserve"> (פ/4600/25)</t>
  </si>
  <si>
    <t xml:space="preserve"> (פ/4599/25)</t>
  </si>
  <si>
    <t xml:space="preserve">הצעת חוק סדנה מורשית לשיפור כלי רכב, התשפ"ד-2024</t>
  </si>
  <si>
    <t xml:space="preserve"> (פ/4559/25)</t>
  </si>
  <si>
    <t xml:space="preserve">29.05.2024</t>
  </si>
  <si>
    <t xml:space="preserve"> (פ/4356/25)</t>
  </si>
  <si>
    <t xml:space="preserve"> (פ/4303/25)</t>
  </si>
  <si>
    <t xml:space="preserve">הצעת חוק הביטוח הלאומי (תיקון - תגמולים למשרתים במילואים) (הוראת שעה - חרבות ברזל), התשפ"ד-2024</t>
  </si>
  <si>
    <t xml:space="preserve"> (פ/4253/25)</t>
  </si>
  <si>
    <t xml:space="preserve"> (פ/4202/25)</t>
  </si>
  <si>
    <t xml:space="preserve"> (פ/4158/25)</t>
  </si>
  <si>
    <t xml:space="preserve">הצעת חוק ביטוח בריאות ממלכתי (תיקון - בחירה מבין נותני השירותים), התשפ"ג-2023</t>
  </si>
  <si>
    <t xml:space="preserve"> (פ/3041/25)</t>
  </si>
  <si>
    <t xml:space="preserve"> (פ/2000/25)</t>
  </si>
  <si>
    <t xml:space="preserve">הצעת חוק העונשין (תיקון - הגנה על בסיסי צה"ל, שטחי אש, תחנות משטרה ומתקנים ביטחוניים), התשפ"ג-2023 </t>
  </si>
  <si>
    <t xml:space="preserve"> (פ/3393/25)</t>
  </si>
  <si>
    <t xml:space="preserve">28.05.2024</t>
  </si>
  <si>
    <t xml:space="preserve">הצעת חוק התקנת מצלמות לשם הגנה על פעוטות במעונות יום לפעוטות (תיקון - החלה על גני ילדים והגברת האכיפה), התשפ"ד-2023</t>
  </si>
  <si>
    <t xml:space="preserve"> (פ/3959/25)</t>
  </si>
  <si>
    <t xml:space="preserve">הצעת חוק התקנת מצלמות לשם הגנה על פעוטות במעונות יום לפעוטות (תיקון - החלה על גני ילדים והגברת האכיפה), התשפ"ג-2023</t>
  </si>
  <si>
    <t xml:space="preserve"> (פ/3597/25)</t>
  </si>
  <si>
    <t xml:space="preserve">הצעת חוק תשלומים לפדויי שבי (תיקון - סכומי התשלומים ומועדיהם), התשפ"ד-2024</t>
  </si>
  <si>
    <t xml:space="preserve"> (פ/4466/25)</t>
  </si>
  <si>
    <t xml:space="preserve">הצעת חוק הפסקת הליכים ומחיקת רישומים בעניין המחאה כנגד אלימות משטרתית כלפי יוצאי אתיופיה, התשפ"ד-2024</t>
  </si>
  <si>
    <t xml:space="preserve"> (פ/4331/25)</t>
  </si>
  <si>
    <t xml:space="preserve">הצעת חוק הפסקת הליכים ומחיקת רישומים בעניין עבירה על רקע מחאות יוצאי אתיופיה, התשפ"ד-2024</t>
  </si>
  <si>
    <t xml:space="preserve"> (פ/4322/25)</t>
  </si>
  <si>
    <t xml:space="preserve">חוק החיילים המשוחררים (החזרה לעבודה) (תיקון מס' 19 והוראת שעה), התשפ"ד–2024</t>
  </si>
  <si>
    <t xml:space="preserve"> (פ/4314/25)</t>
  </si>
  <si>
    <t xml:space="preserve"> (כ/1011)</t>
  </si>
  <si>
    <t xml:space="preserve">בתיקון זה לחוק החיילים המשוחררים (החזרה לעבודה), התש"ט-1949, הורחבה ההגנה הקבועה כיום בחוק לגבי משרת במילואים, כך שבתקופת ההגנה של 30 הימים שלאחר תום שירות המילואים, חל גם איסור לפגוע בהיקף משרתו או בהכנסתו בלא היתר מוועדת התעסוקה שבמשרד הביטחון (נוסף על איסור הפיטורים). על הפרת הוראה זו יחולו אותן ההוראות החלות לגבי איסור הפיטורים ובכלל זה ניתן יהיה להטיל בשלה עיצום כספי.  כמו כן, נקבע כי מעסיק לא יפטר עובד בשל שירותו במילואים של בן זוגו או הורהו האחר של ילדו, ואם פיטרו – בטלים הפיטורים, ונקבעה הגנה על עובדים כאמור בחוק שוויון ההזדמנויות בעבודה, מפני אפליה כעובדים או כדורשי עבודה – בשל שירות המילואים של בני הזוג או ההורה האחר של ילדם. עוד נקבע כהוראת שעה, כי מעסיק יידרש לקבל היתר מוועדת התעסוקה לשם פיטורים של עובד שיש עימו ילד עד גיל 14, בתקופת שירות המילואים של בן זוגו אם השירות הוא בצו 8 או שמשכו הוא 21 ימים רצופים לפחות או לשם הוצאה של עובד כאמור לחופשה ללא תשלום כמפורט בהצעת החוק. הזכאות להגנה תותנה בכך שהעובד מסר הודעה למעסיק לגבי שירות המילואים בתוך שלושה ימים מההודעה על כוונה לפטרו או להוציאו לחל"ת. מעסיק שיפטר עובד או יוציאו לחל"ת בניגוד להוראות אלה יישא באחריות פלילית וניתן יהיה להטיל עליו עיצומים כספיים.  הוראת שעה זו תחול לתקופה שעד 31.12.2025 וניתן יהיה להאריכה לתקופות של עד שלוש שנים נוספות. בתקופה שעד 31.12.24 נקבע שההגנה תחול גם ב-14 הימים שלאחר תום שירות המילואים – ותקופה זו ניתן יהיה להאריך לתקופות של עד שנתיים נוספות. לבסוף, נקבעה זכאות למענק חד פעמי לעובדים שיש עימם ילד עד גיל 14, ובני זוגם משרתים בשירות מילואים בנסיבות חירום לפי סעיף 8 לחוק שירות המילואים, או שמשכו הצפוי של שירות המילואים הוא 21 ימים רצופים לפחות והם עומדים ביתר התנאים הקבועים בחוק, ובין היתר שההוצאה לחל"ת היא לתקופה של 21 ימים לפחות, בתקופה שמ-7.10.2023 ועד 31.12.2024 (אף אם העובדים יצאו לחל"ת ביוזמתם). הזכאות למענק תהיה בעד הימים שבהם שהו העובדים בחופשה ללא תשלום בעת שירות המילואים כאמור, ולא יותר מ-30 ימים. המענק יהיה בסכום של 70% מההכנסה הממוצעת כמפורט בתיקון לחוק. תחילתו של ההסדר האמור תהיה ב-16.6.24, אך הזכאות למענק תחול גם לגבי מי שיצא לחל"ת לפני תחילתו של התיקון לחוק – החל מ-7.10.2023. מידע לגבי זכויות הנובעות מהתיקון ייכלל במסגרת המידע שנמסר לחיילים בשירות מילואים בדבר זכויותיהם וכן במידע המפורסם באתר האינטרנט של צה"ל. </t>
  </si>
  <si>
    <t xml:space="preserve">חוק לתיקון פקודת בתי הסוהר (מס' 64 – הוראת שעה – חרבות ברזל) (מצב חירום כליאתי) (תיקון מס' 2), התשפ"ד–2024</t>
  </si>
  <si>
    <t xml:space="preserve"> (מ/1753)</t>
  </si>
  <si>
    <t xml:space="preserve">במסגרת תיקון מספר 64 לפקודת בתי הסוהר [נוסח חדש], התשל"ב–1971, נקבע, כהוראת שעה לשלושה חודשים, כי השר לביטחון לאומי, בהמלצת נציב בתי הסוהר ובהסכמת ראש הממשלה ושר הביטחון, יהיה רשאי להכריז על מצב חירום כליאתי אם שוכנע לנוכח המצב הביטחוני שבשלו הוכרז מצב מיוחד בעורף,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לאחר מכן, תוקנה הוראת השעה כך שהכרזת השר לביטחון לאומי בדבר מצב חירום כליאתי תתאפשר לא על יסוד המצב המיוחד בעורף אלא על יסוד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במסגרת תיקון מספר 2, הוארכה תוקפה של הוראת השעה, במסגרתה מוסמך השר לביטחון לאומי, באישור הממשלה והוועדה לביטחון לאומי של הכנסת, להכריז על מצב חירום כליאתי ולאפשר חריגה מהוראות הדין לעניין שטח מחיה מזערי בבתי הסוהר עד ליום ל' בכסלו התשפ"ה (31 בדצמבר 2024). זאת ועוד, נקבע כי תוקף הכרזתו של השר על מצב חירום כליאתי, שניתנה מכוח הוראת השעה, תוארך עד ליום כ"ד בסיוון התשפ"ד (30 ביוני 2024). </t>
  </si>
  <si>
    <t xml:space="preserve"> (פ/4589/25)</t>
  </si>
  <si>
    <t xml:space="preserve">27.05.2024</t>
  </si>
  <si>
    <t xml:space="preserve">חוק הכניסה לישראל (תיקון מס' 39), התשפ"ד–2024</t>
  </si>
  <si>
    <t xml:space="preserve"> (פ/4281/25)</t>
  </si>
  <si>
    <t xml:space="preserve"> (כ/1010)</t>
  </si>
  <si>
    <t xml:space="preserve">22.05.2024</t>
  </si>
  <si>
    <t xml:space="preserve">חוק הכניסה לישראל, התשי"ב–1952, מתייחס בין היתר לעבירות העוסקות בהסעה, הלנה והעסקה של תושבי אזור יהודה והשומרון שנכנסו לישראל או שוהים במדינה שלא כדין, וזאת על מנת לצמצם את התופעה זו. בעקבות הגידול שחל בשנים האחרונות בהיקף התופעה לצד השלכותיה על ביטחון אזרחי ישראל, תוקן חוק הכניסה לישראל כך שהוחמרה הענישה בעבירות הרלוונטיות.  במסגרת תיקון מספר 39, נקבע כי בית המשפט יצווה, ללא תלות בכל עונש אחר, על התליית רישיון או היתר עיסוק שניתנו, בעיסוק הקשור בעבירה, לתקופה שלא תעלה על שנה, בעת הרשעה של יחיד או תאגיד בעבירות של הסעה, הלנה והעסקה בנסיבות מחמירות, ניהול או ארגון שירותי הסעה של תושבי אזור יהודה והשומרון שנכנסו לישראל שלא כדין, אלא אם כן סבר בית המשפט שלא לעשות זאת מטעמים מיוחדים שיירשמו. עוד נקבע כי בית המשפט יצווה, ללא תלות בכל עונש אחר, על חילוט רכוש הקשור לעבירה של מי שהורשע בעבירות כאמור, ובכלל זה דירת המגורים או העסק שבהם נעברה העבירה, ולחלופין חילוט שווי הרכוש הקשור לעבירה, אלא אם כן סבר בית המשפט שלא לעשות זאת מטעמים מיוחדים שיירשמו. </t>
  </si>
  <si>
    <t xml:space="preserve">הצעת חוק אספקת החשמל, התשפ"ד-2024</t>
  </si>
  <si>
    <t xml:space="preserve"> (פ/4271/25)</t>
  </si>
  <si>
    <t xml:space="preserve"> (פ/4127/25)</t>
  </si>
  <si>
    <t xml:space="preserve">הצעת חוק לחלוקה הוגנת של מזונות, התשפ"ג-2023</t>
  </si>
  <si>
    <t xml:space="preserve"> (פ/3883/25)</t>
  </si>
  <si>
    <t xml:space="preserve">הצעת חוק הביטוח הלאומי (תיקון - תשלום קצבת ילדים לאחר גיל 18 בעד ילד המשרת בשירות צבאי, לאומי או אזרחי), התשפ"ג-2023</t>
  </si>
  <si>
    <t xml:space="preserve"> (פ/2029/25)</t>
  </si>
  <si>
    <t xml:space="preserve">הצעת חוק הגנה על זכויות ילדים נפגעי עבירת המתה בדירת המשפחה, התשפ"ד-2024</t>
  </si>
  <si>
    <t xml:space="preserve"> (פ/2883/25)</t>
  </si>
  <si>
    <t xml:space="preserve">21.05.2024</t>
  </si>
  <si>
    <t xml:space="preserve">הצעת חוק הירושה (תיקון - פסלות לרשת ומניעת עסקאות בזכות יורש שהמית את המוריש), התשפ"ג-2023</t>
  </si>
  <si>
    <t xml:space="preserve"> (פ/2405/25)</t>
  </si>
  <si>
    <t xml:space="preserve">חוק הסדרת העיסוק במקצועות הבריאות (תיקון מס' 10), התשפ"ד-2024</t>
  </si>
  <si>
    <t xml:space="preserve"> (מ/1730)</t>
  </si>
  <si>
    <t xml:space="preserve">התיקון לחוק מעדכן את הוראות המעבר למקצוע הכירופרקטיקה שהוסדר כבר בשנת 2010 אך בשל אי התקנת תקנות לא ניתנו עד מועד התיקון תעודות מקצוע לכירופרקטים (יצוין כי במקביל לתיקון הותקנו גם התקנות): הוראות המעבר שנקבעו הן: (א) ניתן לתת תעודת כירופרקט ללא צורך בעבודה בפיקוח ובעמידה בבחינות בישראל למי שעסק בישראל בכירופרקטיקה בהיקף ניכר במשך חמש שנים לפחות ערב כניסתן לתוקף של התקנות בעניין הכשרה מעשית, והוכיח ידע וניסיון, ובלבד שהגיש בקשה לקבלת התעודה בתוך 12 חודשים ממועד הכניסה לתוקף של התקנות; (ב) ניתן לתת תעודת כירופרקט ללא צורך בעמידה בבחינות בישראל למי שעסק בישראל בכירופרקטיקה ערב כניסתן לתוקף של התקנות בעניין הכשרה מעשית או התקנות בעניין עבודה בפיקוח, ובלבד שהגיש בקשה לקבלת התעודה בתוך שנתיים ממועד כניסתן לתוקף של התקנות. (ג) ניתן לתת תעודת כירופרקט למי שלמד את לימודי הכירופרקטיקה כלימודי תעודה (במקום לימודים אקדמיים) בתנאי שתעודת סיום הלימודים הוכרה לפי התנאים שפורטו בחוק, ושהלימודים החלו עד 1 במאי 2029 – ובלבד שמתקיימים בו שאר התנאים לקבלת תעודת המקצוע, או התנאים שנקבעו בהוראות המעבר שפורטו לעיל. הזכאות לפי הוראת מעבר זו מיועדת לעולים והיא לא תחול על מי שמרכז חייו היה בישראל ויצא ממנה לצורך הלימודים, ובעניין זה דויקו ההגדרות של תכניות הגעת צעירים בישראל, שהמשתתפים בהן לא ייחשבו כמי שמרכז חייהם בישראל. נוסף על כך נקבע כי עד תום שנתיים מיום פרסום החוק או מיום כניסתן לתוקף של התקנות, לפי המאוחר, לא יחולו האיסורים שבחוק בעניין התחזות לכירופרקט או שימוש בתואר זה. עוד נקבע כי תנאי להכרה בעבודה בפיקוח הוא כי בסיומה של העבודה בפיקוח ניתנה חוות דעת חיובית. התיקון לחוק כולל הסדרים גם לעניין מקצועות בריאות אחרים:  נקבע כי האיסור שבחוק על ביצוע פעולות ייחודיות למקצוע מסוים, לא ימנע ביצוע עבודה בפיקוח הנדרשת באותו מקצוע.  כמו כן נקבע בעל המקצוע דימותן רפואי נכלל בהגדרה "מטפל "לעניין חוק זכויות החולה. כמו כן תוקנה פקודת הרופאים כך שבוטלה ההשלכה הפלילית של תקנות מסוימות מכוח סעיף 61 לפקודת הרופאים, שעיקרן הוראות טכניות או פרוצדורליות. </t>
  </si>
  <si>
    <t xml:space="preserve">חוק להסדרת אירוע הילולת רבי שמעון בר יוחאי בהר מירון (הוראת שעה), התשפ"ד–2024 </t>
  </si>
  <si>
    <t xml:space="preserve"> (מ/1748)</t>
  </si>
  <si>
    <t xml:space="preserve">אירוע הילולת רבי שמעון בר יוחאי בהר מירון בל"ג בעומר הוא אירוע המוני המושך אליו מדי שנה מאות אלפי מבקרים. בעקבות האסון הכבד שאירע בשנת 2021, הוקמה ועדת חקירה ממלכתית שהגישה את המלצותיה לשיפור הבטיחות באתר. על רקע המצב הביטחוני המיוחד השורר בצפון הארץ במלחמת "חרבות ברזל", ובהתאם להערכות גורמי הביטחון, התעורר צורך להסדיר את קיום ההילולה במתכונת מצומצמת כדי למנוע פגיעה בחיי אדם. כעת, במסגרת חוק להסדרת אירוע הילולת רבי שמעון בר יוחאי בהר מירון (הוראת שעה), התשפ"ד-2024, עוגנה תשתית חקיקתית זמנית המגבילה משמעותית את אירועי ההילולה בשנת התשפ"ד. בחוק נקבע כי יתקיימו שלושה אירועי הדלקה בלבד שייערכו בזמנים שונים, ובהם אירוע הדלקה מרכזי במתחם קבר רבי שמעון בר יוחאי ושני אירועים נוספים במתחם ישיבת בני עקיבא. קיום האירועים הותנה בקבלת היתר משר ירושלים ומסורת ישראל, וכן באישורם של משטרת ישראל, הרשות הארצית לכבאות והצלה ומהנדס רשוי לשם הבטחת בטיחות האירוע. בנוסף, הוטלה הגבלה מחמירה על כניסה ושהייה במתחם מירון כולו, כך ששהייה בו מחייבת החזקת היתר כניסה או שהייה מיוחדת או אישור תושב המעיד על מגורים קבועים במקום. כדי למנוע צפיפות, הוגבל מספר השוהים במתחם הקבר ובמתחם בני עקיבא בכל רגע נתון לעד 30 בעלי היתר שהייה מיוחד, לצד חמישה עיתונאים מורשים. לשם הפעלת המתחם, הוחרגו מחובת קבלת ההיתר מספר קבוצות, ובהן כוחות הביטחון, החירום וההצלה, פקחי רשות הטבע והגנים, נהגי תחבורה ציבורית וגורמים המספקים סיוע רפואי דחוף. נוסף על כך, הוסמך מפקד פיקוד העורף (ראש הג"א) לקבוע בצו את השטחים שייסגרו כליל. כדי להבטיח את אכיפת ההגבלות, נאסר על השכרת יחידות אירוח במתחם מירון למי שאינו נמנה עם צוות ההפקה, הוגבלה ההגעה למתחם בתחבורה ציבורית, ונקבעו קנסות וסמכויות פינוי למשטרה כלפי מי ששוהה במתחם או מארגן אירועים ללא היתר. החוק כולל גם פטור זמני מדיני התכנון והבנייה להקמת תשתיות זמניות הנדרשות לאירוע, וקובע כי תוקפו יפקע ביום כ"ה באייר התשפ"ד (2 ביוני 2024), מועד שעד אליו יש להשיב את השטח לקדמותו.</t>
  </si>
  <si>
    <t xml:space="preserve">הצעת חוק סיוע למשפחות נפגעי מאורעות ה-7 באוקטובר, התשפ"ד-2024</t>
  </si>
  <si>
    <t xml:space="preserve"> (פ/4365/25)</t>
  </si>
  <si>
    <t xml:space="preserve">20.05.2024</t>
  </si>
  <si>
    <t xml:space="preserve">הצעת חוק יום בריאות הנפש, התשפ"ג-2023</t>
  </si>
  <si>
    <t xml:space="preserve"> (פ/1817/25)</t>
  </si>
  <si>
    <t xml:space="preserve">הצעת חוק הנוער (טיפול והשגחה) (תיקון - תינוקות בודדים), התשפ"ד-2024</t>
  </si>
  <si>
    <t xml:space="preserve"> (פ/4588/25)</t>
  </si>
  <si>
    <t xml:space="preserve">הצעת חוק משפחות חיילים שנספו במערכה (תגמולים ושיקום) (תיקון - תגמולי הורים, יתומים ואחים שכולים), התשפ"ד -2024</t>
  </si>
  <si>
    <t xml:space="preserve"> (פ/4586/25)</t>
  </si>
  <si>
    <t xml:space="preserve">הצעת חוק לימוד חובה (תיקון - איסור על גביית תשלומי הורים), התשפ"ד-2024</t>
  </si>
  <si>
    <t xml:space="preserve"> (פ/4584/25)</t>
  </si>
  <si>
    <t xml:space="preserve">הצעת חוק החלת הריבונות הישראלית על בקעת הירדן, התשפ"ד-2024</t>
  </si>
  <si>
    <t xml:space="preserve"> (פ/4583/25)</t>
  </si>
  <si>
    <t xml:space="preserve">הצעת חוק לעידוד תחבורת אופניים (שילוב אופניים בתחבורה ציבורית ותמריצים לשימוש בהם), התשפ"ד-2024</t>
  </si>
  <si>
    <t xml:space="preserve"> (פ/4581/25)</t>
  </si>
  <si>
    <t xml:space="preserve">הצעת חוק הכרה אזרחית בהכשרות צבאיות (תיקון - הכרה בניסיון פיקודי כניסיון ניהולי), התשפ"ד-2024</t>
  </si>
  <si>
    <t xml:space="preserve"> (פ/4580/25)</t>
  </si>
  <si>
    <t xml:space="preserve">הצעת חוק התחרות הכלכלית (תיקון - הכרזה על קיום מונופולין ואיסור על מחיר מופרז וטורפני), התשפ"ד-2024</t>
  </si>
  <si>
    <t xml:space="preserve"> (פ/4578/25)</t>
  </si>
  <si>
    <t xml:space="preserve">הצעת חוק עיטור הפציעה הקרבית, התשפ"ד-2024</t>
  </si>
  <si>
    <t xml:space="preserve"> (פ/4577/25)</t>
  </si>
  <si>
    <t xml:space="preserve">הצעת חוק התחרות הכלכלית (תיקון - הגברת השקיפות של דיוני הוועדה לפטורים ולמיזוגים), התשפ"ד-2024</t>
  </si>
  <si>
    <t xml:space="preserve"> (פ/4576/25)</t>
  </si>
  <si>
    <t xml:space="preserve">הצעת חוק שמירת הסביבה החופית (תיקון - התאמת תוכניות ישנות), התשפ"ד-2024</t>
  </si>
  <si>
    <t xml:space="preserve"> (פ/4575/25)</t>
  </si>
  <si>
    <t xml:space="preserve">הצעת חוק המתווכים במקרקעין (תיקון - הגבלת דמי תיווך), התשפ"ד-2024</t>
  </si>
  <si>
    <t xml:space="preserve"> (פ/4573/25)</t>
  </si>
  <si>
    <t xml:space="preserve">הצעת חוק התכנון והבנייה (תיקון - תסקיר תחבורה ציבורית), התשפ"ד-2024</t>
  </si>
  <si>
    <t xml:space="preserve"> (פ/4572/25)</t>
  </si>
  <si>
    <t xml:space="preserve">הצעת חוק הכנסת (תיקון - כינוס הכנסת במצב מלחמה), התשפ"ד-2024</t>
  </si>
  <si>
    <t xml:space="preserve"> (פ/4571/25)</t>
  </si>
  <si>
    <t xml:space="preserve">הצעת חוק העונשין (תיקון - החמרת ענישה בעבירות ביזה) (הוראת שעה), התשפ"ד-2024</t>
  </si>
  <si>
    <t xml:space="preserve"> (פ/4569/25)</t>
  </si>
  <si>
    <t xml:space="preserve"> (פ/4568/25)</t>
  </si>
  <si>
    <t xml:space="preserve">הצעת חוק מימון מפלגות (תיקון - שלילת מימון ממפלגה שקוראת להטלת חרם על מדינת ישראל), התשפ"ד-2024</t>
  </si>
  <si>
    <t xml:space="preserve"> (פ/4566/25)</t>
  </si>
  <si>
    <t xml:space="preserve">הצעת חוק הביטוח הלאומי (תיקון - מניין הימים לעניין מבוטח בשירות מילואים בנסיבות חירום), התשפ"ד-2024</t>
  </si>
  <si>
    <t xml:space="preserve"> (פ/4565/25)</t>
  </si>
  <si>
    <t xml:space="preserve"> (פ/4564/25)</t>
  </si>
  <si>
    <t xml:space="preserve">הצעת חוק הכשרות לאנשי מקצוע בנושא זיהוי ודיווח על התעללות בילדים, התשפ"ד-2024</t>
  </si>
  <si>
    <t xml:space="preserve"> (פ/4563/25)</t>
  </si>
  <si>
    <t xml:space="preserve">הצעת חוק עבודת נשים (תיקון - תקופת לידה והורות להורה אומנה), התשפ"ד-2024</t>
  </si>
  <si>
    <t xml:space="preserve"> (פ/4562/25)</t>
  </si>
  <si>
    <t xml:space="preserve">הצעת חוק הסדרת העיסוק במקצועות הבריאות (תיקון - טיפול באמצעות בעלי חיים), התשפ"ד-2024</t>
  </si>
  <si>
    <t xml:space="preserve"> (פ/4561/25)</t>
  </si>
  <si>
    <t xml:space="preserve">הצעת חוק הכניסה לישראל (תיקון מס' 40) (סמכויות קצין ביקורת הגבולות ופקח), התשפ"ד-2024</t>
  </si>
  <si>
    <t xml:space="preserve"> (מ/1746)</t>
  </si>
  <si>
    <t xml:space="preserve">חוק לתיקון פקודת סדר הדין הפלילי (מעצר וחיפוש) (מס' 16), התשפ"ד–2024</t>
  </si>
  <si>
    <t xml:space="preserve"> (מ/1751)</t>
  </si>
  <si>
    <t xml:space="preserve">08.05.2024</t>
  </si>
  <si>
    <t xml:space="preserve">במסגרת חוק המאבק בכלי הנשק הבלתי חוקיים (תיקון חקיקה והוראת שעה), התשפ"ג–2023, נעשה תיקון לפקודת סדר הדין הפלילי (מעצר וחיפוש) [נוסח חדש], התשכ"ט–1969 (להלן – הפקודה), לפיו נוספו שתי עילות חדשות לביצוע חיפוש ללא צו שופט במטרה להקנות למשטרה כלי אכיפה יעילים למיגור תופעת כלי הנשק הבלתי חוקיים. העילה הראשונה שנוספה מאפשרת לשוטר לבצע חיפוש ללא צו שופט אם התעורר חשד סביר שכלי נשק או חלק מהותי מנשק, שעשוי לשמש ראיה לביצוע עבירה, נמצא במקום, ואם בשל הצורך המיידי לביצוע החיפוש לא ניתן לקבל צו. העילה השנייה שנוספה מאפשרת למשטרה לבצע חיפוש של תיעוד או מצלמה שעשויים לשמש ראיה לביצוע עבירה שדינה עשר שנות מאסר לפחות, הכוללת עבירת נשק, עבירה של ירי במקום מגורים או עבירת סחיטה באיומים. לגבי שתי עילות אלו, נקבע כי החיפוש יבוצע רק באישור בכתב של קצין משטרה בדרגת רב-פקד ומעלה, שיכלול את הנסיבות והנימוקים לצורך בחיפוש מיידי ללא צו. עוד נקבע כי אם במהלך החיפוש נתגלה חפץ שאינו נוגע לעבירה שבשלה ניתן האישור לביצוע החיפוש, השוטר יהיה רשאי לתפוס את החפץ ולהביאו לבחינת שופט, אשר יחליט מה ייעשה בו. הסדרים אלו נקבעו כהוראת שעה לתקופה של שנה, החל מיום כ"ד באייר התשפ"ג (15 במאי 2023), זאת בכדי לאפשר בחינה של ההסדרים המוצעים. במסגרת תיקון מספר 16 לפקודה, נקבע כי הוראת השעה תוארך עד ליום כ"ה בסיוון התשפ"ד (1 ביולי 2024). </t>
  </si>
  <si>
    <t xml:space="preserve">חוק כלי הירייה (תיקון מס' 24) (תיקון), התשפ"ד–2024</t>
  </si>
  <si>
    <t xml:space="preserve"> (מ/1747)</t>
  </si>
  <si>
    <t xml:space="preserve">במסגרת חוק כלי הירייה (תיקון מס' 24), התשפ"ג–2023 (להלן – החוק), נקבע כי דמוי כלי ירייה, הינו כלי בעל קנה שאינו כלי ירייה, לרבות חלק ממנו, שניתן להסב אותו לכלי ירייה והוא מסוג המנוי ברשימה שיקבע השר לביטחון פנים בצו לאחר התייעצות עם המפקח הכללי של המשטרה. כמו כן נקבע כי פעילות ייצור, יצוא, יבוא, אחסנה, הובלה ומסחר בדמויי כלי ירייה יחויבו ברישיון, וכי החזקה ונשיאה של דמויי כלי ירייה ייעשו רק במועדוני קליעה שקיבלו רישיון לכך. זאת ועוד, כהוראת שעה לשנה, יתאפשר גם מתן הרשאה להחזקה ונשיאה של דמוי כלי ירייה לצורכי אימונים ותחרויות, במספר מוגבל ובכפוף לתנאים שייקבעו בתקנות.  במסגרת התיקון לחוק נדחה באופן רטרואקטיבי מועד פרסום הצו המפרט את רשימת הכלים הכלולים בהגדרה של "דמוי כלי יריה" בתשעה חודשים, כך שהצו יפורסם עד יום ב' באב התשפ"ד (6 באוגוסט 2024), וכי תחילת תיקון זה יהיה ביום כ"ב בחשוון התשפ"ד (6 בנובמבר 2023). כמו כן, נקבע לדחות את מועד פקיעת איסור הייבוא בעניין זה, כל עוד לא נכנס הצו כאמור לתוקף או עד שמונה עשרה חודשים מיום תחילת החוק, לפי המוקדם.  </t>
  </si>
  <si>
    <t xml:space="preserve">חוק לייעול האכיפה והפיקוח העירוניים ברשויות המקומיות (הוראת שעה) (תיקון מס' 12), התשפ"ד-2024</t>
  </si>
  <si>
    <t xml:space="preserve"> (מ/1740)</t>
  </si>
  <si>
    <t xml:space="preserve">15.04.2024</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</si>
  <si>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12 לחוק, תוקן סעיף 23, כך שתוקפו של החוק הוארך לתקופת זמן נוספת ועד ליום כ"ט בתשרי התשפ"ה (31 באוקטובר 2024). </t>
  </si>
  <si>
    <t xml:space="preserve">חוק שירותי הדת היהודיים (תיקון מס' 26), התשפ"ד-2024</t>
  </si>
  <si>
    <t xml:space="preserve"> (מ/1724)</t>
  </si>
  <si>
    <t xml:space="preserve">03.04.2024</t>
  </si>
  <si>
    <t xml:space="preserve">תיקון חוק שירותי הדת היהודיים (תיקון מס' 26) מוסיף את סעיף 11א1, הקובע כי מתוך סכום ההשתתפות הרגיל של הממשלה בכל שנת כספים, יופרש 5% לרזרבה שתשמש לכיסוי הוצאות בלתי צפויות של המועצות הדתיות. הרזרבה תחולק במהלך שלושת החודשים האחרונים של שנת הכספים, בהתאם לקריטריונים שיקבע שר שירותי הדת. אם סכום הרזרבה לא ינוצל, הוא יחולק בין המועצות בהתאם לחלקן היחסי בסכום ההשתתפות הרגיל של הממשלה. תיקון נוסף בסעיף 11ה קובע הוראות ברורות כיצד יתבצע שינוי בחלוקת הרזרבה אם סכום ההשתתפות של הממשלה משתנה במהלך השנה – לפני או אחרי חלוקתה של הרזרבה.</t>
  </si>
  <si>
    <t xml:space="preserve">חוק כליאתם של לוחמים בלתי חוקיים (תיקון מס' 4 והוראת שעה – חרבות ברזל) (תיקון), התשפ"ד–2024</t>
  </si>
  <si>
    <t xml:space="preserve"> (מ/1731)</t>
  </si>
  <si>
    <t xml:space="preserve">חוק כליאתם של לוחמים בלתי חוקיים, התשס"ב–2002, נועד להסדיר את כליאתם של לוחמים בלתי חוקיים, אשר אינם זכאים למעמד של שבויי מלחמה, בדרך העולה בקנה אחד עם מחויבויותיה של מדינת ישראל לפי הוראות המשפט הבין-לאומי ההומניטרי. בין שלל ההסדרים בחוק זה, נכללים גם ביקורת שיפוטית על כליאתו של לוחם בלתי חוקי, זכאותו לפגישה עם עורך דין וייצוגו ותנאי כליאתו.  חוק כליאתם של לוחמים בלתי חוקיים (תיקון מס' 4 והוראת שעה – חרבות ברזל), התשפ"ד–2023, קובע כי במקרה בו הודיעה הממשלה לוועדת החוץ והביטחון של הכנסת על החלטה לפתוח במלחמה או על פעולות צבאיות משמעותיות לפי חוק-יסוד: הממשלה, רשאית היא להכריז כי אלו מצריכות תחולה של הוראות שונות בחוק. הכרזה זו, תתאפשר גם לוועדת השרים לענייני ביטחון לאומי במידה והממשלה האצילה את סמכותה בדבר החלטה על פתיחת מלחמה או נקיטת פעולה צבאית משמעותית. עוד נקבע, בהוראת שעה למשך ארבעה חודשים, הארכה למשך תקופת הכליאה הזמנית של לוחמים בלתי חוקיים, מועד ההבאה בפני שופט והתקופות בהן ניתן למנוע פגישה עם עורך דין. בנוסף, נקבע כי במקרים של שינויים בתחולת החוק תרד דרגת הגורם הצבאי המוסמך לאשר פעולות שונות לפי החוק, וכן יתאפשר קיום דיונים לפי החוק בדרך של היוועדות חזותית.  במסגרת התיקון הוארכה הוראת השעה לעניין התקופות המנויות בחוק כליאתם של לוחמים בלתי חוקיים, בין היתר לעניין משך הוראת כליאה זמנית, מועד ההבאה בפני שופט והתקופות שניתן למנוע בהן פגישה עם עורך דין, וכן לעניין דרגת הדרג הצבאי המאשר פעולות שונות לפי החוק, בשלושה וחצי חודשים עד יום כ"ה בתמוז התשפ"ד (31 ביולי 2024). עוד נקבע כי בית המשפט יהיה רשאי להאריך את מניעת המפגש של כלוא עם עורך דין לתקופה מרבית של 90 ימים, במקום 180 ימים. </t>
  </si>
  <si>
    <t xml:space="preserve">הצעת חוק מערך רפואה מונעת בגוף ביטחוני, התשפ"ד-2024</t>
  </si>
  <si>
    <t xml:space="preserve"> (פ/4555/25)</t>
  </si>
  <si>
    <t xml:space="preserve">הצעת חוק ועדת חקירה לאירועים שקדמו למלחמת חרבות ברזל, התשפ"ד-2024</t>
  </si>
  <si>
    <t xml:space="preserve"> (פ/4554/25)</t>
  </si>
  <si>
    <t xml:space="preserve">הצעת חוק זכאות לאבחון לקויות למידה לילדים ממשפחות מעוטות יכולת, התשפ"ד-2024</t>
  </si>
  <si>
    <t xml:space="preserve"> (פ/4553/25)</t>
  </si>
  <si>
    <t xml:space="preserve">הצעת חוק העונשין (תיקון - החמרת ענישה על החזקת מכשיר לשיבוש תדרי קליטה), התשפ"ד-2024</t>
  </si>
  <si>
    <t xml:space="preserve"> (פ/4552/25)</t>
  </si>
  <si>
    <t xml:space="preserve">הצעת חוק הבחירות (דרכי תעמולה) (תיקון - הגבלות על תעמולת בחירות שבה התייחסות לאנשים שהלכו לעולמם), התשפ"ד-2024</t>
  </si>
  <si>
    <t xml:space="preserve"> (פ/4551/25)</t>
  </si>
  <si>
    <t xml:space="preserve">הצעת חוק העונשין (תיקון - עונש מוות על-תנאי למי שהורשע במעשה טרור של רצח בנסיבות מחמירות), התשפ"ד-2024</t>
  </si>
  <si>
    <t xml:space="preserve"> (פ/4550/25)</t>
  </si>
  <si>
    <t xml:space="preserve">הצעת חוק הסדרת הטיפול בחולי נפש (תיקוני חקיקה), התשפ"ד-2024</t>
  </si>
  <si>
    <t xml:space="preserve"> (פ/4549/25)</t>
  </si>
  <si>
    <t xml:space="preserve">הצעת חוק לתיקון פקודת מס הכנסה (משיכה מקרן השתלמות לתושבי יישובים מפונים) (הוראת שעה - חרבות הברזל), התשפ"ד-2024</t>
  </si>
  <si>
    <t xml:space="preserve"> (פ/4548/25)</t>
  </si>
  <si>
    <t xml:space="preserve">הצעת חוק התקנת מצלמות לשם הגנה על פעוטות במעונות יום לפעוטות (תיקון - החלה על גני ילדים והגברת האכיפה), התשפ"ד-2024</t>
  </si>
  <si>
    <t xml:space="preserve"> (פ/4546/25)</t>
  </si>
  <si>
    <t xml:space="preserve">הצעת חוק הגנה על בסיסי צה"ל (תיקוני חקיקה), התשפ"ד-2024 </t>
  </si>
  <si>
    <t xml:space="preserve"> (פ/4545/25)</t>
  </si>
  <si>
    <t xml:space="preserve">הצעת חוק הצבעת מתנדבי השירות האזרחי (תיקוני חקיקה), התשפ"ד-2024</t>
  </si>
  <si>
    <t xml:space="preserve"> (פ/4544/25)</t>
  </si>
  <si>
    <t xml:space="preserve">הצעת חוק מניעת העסקה של עובד הוראה שהוכשר במוסד שנתמך על ידי ישות מדינית זרה תומכת טרור (תיקוני חקיקה), התשפ"ד-2024</t>
  </si>
  <si>
    <t xml:space="preserve"> (פ/4543/25)</t>
  </si>
  <si>
    <t xml:space="preserve">הצעת חוק סיוע כלכלי לסטודנטים המשרתים במילואים (הוראת שעה - חרבות ברזל), התשפ"ד-2024</t>
  </si>
  <si>
    <t xml:space="preserve"> (פ/4542/25)</t>
  </si>
  <si>
    <t xml:space="preserve">הצעת חוק לתיקון פקודת הרוקחים (תכשיר המכיל בנזודיאזפינים), התשפ"ד-2024</t>
  </si>
  <si>
    <t xml:space="preserve"> (פ/4539/25)</t>
  </si>
  <si>
    <t xml:space="preserve">הצעת חוק חילוט תקבולי עבירה בפשיעה חקלאית, התשפ"ד-2024</t>
  </si>
  <si>
    <t xml:space="preserve"> (פ/4538/25)</t>
  </si>
  <si>
    <t xml:space="preserve">הצעת חוק פרס ישראל, התשפ"ד-2024</t>
  </si>
  <si>
    <t xml:space="preserve"> (פ/4534/25)</t>
  </si>
  <si>
    <t xml:space="preserve">הצעת חוק מימון קייטנות להורים עובדים בפריפריה, התשפ"ד-2024</t>
  </si>
  <si>
    <t xml:space="preserve"> (פ/4533/25)</t>
  </si>
  <si>
    <t xml:space="preserve">הצעת חוק טיפול בחולי נפש (תיקון - בחירת מקום אשפוז), התשפ"ד-2024</t>
  </si>
  <si>
    <t xml:space="preserve"> (פ/4532/25)</t>
  </si>
  <si>
    <t xml:space="preserve">הצעת חוק הנכים (תגמולים ושיקום) (תיקון - ליווי רפואי ומשפטי במהלך הליכי ההכרה כנכה וקביעת דרגת הנכות), התשפ"ד-2024</t>
  </si>
  <si>
    <t xml:space="preserve"> (פ/4530/25)</t>
  </si>
  <si>
    <t xml:space="preserve">הצעת חוק התאמות בבחינות רישוי מקצועיות לחיילי מילואים (תיקוני חקיקה), התשפ"ד-2024</t>
  </si>
  <si>
    <t xml:space="preserve"> (פ/4529/25)</t>
  </si>
  <si>
    <t xml:space="preserve">הצעת חוק הבטחת הכנסה (תיקון - ביטול הוראות מיוחדות לענין נכס שהוא רכב מנועי), התשפ"ד-2024</t>
  </si>
  <si>
    <t xml:space="preserve"> (פ/4528/25)</t>
  </si>
  <si>
    <t xml:space="preserve">הצעת חוק-יסוד: הגנת הסביבה</t>
  </si>
  <si>
    <t xml:space="preserve"> (פ/4527/25)</t>
  </si>
  <si>
    <t xml:space="preserve">הצעת חוק העונשין (תיקון - התארגנות חמושה אסורה), התשפ"ד-2024</t>
  </si>
  <si>
    <t xml:space="preserve"> (פ/4526/25)</t>
  </si>
  <si>
    <t xml:space="preserve">הצעת חוק לתיקון פקודת התעבורה (הוראות לעניין סככות המתנה בתחנות אוטובוס), התשפ"ד-2024</t>
  </si>
  <si>
    <t xml:space="preserve"> (פ/4525/25)</t>
  </si>
  <si>
    <t xml:space="preserve">הצעת חוק העונשין (תיקון - עונשי מינימום בעבירות בחוק העונשין), התשפ"ד-2024</t>
  </si>
  <si>
    <t xml:space="preserve"> (פ/4524/25)</t>
  </si>
  <si>
    <t xml:space="preserve">הצעת חוק הביטוח הלאומי (תיקון - הצמדת קצבת אזרח ותיק לשכר הממוצע במשק והעלאת שיעור הגמלה), התשפ"ד-2024</t>
  </si>
  <si>
    <t xml:space="preserve"> (פ/4519/25)</t>
  </si>
  <si>
    <t xml:space="preserve">הצעת חוק התקשורת (בזק ושידורים) (תיקון - הגנה על קטינים מפני תוכן פוגעני באינטרנט באמצעות אומדן גיל), התשפ"ד-2024</t>
  </si>
  <si>
    <t xml:space="preserve"> (פ/4518/25)</t>
  </si>
  <si>
    <t xml:space="preserve">הצעת חוק הנכים (תגמולים ושיקום) (תיקון - הכרה בפדויי שבי), התשפ"ד-2024</t>
  </si>
  <si>
    <t xml:space="preserve"> (פ/4517/25)</t>
  </si>
  <si>
    <t xml:space="preserve">הצעת חוק הספקת החשמל (הוראת שעה), התשפ"ד–2024</t>
  </si>
  <si>
    <t xml:space="preserve"> (פ/4182/25)</t>
  </si>
  <si>
    <t xml:space="preserve"> (כ/1008)</t>
  </si>
  <si>
    <t xml:space="preserve">הצעת חוק חופשה שנתית (תיקון - אי-קיזוז ימי חופשה למתנדב במסגרת כוחות הביטחון וההצלה בשעת חירום), התשפ"ד-2023</t>
  </si>
  <si>
    <t xml:space="preserve"> (פ/4111/25)</t>
  </si>
  <si>
    <t xml:space="preserve">02.04.2024</t>
  </si>
  <si>
    <t xml:space="preserve">הצעת חוק הביטוח הלאומי (תיקון - תגמול מתנדבי זק"א במלחמת חרבות ברזל), התשפ"ד-2023 </t>
  </si>
  <si>
    <t xml:space="preserve"> (פ/4092/25)</t>
  </si>
  <si>
    <t xml:space="preserve">הצעת חוק למניעת הוצאה של כספים מישראל על ידי מסתנן או נתין זר או עבורו, התשפ"ג-2023</t>
  </si>
  <si>
    <t xml:space="preserve"> (פ/3420/25)</t>
  </si>
  <si>
    <t xml:space="preserve">הצעת חוק לתיקון סדרי הדין (חקירת עדים) (תיקון - עדות קטין בהליך אזרחי), התשפ"ד-2024</t>
  </si>
  <si>
    <t xml:space="preserve"> (פ/4297/25)</t>
  </si>
  <si>
    <t xml:space="preserve">חוק לתיקון פקודת מס הכנסה (מס' 272), התשפ"ד–2024</t>
  </si>
  <si>
    <t xml:space="preserve"> (מ/1726)</t>
  </si>
  <si>
    <t xml:space="preserve">החוק נועד לתת מענה להמלצות הפורום העולמי לשקיפות וחילופי מידע למטרות מס הפועל תחת ה-OECD , בנוגע למידע על בעלי שליטה סופיים בתאגידים ולעולים חדשים ותושבים חוזרים ותיקים. החוק מחייב דיווח על בעלי שליטה ותושבותם במסגרת דיווחי נאמנות ובדו"ח השנתי. כמו כן, מבטל את הפטור מדיווח על הכנסות עולים חדשים ותושבים חוזרים ותיקים, אך אינו משנה את הפטור ממס הקבוע בסעיף 14 לפקודה לתקופה של עשר שנים. הדיווחים יתאפשרו בשפת המקור ויונגשו באמצעות תרגום טפסים. בנוסף, רשות המסים תוכל למסור מידע מזהה למוסדות פיננסיים לצורך יישום הסכמים בין-לאומיים בלבד, ולא תעשה בו שימוש לצרכים אחרים. </t>
  </si>
  <si>
    <t xml:space="preserve">חוק שוויון זכויות לאנשים עם מוגבלות (תיקון מס' 25), התשפ"ד-2024</t>
  </si>
  <si>
    <t xml:space="preserve"> (מ/1638)</t>
  </si>
  <si>
    <t xml:space="preserve">נקבע כי חברות ממשלתיות וחברות בת ממשלתיות המעסיקות 100 עובדים לפחות יחויבו לפעול לייצוג הולם של אנשים עם מוגבלות בקרב עובדיהם כפי שקבוע היום החוק לגבי גופים ציבוריים שהם מעסיקים גדולים. נקבע כי הוראות אלה יכנסו לתוקף ב-7 באפריל 2025 וכי התחולה תהיה מדורגת כך שבשנה הראשונה יהיה יעד הייצוג ההולם 3.5% מהעובדים ורק בתום השנה האמורה יהיה יעד הייצוג  5% מהעובדים. נוסף על כך, בשל העברת סמכויות משר הכלכלה והתעשייה לשר העבודה, נקבעו תיקונים שונים להוראות בחוק אשר קובעות סמכות לשר הכלכלה והתעשייה או למשרד הכלכלה והתעשייה.</t>
  </si>
  <si>
    <t xml:space="preserve">חוק לתיקון ולהארכת תוקפן של תקנות שעת חירום (חרבות ברזל) (פגישה עם עורך דין של עצור בעבירת ביטחון) (תיקון), התשפ"ד-2024</t>
  </si>
  <si>
    <t xml:space="preserve"> (מ/1737)</t>
  </si>
  <si>
    <t xml:space="preserve">החוק מאריך את תוקפן של תקנות שעת חירום המאפשרות מניעת פגישה של עצורים ביטחוניים, הקשורים לפעולות האיבה שהתרחשו בין ה-7 באוקטובר לבין ה-10 באוקטובר 2023 או למלחמה בעזה, עם עורכי הדין שלהם. בנוסף, התיקון קובע כי המניעה תחול עד לתום 60 ימים מהמועד הראשוני שבו החלה מניעת הפגישה של העצורים, אלא אם נמצא בהליך אישור מיוחד טעם להארכה לאור חשש לפגיעה בחיי אדם הקשורה לפעולות המלחמה. במקרה שכזה, רשאי בית המשפט המחוזי להאריך את התקופה  עד ל-120 ימים. התקנות יעמדו בתוקף עד ה-18 ביוני 2024.</t>
  </si>
  <si>
    <t xml:space="preserve">הצעת חוק חובת מיגון לנכים, לקשישים, לאלו שידם אינה משגת, לאזרחים שיש בידם דירת מגורים אחת בלבד ולמתגוררים ביישובי קו העימות, התשפ"ד-2023</t>
  </si>
  <si>
    <t xml:space="preserve"> (פ/4132/25)</t>
  </si>
  <si>
    <t xml:space="preserve">01.04.2024</t>
  </si>
  <si>
    <t xml:space="preserve">הצעת חוק למניעת פגיעה כלכלית בצרכן (תיקוני חקיקה), התשפ"ד-2024</t>
  </si>
  <si>
    <t xml:space="preserve"> (פ/4364/25)</t>
  </si>
  <si>
    <t xml:space="preserve">חוק מגבלות על חזרתו של מורשע במעשה טרור לסביבת נפגעי העבירה, התשפ"ד-2024</t>
  </si>
  <si>
    <t xml:space="preserve"> (פ/2852/25)</t>
  </si>
  <si>
    <t xml:space="preserve"> (כ/993)</t>
  </si>
  <si>
    <t xml:space="preserve">מטרת חוק זה היא להגן על נפגע עבירת טרור ולמנוע נזק נוסף, שעלול להיגרם לו מהיתקלות בפעיל טרור שפגע בו, בלי לפגוע במידה העולה על הנדרש בזכויותיו של פעיל הטרור.  הסדר דומה נקבע בעבר לגבי עברייני מין, בחוק מגבלות על חזרתו של עבריין מין לסביבת נפגע העבירה, התשס"ה–2004. החוק קובע כי בית המשפט יהיה רשאי להטיל מגבלות על חזרתו של מורשע בעבירות טרור לסביבת נפגעי עבירה, המתייחסות למגורים, לעבודה או ללימודים במוסד לימודים בקרבת מקום המגורים או מקום העבודה של נפגע העבירה או מוסד הלימודים שנפגע העבירה לומד בו.  בקשה להטלת מגבלות תוגש בידי נפגע עבירה, מי מטעמו או התובע, לפני שחרורו של פעיל הטרור מהמאסר או בתוך שישה חודשים לאחר שחרורו, ואילו בית המשפט רשאי לדון בבקשה שהוגשה בחלוף שישה חודשים אם מצא שיש בכך צורך מטעמים מיוחדים שיירשמו. בית המשפט יבחן את הבקשה, ורשאי הוא להטיל מגבלות כאמור, ובלבד ששוכנע, לאחר שקיים דיון בעניין, כי יש צורך בהן בשל נזק נפשי שעלול להיגרם לנפגע העבירה אם פעיל הטרור יתגורר, יעבוד או ילמד בקרבת מקום מגוריו, מקום עבודתו או מוסד הלימודים בו הוא לומד, וזאת לצד שיקולים נוספים שהביא בחשבון כגון נסיבות עבירת הטרור וחומרתה. בעת קביעת המגבלות כאמור, בית המשפט יקבע גם את תקופת הזמן בה יחולו המגבלות, האזור בו יחולו המגבלות, וכן יהיה רשאי למנות מומחה מטעמו בכדי לחוות דעתו על מצב נפגע העבירה, ולתת הערכה בדבר הנזק הנפשי שעלול להיגרם לנפגע העבירה עקב מגורים, עבודה או לימודים של פעיל הטרור בקרבת מקום מגוריו, עבודתו או מוסד לימודיו של נפגע העבירה.   בנוסף, נקבעו זכות עיון חוזר, ערר וערעור למבצע העבירה שהוטלו עליו המגבלות האמורות, וכן חובת דיווח של שר המשפטים לוועדה לביטחון לאומי של הכנסת, אחת לשנה, במשך חמש שנים החל מתום שנה מיום תחילתו של החוק בנוגע לאכיפת החוק, לרבות מספר הבקשות שהוגשו להטלת מגבלות, מספר הצווים שניתנו להטלת מגבלות, סוג המגבלות שהוטלו והתקופות שנקבעו להן.  </t>
  </si>
  <si>
    <t xml:space="preserve">חוק לתיקון פקודת העיריות (מס' 157) , התשפ"ד–2024</t>
  </si>
  <si>
    <t xml:space="preserve"> (פ/3168/25)</t>
  </si>
  <si>
    <t xml:space="preserve"> (כ/974)</t>
  </si>
  <si>
    <t xml:space="preserve">תיקון החוק קובע כי סמכות שר הפנים לחלוקת הכנסות מארנונה בין רשויות מקומיות סמוכות או גובלות באזור שאיננו אזור למגורים בלבד, תורחב גם למקרים בהם הרשויות הסמוכות או הגובלות המקבלות נמצאות באזור יהודה ושומרון.</t>
  </si>
  <si>
    <t xml:space="preserve">חוק להסדרת הפיקוח על כלבים (תיקון מס' 6 – הוראת שעה – חרבות ברזל), התשפ"ד–2024 </t>
  </si>
  <si>
    <t xml:space="preserve"> (מ/1725)</t>
  </si>
  <si>
    <t xml:space="preserve">חוק להסדרת הפיקוח על כלבים, התשס"ה-2005 קובע כי לאחר עשרה ימים בכלבייה עירונית, כלב ללא בעלים יכול להימסר למערכת הביטחון, או לגורם אחר שקבע השר בתקנות – ואלו הם בעלים חדשים, ארגון למען בעלי חיים או עמותה שעיסוקה בהכשרת כלבי נחייה. אם לא ניתן למוסרו, רשאי הווטרינר העירוני להורות על המתת הכלב. בעקבות מלחמת חרבות ברזל והרס גדר המערכת המקיפה את רצועת עזה, נכנסו כלבים רבים מעזה לשטחי מדינת ישראל המקיפים את הרצועה. כלבים אלו אינם מבויתים, לרוב חיים בלהקות ותרים אחר כל מזון שיוכלו להשיג בתנאים החדשים שנוצרו. היות והם אינם רגילים לחברת בני אדם, יש חשש כי הם יתקפו בני אדם ובעלי חיים והטענה היא כי אף קרו מספר מקרים כאלו. כניסת הכלבים מרצועת עזה העצימה את בעיית הכלבים המשוטטים והעזובים שכבר קיימת בישראל. רשויות מקומיות בטווח ה-20 ק"מ מהרצועה מתקשות להתמודד עם בעיית הכלבים המשוטטים בשטחן. בשגרה, כלבים משוטטים שנתפסים בשטח רשות מקומית, מועברים ומוחזקים בכלביות. במצב החדש שנוצר, הכלביות מתמלאות מהר ולא ניתן לקלוט בהן את כל הכלבים שנתפסים, כלבים רבים אינם ניתנים לאימוץ או שיקום והם חווים סבל בהיותם כלואים בכלובים בכלביות.  לפיכך, התיקון לחוק קובע, בהוראת שעה עד ה-30 בנובמבר 2024 או עד תום תוקפה של ההכרזה על מצב מיוחד בעורף, לפי המוקדם, כי וטרינר עירוני של רשות מקומית בטווח של עד 20 קילומטרים מגדר המערכת המקיפה את רצועת עזה, יהיה רשאי להורות על המתת כלב שאינו מסומן ושנתפס בטווח ה-20 קילומטרים כאמור, וזאת אף אם טרם חלפו עשרה ימים מיום הבאתו לכלבייה העירונית.  התיקון לחוק מעגן מערכת שיקולים שעל הרופא הווטרינר לשקול בטרם יחליט על המתת הכלב, בין השאר, האם הכלב עלול להוות סכנה לשלום הציבור או בטחונו בשל התנהגותו, האם לא ניתן להחזיקו בכלביות מחמת בריאותו או התנהגותו או אם אינו בר אימוץ. עוד נקבע כי המתה כאמור תתאפשר רק לאחר השארתו של הכלב ארבעה ימים לפחות בכלבייה, וזאת כדי לתת לווטרינר העירוני אפשרות לבחון את מצבו של הכלב בטרם קבלת ההחלטה. כמו כן, נקבע כי כל המתה של כלב, תחייב את הווטרינר לנמק את החלטתו. אם החליט הווטרינר העירוני כי הכלב הינו בר אימוץ יהיה עליו להודיע על כך למערכת הביטחון או לגוף אחר שקבע השר כאמור, כי ניתן להעביר אליו את הכלב. במקרה כזה לא יחול קיצור הזמן של 4 ימים, וניתן יהיה להשאירו בכלבייה 10 ימים כפי שקבוע היום בחוק. עוד נקבע כי שר החקלאות ופיתוח הכפר, באישור ועדת הכלכלה של הכנסת ולאחר התייעצות עם מנהל השירותים הווטרינריים במשרד החקלאות ופיתוח הכפר, יהיה רשאי להפעיל סמכות דומה בעניינם של כלבים משוטטים לא מסומנים בתחומי רשויות מקומיות בטווח שיקבע השר מגבול לבנון, אם מצא השר שמתקיימות נסיבות המצדיקות זאת, בשל כניסה נרחבת וחריגה של כלבים שאינם מסומנים מלבנון לשטח ישראל, עקב פריצת גדר המערכת.  כמו כן, נקבעו סעיפי דיווח של שר החקלאות ופיתוח הכפר לוועדת הכלכלה של הכנסת על יישום הוראת השעה, וזאת בסמוך לאחר סיום תקופת הוראת השעה. הדיווח יכלול בין היתר נתונים לגבי כלבים שהומתו, השיקולים שנשקלו וכן דיווח על פעולות משרד החקלאות בתקופת הוראת השעה ובטווח הקבוע לטיפול בכלבים המשוטטים. דיווח כאמור יימסר גם לגבי אזור גבול הצפון אם ייקבע כי הוראת השעה תחול גם עליו. לצורך הדיווח של שר החקלאות לוועדה, הווטרינרים העירוניים יחויבו להעביר למשרד החקלאות דיווח חודשי על מספר הכלבים שנתפסו והומתו בכלביות.  </t>
  </si>
  <si>
    <t xml:space="preserve">חוק מניעת פגיעת גוף שידורים זר בביטחון המדינה (הוראת שעה – חרבות ברזל), התשפ"ד-2024</t>
  </si>
  <si>
    <t xml:space="preserve"> (מ/1720)</t>
  </si>
  <si>
    <t xml:space="preserve">נקבע כהוראת שעה לארבעה חודשים, עד מועד סיום ההכרזה על מצב מיוחד בעורף או עד לסיום הפעולות הצבאיות המשמעותיות, לפי המוקדם שבהם, כי במידה וראש הממשלה שוכנע כי התכנים המשודרים בערוץ זר המשדר בישראל פוגעים באופן ממשי בביטחון המדינה, שר התקשורת יהיה רשאי, בהסכמת ראש הממשלה ובאישור ועדת השרים לענייני ביטחון לאומי או הממשלה להורות על פעולות למניעת או הפסקת פעילות של ערוץ זר, לרבות סגירת משרדי הערוץ הנמצאים בישראל, תפיסת מכשיר המשמש לאספקת תוכני הערוץ והסרת אתר האינטרנט של הערוץ. הוראה זו, תיכנס לתוקפה עם מסירתה למי שהיא חלה עליו ותפורסם ברשומות. זאת ועוד, נקבע כי הוראה כאמור תינתן לאחר שתוצג בפני ראש הממשלה ושר התקשורת חוות דעת מקצועית אחת לפחות מגורמי הביטחון, ובכלל זה תשתית עובדתית; ובלבד שטרם אישורה של ועדת השרים לענייני ביטחון לאומי או הממשלה, יוצגו בפניה חוות הדעת מטעם גורמי הביטחון.  עוד נקבע כי תוקף הוראות אלו יהיה למשך ארבעים וחמישה ימים, ואולם אם ראש הממשלה שוכנע כי ימשיכו להתקיים התנאים כאמור לאחר התקופה האמורה, שר התקשורת יהיה רשאי בהסכמת ראש הממשלה ובאישור ועדת השרים לענייני ביטחון לאומי או הממשלה, להאריך את תקופת תוקפה לתקופה שלא תעלה על ארבעים וחמישה ימים נוספים בכל פעם ובכפוף להצגת חוות דעת מקצועית כאמור.  כמו כן, נקבע כי הוראה של שר התקשורת כאמור, ובפרט הארכתה, תובא לפני נשיא בית משפט מחוזי או סגנו בהקדם האפשרי ולא יאוחר מ-24 שעות משעת כניסתה לתוקף, והוא ידון בה בתוך שלושה ימים ממסירתה, ויחליט האם לשנותה או לקצוב את תקופת תוקפה.  </t>
  </si>
  <si>
    <t xml:space="preserve">הצעת חוק עבודת נשים (תיקון - זכות להיעדר מעבודה בעת שירות מילואים של בן הזוג), התשפ"ד-2024</t>
  </si>
  <si>
    <t xml:space="preserve"> (פ/4515/25)</t>
  </si>
  <si>
    <t xml:space="preserve">הצעת חוק הביטוח הלאומי (תיקון - עדכון לוח ח'), התשפ"ד-2024</t>
  </si>
  <si>
    <t xml:space="preserve"> (פ/4514/25)</t>
  </si>
  <si>
    <t xml:space="preserve"> (פ/4513/25)</t>
  </si>
  <si>
    <t xml:space="preserve">הצעת חוק האזרחים הוותיקים (תיקון - תור שנקבע בתיאום מראש), התשפ"ד-2024</t>
  </si>
  <si>
    <t xml:space="preserve"> (פ/4512/25)</t>
  </si>
  <si>
    <t xml:space="preserve">הצעת חוק לעידוד השקעות הון (תיקון - השכרה לטווח ארוך במסלול זכאות לרכישה), התשפ"ד-2024</t>
  </si>
  <si>
    <t xml:space="preserve"> (פ/4511/25)</t>
  </si>
  <si>
    <t xml:space="preserve"> (פ/4508/25)</t>
  </si>
  <si>
    <t xml:space="preserve"> (פ/4507/25)</t>
  </si>
  <si>
    <t xml:space="preserve">הצעת חוק הביטוח הלאומי (תיקון - זכאות לקצבת אזרח ותיק לנכה), התשפ"ד-2024</t>
  </si>
  <si>
    <t xml:space="preserve"> (פ/4506/25)</t>
  </si>
  <si>
    <t xml:space="preserve">הצעת חוק לתיקון פקודת העיריות (קביעת שירותי תחבורה ציבורית בתחומי הרשות המקומית), התשפ"ד-2024</t>
  </si>
  <si>
    <t xml:space="preserve"> (פ/4504/25)</t>
  </si>
  <si>
    <t xml:space="preserve">הצעת חוק הביטוח הלאומי (תיקון - דמי ביטוח מופחתים למעסיק קולט עלייה), התשפ"ד-2024</t>
  </si>
  <si>
    <t xml:space="preserve"> (פ/4503/25)</t>
  </si>
  <si>
    <t xml:space="preserve">הצעת חוק ביטול מאסר חלף קנס (תיקוני חקיקה), התשפ"ד-2024</t>
  </si>
  <si>
    <t xml:space="preserve"> (פ/4502/25)</t>
  </si>
  <si>
    <t xml:space="preserve">הצעת חוק חובת המכרזים (תיקון - עידוד אגודות שיתופיות ותאגידים שחל עליהם הסכם קיבוצי מיוחד), התשפ"ד-2024</t>
  </si>
  <si>
    <t xml:space="preserve"> (פ/4501/25)</t>
  </si>
  <si>
    <t xml:space="preserve">הצעת חוק העונשין (תיקון - מרחק סביר משוטר בעת מילוי תפקידו), התשפ"ד-2024 </t>
  </si>
  <si>
    <t xml:space="preserve"> (פ/4500/25)</t>
  </si>
  <si>
    <t xml:space="preserve">הצעת חוק הרשות הלאומית לעידוד הגירה ומאבק במסתננים מארצות אסיה ואפריקה, התשפ"ד-2024</t>
  </si>
  <si>
    <t xml:space="preserve"> (פ/4499/25)</t>
  </si>
  <si>
    <t xml:space="preserve">הצעת חוק ערבויות מטעם המדינה (תיקון - חיוב תאגיד בנקאי במתן הלוואה), התשפ"ד-2024</t>
  </si>
  <si>
    <t xml:space="preserve"> (פ/4498/25)</t>
  </si>
  <si>
    <t xml:space="preserve">הצעת חוק הגבלת אספקת שירותים ומוצרים לגורמי ביטחון, התשפ"ד-2024</t>
  </si>
  <si>
    <t xml:space="preserve"> (פ/4496/25)</t>
  </si>
  <si>
    <t xml:space="preserve"> (פ/4495/25)</t>
  </si>
  <si>
    <t xml:space="preserve">הצעת חוק פיתוח והתחדשות של יישובים באזור חבל תקומה (הוראת שעה), התשפ"ד-2024</t>
  </si>
  <si>
    <t xml:space="preserve"> (פ/4494/25)</t>
  </si>
  <si>
    <t xml:space="preserve"> (פ/4493/25)</t>
  </si>
  <si>
    <t xml:space="preserve">הצעת חוק ביטוח בריאות ממלכתי (תיקון - ניטור זמינות שירותי רפואה), התשפ"ד-2024</t>
  </si>
  <si>
    <t xml:space="preserve"> (פ/4492/25)</t>
  </si>
  <si>
    <t xml:space="preserve">הצעת חוק לתיקון פקודת המשטרה (המחלקה לחקירת שוטרים), התשפ"ד-2024</t>
  </si>
  <si>
    <t xml:space="preserve"> (פ/4491/25)</t>
  </si>
  <si>
    <t xml:space="preserve">הצעת חוק הנכים (תגמולים ושיקום) (תיקון - קביעת מועד להחלטה בבקשות הכרה ולקביעת דרגת נכות), התשפ"ד-2024</t>
  </si>
  <si>
    <t xml:space="preserve"> (פ/4490/25)</t>
  </si>
  <si>
    <t xml:space="preserve">הצעת חוק משק החשמל (תיקון - סקירת השפעות על הסביבה), התשפ"ד-2024</t>
  </si>
  <si>
    <t xml:space="preserve"> (פ/4487/25)</t>
  </si>
  <si>
    <t xml:space="preserve">הצעת חוק העונשין (תיקון - מאבק בפשיעה חקלאית), התשפ"ד -2024 </t>
  </si>
  <si>
    <t xml:space="preserve"> (פ/4484/25)</t>
  </si>
  <si>
    <t xml:space="preserve">הצעת חוק ההתיישנות (תיקון - הרחבת הזכות לתביעה בגין עבירות שהוגש בהם כתב אישום), התשפ"ד-2024</t>
  </si>
  <si>
    <t xml:space="preserve"> (פ/4483/25)</t>
  </si>
  <si>
    <t xml:space="preserve">הצעת חוק לתיקון פקודת התעבורה (איסור התניית שכר לנציג בעל רישיון להפעלת קו אוטובוס כנגד מתן קנס לנוסע בלא כרטיס), התשפ"ד-2024</t>
  </si>
  <si>
    <t xml:space="preserve"> (פ/4482/25)</t>
  </si>
  <si>
    <t xml:space="preserve">הצעת חוק הגנת הצרכן (תיקון - מענה אנושי בשירות טלפוני לאזרח ותיק), התשפ"ד-2024</t>
  </si>
  <si>
    <t xml:space="preserve"> (פ/4481/25)</t>
  </si>
  <si>
    <t xml:space="preserve">הצעת חוק הרשויות המקומיות (בחירת ראש הרשות וסגניו וכהונתם) (תיקון - הגבלת כהונה שלישית לראש רשות), התשפ"ד-2024</t>
  </si>
  <si>
    <t xml:space="preserve"> (פ/4479/25)</t>
  </si>
  <si>
    <t xml:space="preserve">הצעת חוק הגנה על בריאות הציבור (מזון) (תיקון - שאריות חומרי הדברה במזון), התשפ"ד-2024</t>
  </si>
  <si>
    <t xml:space="preserve"> (פ/4478/25)</t>
  </si>
  <si>
    <t xml:space="preserve">הצעת חוק הנכים (תגמולים ושיקום) (תיקון - אחריות תקציבית), התשפ"ד-2024</t>
  </si>
  <si>
    <t xml:space="preserve"> (פ/4477/25)</t>
  </si>
  <si>
    <t xml:space="preserve">הצעת חוק סל הקליטה (תיקון - זכאות לדיור ציבורי), התשפ"ד-2024</t>
  </si>
  <si>
    <t xml:space="preserve"> (פ/4475/25)</t>
  </si>
  <si>
    <t xml:space="preserve">הצעת חוק הנכים (תגמולים ושיקום) (תיקון - ראש אגף שיקום נכים), התשפ"ד-2024</t>
  </si>
  <si>
    <t xml:space="preserve"> (פ/4474/25)</t>
  </si>
  <si>
    <t xml:space="preserve">הצעת חוק הנכים (תגמולים ושיקום) (תיקון - העברת תגמולים וזכאויות לבן משפחה של נכה), התשפ"ד-2024</t>
  </si>
  <si>
    <t xml:space="preserve"> (פ/4471/25)</t>
  </si>
  <si>
    <t xml:space="preserve">הצעת חוק הכניסה לישראל (תיקון - החמרת הענישה בעבירות של הסעה, הלנה והעסקה שלא כדין של שוהים בלתי חוקיים), התשפ"ד-2024</t>
  </si>
  <si>
    <t xml:space="preserve"> (פ/4409/25)</t>
  </si>
  <si>
    <t xml:space="preserve">31.03.2024</t>
  </si>
  <si>
    <t xml:space="preserve">הצעת חוק הבחירות לכנסת (תיקון - הצבעה של אזרחים המשרתים שירות לאומי אזרחי בחוץ לארץ), התשפ"ג-2023</t>
  </si>
  <si>
    <t xml:space="preserve"> (פ/3153/25)</t>
  </si>
  <si>
    <t xml:space="preserve">28.03.2024</t>
  </si>
  <si>
    <t xml:space="preserve">חוק העונשין (תיקון מס' 149), התשפ"ד–2024</t>
  </si>
  <si>
    <t xml:space="preserve"> (פ/2415/25)</t>
  </si>
  <si>
    <t xml:space="preserve"> (כ/994)</t>
  </si>
  <si>
    <t xml:space="preserve">27.03.2024</t>
  </si>
  <si>
    <t xml:space="preserve">החוק עוסק בתוספות פיגור בגין איחור בתשלום קנסות פליליים, בין שהוטלו על ידי בית המשפט בסוף הליך פלילי לפי חוק העונשין, ובין שהוטלו בקנס שניתן בברירת משפט על ידי פקח או שוטר, מכוח חוק סדר הדין הפלילי או חוק העבירות המינהליות. מטרתו של התיקון לייצר תמריץ לתשלום קנסות במועד, בלי להכביד בצורה מופרזת על החייב. החוק קובע כי תוספת הפיגור על קנס שלא שולם במועד תעמוד על 30% מקרן הקנס או מחלקה שטרם שולם, זאת במקום 50% שהיו קבועים בחוק טרם התיקון. עוד נקבע שמהמועד האמור ועד לתשלום בפועל, יתווספו לקרן הקנס ריבית שקלית ודמי פיגורים, כך שבמקום תוספת פיגור של 5% נוספים בכל חצי שנה בתקופת האיחור בתשלום, יחולו הוראות חוק פסיקת ריבית והצמדה, התשכ"א–1961 ודמי הפיגורים יצטרפו לחוב אחת לשלושה חודשים, ללא מנגנון של "ריבית דריבית". בכך, החוק משלים את הרפורמה שנעשתה בתחום תוספות הפיגור בחוק פסיקת ריבית והצמדה (תיקון מס' 9), התשפ"ד–2023, ומוביל לכך שדמי פיגורים וריבית שקלית כהגדרתם בתיקון 9 יתווספו למרבית החובות שלא שולמו במועד, עד התשלום בפועל – חובות אזרחיים, מנהליים ופליליים. החוק יכנס לתוקף ב-1 לינואר 2025. </t>
  </si>
  <si>
    <t xml:space="preserve">הצעת חוק איסור ביזוי אנשי כוחות הביטחון ופגיעה בכבודם, התשפ"ד-2023</t>
  </si>
  <si>
    <t xml:space="preserve"> (פ/4135/25)</t>
  </si>
  <si>
    <t xml:space="preserve">הצעת חוק למניעת חרם חברתי בבתי ספר, התשפ"ג-2023</t>
  </si>
  <si>
    <t xml:space="preserve"> (פ/3829/25)</t>
  </si>
  <si>
    <t xml:space="preserve"> (פ/4262/25)</t>
  </si>
  <si>
    <t xml:space="preserve">26.03.2024</t>
  </si>
  <si>
    <t xml:space="preserve">חוק לתיקון פקודת העיריות (מס' 156 – הוראת שעה – החלטה על הטלת ארנונה כללית לגבי שנת הכספים 2024), התשפ"ד–2024</t>
  </si>
  <si>
    <t xml:space="preserve"> (מ/1729)</t>
  </si>
  <si>
    <t xml:space="preserve">נקבע שלעניין שנת הכספים הנוכחית, ברשויות מקומיות בהן התקיימו הבחירות לראש הרשות עד ה-31.03, תוכל המועצה להחליט על הארנונה הכללית עד שלושה חודשים מיום תחילת כהונתה. בנוסף, ברשויות מקומיות בהן הבחירות לראש העירייה לא התקיימו עד ה-31.03, תתקבל החלטת המועצה על הארנונה הכללית עד ה-15.04. בנוסף קוצר הזמן לאישור השרים לבקשה בשינוי גובה הארנונה לשנה זו לארבעה חודשים ולא לשישה כפי שמופיע בחוק כיום. </t>
  </si>
  <si>
    <t xml:space="preserve">חוק איסור התערבות גנטית (שיבוט אדם ושינוי גנטי בתאי רבייה) (תיקון מס' 5), התשפ"ד-2024</t>
  </si>
  <si>
    <t xml:space="preserve"> (מ/1721)</t>
  </si>
  <si>
    <t xml:space="preserve">תוקף החוק הוארך ב-4 שנים נוספות, זאת בעקבות המלצת הוועדה המייעצת (ועדת הלסינקי העליונה לניסויים בבני אדם), שעל בסיס המלצותיה החוק מוארך מדי מספר שנים. עוד נקבע להרחיב את האיסור לפי החוק על שיבוט או על שימוש בתאי רבייה (זרע וביצית) שעברו שינוי גנטי מכוון על מנת להוליד אדם, כך שיכלול גם איסור על שימוש בתאים שאינם תאי רבייה ולמעשה על כל סוגי התאים. בהתאמה, עודכן סעיף העבירה הפלילית על ביצוע פעולות בניגוד לחוק גם בתאים שאינם תאי רבייה.</t>
  </si>
  <si>
    <t xml:space="preserve">חוק לשכת עורכי הדין (תיקון מס' 43), התשפ"ד–2024</t>
  </si>
  <si>
    <t xml:space="preserve"> (פ/4321/25)</t>
  </si>
  <si>
    <t xml:space="preserve"> (כ/1001)</t>
  </si>
  <si>
    <t xml:space="preserve">החוק מצמצם את ההגבלה על הכהונה בוועדות האתיקה של לשכת עורכי הדין, כך שבמקום שתי תקופות כהונה רצופות יהיה ניתן לכהן בהן עד שלוש תקופות כהונה רצופות. ועדת האתיקה היא ועדה סטטוטורית, האמונה בין היתר על דיון בתלונות נגד עורכי דין, על מתן חוות דעת מקדימות ועל העמדה לדין בענייני משמעת של עורכי דין, ועל השעיית עורכי דין במקרים בהם הוגש כתב אישום בשל עבירה פלילית שיש עמה קלון.</t>
  </si>
  <si>
    <t xml:space="preserve">חוק תובענות ייצוגיות (תיקון מס' 15), התשפ"ד-2024</t>
  </si>
  <si>
    <t xml:space="preserve"> (מ/1625)</t>
  </si>
  <si>
    <t xml:space="preserve">התיקון לחוק קובע כי שר המשפטים רשאי, באישור ועדת החוקה חוק ומשפט של הכנסת, לשנות בצו פרטים בתוספת השנייה לחוק, לאחר התייעצות עם שר האוצר, וזאת בשונה מהדין שהיה קיים ולפיו שר המשפטים יכול רק להוסיף פרטים לתוספת השנייה. כמו כן, תוקן פריט 11 לתוספת השנייה, ונקבע כי תביעה ייצוגית כלפי רשות מקרקעי ישראל, להשבת סכומים שגבתה שלא כדין, במסגרת פעילותה לפי חוק רשות מקרקעי ישראל, התש"ך–1960, תוגש לפי פריט 11 בלבד. משמעות תיקון זה כי לרשות מקרקעי ישראל תהיינה ההגנות שניתנו למדינה ובכלל זה האפשרות להימנע מאישור התביעה כתובענה אזרחית אם הרשות הודיעה על חדילה, וכן הגבלת תקופת ההשבה לשנתיים בלבד.</t>
  </si>
  <si>
    <t xml:space="preserve">חוק איסור פרסומת והגבלת השיווק של מוצרי טבק ועישון (תיקון מס' 9), התשפ"ד–2024</t>
  </si>
  <si>
    <t xml:space="preserve"> (פ/3487/25)</t>
  </si>
  <si>
    <t xml:space="preserve"> (כ/995)</t>
  </si>
  <si>
    <t xml:space="preserve">חוק איסור פרסומת והגבלת השיווק של מוצרי טבק ועישון, התשמ"ג–1983 (להלן – החוק), קובע הגבלות על פרסומת ושיווק של מוצרי טבק ועישון כדי לצמצם את חשיפת הציבור בכלל וצעירים ומעשנים לשעבר בפרט למוצרים אלו, הגורמים נזק בריאותי כבד לאדם הצורך אותם, וכן לסביבתו באמצעות עישון פסיבי. החוק קובע כי חפיסות ואריזות של מוצרי עישון חייבות להיות אחידות וקובע הוראות ואיסורים נוספים לגביהן, ובין השאר הוא מטיל חובת פרסום אזהרה בדבר נזקי העישון על גבי החפיסה או האריזה של מוצר העישון, מחייב גוון מסוים של החפיסה או האריזה ומחייב את סימונה בסימונים כמפורט בחוק ובהם בלבד. מוצר עישון מוגדר בחוק בהגדרה רחבה, ונכללים בה בין השאר מוצרי טבק, מוצרים המשמשים לעישון טבק וסיגריות אלקטרוניות. התיקון לחוק קובע חובה להציג תמונה של נזקי העישון על גבי חפיסה או אריזה של מוצר עישון. עוד נקבע בתיקון כי הפרת החובה בדבר הצגת של תמונה כאמור תהיה עבירה פלילית, בדומה להפרת החובה בדבר ציון אזהרה על נזקי עישון, המנויה ברשימת העבירות החמורות לפי החוק. העונש הקבוע על הפרת החובה כאמור הוא קנס בסכום השווה כיום ל-226,000 שקלים חדשים וכפל סכום זה אם העבירה מבוצעת על ידי תאגיד. כמו כן, נקבע כי שר הבריאות, באישור ועדת הכלכלה של הכנסת, יקבע, בתקנות חובה את התמונות השונות שיוצגו, וכן הוראות לעניין התמונות – גודלן וצורתן ביחס לגודל האריזה וצורתה, עיצובן, אופן הצגתן, תדירות החלפתן התאמת התמונות לאזהרות, וכן מיקומן של התמונות על גבי האריזות – בהתייחס לסוגים שונים של אריזות. עוד נקבע כי שר הבריאות רשאי לקבוע הוראות שונות ותמונות שונות לסוגים שונים של מוצרי עישון, וכן לקבוע כי החובה להציג תמונה על גבי חפיסה או אריזה של מוצר עישון תחול רק על מוצר או מוצרי עישון מסוימים. מכיוון שכניסת התיקון המוצע לתוקף תלויה בהתקנת תקנות, וכדי למנוע עיכוב בכניסתה לתוקף של החובה להציג על גבי חפיסה או אריזה של מוצר עישון תמונה של נזקי העישון, נקבע כי תקנות ראשונות יובאו לאישור ועדת הכלכלה בתוך תשעה חודשים מיום תחילתו של התיקון. </t>
  </si>
  <si>
    <t xml:space="preserve">חוק התגמולים לנפגעי פעולות איבה (תיקון מס' 44), התשפ"ד-2024</t>
  </si>
  <si>
    <t xml:space="preserve"> (מ/1696)</t>
  </si>
  <si>
    <t xml:space="preserve">החוק קובע כי המוסד לביטוח לאומי יהיה אחראי לניהולו, להפעלתו ולאחזקתו של היכל ההנצחה לזכר חללי פעולות האיבה שעתיד להיבנות בהר הרצל בירושלים. אוצר המדינה ישפה את המוסד בשל כך בסכום שלא יפחת ממיליון שקלים חדשים מדי שנה, החל בשנת 2026 או בשנת הקמת ההיכל, לפי המאוחר. סכום זה יוצמד מדי שנה למדד המחירים לצרכן.</t>
  </si>
  <si>
    <t xml:space="preserve">חוק התגמולים לנפגעי פעולות איבה (תיקון מס' 43), התשפ"ד-2024</t>
  </si>
  <si>
    <t xml:space="preserve"> (פ/881/25)</t>
  </si>
  <si>
    <t xml:space="preserve"> (כ/971)</t>
  </si>
  <si>
    <t xml:space="preserve">נקבע כי יש לאפשר לנפגעי פעולות איבה ולנכי צה"ל שנפגעו ממעשה טרור, וכן לבני משפחותיהם של מי שנספו כתוצאה ממנו, לגבות לפחות 75% מהפיצויים הנזיקיים שמגיעים להם בשל מעשה הטרור ממבצע מעשה הטרור, מהמתגמל שלו או ממי שאחראי לו לפי סעיפים 12 עד 14 לפקודת הנזיקין, וזאת בנוסף על התגמולים המגיעים להם לפי חוקי השיקום (חוק התגמולים לנפגעי פעולות איבה, התש"ל–1970, חוק הנכים (תגמולים ושיקום), התשי"ט–1959 [נוסח משולב] וחוק משפחות חיילים שנספו במערכה [תגמולים ושיקום], התש"י–1950). בכך מבוטלת ברירת העילה שחייבה אותם לבחור בין קבלת התגמולים לגביית הפיצויים. כהשלמה לכך נקבע כי התובע יידרש להודיע למוסד לביטוח לאומי או למדינה על התביעה שהגיש, וכי זכות  המוסד לביטוח לאומי או המדינה לחזור אל המזיק ולתבוע ממנו את סכומי התגמולים תקטן בהתאמה ותחול רק לגבי יתרת סכום הפיצויים. נקבע כי יום התחילה של חוק זה יהיה ביום 1 ביוני 2024. הסדר זה חל גם על תביעות תלויות ועומדות וגם לעניין מקרים של נזק ממעשי טרור שאירעו לפני יום התחילה וטרם הוגשה בעניינם תביעה – ובלבד שעדיין לא חלה לגביהם התיישנות. לגבי פסק דין שביום התחילה כבר הפך לפסק דין חלוט שאין עוד ערעור עליו, ועדיין לא התיישן ואף לא הוגש לביצוע בהוצאה לפועל, נקבע כי ניתן יהיה להגיש לגבייה 75% מהפיצויים שנפסקו באותו פסק הדין.</t>
  </si>
  <si>
    <t xml:space="preserve">הצעת חוק הביטוח הלאומי (תיקון - חישוב התגמול למשרתים במילואים), התשפ"ד-2024</t>
  </si>
  <si>
    <t xml:space="preserve"> (פ/4470/25)</t>
  </si>
  <si>
    <t xml:space="preserve"> (פ/4468/25)</t>
  </si>
  <si>
    <t xml:space="preserve">הצעת חוק החברות הממשלתיות (תיקון - פעילות פוליטית של דירקטור בחברה ממשלתית ציבורית), התשפ"ד-2024</t>
  </si>
  <si>
    <t xml:space="preserve"> (פ/4467/25)</t>
  </si>
  <si>
    <t xml:space="preserve">הצעת חוק האזנת סתר (תיקון - אחריות של הורה לקטין שטרם מלאו לו 10 שנים), התשפ"ד-2024 </t>
  </si>
  <si>
    <t xml:space="preserve"> (פ/4465/25)</t>
  </si>
  <si>
    <t xml:space="preserve">הצעת חוק הנכים (תגמולים ושיקום) (תיקון - תגמול לנכה שאינו מסוגל להשתכר למחייתו), התשפ"ד-2024</t>
  </si>
  <si>
    <t xml:space="preserve"> (פ/4464/25)</t>
  </si>
  <si>
    <t xml:space="preserve">הצעת חוק הדיור הציבורי (הגדלת המלאי), התשפ"ד-2024</t>
  </si>
  <si>
    <t xml:space="preserve"> (פ/4463/25)</t>
  </si>
  <si>
    <t xml:space="preserve">הצעת חוק ההוצאה לפועל (תיקון - הגבלת סכום חוב פסוק מינימלי), התשפ"ד-2024</t>
  </si>
  <si>
    <t xml:space="preserve"> (פ/4461/25)</t>
  </si>
  <si>
    <t xml:space="preserve">הצעת חוק סדר הדין הפלילי (חקירת חשודים) (תיקון - נוכחות עורך דין בחקירת חשוד), התשפ"ד-2024</t>
  </si>
  <si>
    <t xml:space="preserve"> (פ/4460/25)</t>
  </si>
  <si>
    <t xml:space="preserve">הצעת חוק החברות הממשלתיות (תיקון - רציפות כהונת דירקטורים מקרב העובדים), התשפ"ד-2024</t>
  </si>
  <si>
    <t xml:space="preserve"> (פ/4459/25)</t>
  </si>
  <si>
    <t xml:space="preserve">הצעת חוק החברות הממשלתיות (תיקון - קציבת זמן לוועדה למסירת ממצאים), התשפ"ד-2024</t>
  </si>
  <si>
    <t xml:space="preserve"> (פ/4458/25)</t>
  </si>
  <si>
    <t xml:space="preserve">הצעת חוק סדר הדין הפלילי (סמכויות אכיפה - מעצרים) (תיקון - שיפוט משמעתי של עצורים), התשפ"ד-2024</t>
  </si>
  <si>
    <t xml:space="preserve"> (פ/4457/25)</t>
  </si>
  <si>
    <t xml:space="preserve"> (פ/4456/25)</t>
  </si>
  <si>
    <t xml:space="preserve">הצעת חוק העונשין (תיקון - סיוג חסינות נושא משרה שיפוטית מפני אחריות פלילית), התשפ"ד-2024</t>
  </si>
  <si>
    <t xml:space="preserve"> (פ/4455/25)</t>
  </si>
  <si>
    <t xml:space="preserve">הצעת חוק מס ערך מוסף (תיקון - מס בשיעור אפס על תרכובת מזון לתינוקות), התשפ"ד-2024</t>
  </si>
  <si>
    <t xml:space="preserve"> (פ/4452/25)</t>
  </si>
  <si>
    <t xml:space="preserve">הצעת חוק הנכים (תגמולים ושיקום) (תיקון - ועדה רפואית), התשפ"ד-2024</t>
  </si>
  <si>
    <t xml:space="preserve"> (פ/4450/25)</t>
  </si>
  <si>
    <t xml:space="preserve">הצעת חוק שכר ביום בחירות (תיקוני חקיקה), התשפ"ד-2024</t>
  </si>
  <si>
    <t xml:space="preserve"> (פ/4448/25)</t>
  </si>
  <si>
    <t xml:space="preserve">הצעת חוק להחלפת המונח שיקום נכה נפש (תיקוני חקיקה), התשפ"ד-2024</t>
  </si>
  <si>
    <t xml:space="preserve"> (פ/4446/25)</t>
  </si>
  <si>
    <t xml:space="preserve">הצעת חוק הרשויות המקומיות (פטור חיילים, נפגעי מלחמה ושוטרים מארנונה) (תיקון - הנחה בארנונה למשרת בשירות מילואים פעיל), התשפ"ד-2024</t>
  </si>
  <si>
    <t xml:space="preserve"> (פ/4445/25)</t>
  </si>
  <si>
    <t xml:space="preserve">הצעת חוק לתיקון פקודת מס הכנסה (נקודת זיכוי בעד בן זוג במילואים), התשפ"ד-2024</t>
  </si>
  <si>
    <t xml:space="preserve"> (פ/4444/25)</t>
  </si>
  <si>
    <t xml:space="preserve">הצעת חוק הנכים (תגמולים ושיקום) (תיקון - הוראות לגבי אישה נכה), התשפ"ד-2024</t>
  </si>
  <si>
    <t xml:space="preserve"> (פ/4443/25)</t>
  </si>
  <si>
    <t xml:space="preserve">הצעת חוק הביטוח הלאומי (תיקון - תשלום דמי אבטלה לנשים שיצאו לחופשה ללא תשלום לאחר לידה מסיבות מוצדקות), התשפ"ד-2024</t>
  </si>
  <si>
    <t xml:space="preserve"> (פ/4442/25)</t>
  </si>
  <si>
    <t xml:space="preserve">הצעת חוק התגמולים לנפגעי פעולות איבה (תיקון - הנצחת אזרחי ישראל חללי פעולות איבה), התשפ"ד-2024</t>
  </si>
  <si>
    <t xml:space="preserve"> (פ/4441/25)</t>
  </si>
  <si>
    <t xml:space="preserve">הצעת חוק האזרחים הוותיקים (תיקון - הקצאת מקומות חניה במקום ציבורי לאזרח ותיק), התשפ"ד-2024</t>
  </si>
  <si>
    <t xml:space="preserve"> (פ/4440/25)</t>
  </si>
  <si>
    <t xml:space="preserve"> (פ/4439/25)</t>
  </si>
  <si>
    <t xml:space="preserve">הצעת חוק הביטוח הלאומי (תיקון - פטור מתשלומי חובה בעד תגמול מילואים), התשפ"ד-2024</t>
  </si>
  <si>
    <t xml:space="preserve"> (פ/4438/25)</t>
  </si>
  <si>
    <t xml:space="preserve">הצעת חוק הביטוח הלאומי (תיקון - זכאות לקצבת אזרח ותיק לנכה), התשפ"ד-2024 </t>
  </si>
  <si>
    <t xml:space="preserve"> (פ/4437/25)</t>
  </si>
  <si>
    <t xml:space="preserve">הצעת חוק לתיקון פקודת הרוקחים (מס' 35), התשפ"ג-2023</t>
  </si>
  <si>
    <t xml:space="preserve"> (מ/1649)</t>
  </si>
  <si>
    <t xml:space="preserve">20.03.2024</t>
  </si>
  <si>
    <t xml:space="preserve">חוק בתי קברות צבאיים (תיקון מס' 5), התשפ"ד–2024</t>
  </si>
  <si>
    <t xml:space="preserve"> (פ/2819/25)</t>
  </si>
  <si>
    <t xml:space="preserve"> (כ/1000)</t>
  </si>
  <si>
    <t xml:space="preserve">חוק בתי קברות צבאיים, התש"י–1950 (להלן – החוק), קובע את הזכאות לקבורה של אנשי כוחות הביטחון. סעיף 4 לחוק קובע את זכאותו של חייל שנפטר להיקבר בבית קברות צבאי, אלא אם כן בחר קרובו להביאו לקבורה בבית קברות אזרחי. סעיף 4ו לחוק קובע זכות דומה לגבי קבורתם של חללי כוחות הביטחון, כגון עובדי שירות הביטחון הכללי, שוטרים והמוסד למודיעין ותפקידים מיוחדים. לפי הוראות החוק, סוהרים שנפטרו יהיו זכאים להיקבר בבתי קברות צבאיים אף אם לא נהרגו בעת ועקב שירותם, וכן כי כבאים יהיו זכאים לקבורה בבתי קברות צבאיים אם נהרגו בעת ועקב שירותם. בנוסף, נקבע כי מי שכיהן כנציב הרשות הארצית לכבאות והצלה יהיה זכאי לקבורה בבית קברות צבאי, וכן לאפשר לרשות המוסמכת לייחד חלקה בבית קברות צבאי גם לכבאים, בנוסף לאנשי כוחות הביטחון השונים. </t>
  </si>
  <si>
    <t xml:space="preserve">הצעת חוק מס ערך מוסף (תיקון - תשלום המס במתן שירותי כוח אדם ועבודות בנייה), התשפ"ד-2024</t>
  </si>
  <si>
    <t xml:space="preserve"> (פ/4242/25)</t>
  </si>
  <si>
    <t xml:space="preserve">הצעת חוק שירות הקבע בצבא הגנה לישראל (גמלאות) (תיקון - ביטול ניכוי מקצבה), התשפ"ד-2023</t>
  </si>
  <si>
    <t xml:space="preserve"> (פ/4083/25)</t>
  </si>
  <si>
    <t xml:space="preserve">הצעת חוק האזרחים הוותיקים (תיקון - הקצאת מקומות חניה במקום ציבורי לאזרח ותיק), התשפ"ג-2023</t>
  </si>
  <si>
    <t xml:space="preserve"> (פ/3923/25)</t>
  </si>
  <si>
    <t xml:space="preserve">הצעת חוק סדר הדין הפלילי (סמכויות אכיפה - מעצרים) (תיקון - מעצר עד תום ההליכים בגין עבירה של סחיטה באיומים), התשפ"ג-2023</t>
  </si>
  <si>
    <t xml:space="preserve"> (פ/3602/25)</t>
  </si>
  <si>
    <t xml:space="preserve">הצעת חוק איסור הלבנת הון (תיקון - מתן סמכות פיקוח לרשות לאיסור הלבנת הון ומימון טרור על נותני שירותים פיננסיים), התשפ"ג-2023</t>
  </si>
  <si>
    <t xml:space="preserve"> (פ/2312/25)</t>
  </si>
  <si>
    <t xml:space="preserve">הצעת חוק שירות ביטחון (תיקון - השוואת תהליכי המיון, השיבוץ, התקינה וההכשרה, המסלולים המקצועיים ואופקי הקידום לנשים וגברים), התשפ"ג-2023</t>
  </si>
  <si>
    <t xml:space="preserve"> (פ/2041/25)</t>
  </si>
  <si>
    <t xml:space="preserve">הצעת חוק הבנקאות (שירות ללקוח) (תיקון - הגבלת עמלת ערבות בנקאית שמובטחת בפיקדון כספי מסוים), התשפ"ג-2023</t>
  </si>
  <si>
    <t xml:space="preserve"> (פ/1467/25)</t>
  </si>
  <si>
    <t xml:space="preserve">הצעת חוק הבנקאות (שירות ללקוח) (תיקון - הגבלת עמלת ערבות בנקאית שמובטחת בפיקדון כספי מסוים), התשפ"ג-2022</t>
  </si>
  <si>
    <t xml:space="preserve"> (פ/253/25)</t>
  </si>
  <si>
    <t xml:space="preserve">חוק משפחות חיילים שנספו במערכה (תגמולים ושיקום) (תיקון מס' 43), התשפ"ד–2024</t>
  </si>
  <si>
    <t xml:space="preserve"> (פ/4058/25)</t>
  </si>
  <si>
    <t xml:space="preserve"> (כ/996)</t>
  </si>
  <si>
    <t xml:space="preserve">19.03.2024</t>
  </si>
  <si>
    <t xml:space="preserve">נקבע כי מי שהייתה מאורסת לחייל שנספה תהיה זכאית לתגמול חודשי לתקופה של חמש שנים ממועד פטירת הנספה וכן תהיה זכאית באותה תקופה להטבות רפואיות וסיוע במימון לימודים אקדמאים ולמימון סיוע נפשי לתקופה של 10 שנים ממועד פטירת הנספה. ארוסה מוגדרת כמי שביום מותו של הנספה הייתה מיועדת להינשא לו והוכיחה כוונה שלהם להינשא, אף אם לא התגוררו יחד. ניתן להוכיח כוונה להינשא אם הנספה והארוסה הגישו בקשה להירשם לנישואין ברבנות או ברשות הרושמת או אם התקיימו שתיים מהנסיבות הבאות: (1) נעשתה הצעת נישואין או התקיימה מסיבת אירוסין והכוונה להינשא פורסמה וידועה לבני המשפחה וקרובי המשפחה של הנספה והארוסה (2) נקבעו מועד ומקום לחתונה ויש הסכם לעריכת החתונה במקום מסוים או הסכם לשירותי הסעדה לחתונה (3) בהצעת הנישואין או בתקופת האירוסין אחד מבני הזוג רכש או נתן טבעת (4) הנספה והארוסה התקשרו בהסכם לרכישה או לשכירה של דירת מגורים. לבסוף, נקבע כי הוראות החוק יחולו גם על ארוסות של נפגעים שנפטרו כתוצאה מפגיעת איבה וכן על ארוסות של שוטרים, סוהרים, אנשי משמר הכנסת, עובדי שירות הביטחון ואנשי הגא שנפטרו במסגרת תפקידם. נקבע כי החוק ייכנס לתוקף ב-5 במאי 2024 וכי תחילת ההסדר תהיה לגבי ארוסות של נפטרים כאמור שמועד פטירתם הוא ביום כ"ב בתשרי התשפ"ד (7 באוקטובר 2023) או לאחריו והן תהיינה זכאיות לתשלומים והטבות האמורות ממועד פטירת הנספה. </t>
  </si>
  <si>
    <t xml:space="preserve">חוק לתיקון ולהארכת תוקפן של תקנות שעת חירום (חרבות ברזל) (הארכת מעצר לחשוד בעבירת ביטחון) (תיקון), התשפ"ד-2024</t>
  </si>
  <si>
    <t xml:space="preserve"> (מ/1728)</t>
  </si>
  <si>
    <t xml:space="preserve">החוק מאריך את תוקף תקנות שעת החירום, המאריכות את תקופות המעצרים המפורטות בחוק המעצרים בנוגע לעצור שחשוד בעבירת ביטחון בשל פעולות האיבה שהתרחשו בין יום ה-7 באוקטובר לבין ה-10 באוקטובר 2023, או מי שנעצר במסגרת פעולות המלחמה בעזה. ההארכה שנקבעה בחוק זה היא עד ליום ה-18 ביוני 2024.</t>
  </si>
  <si>
    <t xml:space="preserve">הצעת חוק משפחות חיילים שנספו במערכה (תגמולים ושיקום) (תיקון - הכרה בארוסות חיילים שנספו במערכה), התשפ"ד-2024</t>
  </si>
  <si>
    <t xml:space="preserve"> (פ/4234/25)</t>
  </si>
  <si>
    <t xml:space="preserve">חוק הכללת אמצעי זיהוי ביומטריים ונתוני זיהוי ביומטריים במסמכי זיהוי ובמאגר מידע (תיקון מס' 4 – הוראת שעה), התשפ"ד–2024</t>
  </si>
  <si>
    <t xml:space="preserve"> (מ/1727)</t>
  </si>
  <si>
    <t xml:space="preserve">נוכח מלחמת חרבות ברזל ובכלל זה הצורך של רבים מהמפונים במסמכי זיהוי חדשים והיעדר האפשרות של חיילי המילואים להתייצב בלשכות האוכלוסין להנפקת מסמכי זיהוי, נקבע בהוראת שעה כי יהיה ניתן להגיש בקשות מקוונות להנפקת מסמכי זיהוי, בלא צורך בהתייצבות בלשכות האוכלוסין, למי שכבר הונפק לו מסמך זיהוי או דרכון ביומטרי ובעת הגשת הבקשה הוא שוהה בישראל, בכפוף לתנאים המפורטים בחוק לרבות קיומן של טביעות אצבע של המבקש במאגר הביומטרי ושגיל המבקש להנפיק דרכון יהיה בין 21 - 60. תוקף הוראת השעה הוא חצי שנה, עם אפשרות להאריך לתקופה של עד חצי שנה נוספת.</t>
  </si>
  <si>
    <t xml:space="preserve">חוק יום משפחות היתומים בישראל, התשפ"ד–2024</t>
  </si>
  <si>
    <t xml:space="preserve"> (פ/287/25)</t>
  </si>
  <si>
    <t xml:space="preserve"> (כ/982)</t>
  </si>
  <si>
    <t xml:space="preserve">החוק קובע כי ביום כ"ה בכסלו יקוים יום ציון שנתי למשפחות היתומים שיצויין בדיון מיוחד במליאת הכנסת ובאחת מוועדות הכנסת, בדיון מיוחד אצל האפוטרופוס הכללי בהשתתפות משרדי ממשלה וגורמים אחרים העוסקים בקידום זכויותיהם וצורכיהם של משפחות היתומים, וכן בבית נשיא המדינה כפי שיחליט הנשיא. עוד נקבע כי שר התרבות והספורט רשאי להורות על דרכי ציון נוספות בתחומי פעילות משרדו בכפוף לתקציב ייעודי מאוצר המדינה. </t>
  </si>
  <si>
    <t xml:space="preserve">הצעת חוק התגמולים לנפגעי פעולות איבה (תיקון - תביעה נגד מפגע), התשפ"ג-2022 </t>
  </si>
  <si>
    <t xml:space="preserve"> (פ/585/25)</t>
  </si>
  <si>
    <t xml:space="preserve">18.03.2024</t>
  </si>
  <si>
    <t xml:space="preserve">חוק סיוע להורים לילדים עד גיל שלוש (תיקוני חקיקה), התשפ"ד-2024</t>
  </si>
  <si>
    <t xml:space="preserve"> (מ/1711)</t>
  </si>
  <si>
    <t xml:space="preserve">החוק קובע כי בחישוב המס של יחיד תושב ישראל שהוא הורה לילד עד גיל שלוש, יובאו בחשבון שש נקודות זיכוי נוספות בסך הכל, בגין כל ילד כאמור. נקודות זיכוי אלו יינתנו בנוסף על נקודות הזיכוי הניתנות כבר כיום לפי הפקודה. כמו כן, החוק קובע כי יינתן מענק מיוחד להורים בעלי הכנסה נמוכה, שלהם ילד שטרם מלאו לו שלוש שנים, ובכך הורחב טווח ההכנסה המזכה את ההורה היחיד בקבלת מענק להורה לפעוט.</t>
  </si>
  <si>
    <t xml:space="preserve">חוק התכנון והבנייה (תיקון מס' 152), התשפ"ד-2024</t>
  </si>
  <si>
    <t xml:space="preserve"> (מ/1609)</t>
  </si>
  <si>
    <t xml:space="preserve">תיקון חוק התכנון והבנייה שעניינו הרכב מוסדות התכנון. בתיקון החוק נקבע שבמועצה הארצית לתכנון ובנייה יהיו 13 נציגים לממשלה. בנוסף, להרכב הוועדות המחוזיות במחוזות הצפון והדרום, נוסף נציג של שר ההתיישבות והמשימות הלאומיות, ונציג שימנה שר הפנים על פי המלצות של הרשויות המקומיות באותו מחוז.</t>
  </si>
  <si>
    <t xml:space="preserve">חוק התכנון והבנייה (תיקון מס' 151), התשפ"ד-2024</t>
  </si>
  <si>
    <t xml:space="preserve"> (מ/1606)</t>
  </si>
  <si>
    <t xml:space="preserve">בתיקון מס' 151 נקבעו מספר שינויים בהרכב מוסדות התכנון: במועצה הארצית לתכנון ובנייה נוסף נציג ממשלה, וכן נוספו שני נציגי ציבור – האחד, בן  האוכלוסיה הערבית לרבות הדרוזית והצ'רקסית והשני בן האוכלוסייה החרדית. בנוסף לכך, נקבע שממלא המקום של נציג המהנדסים והאדריכלים יהיה מקרב ארגון המייצג את הקבלנים. בנוסף מוצע להרחיב את האפשרות למינוי נציג מהמוסדות להשכלה הגבוהה כך שניתן יהיה למנות נציג ממוסדות השכלה גבוהים שאינם בהכרח הטכניון.  בועדה לתשתיות לאומיות נוסף נציג שר הנגב, הגליל והחוסן הלאומי נציג ארגון העוסק בנושאי חברה ורווחה, ומשקיף של רשות הטבע והגנים. בוועדות המחוזיות נוסף נציג של משרד משרד הנגב, הגליל והחוסן הלאומי ונציג ארגון העוסק בחברה ורווחה. בוועדות המקומיות נוספו נציגים בעלי דעה מייעצת. בוועדה לשמירה על הקרקע החקלאית נוספו נציגים של משרד הנגב, הגליל והחוסן הלאומי ונציג המוסדות להשכלה גבוהה ובוועדה לשמירת הסביבה החופית נוסף נציג משרד הנגב, הגליל והחוסן הלאומי ונציג הרשויות המקומיות."  עוד נקבע כי בכל מוסדות התכנון ניתן יהיה להאריך את כהונתם של חברי מוסד התכנון (למעט בעלי תפקידים מסוימים) בשתי תקופות כהונה נוספות ולא אחת כפי שהיה קודם לכן. </t>
  </si>
  <si>
    <t xml:space="preserve">חוק הסיוע המשפטי (תיקון מס' 25), התשפ"ד–2024</t>
  </si>
  <si>
    <t xml:space="preserve"> (מ/1717)</t>
  </si>
  <si>
    <t xml:space="preserve">החוק מרחיב את הסיוע המשפטי שמעניקה המדינה לניצולי שואה, לוותיקי מלחמת העולם השנייה, ליוצאי מרוקו ואלג'יר תחת שלטון וישי ולניצולי הפרהוד בעיראק.  עד לחקיקתו, ניצולי שואה היו זכאים לסיוע משפטי ללא עמידה במבחן של זכאות כלכלית רק בעניינים הנוגעים להטבות, מענקים ותגמולים להם הם זכאים בשל היותם ניצולי שואה. החוק מרחיב הן את רשימת הקבוצות הזכאיות לסיוע, והן את היקף העניינים שבהם יהיו זכאים לסיוע. כן, הוא קובע כי הן זכאיות לשירות בכלל העניינים שבהם ניתן שירות על ידי לשכות הסיוע המשפטי, וזאת ללא תלות במבחן של זכאות כלכלית. כך לדוגמה, בעקבות החקיקה, הם יהיו זכאים לסיוע משפטי חינם בענייני דיור ציבורי ועריכת ייפויי כוח מתמשכים.  </t>
  </si>
  <si>
    <t xml:space="preserve">הצעת חוק המסייעים לנטרול תוצאות אסון צ'רנוביל (תיקון - ציון יום המסייעים), התשפ"ד-2024</t>
  </si>
  <si>
    <t xml:space="preserve"> (פ/4435/25)</t>
  </si>
  <si>
    <t xml:space="preserve"> (פ/4434/25)</t>
  </si>
  <si>
    <t xml:space="preserve">הצעת חוק החומרים המסוכנים (תיקון - פרטי התקשרות למרכז רעלים), התשפ"ד-2024</t>
  </si>
  <si>
    <t xml:space="preserve"> (פ/4433/25)</t>
  </si>
  <si>
    <t xml:space="preserve"> (פ/4432/25)</t>
  </si>
  <si>
    <t xml:space="preserve">הצעת חוק דמי מחלה (תיקון - חישוב היעדרות לעובד המצוי בסיכון מוגבר לחלות במחלה ממארת), התשפ"ד-2024</t>
  </si>
  <si>
    <t xml:space="preserve"> (פ/4431/25)</t>
  </si>
  <si>
    <t xml:space="preserve">הצעת חוק פנייה לגופים ציבוריים באמצעי קשר דיגיטליים (תיקון - קביעת תור באמצעות האינטרנט), התשפ"ד-2024</t>
  </si>
  <si>
    <t xml:space="preserve"> (פ/4430/25)</t>
  </si>
  <si>
    <t xml:space="preserve">הצעת חוק הרשות הלאומית לתרבות של יהודים דוברי רוסית, התשפ"ד-2024</t>
  </si>
  <si>
    <t xml:space="preserve"> (פ/4429/25)</t>
  </si>
  <si>
    <t xml:space="preserve"> (פ/4428/25)</t>
  </si>
  <si>
    <t xml:space="preserve"> (פ/4427/25)</t>
  </si>
  <si>
    <t xml:space="preserve">הצעת חוק עידוד מעורבות סטודנטים בפעילות חברתית וקהילתית (תיקון - הכרה בנקודות זכות בשל שירות מילואים ממושך בנסיבות חירום), התשפ"ד-2024</t>
  </si>
  <si>
    <t xml:space="preserve"> (פ/4426/25)</t>
  </si>
  <si>
    <t xml:space="preserve">הצעת חוק הרבנות הראשית לישראל (תיקון - רב ראשי אחד), התשפ"ד-2024</t>
  </si>
  <si>
    <t xml:space="preserve"> (פ/4425/25)</t>
  </si>
  <si>
    <t xml:space="preserve">הצעת חוק ההוצאה לפועל (תיקון - החלת אגרה על החייב בהליך של נפגע פעולות איבה), התשפ"ד-2024 </t>
  </si>
  <si>
    <t xml:space="preserve"> (פ/4423/25)</t>
  </si>
  <si>
    <t xml:space="preserve">הצעת חוק עקרונות האסדרה (תיקון - הוראה בעניין מסים), התשפ"ד-2024</t>
  </si>
  <si>
    <t xml:space="preserve"> (פ/4421/25)</t>
  </si>
  <si>
    <t xml:space="preserve"> (פ/4420/25)</t>
  </si>
  <si>
    <t xml:space="preserve">הצעת חוק דוד בן-גוריון (תיקון - מינוי נציגי יד בן-גוריון למכון), התשפ"ד-2024</t>
  </si>
  <si>
    <t xml:space="preserve"> (פ/4419/25)</t>
  </si>
  <si>
    <t xml:space="preserve">הצעת חוק מינהלת תקומה בצפון, התשפ"ד-2024</t>
  </si>
  <si>
    <t xml:space="preserve"> (פ/4418/25)</t>
  </si>
  <si>
    <t xml:space="preserve">הצעת חוק המרכז למורשת יהדות אתיופיה (תיקון - פעילויות חינוך והנצחה), התשפ"ד-2024</t>
  </si>
  <si>
    <t xml:space="preserve"> (פ/4417/25)</t>
  </si>
  <si>
    <t xml:space="preserve">הצעת חוק דמי נסיעה לעובדים, התשפ"ד-2024 </t>
  </si>
  <si>
    <t xml:space="preserve"> (פ/4416/25)</t>
  </si>
  <si>
    <t xml:space="preserve">הצעת חוק לתיקון פקודת בריאות העם (פטור מבחינות לאחיות ממדינות חוץ), התשפ"ד-2024</t>
  </si>
  <si>
    <t xml:space="preserve"> (פ/4415/25)</t>
  </si>
  <si>
    <t xml:space="preserve"> (פ/4414/25)</t>
  </si>
  <si>
    <t xml:space="preserve">הצעת חוק הסכמים לנשיאת עוברים (אישור הסכם ומעמד היילוד) (תיקון - מעמד אפוטרופוס להורי היילוד), התשפ"ד-2024</t>
  </si>
  <si>
    <t xml:space="preserve"> (פ/4413/25)</t>
  </si>
  <si>
    <t xml:space="preserve"> (פ/4412/25)</t>
  </si>
  <si>
    <t xml:space="preserve"> (פ/4411/25)</t>
  </si>
  <si>
    <t xml:space="preserve">חוק תקציב נוסף לשנת הכספים 2024, התשפ"ד-2024</t>
  </si>
  <si>
    <t xml:space="preserve"> (מ/1714)</t>
  </si>
  <si>
    <t xml:space="preserve">12.03.2024</t>
  </si>
  <si>
    <t xml:space="preserve">מוצע לקבוע כי תקציב ההוצאה לשנת הכספים 2024 יעמוד על 724,047,992,000 שקלים חדשים המורכב מתקציב רגיל בסך 520,813,466,000 שקלים חדשים ומתקציב פיתוח וחשבון הון בסך 203,234,526,000 שקלים חדשים.</t>
  </si>
  <si>
    <t xml:space="preserve">חוק הקפאה והפחתה של דמי הבראה בשנת 2024 לשם תקצוב הטבות לחיילי מילואים, התשפ"ד-2024</t>
  </si>
  <si>
    <t xml:space="preserve"> (מ/1708)</t>
  </si>
  <si>
    <t xml:space="preserve">לשם מימון הטבות לחיילי מילואים עקב מלחמת חרבות ברזל, נקבע כי יוקפא תעריף יום ההבראה לעניין חישוב דמי ההבראה בשנת 2024 וכי יופחת יום הבראה אחד לכלל העובדים הזכאים לדמי הבראה בשנת 2024. ההוראות יחולו גם לגבי חייל בשירות קבע וגם לגבי נושאי משרה שאינם עובדים, עם התאמות לגבי אופן הפחתת הסכום. לגבי עובד שהכנסתו הממוצעת אינה עולה על 6000 ₪ וזכאי בשנת 2024 לחמישה ימי הבראה תופחת רק מחצית יום הבראה. המעסיק יעביר לפקיד השומה, כניכוי מס במקור במועד שבו היה עליו לשלם לעובד את דמי ההבראה בשנת 2024, את מחיר יום ההבראה שהפחית כאמור, בתוספת תשלומי חובה החלים עליו לביטוח לאומי, למע"מ ולקרן השתלמות, ואם חלה על המעסיק חובת עדכון של תעריף דמי ההבראה בשנת 2024 יעביר לפקיד השומה גם את הסכום שחסך בשל אי עדכון תעריף יום הבראה בשנת 2024 לגבי שאר ימי ההבראה ואת תשלומי החובה החלים לגביו. נקבעו הוראות לעניין דרך חישוב הסכומים בכל אחת מהצורות האפשריות לתשלום דמי ההבראה – כתשלום חד שנתי, כחלק מהתשלום החודשי או התקופתי, או בדרך של מימון חופשה או הטבה בעין, וכן מפורטות דרכי החישוב לגבי עובד במשרה חלקית, עובד העובד חלק משנה או עובד שעתי. החוק מסמיך לקבוע תקנות לגבי אופן חישוב ההפחתה מדמי ההבראה ככל שאינם משולמים כרכיב נפרד. עוד נקבע כי הוראות הסכם קיבוצי שחתמה ההסתדרות לעניין הפחתת דמי ההבראה יחולו במקום הוראת ההפחתה על העובדים שעליהם הוא חל – ואולם על העובדים שלפי החוק זכאים להפחתה חלקית יחול ההסדר המיטיב של הפחתה חלקית לפי החוק. יחד עם זאת נקבע כי הפחתת דמי ההבראה לא תשפיע על חישוב הזכאות לעניינים המנויים בחוק ובהם בין השאר תשלומים פנסיוניים. עוד נקבעו הוראות המונעות עקיפה של חיוב התשלום הקבוע, ובכלל זה הפעלת סמכויות בחוק יסודות התקציב על מעסיק ציבורי שפועל שלא בהתאם להוראות בחוק. בחוק נקבעה גם חובת דיווח עד תום שנת 2026 על ביצוע התקציב למתן הטבות לחיילי המילואים ועל הסכומים שגבה פקיד השומה.</t>
  </si>
  <si>
    <t xml:space="preserve">חוק הפחתת הגירעון והגבלת ההוצאה התקציבית (תיקון מס' 25), התשפ"ד-2024</t>
  </si>
  <si>
    <t xml:space="preserve">מוצע להעלות את תקרת הגירעון לשנת 2024 כך ששיעור הגירעון הכולל לא יעלה על 6.6% מהתוצר הלאומי הגולמי (במקום שיעור של 2.25%), וכן להגדיל את ההוצאה הממשלתית המותרת בשנת 2024 בשיעור של 11.35% מסך ההוצאה הממשלתית לשנת 2023 לצורך המשך מימון הצרכים הצבאיים ובשיעור של 3.2% לצורך המשך מימון הצרכים האזרחיים הנובעים במישרין מהלחימה.</t>
  </si>
  <si>
    <t xml:space="preserve">חוק הביטוח הלאומי (תיקון מס' 244 והוראת שעה), התשפ"ד-2024</t>
  </si>
  <si>
    <t xml:space="preserve">החוק קובע כי עדכון השכר הממוצע לעניין שיעור גביית דמי הביטוח הלאומי יוקפא בשנת 2025 וכתוצאה בכך השכר הממוצע לעניין שיעורי גביית דמי ביטוח לאומי ודמי ביטוח בריאות בשנת 2025 יהיה השכר הממוצע נכון ליום 31 בדצמבר 2024. הקפאת העדכון נעשית לשם הגדלת דמי ביטוח לאומי שיגבו בשנת 2025. כתוצאה מהקפאה זו יוגדלו גם דמי ביטוח בריאות שנגבים לפי חוק ביטוח בריאות ממלכתי, התשנ"ד-1994. בנוסף, על מנת לשקף את הגידול בתקבולי המוסד לביטוח לאומי בשל הקפאת השכר, נקבעה הפחתה בשיעור ההקצבות שיעביר האוצר למוסד לביטוח לאומי. כמו כן, נקבעה חובת דיווח לוועדת העבודה והרווחה על הגידול בגבייה בעקבות הקפאת השכר הממוצע ועל התוספת התקציבית לתוכנית הלאומית לבריאות הנפש ולמבחני התמיכה למערכת בריאות הנפש. </t>
  </si>
  <si>
    <t xml:space="preserve">חוק ביטוח בריאות ממלכתי (תיקון מס' 69 והוראת שעה), התשפ"ד-2024</t>
  </si>
  <si>
    <t xml:space="preserve">נקבע כי החל משנת 2025 יועלו דמי ביטוח הבריאות לשיעור של 5.165% (במקום 5% כיום), ולגבי הכנסות של עובדים ועצמאיים שעד 60% מהשכר הממוצע – יועלו לשיעור של 3.235% (במקום 3.1% כיום). כמו כן נקבע כי שר הבריאות ידווח לוועדת הבריאות ב-1 בנובמבר בכל שנה החל משנת 2025 עד שנת 2032 על התוספת התקציבית לתוכנית הלאומית לבריאות הנפש ולמבחני התמיכה למערכת בריאות הנפש המוצעת בחוק התקציב השנתי שהונח באותה שנה, וכפי שמומשה באותה שנה עד למועד הדיווח, תוך פירוט ההוצאות לפי התחומים שנכללו במסמך המשותף שהגישו המשרדים. כמו כן נקבע כי במועד האמור שר הבריאות ידווח, על בסיס נתונים שיקבל מהמוסד לביטוח לאומי, על הגידול בגביית דמי ביטוח בריאות שנובע מתיקון החוק באותה שנת תקציב עד למועד הדיווח, וכן על תחזית הגידול הצפויה בגבייה בשנת התקציב הבאה.</t>
  </si>
  <si>
    <t xml:space="preserve">חוק תשלום מיוחד לשם השגת יעדי התקציב (הוראת שעה – חרבות ברזל), התשפ"ד–2024 </t>
  </si>
  <si>
    <t xml:space="preserve">החוק מחייב בנקים בעלי רווחיות גבוהה לשלם תשלום שנתי לאוצר המדינה בשיעור של 6% מהרווחים שלהם בישראל, לתקופה שמיום 1 באפריל 2024 ועד סוף שנת 2025.  החובה חלה על בנקים ששווי נכסיהם מהווה לפחות 5% מהיקף נכסי כלל הבנקים בישראל. סך התשלום מכלל הבנקים לא יעלה על 1.2 מיליארד ש"ח לשנת 2024, ועל 1.3 מיליארד ש"ח לשנת 2025. שר האוצר מוסמך, באישור ועדת הכספים, לבטל את התשלום לשנת 2025, אם יחול שינוי מהותי בתנאים הכלכליים.  </t>
  </si>
  <si>
    <t xml:space="preserve">חוק חדלות פירעון ושיקום כלכלי (תיקון מס' 4 – הוראת שעה – נגיף הקורונה החדש) (תיקון מס' 2) (הארכת תוקף – חרבות ברזל), התשפ"ד-2024</t>
  </si>
  <si>
    <t xml:space="preserve"> (מ/1722)</t>
  </si>
  <si>
    <t xml:space="preserve">החוק מאריך בתשעה חודשים, עד ליום 17 בדצמבר 2024, את ההסדר הזמני המאפשר עיכוב הליכים כנגד החייב לשם גיבוש הסדר חוב. שר המשפטים יהיה רשאי להאריך תקופה זו בצו באישור הוועדה לתקופה שלא תעלה על שלושה חודשים.</t>
  </si>
  <si>
    <t xml:space="preserve">חוק לתיקון פקודת בתי הסוהר (תיקון מס' 66 – הוראת שעה – חרבות ברזל) (חופשה מיוחדת לאסיר), התשפ"ד–2024</t>
  </si>
  <si>
    <t xml:space="preserve"> (מ/1712)</t>
  </si>
  <si>
    <t xml:space="preserve">11.03.2024</t>
  </si>
  <si>
    <t xml:space="preserve">נקבע, כהוראת שעה לשלושה חודשים, כי הנציב או סוהר בדרגת גונדר שהוסמך על ידו לעניין זה, רשאי לתת לאסיר, בתנאים שייראו לשר לביטחון לאומי, חופשה מיוחדת שלא תעלה על 45 ימים; וזאת בשל העלייה המשמעותית בתפוסת האיסרים מעבר לתקן הכליאה שנגרמה בשל המצב הביטחוני השורר במדינה שבשלו הוכרז מצב מיוחד בעורף כהגדרתו בחוק ההתגוננות האזרחית, התשי"יא–1951, ביום כ"ב בתשרי התשפ"ד (7 באוקטובר 2023). הסדר זה מותנה בכך שהאסיר הינו אזרח ישראלי או תושב ישראל שנשא לפחות מחצית מתקופת המאסר שנגזרה עליו ויתרת מאסרו אינה עולה על 45 ימים ביום היציאה לחופשה. מעבר לכך, הסדר זה לא יחול לגבי אסירים שהורשעו בעבירות ביטחון, או בעבירות שלגביהן יש חזקת מסוכנות, כגון עבירות מין, עבירות אלימות במשפחה ועבירות אלימות חמורה. כן הוחרגו עבירות חמורות נוספות, כגון עבירות המתה ועבירות כניסה והתפרצות למבנה. כמו כן, נקבע כי תקופת מאסרו של אסיר לא תוארך בשל חופשה מיוחדת שניתנה לו במסגרת חוק זה. </t>
  </si>
  <si>
    <t xml:space="preserve">חוק לפיצוי קורבנות טרור (פיצויים לדוגמה), התשפ"ד-2024</t>
  </si>
  <si>
    <t xml:space="preserve"> (פ/2967/25)</t>
  </si>
  <si>
    <t xml:space="preserve"> (כ/975)</t>
  </si>
  <si>
    <t xml:space="preserve">החוק מסדיר את זכאותם של נפגעי טרור ומשפחותיהם לפיצויים לדוגמה ממבצע מעשה טרור, מי שנתן תגמול בעד ביצוע מעשה טרור וכן מי שנקבעה חבותו לפי פקודת הנזיקין. נקבע כי סכום הפיצויים לדוגמה יהיה עשרה מיליון שקלים חדשים אם מעשה הטרור גרם למותו של אדם, וחמישה מיליון שקלים חדשים אם מעשה הטרור גרם לאדם נכות צמיתה. במסגרת זאת, מוצע שפיצויים אלו לא יהיו ניתנים לניכוי מכל סכום המשולם לנפגעי מעשה הטרור מטעם המדינה או מוסד ממוסדותיה. עוד נקבע כי נפגעי הטרור יוכלו לממש את פסק הדין מכל נכס של מתגמל הטרור; וביחס למתגמל טרור או מי שנקבעה חבותו לפי פקודת הנזיקין שהוא הרשות הפלסטינית גם מהכספים המוקפאים לפי חוק להקפאת כספים ששילמה הרשות הפלסטינית בזיקה לטרור המועברים אליה מממשלת ישראל, התשע"ח-2018, למעט הכספים המועברים לרשות הפלסטינית מכוח חוקי היישום. בנוסף, נקבעה חזקה לפיה אם מדיניות מתמגל הטרור בעניין העברת תשלומים למבצעי מעשי טרור מיושמת בחקיקה ראשית, חקיקת משנה או הנחיות, הוא ייחשב מתמגל טרור לעניין מעשה טרור שגרם למוות או נכות, אלא אם הוכח אחרת.</t>
  </si>
  <si>
    <t xml:space="preserve">הצעת חוק המשטרה (סמכויות), התשפ"ד-2024</t>
  </si>
  <si>
    <t xml:space="preserve"> (פ/4408/25)</t>
  </si>
  <si>
    <t xml:space="preserve"> (פ/4406/25)</t>
  </si>
  <si>
    <t xml:space="preserve">הצעת חוק צוותי התערבות במשבר, התשפ"ד-2024</t>
  </si>
  <si>
    <t xml:space="preserve"> (פ/4404/25)</t>
  </si>
  <si>
    <t xml:space="preserve">הצעת חוק עידוד מעורבות סטודנטים בפעילות חברתית וקהילתית (תיקון - הכרה בהתנדבות למען המפונים והחטופים), התשפ"ד-2024</t>
  </si>
  <si>
    <t xml:space="preserve"> (פ/4403/25)</t>
  </si>
  <si>
    <t xml:space="preserve">הצעת חוק המים (תיקון - מניעת זיהום מים במוקדי זיהום אפשריים בשגרה ובחירום), התשפ"ד-2024 </t>
  </si>
  <si>
    <t xml:space="preserve"> (פ/4401/25)</t>
  </si>
  <si>
    <t xml:space="preserve">הצעת חוק שכר לחיילים בשירות סדיר, התשפ"ד-2024</t>
  </si>
  <si>
    <t xml:space="preserve"> (פ/4400/25)</t>
  </si>
  <si>
    <t xml:space="preserve">הצעת חוק הבנקאות (שירות ללקוח) (תיקון - הגברת השקיפות לגבי רמת הריביות בשוק האשראי), התשפ"ד-2024</t>
  </si>
  <si>
    <t xml:space="preserve"> (פ/4399/25)</t>
  </si>
  <si>
    <t xml:space="preserve">הצעת חוק איסור העברת כספים לרשות תומכת טרור (תיקוני חקיקה), התשפ"ד-2024</t>
  </si>
  <si>
    <t xml:space="preserve"> (פ/4398/25)</t>
  </si>
  <si>
    <t xml:space="preserve">הצעת חוק קידום התחרות בענף המזון (תיקון - איסור העלאת מחירים של מוצרי מזון בתקופת חירום), התשפ"ד-2024</t>
  </si>
  <si>
    <t xml:space="preserve"> (פ/4397/25)</t>
  </si>
  <si>
    <t xml:space="preserve">הצעת חוק צמצום פערי שכר מגדריים (תיקוני חקיקה), התשפ"ד-2024</t>
  </si>
  <si>
    <t xml:space="preserve"> (פ/4396/25)</t>
  </si>
  <si>
    <t xml:space="preserve">הצעת חוק הנחה בדמי נסיעה בתחבורה ציבורית לעובדי בתי החולים הציבוריים הכלליים (תיקוני חקיקה), התשפ"ד-2024</t>
  </si>
  <si>
    <t xml:space="preserve"> (פ/4394/25)</t>
  </si>
  <si>
    <t xml:space="preserve">הצעת חוק החיילים המשוחררים (החזרה לעבודה) (תיקון - הגנה על בן זוג של חייל מילואים), התשפ"ד-2024</t>
  </si>
  <si>
    <t xml:space="preserve"> (פ/4393/25)</t>
  </si>
  <si>
    <t xml:space="preserve">הצעת חוק שירות הביטחון הכללי (תיקון - בדיקת פוליגרף למשתתפים בוועדת החוץ והביטחון של הכנסת), התשפ"ד-2024 </t>
  </si>
  <si>
    <t xml:space="preserve"> (פ/4391/25)</t>
  </si>
  <si>
    <t xml:space="preserve">הצעת חוק קביעת דרגת הקדימות לקבלת ילד למעון או למשפחתון בהתחשב בשירות מילואים, התשפ"ד-2024</t>
  </si>
  <si>
    <t xml:space="preserve"> (פ/4390/25)</t>
  </si>
  <si>
    <t xml:space="preserve">הצעת חוק שירותי תשלום (תיקון - דיווח על ניצול כלכלי של אזרח ותיק או חסר ישע), התשפ"ד-2024</t>
  </si>
  <si>
    <t xml:space="preserve"> (פ/4389/25)</t>
  </si>
  <si>
    <t xml:space="preserve">הצעת חוק בתי קברות צבאיים (תיקון - קבורה לסוהרים ולכבאים), התשפ"ד-2023</t>
  </si>
  <si>
    <t xml:space="preserve"> (פ/4032/25)</t>
  </si>
  <si>
    <t xml:space="preserve">06.03.2024</t>
  </si>
  <si>
    <t xml:space="preserve">הצעת חוק לתיקון פקודת הראיות (מס' 20) (חיסיון קרימינולוג קליני), התשפ"ב–2022</t>
  </si>
  <si>
    <t xml:space="preserve"> (פ/3032/24)</t>
  </si>
  <si>
    <t xml:space="preserve"> (כ/918)</t>
  </si>
  <si>
    <t xml:space="preserve">הצעת חוק למניעת אלימות במשפחה (תיקון - מניעת אלימות כלכלית) (הוראת שעה), התשפ"ד-2024</t>
  </si>
  <si>
    <t xml:space="preserve"> (פ/4249/25)</t>
  </si>
  <si>
    <t xml:space="preserve">הצעת חוק הנכים (תגמולים ושיקום) (תיקון - סיוע לבן משפחה של נכה עם הפרעה בתר-חבלתית), התשפ"ד-2024</t>
  </si>
  <si>
    <t xml:space="preserve"> (פ/4201/25)</t>
  </si>
  <si>
    <t xml:space="preserve">הצעת חוק עובדים זרים (תיקון - הפחתת אגרה לעובדים בענף המלונאות), התשפ"ד-2024</t>
  </si>
  <si>
    <t xml:space="preserve"> (פ/4191/25)</t>
  </si>
  <si>
    <t xml:space="preserve">הצעת חוק העונשין (תיקון - החמרת ענישה בעבירות ביזה) (הוראת שעה), התשפ"ד-2023</t>
  </si>
  <si>
    <t xml:space="preserve"> (פ/4122/25)</t>
  </si>
  <si>
    <t xml:space="preserve">הצעת חוק שירות חובה לכול, התשפ"ג-2023</t>
  </si>
  <si>
    <t xml:space="preserve"> (פ/3438/25)</t>
  </si>
  <si>
    <t xml:space="preserve">הצעת חוק למניעת אלימות במשפחה (תיקון - מניעת אלימות כלכלית), התשפ"ג-2022</t>
  </si>
  <si>
    <t xml:space="preserve"> (פ/26/25)</t>
  </si>
  <si>
    <t xml:space="preserve">חוק הסדרת העיסוק במקצועות הבריאות (תיקון מס' 9), התשפ"ד–2024</t>
  </si>
  <si>
    <t xml:space="preserve"> (פ/918/25)</t>
  </si>
  <si>
    <t xml:space="preserve"> (כ/987)</t>
  </si>
  <si>
    <t xml:space="preserve">05.03.2024</t>
  </si>
  <si>
    <t xml:space="preserve">נקבע כי המנהל הכללי של משרד הבריאות או מי שהוא הסמיך לעניין זה, יהיה רשאי להעניק תעודה בפודיאטריה המוגבלת לפעולות בפודיאטריה שאינן כוללות טיפול פולשני והרדמה מקומית בכף הרגל המנויות בתוספת החמישית לחוק הסדרת העיסוק במקצועות הבריאות, התשס"ח-2008, למי שיש בידו תעודה המעידה על סיום לימודיו בפודולוגיה מחוץ לישראל ועומד בכל התנאים הנדרשים כמפורט בחוק. בעל מקצוע בריאות זה ייקרא פודולוג. תעודת סיום לימודים כאמור תוכר רק אם הלימודים התחילו לפני יום ט"ז באייר התשפ"ט (1 במאי 2029). שר הבריאות, באישור ועדת הבריאות של הכנסת,  יהיה רשאי לדחות, בצו, את המועד האמור בשתי תקופות נוספות שכל אחת מהן לא תעלה על שלוש שנים. עוד נקבע כי תקופת הניסיון הקודם שתידרש מפודיאטרים ומפודיאטרים מנתחים לשם קבלת תעודת מקצוע, תקוצר משנתיים וחצי לשנה וחצי בסך הכל, כשמתוכן לפחות חצי שנה של עבודה בפיקוח. עוד נקבע שההסדר לא יחול על תושב ישראל שמרכז חייו היה בישראל בטרם יצא ממנה לשם לימודים בתחום. כמו כן נקבעו הוראות מעבר לעניין מי שעסק כפודולוג בישראל ערב יום תחילתו של החוק, כדי לאפשר לו לקבל תעודת מקצוע בתנאים המפורטים בחוק. לבסוף, תוקן חוק זכויות החולה, התשנ"ו-1996, כך שפודולוג הוא מטפל לעניין החוק. תחילתו של התיקון ביום כ"ג בניסן התשפ"ד (1 במאי 2024). </t>
  </si>
  <si>
    <t xml:space="preserve">חוק הארכת השעיה של עובד המדינה ופיטורים של עובד הוראה לשם הגנה על קטין או חסר ישע (תיקוני חקיקה), התשפ"ד–2024</t>
  </si>
  <si>
    <t xml:space="preserve"> (פ/3571/24)</t>
  </si>
  <si>
    <t xml:space="preserve"> (כ/919)</t>
  </si>
  <si>
    <t xml:space="preserve">החוק כולל מספר תיקונים חקיקה שמטרתם לייעל את הליכי הפיטורים של עובדי הוראה המועסקים על ידי המדינה וההשעיה של עובדי מדינה שיש בהתנהגותם כדי לסכן את שלומם של קטינים או חסרי ישע השוהים במוסדות חינוך או במוסדות אחרים. חוק חינוך ממלכתי תוקן כדי להסמיך את מנכ"ל משרד החינוך לפטר עובד הוראה שהוא עובד המדינה במוסד חינוך רשמי, אם הוכח להנחת דעתו שהעובד נקט בהתנהגות בעלת אופי מיני שיש בה חומרה מיוחדת לנוכח היותו עובד הוראה, זאת בכפוף למתן זכות טיעון וזכות ערעור לעובד. בנוסף, תוקן ההסדר הקיים בחוק הפיקוח על בתי ספר ובחוק מוסדות חינוך תרבותיים ייחודיים, לגבי עובדי הוראה המועסקים על ידי מעסיקים פרטיים ורשויות מקומיות, והמנכ"ל הוסמך שלא לאשר את העסקתם אם הורשעו בעבירה שעקב מהותה, חומרתה או נסיבותיה, אין הם ראויים לשמש עובדי חינוך. באותו אופן, תוקנה סמכות המנכ"ל לדרוש את פיטוריו של עובד שירות המועסק על ידי הרשות המקומית במוסד חינוך. כמו כן, הוארכה תקופת ההשעיה המידית של עובד המדינה המועסק במוסד כהגדרתו בחוק למניעת העסקה של עברייני מין במוסדות מסוימים, כגון בתי ספר, גני ילדים ומתנ"ס, לתקופה של עד 60 ימים. לצד זאת, החוק מאפשר לגורם המוסמך להשעות עובד שבמסגרת עבודתו אחראי על קטין או חסר ישע והוגש נגדו כתב אישום בחשד לביצוע עבירת מין או אלימות חמורה בכל קטין או בחסר ישע ולא רק בקטין שעליו היה אחראי במסגרת תפקידו, בכפוף להפעלת שיקול דעת ומטעמים מיוחדים, בהתאם להליכים החלים על עובדים אלה לפי סוג המעסיק.</t>
  </si>
  <si>
    <t xml:space="preserve">חוק פיקוח על בתי ספר (תיקון מס' 11), התשפ"ד–2024</t>
  </si>
  <si>
    <t xml:space="preserve"> (פ/3260/25)</t>
  </si>
  <si>
    <t xml:space="preserve"> (כ/990)</t>
  </si>
  <si>
    <t xml:space="preserve">לגבי מתן רישיון לבית ספר לראשונה או לאחר שינויים מהותיים במבנה יישאר ההסדר הדורש אישור רשות הבריאות לעניין תברואה ודרישות חוק האפניפרין, ואולם לגבי בקשות שיוגשו מיום 1.5.2024 לגבי שנת הלימודים התשפ"ה ואילך נקבע כי אם רשות הבריאות לא נתנה את החלטתה בתוך חודשיים, יוכל מנכ"ל משרד החינוך לתת רישיון זמני לשנה אחת על סמך אישור עובד משרד החינוך שהוא בעל כשירות של עובד בריאות הסביבה.  לעניין בקשות לחידוש רישיון לגבי שנת הלימודים התשפ"ו ואילך, נקבע כי אם במהלך 18 החודשים הקודמים נערכה ביקורת וניתן אישור של רשות הבריאות או של עובד בריאות הסביבה כי ישנה רמה נאותה מבחינת תברואה ומבחינת דרישות חוק האפינפרין ניתן יהיה לחדש את הרישיון. אם לא התקיימה ביקורת כאמור יוכל מנכ"ל המשרד לחדש את הרישיון לתקופה של שנה בלבד על סמך הצהרת מגיש הבקשה כי ישנה רמה נאותה מבחינת תברואה ומבחינת דרישות חוק האפינפרין. אם ברישיון הקודם נכללו תנאים מיוחדים לעניין תברואה, תנאים אלה יכללו גם ברישיון המחודש.  עוד נקבע כי התברואה בבית הספר ודרישות חוק האפניפרין יהיו מהתנאים למתן רישיון לבית הספר. </t>
  </si>
  <si>
    <t xml:space="preserve">הצעת חוק צער בעלי חיים (הגנה על בעלי חיים) (תיקון - איסור על זיווג ומכירה של כלבים וחתולים), התשפ״ד-2024</t>
  </si>
  <si>
    <t xml:space="preserve"> (פ/4177/25)</t>
  </si>
  <si>
    <t xml:space="preserve">04.03.2024</t>
  </si>
  <si>
    <t xml:space="preserve">חוק התקנים (תיקון מס' 18), התשפ"ד–2024</t>
  </si>
  <si>
    <t xml:space="preserve">כחלק מצעדי הממשלה לביצוע התאמות לשם התכנסות למסגרות הפיסקאליות לשנת 2024 ואילך, אשר נועדו לסייע למשק להתמודד עם ההוצאות הנגרמות ממלחמת "חרבות ברזל", נקבע כי מכון התקנים יעביר לאוצר המדינה סכום חד פעמי של 105 מיליון שקלים חדשים בתוך שישה חודשים מיום תחילתו של החוק. מקור הכספים יהיו מתוך עודפי מכון התקנים שהם סכומים הכלולים בהון העצמי של המכון ומקורם ברווח הנקי שלו, כפי שנקבע לפי כללי חשבונאות מקובלים, כמפורט בדוחות הכספיים האחרונים של המכון שפורסמו לפני מועד העברת הסכום.</t>
  </si>
  <si>
    <t xml:space="preserve">הצעת חוק שירות ביטחון (תיקון - שילוב גברים תלמידי ישיבות), התשפ"ד-2024</t>
  </si>
  <si>
    <t xml:space="preserve"> (פ/4387/25)</t>
  </si>
  <si>
    <t xml:space="preserve">הצעת חוק הביטוח הלאומי (תיקון - דמי קיום לעצמאי יחיד) (הוראת שעה - חרבות ברזל), התשפ"ד-2024</t>
  </si>
  <si>
    <t xml:space="preserve"> (פ/4384/25)</t>
  </si>
  <si>
    <t xml:space="preserve">הצעת חוק-יסוד: פרס ישראל</t>
  </si>
  <si>
    <t xml:space="preserve"> (פ/4383/25)</t>
  </si>
  <si>
    <t xml:space="preserve">הצעת חוק חדלות פירעון ושיקום כלכלי (תיקון - הפטר לאלתר לחייב יחיד מעבר לגיל פרישה), התשפ"ד-2024</t>
  </si>
  <si>
    <t xml:space="preserve"> (פ/4382/25)</t>
  </si>
  <si>
    <t xml:space="preserve">הצעת חוק שירות אזרחי (תיקון - ארגונים מפעילים), התשפ"ד-2024 </t>
  </si>
  <si>
    <t xml:space="preserve"> (פ/4380/25)</t>
  </si>
  <si>
    <t xml:space="preserve"> (פ/4376/25)</t>
  </si>
  <si>
    <t xml:space="preserve">הצעת חוק לתיקון פקודת העיריות (הוספת ועדה לטיפול בתופעת המסתננים והשוהים הבלתי חוקיים), התשפ"ד-2024 </t>
  </si>
  <si>
    <t xml:space="preserve"> (פ/4375/25)</t>
  </si>
  <si>
    <t xml:space="preserve">הצעת חוק התניית יום שבתון בהצבעה בבחירות (תיקוני חקיקה), התשפ"ד-2024</t>
  </si>
  <si>
    <t xml:space="preserve"> (פ/4374/25)</t>
  </si>
  <si>
    <t xml:space="preserve">הצעת חוק לתיקון פקודת העיריות (ועדה לקליטת עלייה), התשפ"ד-2024 </t>
  </si>
  <si>
    <t xml:space="preserve"> (פ/4373/25)</t>
  </si>
  <si>
    <t xml:space="preserve">הצעת חוק עבודת נשים (תיקון - תקופת לידה והורות למשפחת אומנה), התשפ"ד-2024</t>
  </si>
  <si>
    <t xml:space="preserve"> (פ/4372/25)</t>
  </si>
  <si>
    <t xml:space="preserve">הצעת חוק מס קנייה (טובין ושירותים) (תיקון - שיעור המס על רכב חשמלי), התשפ"ד-2024</t>
  </si>
  <si>
    <t xml:space="preserve"> (פ/4371/25)</t>
  </si>
  <si>
    <t xml:space="preserve">הצעת חוק הרשויות המקומיות (הגבלת הזכות להיבחר) (תיקון - חברי כנסת, שרים וסגני שרים), התשפ"ד-2024</t>
  </si>
  <si>
    <t xml:space="preserve"> (פ/4370/25)</t>
  </si>
  <si>
    <t xml:space="preserve">הצעת חוק הביטוח הלאומי (תיקון - שיפוי מעסיקים על הפרשות פנסיוניות בעד עובדות בתקופת לידה והורות או בשמירת היריון), התשפ"ד-2024</t>
  </si>
  <si>
    <t xml:space="preserve"> (פ/4368/25)</t>
  </si>
  <si>
    <t xml:space="preserve">הצעת חוק הגבלת מכירה של קנביס רפואי בסביבת בתי ספר, התשפ"ד-2024</t>
  </si>
  <si>
    <t xml:space="preserve"> (פ/4367/25)</t>
  </si>
  <si>
    <t xml:space="preserve">הצעת חוק מגבלות על חזרתו של עבריין טרור לסביבת נפגע עבירה, התשפ"ד-2024</t>
  </si>
  <si>
    <t xml:space="preserve"> (פ/4171/25)</t>
  </si>
  <si>
    <t xml:space="preserve">הצעת חוק מגבלות על חזרתו של מורשע במעשה טרור לסביבת נפגע העבירה, התשפ"ד-2023</t>
  </si>
  <si>
    <t xml:space="preserve"> (פ/4136/25)</t>
  </si>
  <si>
    <t xml:space="preserve">חוק שירות ביטחון (תיקון מס' 26 – הוראת שעה – חרבות ברזל), התשפ"ד-2024</t>
  </si>
  <si>
    <t xml:space="preserve"> (מ/1709)</t>
  </si>
  <si>
    <t xml:space="preserve">28.02.2024</t>
  </si>
  <si>
    <t xml:space="preserve">סעיף 36א לחוק שירות ביטחון [נוסח משולב], התשמ"ו-1986, קובע הסדר למתן פטור משירות בצבא הגנה לישראל מחמת גיל, כך שאזרח ישראלי או תושב קבע שאינו קצין ומלאו לו ארבעים שנים או קצין שמלאו לו ארבעים וחמש שנים יהיה פטור מחובת שירות ביטחון. לצד זאת, נקבע כי שר הביטחון רשאי לקבוע, בצו, באישור ועדת החוץ והביטחון של הכנסת, מקצועות או תפקידים שבגינם יינתן פטור רק בגיל ארבעים ותשע; ואילו במידה והגיע לגיל ארבעים או ארבעים וחמש, לפי העניין כאמור, ייקרא האדם לשירות מילואים רק בתפקידו או במקצועו. כמו כן, צו זה יינתן לתקופה שלא תעלה על שלוש שנים, כאשר ניתן יהיה להאריכו לתקופות נוספות שלא יעלו על שלוש שנים בכל פעם.  במסגרת תיקון מס' 26, בשל מלחמת חרבות ברזל, הוחלט כי בתקופה שמיום כ"א באדר א' התשפ"ד (1 במרץ 2024) ועד יום כ"ד בסיוון התשפ"ד (30 ביוני 2024), יעלה גיל הפטור כך שבמקום ארבעים הוא יעמוד על ארבעים ואחת, ולגבי קצין – במקום ארבעים וחמש הוא יעמוד על ארבעים ושש. וכן, נקבע כי במסגרת צו כאמור גיל הפטור יעמוד על חמישים, כאשר מגיל ארבעים וחמש או ארבעים ושש, לפי העניין, יהיה ניתן לקורא לאדם לשירות רק בתפקידו או במקצועו. כמו כן, קריאה לשירות מילואים כאמור תיעשה רק לתפקידים במערך הלוחם, אלא אם כן יחולו נסיבות חירום שלפיהן ביטחון המדינה מחייב לקרוא גם למשרתים שאינם במערך הלוחם. עוד נקבע כי חייל מילואים שביצע שירות מילואים לפי חוק זה, יהיה זכאי לתמול מיוחד מהיום הראשון ועד ליום ה-31 לשירותו שבוצע בתקופה שמיום כ' בטבת התשפ"ד (1 בינואר 2024) עד יום כ"ד בסיוון התשפ"ד (30 ביוני 2024) מבלי שהוא יהיה חייב בתשלום מס הכנסה על התגמול. בנוסף, נקבעה חובת דיווח של שר הביטחון לוועדת החוץ והביטחון של הכנסת בתחילת כל חודש שקדם למועד הדיווח בעניין שירות מילואים, החל מיום כ"ב באדר ב' התשפ"ד (1 באפריל 2024), לרבות מספר חיילי המילואים שנקראו לשירות כאמור, מספר צווי הפטור משירות מילואים שנתן שר הביטחון והחלופות שנבחנו להפחתת הנטל על חיילי המילואים והצעדים שננקטו.  </t>
  </si>
  <si>
    <t xml:space="preserve">חוק הסכמים קיבוציים (תיקון מס' 11 - הוראת שעה - חרבות ברזל) (הוראות מיוחדות לעניין הרחבת הסכם קיבוצי כללי שנעשה בשל פעולות האיבה או פעולות המלחמה), התשפ"ד-2024</t>
  </si>
  <si>
    <t xml:space="preserve"> (מ/1723)</t>
  </si>
  <si>
    <t xml:space="preserve">נקבעו בהוראת שעה עד ה-29 באוגוסט 2024 הוראות המקצרות את ההליכים לעניין מתן צו הרחבה לגבי הסכם קיבוצי כללי שנעשה בשל מלחמת חרבות ברזל ושר העבודה שוכנע כי יש דחיפות לתת צו הרחבה לגביו. נקבע כי ההודעה על כוונת שר העבודה לתת צו הרחבה להסכם כאמור תפורסם ברשומות ותצוין בה קביעתו כי מדובר בהסכם שהעניינים בו נובעים בעיקרם ממלחמת חרבות ברזל וכי הוא שוכנע כי יש דחיפות בהרחבת תחולתו של ההסכם הקיבוצי. כמו כן במקום שצו ההרחבה יינתן רק לאחר חודש ממועד פרסום ההודעה על הכוונה לתיתו, ניתן יהיה להחליט על מתן הצו כבר לאחר שבעה ימים. נוסף על כך, נקבע קיצור המועד להגשת ערר לגבי הכוונה למתן צו הרחבה, שיוגש באופן מקוון, מעשרים יום לארבעה ימים ממועד פרסום ההודעה, אלא אם כן השר קבע בהודעה מועד מאוחר יותר. כמו כן נקבע כי אם השר הודיע על כוונתו לתת צו הרחבה לגבי הסכם כאמור שהוגש לרישום, יקוצרו גם המועדים להליכים הנוגעים לרישומו של ההסכם, כך שהמועד להגשת טענת כשרות בקשר לרישום ההסכם הקיבוצי יהיה לכל המאוחר המועד להגשת ערר על מתן צו ההרחבה והמועד לרישום ההסכם הקיבוצי יהיה לכל המאוחר מועד מתן צו ההרחבה. לגבי הסכם קיבוצי שלפני תחילת החוק כבר פורסמה הודעת שר העבודה על כוונה לתת צו הרחבה לגביו אם הוא נעשה בשל פעולות האיבה או פעולות המלחמה ויש דחיפות במתן צו הרחבה לגביו, נקבעו הוראות מותאמות. נוסף על כך נקבע כי טענת כשרות של ארגון עובדים, הנוגעת להסכם, שביום תחילתו של החוק טרם חלף המועד להגשתה, תוגש לא יאוחר מתום שלושה ימים מיום תחילתו של החוק.</t>
  </si>
  <si>
    <t xml:space="preserve">הצעת חוק לשכת עורכי הדין (תיקון - התמחות ומבחני הסמכה) (הוראת שעה - חרבות ברזל), התשפ"ד-2023</t>
  </si>
  <si>
    <t xml:space="preserve"> (פ/4155/25)</t>
  </si>
  <si>
    <t xml:space="preserve">חוק לתיקון פקודת בריאות העם (מס' 41), התשפ"ד-2024</t>
  </si>
  <si>
    <t xml:space="preserve"> (מ/1655)</t>
  </si>
  <si>
    <t xml:space="preserve">נקבע כי מנהל מוסד רפואי לא יפעיל אדם בביצוע פעולות שונות במערכת גז רפואי אלא אם אותו אדם עומד בתנאי הכשירות כמפורט בתוספת, או שהוא עובד בפיקוחו ובהדרכתו של מי שעומד בתנאי הכשירות. תנאי הכשירות כוללים דרישות של השכלה, עמידה בתוכנית הכשרה מטעם משרד הבריאות, ניסיון מעשי, וידע בסיסי בשפה העברית ,והם משתנים בהתאם לסוג העיסוק במערכת גז רפואי שבו מדובר – איש אחזקה, מתקין, מפקח או מהנדס בודק. מי שצבר ניסיון מעשי של 5 שנים בעבודה עם מערכת גז רפואי עד ליום 1.7.24 יוכל לשמש כמתקין או כמפקח - וזאת גם אם לא עמד ביתר תנאי הכשירות, ולגבי איש אחזקה יידרשו שלוש שנות ניסיון כאמור. כדי לאפשר לאנשים לעבור תוכניות הדרכה שהן תנאי כשירות לעיסוק, מוצע כי עד יום 31.12.24 מנהל מוסד רפואי יוכל להעסיק אדם כאיש אחזקה,  מפקח או מתקין - גם אם לא עבר תוכנית הכשרה, ולגבי מהנדס בודק, שתוכנית ההכשרה שלו היא הארוכה ביותר, עד ליום 1.7.25. לבסוף נקבע כי שר הבריאות מוסמך לקבוע כללים להכרה בתוכניות הדרכה שהן לא מטעם משרד הבריאות. כמו כן, השר מוסמך לשנות בצו, באישור ועדת הבריאות של הכנסת, את תנאי הכשירות, למעט דרישות ההשכלה, ובכלל זה לקבוע חובת עמידה בבחינות עיוניות או מעשיות. </t>
  </si>
  <si>
    <t xml:space="preserve">הצעת חוק אוויר נקי (תיקון - איסור שימוש בתנורים המוסקים בדלק מוצק), התשפ"ג-2023</t>
  </si>
  <si>
    <t xml:space="preserve"> (פ/3493/25)</t>
  </si>
  <si>
    <t xml:space="preserve"> (פ/2238/25)</t>
  </si>
  <si>
    <t xml:space="preserve">26.02.2024</t>
  </si>
  <si>
    <t xml:space="preserve">הצעת חוק המאבק בטרור (תיקון - איסור החזרת גופות מחבלים), התשפ"ג-2023</t>
  </si>
  <si>
    <t xml:space="preserve"> (פ/1599/25)</t>
  </si>
  <si>
    <t xml:space="preserve">חוק זכויות הדייר בדיור הציבורי (הוראת שעה – חרבות ברזל) (דייר ממשיך מיוחד), התשפ"ד-2024</t>
  </si>
  <si>
    <t xml:space="preserve"> (מ/1703)</t>
  </si>
  <si>
    <t xml:space="preserve">נקבע הסדר מיוחד לעניין "דייר ממשיך מיוחד" במסגרתו משרד הבינוי והשיכון יהיה רשאי לאשר למי שהם בני משפחה של החטופים, הנעדרים או הנרצחים, שהם גם בני משפחה של זכאי לדיור ציבורי, ושהתגוררו בדירה הציבורית עם הזכאי ערב פטירתו או ערב מעבר הזכאי למוסד סיעודי, להמשיך להתגורר בדירה ציבורית לתקופה שלא תעלה על שש שנים, וזאת על בסיס בקשתם לכך.</t>
  </si>
  <si>
    <t xml:space="preserve">חוק התוכנית הכלכלית (תיקוני חקיקה ליישום המדיניות הכלכלית לשנות התקציב 2023 ו-2024) (תיקון), התשפ"ד-2024</t>
  </si>
  <si>
    <t xml:space="preserve"> (מ/1685)</t>
  </si>
  <si>
    <t xml:space="preserve">במסגרת חוק ההתייעלות הכלכלית (תיקוני חקיקה להשגת יעדי התקציב לשנות התקציב 2023 ו-2024), התשפ"ג–2023 , בוצעו מספר תיקונים בחוק הבנקאות (שירות ללקוח), התשמ"א-1981, שעסקו בהגברת השקיפות ללקוחות הבנקים. אחד מהתיקונים כאמור היה תיקון סעיף 5א לחוק הבנקאות, בו נקבע כי בתחילת כל חודש קלנדרי ישלחו הבנקים לכל לקוחותיהם, באמצעי המאפשר תקשורת מיידית ונגישה, ככל האפשר, הודעה שבה יפרטו את הסכומים הכוללים של העמלות ושל הריביות שגבה הבנק מהלקוח בחודש שקדם למועד שליחת ההודעה. עוד נקבע כי מועד תחילתו של התיקון לעניין עמלות יהיה ב-1 בינואר 2024, ולעניין ריביות וכן עמלות וריביות שנגבו בעבור הלוואה לדיור, ב-2 ביוני 2024.  נוכח מלחמת "חרבות ברזל" שפרצה ב-7 באוקטובר 2023, הוכרז מצב מיוחד בעורף שהוחל על כל שטחי המדינה והחל גיוס מילואים נרחב. עובדים רבים בכל מערכות המשק לרבות המערכת הבנקאית גויסו, ועיקר המשאבים הופנו לטיפול בנפגעים ובמקרים הדחופים. המציאות החדשה השפיעה על היערכותם של הבנקים ליישום הוראות התיקון במועד שנקבע.   החוק נועד לאפשר לבנקים ארכה להיערכות ליישום משלוח ההודעות ללקוחותיהם. בהתאם לכך, החוק דוחה בחודשיים, עד ליום ה-1 במרץ 2024, את מועד תחילתה של ההוראה המחייבת תאגיד בנקאי לשלוח ללקוחותיו, בתחילת כל חודש קלנדרי, הודעה לעניין עמלות כאמור. כמו כן, החוק חל רטרואקטיבית מה-1 בינואר 2024 שהוא מועד תחילתה המקורי של ההוראה כאמור. </t>
  </si>
  <si>
    <t xml:space="preserve">הצעת חוק משפחות חיילים שנספו במערכה (תגמולים ושיקום) (תיקון - העלאת סכום הסיוע למימון שיעורי נהיגה), התשפ"ד-2024</t>
  </si>
  <si>
    <t xml:space="preserve"> (פ/4363/25)</t>
  </si>
  <si>
    <t xml:space="preserve">הצעת חוק התכנון והבנייה (תיקון - פטור מהיטל השבחה עבור מיתקני אגירה), התשפ"ד-2024</t>
  </si>
  <si>
    <t xml:space="preserve"> (פ/4362/25)</t>
  </si>
  <si>
    <t xml:space="preserve">הצעת חוק לייצור אמצעי לחימה בתעשיות הביטחוניות בישראל, התשפ"ד-2024</t>
  </si>
  <si>
    <t xml:space="preserve"> (פ/4361/25)</t>
  </si>
  <si>
    <t xml:space="preserve">הצעת חוק הבטחת הכנסה (תיקון - מימון תרופות שאינן בסל שירותי הבריאות לילדים שהוריהם מקבלים גמלת הבטחת הכנסה), התשפ"ד-2024</t>
  </si>
  <si>
    <t xml:space="preserve"> (פ/4358/25)</t>
  </si>
  <si>
    <t xml:space="preserve"> (פ/4357/25)</t>
  </si>
  <si>
    <t xml:space="preserve">הצעת חוק-יסוד: כבוד האדם וחירותו (תיקון - תוקפו של חוק חורג בעניין מסתננים) </t>
  </si>
  <si>
    <t xml:space="preserve"> (פ/4355/25)</t>
  </si>
  <si>
    <t xml:space="preserve">הצעת חוק התכנון והבנייה (תיקון - מיתקן אגירת אנרגיה בבניין רב קומות), התשפ"ד-2024</t>
  </si>
  <si>
    <t xml:space="preserve"> (פ/4354/25)</t>
  </si>
  <si>
    <t xml:space="preserve">הצעת חוק הרשויות המקומיות (מימון בחירות) (תיקון - עידוד התמודדות נשים לראשות רשות מקומית או מועצה אזורית), התשפ"ד-2024</t>
  </si>
  <si>
    <t xml:space="preserve"> (פ/4352/25)</t>
  </si>
  <si>
    <t xml:space="preserve"> (פ/4351/25)</t>
  </si>
  <si>
    <t xml:space="preserve">הצעת חוק שמירה על זכויות תעסוקה של משרתי מילואים ובני זוגם (תיקוני חקיקה), התשפ"ד-2024</t>
  </si>
  <si>
    <t xml:space="preserve"> (פ/4347/25)</t>
  </si>
  <si>
    <t xml:space="preserve">הצעת חוק חינוך אקלימי בבתי חולים ציבוריים כלליים, התשפ"ד-2024</t>
  </si>
  <si>
    <t xml:space="preserve"> (פ/4344/25)</t>
  </si>
  <si>
    <t xml:space="preserve"> (פ/4343/25)</t>
  </si>
  <si>
    <t xml:space="preserve">הצעת חוק הפיקוח על שירותים פיננסיים (ייעוץ, שיווק ומערכת סליקה פנסיוניים) (תיקון מס' 13), התשפ"ד-2024</t>
  </si>
  <si>
    <t xml:space="preserve"> (מ/1718)</t>
  </si>
  <si>
    <t xml:space="preserve"> (פ/4165/25)</t>
  </si>
  <si>
    <t xml:space="preserve">21.02.2024</t>
  </si>
  <si>
    <t xml:space="preserve">חוק שירותי רווחה (זכויות נשים ששהו במקלט לנשים מוכות) (תיקון מס' 4), התשפ"ד–2024</t>
  </si>
  <si>
    <t xml:space="preserve"> (פ/2908/25)</t>
  </si>
  <si>
    <t xml:space="preserve"> (כ/967)</t>
  </si>
  <si>
    <t xml:space="preserve">חוק זה קובע כי סכום מענק ההסתגלות, שמשולם לאישה ששהתה במקלט לנשים מוכות בעת יציאתה מהמקלט, יעלה מ-8,000 שקלים חדשים ל-11,000 שקלים חדשים. בנוסף, בעת היציאה מהמקלט תקבל האישה תוספת סיוע למענק בגובה 1,000 שקלים חדשים, עבור כל אחד מילדיה הנמצא עימה, ולא רק עבור 2 ילדים כפי שהיה קבוע בחוק לפני תיקון זה. כמו כן חוק זה קובע כי מענק ההסתגלות ישולם לאישה בסמוך ליציאתה מהמקלט, וככל האפשר לפני יציאתה, ובכל מקרה לא יאוחר מ-30 יום ממועד שהוגשה הבקשה לתשלום המענק וזאת בשונה מהמצב שהיה עד תיקון זה לפיו המענק היה משולם לאחר יציאת האישה מהמקלט ועד 60 ימים לאחר שהוגשה הבקשה.</t>
  </si>
  <si>
    <t xml:space="preserve">הצעת חוק שירות המדינה (מינויים) (תיקון - העדפת מועמדים תושבי פריפריה), התשפ"ד-2023</t>
  </si>
  <si>
    <t xml:space="preserve"> (פ/3961/25)</t>
  </si>
  <si>
    <t xml:space="preserve">הצעת חוק ההסדרים במשק המדינה (תיקוני חקיקה להשגת יעדי התקציב) (תיקון - הנחה בארנונה לנכים), התשפ"ג-2023</t>
  </si>
  <si>
    <t xml:space="preserve"> (פ/3834/25)</t>
  </si>
  <si>
    <t xml:space="preserve">הצעת חוק הגנת הצרכן (תיקון - איסור גביית תשלום בכרטיסי חיוב בלבד), התשפ"ג-2023</t>
  </si>
  <si>
    <t xml:space="preserve"> (פ/1492/25)</t>
  </si>
  <si>
    <t xml:space="preserve">הצעת חוק לתיקון פקודת מס הכנסה (תיקון מס' 268), התשפ"ג-2023</t>
  </si>
  <si>
    <t xml:space="preserve"> (מ/1631)</t>
  </si>
  <si>
    <t xml:space="preserve">19.02.2024</t>
  </si>
  <si>
    <t xml:space="preserve">הצעת חוק הקמת מאגר מידע גנטי של כלבים, התשפ"ג-2023</t>
  </si>
  <si>
    <t xml:space="preserve"> (פ/2708/25)</t>
  </si>
  <si>
    <t xml:space="preserve">הצעת חוק מיסוי מקרקעין (שבח ורכישה) (תיקון מס' 104), התשפ"ד-2024</t>
  </si>
  <si>
    <t xml:space="preserve"> (מ/1715)</t>
  </si>
  <si>
    <t xml:space="preserve">הצעת חוק רישוי עסקים (תיקון - מכירת יין בחנות גדולה), התשפ"ד-2023</t>
  </si>
  <si>
    <t xml:space="preserve"> (פ/3945/25)</t>
  </si>
  <si>
    <t xml:space="preserve">הצעת חוק רישוי עסקים (תיקון - מכירת יין בחנות גדולה), התשפ"ג-2023</t>
  </si>
  <si>
    <t xml:space="preserve"> (פ/3582/25)</t>
  </si>
  <si>
    <t xml:space="preserve"> (פ/2954/25)</t>
  </si>
  <si>
    <t xml:space="preserve">הצעת חוק לתיקון פקודת התעבורה (תשלום עבור נסיעה בתחבורה ציבורית בכרטיס אשראי), התשפ"ג-2023</t>
  </si>
  <si>
    <t xml:space="preserve"> (פ/3334/25)</t>
  </si>
  <si>
    <t xml:space="preserve">חוק עובדים זרים (תיקון מס' 24), התשפ"ד-2024</t>
  </si>
  <si>
    <t xml:space="preserve"> (מ/1698)</t>
  </si>
  <si>
    <t xml:space="preserve"> נקבע הסדר חלופי לניכוי מכספי הפיקדון של עובדים זרים, לפיו 25% מכספי הפיקדון של עובד זר ישולמו לו גם אם יצא מישראל לאחר תום התקופה המותרת לשהייתו בה, בתוספת הרווחים שנצברו ובניכוי דמי ניהול ומיסים, ובלבד שהגיש לממונה בקשה בכתב לקבלת הכספים כמפורט בחוק. את יתרת 75% מכספי הפיקדון, יהיה העובד הזר זכאי לקבל אם עזב את ישראל לא יאוחר משנים עשר חודשים מתום התקופה שבה הורשה לשהות בה, בתוספת הרווחים ובניכוי הוצאות הרחקה וכן בניכוי סכום בשיעור הולך וגדל בהתאם לתקופת השיהוי ביציאה כמפורט בתוספת הראשונה 1ב' לחוק עובדים זרים, התשנ"א-1991 (להלן – החוק), ומיסים. כמו כן נקבע כי הממונה יהיה רשאי, לפי בקשה של עובד זר, להחליט על הפחתת תקופת השיהוי שתיזקף לחובתו של העובד הזר אם הממונה מצא כי נבצר מהעובד הזר לעזוב את ישראל עד תום התקופה שבה הורשה לשהות בה לפי הוראות חוק הכניסה לישראל או בנסיבות נוספות הקבועות בחוק, ובלבד שלא חלפו מעל שלוש שנים מתום התקופה שבה הורשה לשהות בישראל עד המועד שבו התקבלה בקשתו במשרדי הממונה. על החלטת הממונה ניתן יהיה להגיש השגה בהתאם להוראות החוק. כמו כן, נקבע כי רשות האוכלוסין וההגירה תאפשר לעובד זר לצפות בכל עת באתר האינטרנט שלה או באמצעי דיגיטלי במידע לעניין כספי הפיקדון המתנהלים לגביו, אופן הגשת הבקשה לקבלת כספי הפיקדון ותוקף האשרה והרישיון של העובד הזר. עוד נקבעו הוראות תחולה כמפורט בחוק. </t>
  </si>
  <si>
    <t xml:space="preserve">חוק לשכת עורכי הדין (תיקון מס' 42), התשפ"ד-2024</t>
  </si>
  <si>
    <t xml:space="preserve"> (מ/1705)</t>
  </si>
  <si>
    <t xml:space="preserve">החוק מסדיר בחקיקה ראשית את השמירה של חומר ארכיוני בידי עורך דין בעניין לקוחו. לפי החוק, עורך דין ישמור על חומר ארכיוני לתקופת זמן של שבע שנים מיום סיום הטיפול בעניין שמסר לו הלקוח או מיום סיום ההליכים המשפטיים שבהם ייצג את הלקוח, אלא אם כן סרק את המסמך בהתאם לתנאים המנויים בחוק שאז תחול חובת השמירה על החומר הסרוק. עורך הדין ולקוחו רשאים להסכים בכתב על תקופת שמירה אחרת, ארוכה או קצרה יותר. במהלך התקופה שבה החומר נשמר רשאי הלקוח לבקש לידיו את החומר הארכיוני, ובסופה, רשאי עורך הדין לבער את החומר מבלי שהוא נדרש לפנות לשם כך ללקוח, והכל תוך שמירה על פרטיות הלקוח. ההוראה לא חלה על מסמכים המפורטים בתוספת לחוק הנתונה לשינוי על ידי שר המשפטים. התיקון לחוק גם לא חל על מסמכים שנמסרו למשמרת על פי הסכם, או על חומר שחלה לגביו חובת שמירה לפי חוק אחר.</t>
  </si>
  <si>
    <t xml:space="preserve">חוק הביטוח הלאומי (תיקון מס' 243), התשפ"ד–2024</t>
  </si>
  <si>
    <t xml:space="preserve"> (פ/2421/25)</t>
  </si>
  <si>
    <t xml:space="preserve"> (כ/986)</t>
  </si>
  <si>
    <t xml:space="preserve">נקבע כי גמלת ילד נכה המגיעה בעד ילד נכה המושם באומנה, תשולם לאומן של הילד בעד תקופת האומנה, תוך הבחנה בין שני מצבים: במקרה שבו השתלמה גמלת נכה בעד הילד בסמוך לפני השמתו באומנה, המפקח הארצי על האומנה יודיע על כך למוסד לביטוח לאומי, והמוסד ישלם את הגמלה לאומן. במקרה שבו לא השתלמה בעד הילד גמלת ילד נכה בסמוך לפני שהושם באומנה, יתאפשר לאומן להגיש תביעה לגמלת ילד נכה. כמו כן, נקבע כי במשפחת אומנה שבה שני ילדים או יותר שמשתלמת בעדם גמלת ילד נכה, תשולם תוספת של 50% על שיעור הגמלה בעד כל ילד נכה וכן כי מענק הניתן במקרה שבו נפטר ילד נכה שהושם באומנה ישולם להורה הביולוגי של הילד. בנוסף, נקבעו הוראות משלימות בחוק אומנה לילדים, לפיהן אומן יהיה זכאי לקבל גמלת ילד נכה בעד ילד נכה שהושם אצלו באומנה, וכן לקבל את ההטבות והזכויות הנלוות לגמלה. לשם כך ניתנה לאומן סמכות להגיש תביעה לקבלת גמלה כאמור ולבצע את כל הפעולות הנדרשות לשם כך, ובלבד שיידע את הורי הילד זמן סביר מראש על תכניותיו להגיש תביעה כאמור. נקבע כי תחילתו של התיקון המוצע תהיה שלושה חודשים מיום פרסומו, וגמלת ילד נכה תשולם לאומן לפי הוראות ההסדר המוצע בעד התקופה האמורה ואילך. נקבע כי התיקון לחוק אומנה לילדים ייכנס לתוקף מיד עם פרסום החוק.</t>
  </si>
  <si>
    <t xml:space="preserve">חוק אומנה לילדים (תיקון מס' 3), התשפ"ד-2024</t>
  </si>
  <si>
    <t xml:space="preserve"> (מ/1636)</t>
  </si>
  <si>
    <t xml:space="preserve">נקבע כי לאומן באומנת חירום תהיה סמכות לתת הסכמה לבדיקה רפואית ולטיפול רפואי, לרבות נטילת תרופות, ביצוע בדיקות דם וקבלת חיסונים הניתנים לכלל ילדי ישראל, ולמעט טיפולים רפואיים המנויים בתוספת הראשונה לחוק זכויות החולה, כגון ניתוחים ודיאליזה. עוד נקבע כי במקרה שבו ילד שהושם באומנת חירום אושפז בבית חולים מכוח סמכות האומן כאמור, עובד סוציאלי לפי חוק הנוער (טיפול והשגחה) או עובד סוציאלי לפי חוק הסעד (טיפול באנשים עם מוגבלות שכלית–התפתחותית), לפי העניין, יודיע על כך לבית המשפט הדן בעניינו של הילד, בסמוך לאחר אשפוזו. בנוסף נקבע כי בנוגע למתן רישיון לאומן באומנת חירום, לא תחול הגבלת גיל מרבי של 56 שנים, בשונה מאומנה רגילה.</t>
  </si>
  <si>
    <t xml:space="preserve">הצעת חוק הטלת סנקציות על תומכי טרור, התשפ"ד-2024</t>
  </si>
  <si>
    <t xml:space="preserve"> (פ/4342/25)</t>
  </si>
  <si>
    <t xml:space="preserve">הצעת חוק חיילים משוחררים (החזרה לעבודה) (תיקון - הארכת תקופת הגנה מפני פיטורים למשרתי מילואים ובני ובנות זוגם), התשפ"ד-2024</t>
  </si>
  <si>
    <t xml:space="preserve"> (פ/4341/25)</t>
  </si>
  <si>
    <t xml:space="preserve">הצעת חוק שוויון ההזדמנויות בעבודה (תיקון - איסור הפליה), התשפ"ד-2024</t>
  </si>
  <si>
    <t xml:space="preserve"> (פ/4340/25)</t>
  </si>
  <si>
    <t xml:space="preserve"> (פ/4338/25)</t>
  </si>
  <si>
    <t xml:space="preserve">הצעת חוק התכנון והבנייה (תיקון - תוקף היתר בנייה), התשפ"ד-2024</t>
  </si>
  <si>
    <t xml:space="preserve"> (פ/4336/25)</t>
  </si>
  <si>
    <t xml:space="preserve">הצעת חוק הרשויות המקומיות (בחירות) (תיקון - סמכות השר לדחיית מועד בחירות ופיצוי כספי בגין דחייה), התשפ"ד-2024 </t>
  </si>
  <si>
    <t xml:space="preserve"> (פ/4335/25)</t>
  </si>
  <si>
    <t xml:space="preserve">הצעת חוק למניעת הוצאה של כספים מישראל על ידי מסתנן או נתין זר או עבורו, התשפ"ד-2024</t>
  </si>
  <si>
    <t xml:space="preserve"> (פ/4334/25)</t>
  </si>
  <si>
    <t xml:space="preserve">הצעת חוק שירות ביטחון (תיקון - הזדמנות שווה לנשים בצה"ל), התשפ"ד-2024</t>
  </si>
  <si>
    <t xml:space="preserve"> (פ/4330/25)</t>
  </si>
  <si>
    <t xml:space="preserve"> (פ/4329/25)</t>
  </si>
  <si>
    <t xml:space="preserve">הצעת חוק סל הקליטה (תיקון - שעות לימוד עברית), התשפ"ד-2024</t>
  </si>
  <si>
    <t xml:space="preserve"> (פ/4326/25)</t>
  </si>
  <si>
    <t xml:space="preserve">הצעת חוק יום לציון זכרם של חללי ונפגעי יהדות התפוצות על רקע אנטישמי, התשפ"ד-2024</t>
  </si>
  <si>
    <t xml:space="preserve"> (פ/4325/25)</t>
  </si>
  <si>
    <t xml:space="preserve">הצעת חוק לתיקון פקודת מס הכנסה (הגדלת זיכוי מס על תרומה לבתי חולים בפריפריה), התשפ"ד-2024</t>
  </si>
  <si>
    <t xml:space="preserve"> (פ/4324/25)</t>
  </si>
  <si>
    <t xml:space="preserve">חוק הרבנות הראשית לישראל (הארכת כהונה של הרבנים הראשיים לישראל ושל חברי מועצת הרבנות הראשית לישראל) (הוראת שעה) (תיקון), התשפ"ד-2024</t>
  </si>
  <si>
    <t xml:space="preserve"> (מ/1713)</t>
  </si>
  <si>
    <t xml:space="preserve">14.02.2024</t>
  </si>
  <si>
    <t xml:space="preserve">נקבע כי מועד סיום כהונתם של הרבנים הראשיים לישראל המכהנים כיום, יידחה ליום כ"ה בסיוון התשפ"ד (1 ביולי 2024) וכן כי מועד סיום כהונת חברי המועצה הנבחרים יידחה ליום י"ב באלול התשפ"ד (15 בספטמבר 2024). בנוסף, נקבע כי לעניין הבחירות הראשונות לרב הראשי לישראל ולחברי המועצה הנבחרים, שיתקיימו לאחר תחילתה של הוראת השעה, יהיו חברים מסוימים באסיפה הבוחרת (רבני עיר, רבנים אזוריים, רבני יישוב, רבני שכונה וראשי המועצות הדתיות) רק מי ששימשו בתפקידם לפי אותן פסקאות ערב תחילתו של תיקון זה והמשיכו לשמש בתפקידם כאמור במועד הבחירות. כמו כן, נקבע כי רב עיר ברשות מקומית שמועד סיום כהונתו חל בתקופה שמיום כ"ב בתשרי התשפ"ד (7 באוקטובר 2023) עד מועד הבחירות הכלליות לרשויות המקומיות, ולא הודיע בכתב לגורם הממנה כי אין להאריך את תקופת כהונתו – ישוב ויכהן החל ביום תחילתו של החוק, עד ליום ה-90 שלאחר מועד הבחירות לרשויות המקומיות. רב עיר ששב לכהן כאמור, לא יכהן באסיפה הבוחרת לבחירת הרבנים הראשיים לישראל.</t>
  </si>
  <si>
    <t xml:space="preserve">הצעת חוק לתיקון פקודת מס הכנסה (קרנות השקעה), התשפ"ג-2023</t>
  </si>
  <si>
    <t xml:space="preserve"> (פ/3930/25)</t>
  </si>
  <si>
    <t xml:space="preserve"> (פ/3460/25)</t>
  </si>
  <si>
    <t xml:space="preserve">הצעת חוק הכרה אזרחית בהכשרות צבאיות (תיקון - הכרה בניסיון פיקודי כניסיון ניהולי), התשפ"ג-2023</t>
  </si>
  <si>
    <t xml:space="preserve"> (פ/1664/25)</t>
  </si>
  <si>
    <t xml:space="preserve">הצעת חוק הביטוח הלאומי (תיקון - תשלום דמי אבטלה לנשים שיצאו לחופשה ללא תשלום לאחר לידה מסיבות מוצדקות), התשפ"ג-2022</t>
  </si>
  <si>
    <t xml:space="preserve"> (פ/1047/25)</t>
  </si>
  <si>
    <t xml:space="preserve">חוק מימון הוצאות למשפחות שבויים, חטופים ונעדרים (תיקון מס' 2), התשפ"ד-2024</t>
  </si>
  <si>
    <t xml:space="preserve"> (פ/4205/25)</t>
  </si>
  <si>
    <t xml:space="preserve"> (כ/991)</t>
  </si>
  <si>
    <t xml:space="preserve">13.02.2024</t>
  </si>
  <si>
    <t xml:space="preserve">החוק מבטל את התנאי שלפיו אח או ילד של חטוף, שבוי או נעדר יהיה זכאי למענק רבעוני בסך של 21,000 שקלים חדשים, רק אם לא משתלמים לו או בעדו תשלומים לפי חוק תגמולים לבני משפחה של חטופים ונעדרים בפעולת איבה, התשפ"ד–2023. החוק קובע כי המענק ישולם לאח או ילד כאמור שמלאו לו 18 שנים בקיזוז של שלוש פעמים התגמול שמשתלם לו או התוספת לתגמול המשתלמת בעדו לפי החוק האמור, לפי חוק משפחות חיילים שנספו במערכה (תגמולים ושיקום) או לפי חוק התגמולים לנפגעי פעולות איבה. התשלום לזכאים לכך לפי תנאי החוק ייעשה באופן רטרואקטיבי החל מה-7.10.23. כמו כן החוק קובע שהטבות סוציאליות המשולמות לפי הסכמים שנערכו מיום ה-1.1.24 ועד יום 31.3.24 לפי סעיף 9 לחוק הביטוח הלאומי בשל המצב הביטחוני המיוחד, לא יחשבו כהכנסה לעניין כל דין אלא אם נקבע בהם אחרת.</t>
  </si>
  <si>
    <t xml:space="preserve">פרק א' (מטרת החוק) מתוך הצעת חוק התוכנית המאזנת (תיקוני חקיקה להשגת יעדי התקציב לשנת התקציב 2024), התשפ"ד-2024 [פוצלה לפי סעיף 84(ב) לתקנון]</t>
  </si>
  <si>
    <t xml:space="preserve">12.02.2024</t>
  </si>
  <si>
    <t xml:space="preserve">חוק לתיקון דיני הבחירות לרשויות המקומיות והוראות שעה לעניין הבחירות הקרובות, התשפ"ד-2024</t>
  </si>
  <si>
    <t xml:space="preserve"> (מ/1710)</t>
  </si>
  <si>
    <t xml:space="preserve">בשל המלחמה והצורך לבצע את ההתאמות והשינויים הנדרשים לקיום הבחירות לרשויות המקומיות בקרב חיילים במהלכה, נקבע כי כהוראת שעה לבחירות הקרובות, משך ההצבעה בקלפיות חיילים יוארך ויכול שיתקיים במהלך השבוע המסתיים במועד סיום ההצבעה בקלפיות רגילות. עם פקיעת הוראת השעה, יהיה ניתן לקיים את ההצבעה בקלפיות חיילים במשך 72 שעות המסתיימות במועד סיום ההצבעה בקלפיות רגילות. כמו כן, נקבע כהוראת שעה כי לא רק חייל חובה יוכל להיות בוועדת הקלפי, אלא גם חייל קבע עד דרגת רב סמל ראשון וחייל מילואים  עד דרגת רב סמל מתקדם. בנוסף, נקבע כי בכל בית אבות בו מתגוררים לפחות 100 דיירים, תוצב קלפי אחת לפחות. כמו כן, נקבע כהוראת שעה כי בבחירות הקרובות, בשל חג הרמדאן, ברשויות בהן אף אחד מהמועמדים לא הגיע ל-40%, הבחירות החוזרות בין שני המועמדים המובילים יערכו בתוך 12 ימים במקום בתוך 14 ימים.</t>
  </si>
  <si>
    <t xml:space="preserve">חוק הבוררות המסחרית הבין-לאומית, התשפ"ד-2024</t>
  </si>
  <si>
    <t xml:space="preserve"> (מ/1651)</t>
  </si>
  <si>
    <t xml:space="preserve">אומץ בשינויים מסויימים חוק המודל בעניין בוררות מסחרית בין-לאומית המסדיר את השלבים השונים של הליך בוררות מסחרית בין-לאומית, החל בשלב ההסכמה לבוררות ועד לשלב אכיפת פסק הבוררות. החוק יחליף את ההסדרים הנוגעים לבוררות מסחרת בין-לאומית שנידונים היום בהתאם לחוק הבוררות, התשכ"ח–1968.</t>
  </si>
  <si>
    <t xml:space="preserve">הצעת חוק רכזי ביטחון שוטף לאומי ביישובי ישראל המוגדרים, התשפ"ד-2024</t>
  </si>
  <si>
    <t xml:space="preserve"> (פ/4320/25)</t>
  </si>
  <si>
    <t xml:space="preserve"> (פ/4318/25)</t>
  </si>
  <si>
    <t xml:space="preserve">הצעת חוק הביטוח הלאומי (תיקון - תשלום דמי אבטלה לנשים שיצאו לחופשה ללא תשלום לאחר לידה מסיבות מוצדקות) (הוראת שעה - חרבות ברזל), התשפ"ד-2024</t>
  </si>
  <si>
    <t xml:space="preserve"> (פ/4316/25)</t>
  </si>
  <si>
    <t xml:space="preserve">הצעת חוק הביטוח הלאומי (תיקון - גמלה בשל דיכאון לאחר לידה), התשפ"ד-2024</t>
  </si>
  <si>
    <t xml:space="preserve"> (פ/4315/25)</t>
  </si>
  <si>
    <t xml:space="preserve">הצעת חוק הגנה על עובדים בשעת חירום (תיקון - הגנה על בני ובנות זוג של משרתי מילואים) (הוראת שעה - חרבות ברזל), התשפ"ד-2024</t>
  </si>
  <si>
    <t xml:space="preserve"> (פ/4313/25)</t>
  </si>
  <si>
    <t xml:space="preserve">הצעת חוק הביטוח הלאומי (תיקון - דמי אבטלה למתמחים), התשפ"ד-2024</t>
  </si>
  <si>
    <t xml:space="preserve"> (פ/4312/25)</t>
  </si>
  <si>
    <t xml:space="preserve">הצעת חוק הביטוח הלאומי (תיקון - ביטול מבחן הכנסה לצורך קביעת זכאות ניצול שואה לגמלת סיעוד), התשפ"ד-2024</t>
  </si>
  <si>
    <t xml:space="preserve"> (פ/4311/25)</t>
  </si>
  <si>
    <t xml:space="preserve"> (פ/4310/25)</t>
  </si>
  <si>
    <t xml:space="preserve"> (פ/4309/25)</t>
  </si>
  <si>
    <t xml:space="preserve">הצעת חוק עבודת נשים (תיקון - תקופת לידה והורות לנשים בעבודה פיזית קשה), התשפ"ד-2024</t>
  </si>
  <si>
    <t xml:space="preserve"> (פ/4308/25)</t>
  </si>
  <si>
    <t xml:space="preserve">הצעת חוק זכויות הסטודנט (תיקון - התאמות למועמד ללימודים שעברית אינה שפת אמו), התשפ"ד-2024</t>
  </si>
  <si>
    <t xml:space="preserve"> (פ/4307/25)</t>
  </si>
  <si>
    <t xml:space="preserve">הצעת חוק החברות הממשלתיות (תיקון - מינוי דירקטורים מקרב עובדי החברה), התשפ"ד-2024</t>
  </si>
  <si>
    <t xml:space="preserve"> (פ/4306/25)</t>
  </si>
  <si>
    <t xml:space="preserve">הצעת חוק הסיוע המשפטי (תיקון - סיוע משפטי לנפגעי הונאה ועושק), התשפ"ד-2024</t>
  </si>
  <si>
    <t xml:space="preserve"> (פ/4305/25)</t>
  </si>
  <si>
    <t xml:space="preserve">הצעת חוק בתי המשפט (תיקון - ערעור על החלטת שופט בית המשפט העליון בטענת פסלות), התשפ"ד-2024</t>
  </si>
  <si>
    <t xml:space="preserve"> (פ/4304/25)</t>
  </si>
  <si>
    <t xml:space="preserve">הצעת חוק העונשין (תיקון - החמרת הענישה בעבירת סחר בנשק של כוחות הביטחון), התשפ"ד-2024</t>
  </si>
  <si>
    <t xml:space="preserve"> (פ/4302/25)</t>
  </si>
  <si>
    <t xml:space="preserve">הצעת חוק לתיקון פקודת התעבורה (סייגים למתן רישיון נהיגה), התשפ"ד-2024</t>
  </si>
  <si>
    <t xml:space="preserve"> (פ/4301/25)</t>
  </si>
  <si>
    <t xml:space="preserve">הצעת חוק-יסוד: השפיטה (תיקון - פיקוח על עבודת השופטים)</t>
  </si>
  <si>
    <t xml:space="preserve"> (פ/4300/25)</t>
  </si>
  <si>
    <t xml:space="preserve"> (פ/4299/25)</t>
  </si>
  <si>
    <t xml:space="preserve">הצעת חוק הביטוח הלאומי (תיקון - קצבת לידה בשל לידת תאומים), התשפ"ד-2024</t>
  </si>
  <si>
    <t xml:space="preserve"> (פ/4298/25)</t>
  </si>
  <si>
    <t xml:space="preserve">הצעת חוק העונשין (תיקון - הגנה על בסיסי צה"ל, שטחי אש, תחנות משטרה ומתקנים ביטחוניים), התשפ"ד-2024 </t>
  </si>
  <si>
    <t xml:space="preserve"> (פ/4296/25)</t>
  </si>
  <si>
    <t xml:space="preserve"> (פ/4295/25)</t>
  </si>
  <si>
    <t xml:space="preserve">הצעת חוק כבישי אגרה (תיקוני חקיקה), התשפ"ד-2024</t>
  </si>
  <si>
    <t xml:space="preserve"> (פ/4294/25)</t>
  </si>
  <si>
    <t xml:space="preserve">הצעת חוק העונשין (תיקון - פריצה למיתקן ביטחוני), התשפ"ד-2024</t>
  </si>
  <si>
    <t xml:space="preserve"> (פ/4293/25)</t>
  </si>
  <si>
    <t xml:space="preserve">הצעת חוק העונשין (תיקון - חילוט בעבירות החזקת נשק בלתי חוקי ללא אישום או הרשעה), התשפ"ד-2024</t>
  </si>
  <si>
    <t xml:space="preserve"> (פ/4292/25)</t>
  </si>
  <si>
    <t xml:space="preserve">הצעת חוק זיכרון השואה והגבורה - יד ושם (תיקון - עידוד יצירה להנצחת זיכרון השואה והגבורה), התשפ"ד-2024</t>
  </si>
  <si>
    <t xml:space="preserve"> (פ/4291/25)</t>
  </si>
  <si>
    <t xml:space="preserve">הצעת חוק מענק יובל לעובדי הוראה עולים, התשפ"ד-2024</t>
  </si>
  <si>
    <t xml:space="preserve"> (פ/4290/25)</t>
  </si>
  <si>
    <t xml:space="preserve">הצעת חוק זכויות הסטודנט (תיקון - התאמות לסטודנטית לאחר לידה), התשפ"ד-2024</t>
  </si>
  <si>
    <t xml:space="preserve"> (פ/4289/25)</t>
  </si>
  <si>
    <t xml:space="preserve">הצעת חוק לצמצום השימוש במזומן (תיקון מס' 2) (הגבלה על מתן הלוואות במזומן על ידי גופים פיננסיים מפוקחים), התשפ"ד-2024</t>
  </si>
  <si>
    <t xml:space="preserve"> (מ/1716)</t>
  </si>
  <si>
    <t xml:space="preserve">הצעת חוק העבירות המינהליות (תיקון - הפחתת תוספת הפיגור על אי-תשלום קנס), התשפ"ד-2024 פ/4166/25</t>
  </si>
  <si>
    <t xml:space="preserve"> (פ/4166/25)</t>
  </si>
  <si>
    <t xml:space="preserve">08.02.2024</t>
  </si>
  <si>
    <t xml:space="preserve">הצעת חוק העבירות המינהליות (תיקון - הפחתת תוספת הפיגור על אי-תשלום קנס), התשפ"ג-2023 פ/3253/25</t>
  </si>
  <si>
    <t xml:space="preserve"> (פ/3253/25)</t>
  </si>
  <si>
    <t xml:space="preserve">הצעת חוק שימוש בזרע של נפטר לשם הולדה, התשפ"ג-2023 </t>
  </si>
  <si>
    <t xml:space="preserve"> (פ/2867/25)</t>
  </si>
  <si>
    <t xml:space="preserve">07.02.2024</t>
  </si>
  <si>
    <t xml:space="preserve">הצעת חוק אומנה לילדים (תיקון - אומנת חירום), התשפ"ג-2023</t>
  </si>
  <si>
    <t xml:space="preserve"> (פ/2165/25)</t>
  </si>
  <si>
    <t xml:space="preserve">06.02.2024</t>
  </si>
  <si>
    <t xml:space="preserve">הצעת חוק מגבלות על חזרתו של מורשע במעשה טרור לסביבת נפגעי העבירה, התשפ"ג-2023</t>
  </si>
  <si>
    <t xml:space="preserve"> (פ/3024/25)</t>
  </si>
  <si>
    <t xml:space="preserve">הצעת חוק הרשויות המקומיות (בחירות) (תיקון - הצבעת חיילים), התשפ"ד-2023</t>
  </si>
  <si>
    <t xml:space="preserve"> (פ/4157/25)</t>
  </si>
  <si>
    <t xml:space="preserve">05.02.2024</t>
  </si>
  <si>
    <t xml:space="preserve">חוק לשכת עורכי הדין (תיקון מס' 41 - הוראת שעה – חרבות ברזל), התשפ"ד-2024</t>
  </si>
  <si>
    <t xml:space="preserve"> (מ/1694)</t>
  </si>
  <si>
    <t xml:space="preserve">חוקקה הוראת שעה עד לסוף שנת 2024, שתיתן מענה למתמחים שהתחילו את התמחותם החל מחודש ספטמבר 2023, כך שמשך התמחותם של מתמחים אלה יקוצר מתקופה של 18 חודשים ל-12 חודשים. באשר למתמחים שהחלו את התמחותם החל מינואר 2023 ועד סוף אוגוסט 2023, נקבע בהוראת מעבר כי תקופת התמחותם תקוצר ל-15 חודשים. נוסף על כך, נקבע כי היעדרויות אשר נסיבותיהן קשורות בזיקה ישירה ללחימה ולמצב המיוחד בעורף בהתאם לקטגוריות שנמנו בחוק, ייחשבו כהיעדרויות שנכללות בתוך תקופת ההתמחות של המתמחה ושאינן פוגעות ברציפות תקופת ההתמחות. </t>
  </si>
  <si>
    <t xml:space="preserve">הצעת חוק העונשין (תיקון - פיצוי עבור בעל חיים שניזוק), התשפ"ד-2024</t>
  </si>
  <si>
    <t xml:space="preserve"> (פ/4288/25)</t>
  </si>
  <si>
    <t xml:space="preserve">הצעת חוק שימוש בזרע של נפטר לשם הולדה, התשפ"ד-2024</t>
  </si>
  <si>
    <t xml:space="preserve"> (פ/4284/25)</t>
  </si>
  <si>
    <t xml:space="preserve">הצעת חוק שירות ביטחון (תיקון - מינוי קצינה לקידום נשים לתפקידים בכירים ויצירת מסלולים לקידום קצינות בדרג הבכיר), התשפ"ד-2024</t>
  </si>
  <si>
    <t xml:space="preserve"> (פ/4283/25)</t>
  </si>
  <si>
    <t xml:space="preserve">הצעת חוק שירות לאומי-אזרחי (תיקון - משרת בודד), התשפ"ד-2024</t>
  </si>
  <si>
    <t xml:space="preserve"> (פ/4282/25)</t>
  </si>
  <si>
    <t xml:space="preserve">הצעת חוק משפחות חיילים שנספו במערכה (תגמולים ושיקום) (תיקון - מימון שימור פיריון לאלמנה), התשפ"ד-2024</t>
  </si>
  <si>
    <t xml:space="preserve"> (פ/4280/25)</t>
  </si>
  <si>
    <t xml:space="preserve">הצעת חוק החיילים המשוחררים (החזרה לעבודה) (תיקון - הארכת תקופת ההגנה מפיטורים למשרתי מילואים), התשפ"ד-2024</t>
  </si>
  <si>
    <t xml:space="preserve"> (פ/4279/25)</t>
  </si>
  <si>
    <t xml:space="preserve">הצעת חוק הרשויות המקומיות (פטור חיילים, נפגעי מלחמה ושוטרים מארנונה) (תיקון - פטור מארנונה לבית עסק של משרת בשירות מילואים פעיל) (הוראת שעה), התשפ"ד-2024</t>
  </si>
  <si>
    <t xml:space="preserve"> (פ/4278/25)</t>
  </si>
  <si>
    <t xml:space="preserve">הצעת חוק תקופת כהונה סטטוטורית של ראשי גופים ביטחוניים, התשפ"ד-2024</t>
  </si>
  <si>
    <t xml:space="preserve"> (פ/4277/25)</t>
  </si>
  <si>
    <t xml:space="preserve"> (פ/4276/25)</t>
  </si>
  <si>
    <t xml:space="preserve">הצעת חוק מיסוי מקרקעין (שבח ורכישה) (תיקון - מדרגות המס על דירה יחידה) (הוראת שעה - חרבות ברזל), התשפ"ד-2024</t>
  </si>
  <si>
    <t xml:space="preserve"> (פ/4275/25)</t>
  </si>
  <si>
    <t xml:space="preserve">הצעת חוק לקביעת מועד בחירות חדש ברשויות בקו העימות, התשפ"ד-2024</t>
  </si>
  <si>
    <t xml:space="preserve"> (פ/4274/25)</t>
  </si>
  <si>
    <t xml:space="preserve">הצעת חוק פיקוח על עסקאות רכש מערכת הביטחון, התשפ"ד-2024</t>
  </si>
  <si>
    <t xml:space="preserve"> (פ/4268/25)</t>
  </si>
  <si>
    <t xml:space="preserve">הצעת חוק מיגון יישוב מאוים ביטחונית, התשפ"ד-2024</t>
  </si>
  <si>
    <t xml:space="preserve"> (פ/4267/25)</t>
  </si>
  <si>
    <t xml:space="preserve">הצעת חוק לתיקון פקודת מס הכנסה (הפחתת מס רווחי הון), התשפ"ד-2024</t>
  </si>
  <si>
    <t xml:space="preserve"> (פ/4266/25)</t>
  </si>
  <si>
    <t xml:space="preserve">הצעת חוק לתיקון פקודת המשטרה (ביטול הצורך בקבלת רישיון להפגנה), התשפ"ד-2024</t>
  </si>
  <si>
    <t xml:space="preserve"> (פ/4265/25)</t>
  </si>
  <si>
    <t xml:space="preserve">הצעת חוק הרשות הארצית לכבאות והצלה (נכים ונספים), התשפ"ד-2024</t>
  </si>
  <si>
    <t xml:space="preserve"> (פ/4264/25)</t>
  </si>
  <si>
    <t xml:space="preserve">הצעת חוק לעידוד הקמת מרחבים מוגנים דירתיים, התשפ"ד-2024</t>
  </si>
  <si>
    <t xml:space="preserve"> (פ/4263/25)</t>
  </si>
  <si>
    <t xml:space="preserve">הצעת חוק-יסוד: הממשלה (תיקון - מינוי שרי הממשלה)</t>
  </si>
  <si>
    <t xml:space="preserve"> (פ/4260/25)</t>
  </si>
  <si>
    <t xml:space="preserve">הצעת חוק לתיקון פקודת התעבורה (איסור נסיעת משאיות בנתיב תחבורה ציבורית), התשפ"ד-2024</t>
  </si>
  <si>
    <t xml:space="preserve"> (פ/4259/25)</t>
  </si>
  <si>
    <t xml:space="preserve"> (פ/4258/25)</t>
  </si>
  <si>
    <t xml:space="preserve">הצעת חוק הבטחת הכנסה (תיקון - גמלה למי שבן זוגו משרת במילואים בנסיבות חירום), התשפ"ד-2024</t>
  </si>
  <si>
    <t xml:space="preserve"> (פ/4256/25)</t>
  </si>
  <si>
    <t xml:space="preserve">חוק לתיקון ולהארכת תוקפן של תקנות שעת חירום (חרבות ברזל) (הארכת מעצר לחשוד בעבירת ביטחון), התשפ"ד-2024</t>
  </si>
  <si>
    <t xml:space="preserve"> (מ/1706)</t>
  </si>
  <si>
    <t xml:space="preserve">31.01.2024</t>
  </si>
  <si>
    <t xml:space="preserve">הוארך תוקפן של התקנות המאפשרות הארכת מעצר של העצורים בשל פעולות האיבה שהתרחשו בין יום ה-7 באוקטובר 2023 לבין ה-10 באוקטובר 2023 או מי שנעצר במסגרת פעולות המלחמה בעזה שאירעו בין יום ה-07 באוקטובר לבין תום הפעולות הצבאיות. הארכה של התקנות לשעת חירום תהיה עד ליום ה-20 במרץ 2024. </t>
  </si>
  <si>
    <t xml:space="preserve">הצעת חוק עצירת כספים קואליציוניים במצב חירום (הוראת שעה - חרבות ברזל), התשפ"ד-2023</t>
  </si>
  <si>
    <t xml:space="preserve"> (פ/4106/25)</t>
  </si>
  <si>
    <t xml:space="preserve">הצעת חוק לצמצום משרדי ממשלה ולהעברת תקציבם למאמץ המלחמתי (הוראת שעה - חרבות ברזל), התשפ״ד-2023</t>
  </si>
  <si>
    <t xml:space="preserve"> (פ/4104/25)</t>
  </si>
  <si>
    <t xml:space="preserve">הצעת חוק-יסוד: כבוד האדם וחירותו (תיקון - שוויון בפני החוק ואיסור הפליה)</t>
  </si>
  <si>
    <t xml:space="preserve"> (פ/4090/25)</t>
  </si>
  <si>
    <t xml:space="preserve">הצעת חוק חובת המכרזים (תיקון - עידוד הצלת מזון עודף), התשפ"ג-2023</t>
  </si>
  <si>
    <t xml:space="preserve"> (פ/3562/25)</t>
  </si>
  <si>
    <t xml:space="preserve"> (פ/3466/25)</t>
  </si>
  <si>
    <t xml:space="preserve">הצעת חוק תאגידי מים וביוב (תיקון - הקמת ועדת הנחות), התשפ"ג-2023</t>
  </si>
  <si>
    <t xml:space="preserve"> (פ/1641/25)</t>
  </si>
  <si>
    <t xml:space="preserve">הצעת חוק לתיקון פקודת מס הכנסה (הגדלת זיכוי מס על תרומה לבתי חולים בפריפריה), התשפ"ג-2022</t>
  </si>
  <si>
    <t xml:space="preserve"> (פ/860/25)</t>
  </si>
  <si>
    <t xml:space="preserve">הצעת חוק יום האחדות, התשפ"ג–2023</t>
  </si>
  <si>
    <t xml:space="preserve"> (פ/1956/25)</t>
  </si>
  <si>
    <t xml:space="preserve">30.01.2024</t>
  </si>
  <si>
    <t xml:space="preserve">הצעת חוק יום האחדות, התשפ"ג-2023</t>
  </si>
  <si>
    <t xml:space="preserve"> (פ/1435/25)</t>
  </si>
  <si>
    <t xml:space="preserve">הצעת חוק סיוע לסטודנטים המשרתים במילואים (הוראת שעה - חרבות ברזל), התשפ"ד-2023</t>
  </si>
  <si>
    <t xml:space="preserve"> (פ/4144/25)</t>
  </si>
  <si>
    <t xml:space="preserve">הצעת חוק עידוד מעורבות סטודנטים בפעילות חברתית וקהילתית (תיקון – הקלות למשרתי מילואים), התשפ"ג–2023</t>
  </si>
  <si>
    <t xml:space="preserve"> (פ/1349/25)</t>
  </si>
  <si>
    <t xml:space="preserve">הצעת חוק לתיקון פקודת התעבורה (תשלום דמי חניה), התשפ"ג-2023</t>
  </si>
  <si>
    <t xml:space="preserve"> (פ/2959/25)</t>
  </si>
  <si>
    <t xml:space="preserve">29.01.2024</t>
  </si>
  <si>
    <t xml:space="preserve"> (פ/1827/25)</t>
  </si>
  <si>
    <t xml:space="preserve">הצעת חוק לתיקון פקודת התעבורה (תיקון - תשלום דמי חניה), התשפ"ג-2022</t>
  </si>
  <si>
    <t xml:space="preserve"> (פ/698/25)</t>
  </si>
  <si>
    <t xml:space="preserve">הצעת חוק בתי דין רבניים (סדרי דין בעת מצב חירום מיוחד), התשפ"ג-2023</t>
  </si>
  <si>
    <t xml:space="preserve"> (מ/1627)</t>
  </si>
  <si>
    <t xml:space="preserve">הצעת חוק סיוע למשפחות משרתי כוחות ביטחון ומשרתי מילואים בשעת חירום (תיקוני חקיקה), התשפ"ד-2024</t>
  </si>
  <si>
    <t xml:space="preserve"> (פ/4252/25)</t>
  </si>
  <si>
    <t xml:space="preserve">הצעת חוק סגירת ערוץ אלג'זירה, התשפ"ד-2024</t>
  </si>
  <si>
    <t xml:space="preserve"> (פ/4251/25)</t>
  </si>
  <si>
    <t xml:space="preserve"> (פ/4250/25)</t>
  </si>
  <si>
    <t xml:space="preserve">הצעת חוק הפיקוח על שירותים פיננסיים (ביטוח) (תיקון - איסור סירוב התקשרות של גוף מוסדי עם סוכן ביטוח), התשפ"ד-2024</t>
  </si>
  <si>
    <t xml:space="preserve"> (פ/4248/25)</t>
  </si>
  <si>
    <t xml:space="preserve">הצעת חוק שיקום שכונות דרום תל-אביב ותמריצים לפיזור גאוגרפי של מסתננים (הוראת שעה), התשפ"ד-2024</t>
  </si>
  <si>
    <t xml:space="preserve"> (פ/4247/25)</t>
  </si>
  <si>
    <t xml:space="preserve">הצעת חוק גנים לאומיים, שמורות טבע, אתרים לאומיים ואתרי הנצחה (תיקון - העצמת הפיקוח הפרלמנטרי), התשפ"ד-2024</t>
  </si>
  <si>
    <t xml:space="preserve"> (פ/4246/25)</t>
  </si>
  <si>
    <t xml:space="preserve">הצעת חוק להסדר ההימורים בספורט (תיקון - העברת יתרת ההכנסות למדינה), התשפ"ד-2024</t>
  </si>
  <si>
    <t xml:space="preserve"> (פ/4244/25)</t>
  </si>
  <si>
    <t xml:space="preserve">הצעת חוק הפיקוח על מעונות יום לפעוטות (תיקון - חובת מרחב מוגן), התשפ"ד-2024</t>
  </si>
  <si>
    <t xml:space="preserve"> (פ/4243/25)</t>
  </si>
  <si>
    <t xml:space="preserve"> (פ/4241/25)</t>
  </si>
  <si>
    <t xml:space="preserve">הצעת חוק טוס כחול לבן, התשפ"ד-2024</t>
  </si>
  <si>
    <t xml:space="preserve"> (פ/4240/25)</t>
  </si>
  <si>
    <t xml:space="preserve">הצעת חוק הרשות הלאומית למניעת התאבדויות, התשפ"ד-2024</t>
  </si>
  <si>
    <t xml:space="preserve"> (פ/4239/25)</t>
  </si>
  <si>
    <t xml:space="preserve">הצעת חוק מס ערך מוסף (תיקון - מס בשיעור אפס על מתן שירותי בנייה לצורך הוספת מרחבים מוגנים ביישובים סמוכי גבול), התשפ"ד-2024</t>
  </si>
  <si>
    <t xml:space="preserve"> (פ/4238/25)</t>
  </si>
  <si>
    <t xml:space="preserve">הצעת חוק זכאות למענק להוספת מרחב מוגן דירתי ומרחב מוגן קומתי ביישובים סמוכים לגבול (הוראת שעה), התשפ"ד-2024</t>
  </si>
  <si>
    <t xml:space="preserve"> (פ/4237/25)</t>
  </si>
  <si>
    <t xml:space="preserve">הצעת חוק הבנקאות (רישוי) (תיקון - הפרדה בין בנקים), התשפ"ד-2024</t>
  </si>
  <si>
    <t xml:space="preserve"> (פ/4236/25)</t>
  </si>
  <si>
    <t xml:space="preserve">חוק הבנקאות (שירות ללקוח) (תיקון מס' 37), התשפ"ד–2024</t>
  </si>
  <si>
    <t xml:space="preserve"> (פ/2871/25)</t>
  </si>
  <si>
    <t xml:space="preserve"> (כ/977)</t>
  </si>
  <si>
    <t xml:space="preserve">24.01.2024</t>
  </si>
  <si>
    <t xml:space="preserve">החוק מעגן את חובתם של תאגידים בנקאיים (בנקים וחברות כרטיסי האשראי), ליידע את לקוחותיהם באופן אפקטיבי על סיום הטבות בנקאיות הניתנות ללקוחות או על שינויים בתקופת ההטבה אם שינויים אלה הוסכמו מראש עם הלקוח. החוק חל על הטבה בנקאית הנוגעת לשיעור ריבית או עמלה או לסכום של עמלה, הניתנת לתקופה העולה על שלושה חודשים. נכון להיום, תאגידים בנקאיים מחויבים, מכוח כללי הבנקאות (שירות ללקוח) (גילוי נאות ומסירת מסמכים), התשנ"ב–1991, שקובע נגיד בנק ישראל, להודיע ללקוחותיהם על שינויים בתנאי ניהול החשבון, ובכלל זה על שינויים בשיעורי ריביות ובתעריפי עמלות ועל סיומן של הטבות שניתנו לתקופה העולה על שלושה חודשים. עוד נקבע בכללים האמורים כי על תאגיד בנקאי לשלוח הודעה על סיום הטבה כאמור 14 ימים לפחות לפני מועד השינוי. אופן מסירת ההודעות ללקוחות התאגידים הבנקאיים מוסדר בהוראות ניהול בנקאי תקין שקובע המפקח על הבנקים. עם זאת, הודעות אלה נמסרות לעיתים במובלע, כחלק מהודעה הכוללת כמה נושאים, או נמסרות באופן שאינו מיידי ונגיש, ובשל כך לקוחות רבים אינם ערים לסיום ההטבה, ונושאים בתשלומים שיכלו להימנע מהם אם היו מקבלים הודעה מספקת מראש. לאור זאת, בהתאם לחוק, תאגידים בנקאיים יהיו חייבים למסור ללקוחותיהם הודעה, 21 ימים לפחות לפני סיום תקופת הטבה בנקאית, וכן לפני כניסתו לתוקף של שינוי בתנאי ההטבה שהוסכם מראש עם הלקוח (אם הוסכם עם הלקוח על "הטבה מדורגת", כלומר על הטבה הניתנת לתקופה שבמהלכה יחולו שינויים בתנאי ההטבה במועדים שהוסכמו מראש). לעניין סיום הטבה בדמי כרטיס חיוב, חברת כרטיסי האשראי תציין בהודעה שתישלח ללקוח בדבר סיום ההטבה, גם את הדרך לסיום ההתקשרות לעניין כרטיס החיוב, אם יחליט הלקוח לבטלו בשל סיום ההטבה שניתנה לו בדמי הכרטיס. עוד קובע החוק כי הודעה כאמור תישלח ללקוח בכתב, בדרך שמאפשרת תקשורת מיידית ונגישה ככל האפשר (לדוגמא באמצעות מסרון), אלא אם כן ביקש הלקוח שלא לקבל הודעות בדרך זו, ובנוסף לכך גם באופן שבו התאגיד הבנקאי שולח הודעות ללקוח כפי שהוסכם ביניהם. מסירת שתי הודעות ללקוח כאמור נועדה להבטיח כי הלקוח אכן יקבל את ההודעה. כדי לתת מענה למקרים שבהם ידוע לתאגיד הבנקאי כי הלקוח אינו יכול לקבל הודעה כתובה בתקשורת מיידית ונגישה (לדוגמא כאשר הלקוח מחזיק במכשיר טלפון כשר), מוצע לקבוע כי תישלח לאותו לקוח הודעה קולית כחלופה להודעה הכתובה. עוד נקבע כי המפקח על הבנקים יוסמך לקבוע במסגרת הוראות ניהול בנקאי תקין, הוראות לעניין אופן מסירת הודעות אלו, אם ראה כי הדבר נדרש. לעניין אכיפת הוראות החוק, המפקח על הבנקים יהיה מוסמך להטיל עיצום כספי בסכום של 50,000 שקלים חדשים על תאגיד בנקאי שלא שלח ללקוח הודעה על סיום הטבה או על שינוי שהוסכם מראש, או ששלח הודעה כאמור שלא בהתאם להוראות שנקבעו בחוק.  החוק ייכנס לתוקף בתום חצי שנה מיום פרסומו ברשומות. </t>
  </si>
  <si>
    <t xml:space="preserve">חוק ההתיישנות (תיקון מס' 8 – חרבות ברזל), התשפ"ד–2024</t>
  </si>
  <si>
    <t xml:space="preserve"> (מ/1700)</t>
  </si>
  <si>
    <t xml:space="preserve">על רקע המצב המיוחד בעורף, נקבע כלל עקרוני לפיו תקופות התיישנות של עילות תביעה אזרחיות "יושעו" למשך חצי שנה מה-7.10, ותקופה זו לא תבוא במניין הזמן לחישוב "מירוץ ההתיישנות". זאת בכפוף לשלוש התאמות. ראשית, לגבי תביעות שכבר התיישנו בין ה-7.10 ליום חקיקת החוק, נקבע כלל של "החייאה" אוטומטית, אך נותר שיקול דעת לבית המשפט לקבוע כי ההסדר לא יחול מטעמים מיוחדים שיירשמו במקרים מסוימים, זאת בשל חריגות ההסדר. שנית, לגבי תביעות במקרקעין, נקבע כי הכלל האמור יחול רק אם התביעה הייתה בחצי השנה האחרונה להתיישנותה ב-7.10, בשל תקופות ההתיישנות הארוכות יחסית בתביעות אלה. שלישית, מתחולת ההסדר הוחרגו מספר הוראות התיישנות בחיקוקים שונים הקובעות התיישנות מהותית, לרוב מכוח אמנות בין-לאומיות, וכן חקיקה שהפסיקה קבעה לגביה שהחלת עילות ההשעייה של חוק ההתיישנות מנוגדת לתכלית החוק הספציפי.</t>
  </si>
  <si>
    <t xml:space="preserve">הצעת חוק הביטוח הלאומי (תיקון - תשלום גמלת ילד נכה לאומן בעד ילד הנמצא אצלו באומנה), התשפ"ג-2023</t>
  </si>
  <si>
    <t xml:space="preserve"> (פ/2754/25)</t>
  </si>
  <si>
    <t xml:space="preserve">22.01.2024</t>
  </si>
  <si>
    <t xml:space="preserve"> (פ/2753/25)</t>
  </si>
  <si>
    <t xml:space="preserve">הצעת חוק הסדרת העיסוק במקצועות הבריאות (תיקון - הסדרת העיסוק בפודולוגיה), התשפ"ג-2023</t>
  </si>
  <si>
    <t xml:space="preserve"> (פ/2194/25)</t>
  </si>
  <si>
    <t xml:space="preserve">הצעת חוק הביטוח הלאומי (תיקון - מענק חד-פעמי לנפגעים ממתקפת הטרור שהביאה למלחמת חרבות ברזל), התשפ"ד-2024</t>
  </si>
  <si>
    <t xml:space="preserve"> (פ/4231/25)</t>
  </si>
  <si>
    <t xml:space="preserve"> (פ/4228/25)</t>
  </si>
  <si>
    <t xml:space="preserve"> (פ/4227/25)</t>
  </si>
  <si>
    <t xml:space="preserve">הצעת חוק החקלאות, התשפ"ד-2024</t>
  </si>
  <si>
    <t xml:space="preserve"> (פ/4226/25)</t>
  </si>
  <si>
    <t xml:space="preserve">הצעת חוק הסכמים לנשיאת עוברים (אישור הסכם ומעמד היילוד) (תיקון - הבאת ביציות מופרות מחוץ לישראל), התשפ"ד-2024</t>
  </si>
  <si>
    <t xml:space="preserve"> (פ/4225/25)</t>
  </si>
  <si>
    <t xml:space="preserve"> (פ/4224/25)</t>
  </si>
  <si>
    <t xml:space="preserve">הצעת חוק איסור סיום התקשרות עם משתתף חופשי המשרת במילואים, התשפ"ד-2024 </t>
  </si>
  <si>
    <t xml:space="preserve"> (פ/4223/25)</t>
  </si>
  <si>
    <t xml:space="preserve">הצעת חוק תרומת ביציות (תיקון - תרומת ביציות בין בנות זוג), התשפ"ד-2024</t>
  </si>
  <si>
    <t xml:space="preserve"> (פ/4222/25)</t>
  </si>
  <si>
    <t xml:space="preserve">הצעת חוק לימוד חובה (תיקון - משקל ילקוט תקין לתלמידים), התשפ"ד-2024</t>
  </si>
  <si>
    <t xml:space="preserve"> (פ/4221/25)</t>
  </si>
  <si>
    <t xml:space="preserve">הצעת חוק שוויון ההזדמנויות בעבודה (תיקון - איסור הפליה בשל דרישות כשרות), התשפ"ד-2024</t>
  </si>
  <si>
    <t xml:space="preserve"> (פ/4220/25)</t>
  </si>
  <si>
    <t xml:space="preserve">הצעת חוק זכרון השואה והגבורה - יד ושם (תיקון - חיזוק הבקרה והפיקוח הפרלמנטרי), התשפ"ד-2024</t>
  </si>
  <si>
    <t xml:space="preserve"> (פ/4219/25)</t>
  </si>
  <si>
    <t xml:space="preserve">הצעת חוק שיווי זכויות האישה (תיקון - ייצוג לנשים בוועדות איתור), התשפ"ד-2024</t>
  </si>
  <si>
    <t xml:space="preserve"> (פ/4218/25)</t>
  </si>
  <si>
    <t xml:space="preserve"> (פ/4217/25)</t>
  </si>
  <si>
    <t xml:space="preserve">הצעת חוק ההסדרים במשק המדינה (תיקוני חקיקה להשגת יעדי התקציב) (תיקון - הנחה בארנונה לנכים), התשפ"ד-2024</t>
  </si>
  <si>
    <t xml:space="preserve"> (פ/4215/25)</t>
  </si>
  <si>
    <t xml:space="preserve">הצעת חוק הודעה מוקדמת לפיטורים ולהתפטרות (תיקון - עובד שהורשע או נאשם בעבירה של גילוי הזדהות עם ארגון טרור והסתה לטרור), התשפ"ד-2024</t>
  </si>
  <si>
    <t xml:space="preserve"> (פ/4213/25)</t>
  </si>
  <si>
    <t xml:space="preserve">הצעת חוק הבחירות לכנסת (תיקון - הצבעה בקלפיות של בעלי מוגבלויות), התשפ"ד-2024</t>
  </si>
  <si>
    <t xml:space="preserve"> (פ/4212/25)</t>
  </si>
  <si>
    <t xml:space="preserve"> (פ/4211/25)</t>
  </si>
  <si>
    <t xml:space="preserve">הצעת חוק מס קנייה (טובין ושירותים) (תיקון – שיעור המס על רכב חשמלי), התשפ"ד–2024</t>
  </si>
  <si>
    <t xml:space="preserve"> (פ/4210/25)</t>
  </si>
  <si>
    <t xml:space="preserve"> (פ/4209/25)</t>
  </si>
  <si>
    <t xml:space="preserve">הצעת חוק תרומת זרע, התשפ"ד-2024</t>
  </si>
  <si>
    <t xml:space="preserve"> (פ/4208/25)</t>
  </si>
  <si>
    <t xml:space="preserve">חוק לתיקון פקודת בתי הסוהר (מס' 64 – הוראת שעה – חרבות ברזל) (מצב חירום כליאתי) (תיקון), התשפ"ד-2024</t>
  </si>
  <si>
    <t xml:space="preserve"> (מ/1704)</t>
  </si>
  <si>
    <t xml:space="preserve">17.01.2024</t>
  </si>
  <si>
    <t xml:space="preserve">בתיקון מספר 64 לפקודת בתי הסוהר [נוסח חדש], התשל"ב–1971, נקבע, כהוראת שעה לשלושה חודשים, כי השר לביטחון לאומי, בהמלצת נציב בתי הסוהר ובהסכמת ראש הממשלה ושר הביטחון, יהיה רשאי להכריז על מצב חירום כליאתי אם שוכנע לנוכח המצב הביטחוני שבשלו הוכרז מצב מיוחד בעורף, יש צורך במקומות כליאה נוספים באופן מיידי או שעל סמך חוות דעת גורמי הביטחון יש סבירות גבוהה שיהיה צורך כאמור. במסגרת זאת יהיה ניתן להלין אסירים ועצורים ביטחוניים, בתנאים מסוימים, תוך חריגה מהוראות הדין לעניין שטח מחיה ולהלינם שלא על מיטה, בחריגה מהוראות הדין לעניין זכאות למיטה. עם זאת, החוק מאפשר למנהל בית הסוהר להפעיל את סמכותו זו גם לעניין תאים שמוחזקים בהם אסירים אחרים. תוקפה של הכרזת השר תהיה לחמישה ימים, והממשלה רשאית להאריך אותה, לתקופה אחת נוספת של חמישה ימים, וכן לתקופות נוספות באישור הוועדה לביטחון לאומי של הכנסת. במסגרת תיקון הוראת השעה נקבע כי הכרזת השר לביטחון לאומי בדבר מצב חירום כליאתי תתאפשר לא על יסוד המצב המיוחד בעורף אלא על יסוד הפעולות הצבאיות המשמעותיות שעליהן החליטה ועדת השרים לענייני ביטחון לאומי לפי סעיף 40 לחוק-יסוד: הממשלה, והודיעה לגביהן לוועדת החוץ והביטחון של הכנסת ביום כ"ג בתשרי התשפ"ד (8 באוקטובר 2023). כמו כן, נקבע כי הארכת תוקף ההכרזה על ידי הממשלה לתקופות נוספת תתאפשר לאחר הודעה לוועדה לביטחון לאומי של הכנסת, אשר רשאית לאשרה, עם או בלי שינויים או לא לאשרה. במקרה זה, תוקפה של הכרזה יפקע בתוך שלושה ימים מיום שניתנה אלא אם כן אישרה אותה הוועדה לביטחון לאומי של הכנסת לפני תום המועד. עוד נקבע כי הוראת השעה תוארך עד יום כ"ג באייר התשפ"ד (31 במאי 2024), ותוקפה של ההכרזה הנוכחית על מצב חירום כליאתי תוארך בחודש, עד ליום ט' באדר א' התשפ"ד (18 בפברואר 2024). </t>
  </si>
  <si>
    <t xml:space="preserve">הצעת חוק הרשות הארצית לכבאות והצלה (נכים ונספים), התשפ"ד-2023</t>
  </si>
  <si>
    <t xml:space="preserve"> (פ/4056/25)</t>
  </si>
  <si>
    <t xml:space="preserve"> (פ/4041/25)</t>
  </si>
  <si>
    <t xml:space="preserve"> (פ/4037/25)</t>
  </si>
  <si>
    <t xml:space="preserve">הצעת חוק שירות המילואים (תיקון - הפחתת שיעור המס שחל על תגמולים למשרתי מילואים), התשפ"ד-2023</t>
  </si>
  <si>
    <t xml:space="preserve"> (פ/4035/25)</t>
  </si>
  <si>
    <t xml:space="preserve"> (פ/3757/25)</t>
  </si>
  <si>
    <t xml:space="preserve"> (פ/3336/25)</t>
  </si>
  <si>
    <t xml:space="preserve">חוק זכויות החולה (תיקון מס' 16), התשפ"ד-2024</t>
  </si>
  <si>
    <t xml:space="preserve"> (מ/1689)</t>
  </si>
  <si>
    <t xml:space="preserve">15.01.2024</t>
  </si>
  <si>
    <t xml:space="preserve">נקבע כי כאשר רופא מומחה סבור כי נדרש לבצע במטופל בגיר טיפול רפואי דחוף, והמטופל אינו מסוגל לתת הסכמה מדעת לטיפול, ואין יפוי כוח מתמשך בתוקף ולא מונה אפוטרופוס לעניינים רפואיים, יוכל עובד סוציאלי במוסד הרפואי, באישור מנהל המוסד או מי שהוסמך על ידו, לאשר לאדם בגיר לשמש כמקבל החלטות זמני עבור המטופל. מקבל ההחלטות הזמני יוכל, בתקופה של שישה חודשים לקבל החלטות לעניין ביצוע הטיפול הדחוף במטופל וכן לקבל החלטות לעניין ביצוע טיפול רפואיים נוספים שיידרשו לו. בחירת מקבל ההחלטות הזמני תהיה לפי לפי סדר הקרבה: בן זוג, ילד בגיר, הורה, אחים, או הסכמה של בני המשפחה לפי הכללים שנקבעו בחוק, ויכול גם שייבחר לכך אדם אחר  - אם המטופל הביע את רצונו כי אותו אדם יהיה מיופה כוח עבורו או שימונה כאפוטרופוס עבורו, וזאת עד לכניסת יפוי הכוח או מינוי האפוטרופוס לתוקף. נוסף על כך, נקבעו העקרונות ודרכי הפעולות שלפיהם יפעל מקבל ההחלטות הזמני, הכוללים בין היתר את השמירה על פרטיותו וכיבוד רצונו של המטופל וכן את התנאים לפניה אליו לקבלת הסכמתו. אם נודע על כוונה לפנות בבקשה לבית המשפט למינוי אפוטרופוס או לקבלת הוראות לעניין הטיפול הרפואי המסוים, תושעה ל-24 שעות אפשרות מינוי מקבל ההחלטות הזמני או אם מונה - אפשרות פעולתו עבור המטופל,  הסכמה על ידי מקבל ההחלטות הזמני. אם נודע כי הוגשה בקשה לקבלת הוראות לטיפול המסויים – יפעלו לפי קביעת בית המשפט, ואם נודע כי הוגשה בקשה למינוי אפוטרופוס, או שניתנה החלטה למינוי אפוטרופוס או לכניסת יפוי הכוח לתוקף, יפקע האישור שניתן למקבל ההחלטות הזמני. נקבע כי העובד הסוציאלי יתעד ברשומה הרפואית את האישור שנתן והודעות שמשפיעות על תוקפו. נקבע שעד ה17 בינואר 2027, או במועד שנקבע בצו שר הבריאות, לפי המוקדם ביניהם, האפשרות למנות מקבל החלטות זמני תהיה לעובד סוציאלי בבית חולים בלבד, ולאחר מכן תהיה אפשרות מינוי גם לעו"ס בקופת חולים - אך גם בתקופה זו, מרגע שמקבל החלטות זמני מונה על ידי עו"ס בבי"ח, הוא יוכל לקבל החלטות לגבי טיפול גם אם הוא ניתן בקופת החולים. כמו כן, נקבעה חובת דיווח לוועדה ב17 בינואר 2024 - על השפעות החוק והאישורים שניתנו בבתי החולים .</t>
  </si>
  <si>
    <t xml:space="preserve">חוק לתיקון פקודת היבוא והיצוא (מס' 6), התשפ"ד-2024</t>
  </si>
  <si>
    <t xml:space="preserve"> (מ/1653)</t>
  </si>
  <si>
    <t xml:space="preserve">בהמשך לתיקוני חקיקה שנחקקו בשנים האחרונות במטרה להסיר חסמים בייבוא טובין שחל עליהם תקן רשמי, החוק מקל את התנאים הנדרשים לשם ייבוא טובין כאמור, שאינם משתייכים לקבוצה הכוללת טובין שברמת המסוכנות הגבוהה ביותר. צו היבוא והיצוא [נוסח חדש], התשל"ט–1979, מפרט ארבע קבוצות טובין לפי רמת המסוכנות של הטובין, ועל פי חלוקה זו נקבעת רמת הרגולציה החלה על ייבואם של הטובין. כך, ככל שהטובין משתייכים לקבוצה המדורגת גבוה יותר ברמת המסוכנות, תחול לגביהם רגולציה מחמירה יותר. מרבית הטובין המיובאים כיום לישראל אינם משתייכים לקבוצה שברמת המסוכנות הגבוהה ביותר (קבוצה מספר 1) אלא לקבוצות טובין בדרגות מסוכנות בינונית ונמוכה (קבוצות מספר 2 ו-3 בהתאמה). כחלק מהחוק נעשו מספר תיקוני חקיקה בפקודת היבוא והיצוא לעניין קבוצות טובין בדרגות 2 ו-3 כפי שיפורט להלן: 1.  ביחס למוצרים שאינם משתייכים לקבוצה מספר 1, לא יידרש היבואן להגיש הצהרה לממונה על התקינה (להלן – הממונה) לצורך שחרור הטובין מפיקוח המכס. במקום חובת הגשת הצהרה לממונה, תחול על היבואן חובה להחזיק בידיו הצהרה, שבה יצוין כי על הטובין המיובאים חל תקן רשמי וכי הם עומדים בדרישות התקן, ובכלל זה כי בוצעו לגבי דגם הטובין בדיקות המעבדה הנדרשות לגביהם. כפועל יוצא מהחוק, היבואן יהיה פטור מפנייה למעבדת בדיקה לצורך ייבוא טובין אלו. ההצהרה תישמר בתיק מוצר אשר יוגש על פי דרישה, בעת ביצוע פיקוח, בין הפיקוח נעשה כחלק מדגימת משלוח בנמל ובין אם הפיקוח נעשה בשווקים. 2. נקבע כי במשרדי המכס יישב, בנוסף לנציג המכס, גם נציג של הממונה שיסייע בקביעת רמת סיכון של טובין מיובאים, שממנה נגזרת ההחלטה אם לדגום משלוח של טובין בנמל. 3. על מנת לייעל את הפעלת סמכויותיו של הממונה, נקבע כי מנהל המכס או עובד רשות המיסים שמנהל המכס הסמיך לכך, ימסרו לממונה או לעובד משרד הכלכלה והתעשייה שהממונה הסמיך לכך, כל מידע או מסמך הדרושים לממונה לשם הפעלת סמכויותיו בכל הנוגע לטובין מיובאים או בנוגע ליבואני טובין. 4. לפי פקודת היבוא והיצוא ערב תחילתו של החוק, כל יבואן חדש שרצה לייבא לישראל מוצר שחל עליו תקן רשמי, היה חייב ברישום במרשם היבואנים בטרם יחל את תהליך היבוא. לאור הרחבת שיתוף הפעולה בין הממונה לבין המכס כאמור לעיל בסעיפים 2 ו-3, הוחלט לבטל את מרשם היבואנים שניהל הממונה. 5. הממונה על התקינה הוסמך בחוק לקבוע בהנחיותיו הוראות לעניין חובתן של מעבדות בדיקה לפרסם דגמי טובין שהן נתנו לגביהן אישורי דגם. כפועל יוצא מפרסום אישורי הדגם, יוכלו יבואנים לבחור שלא לערוך בדיקת דגם לצורך יבוא הטובין, ובמקומה יוכלו לבצע בדיקת השוואה לדגם שאושר – בדיקה זולה משמעותית מבדיקת הדגם. 6. נקבעה בחוק הוראת שעה שלפיה יינתן לכלל היבואנים המייבאים מוצרים שאינם משתייכים לקבוצה מספר 1, פטור מחובת החזקה של מסמכים מסוימים בתיק מוצר. מדובר במסמכים שלעיתים קרובות יבואנים מקבילים מתקשים בהשגתם. מאחר שמדובר בשינוי משמעותי שיש לבחון את השלכותיו, הוחלט כי הוראת השעה תחול למשך שנה, ושר הכלכלה והתעשייה יהיה רשאי להאריכה בצו, באישור ועדת הכלכלה של הכנסת, בתקופות נוספות שלא יעלו במצטבר על שנה נוספת. 7. הוחלט לאפשר ליבואן בנסיבות מסוימות, להצהיר כי הטובין המיובאים עומדים רק בחלק מדרישות התקינה וכי העמידה בשאר הדרישות תושלם לאחר הייבוא ובטרם שיווק הטובין. 8. הורחבה רשימת המסמכים שיבואן יוכל להוכיח באמצעותם התאמה של הטובין המיובאים לדרישות תקן בינלאומי ואסדרה זרה. 9. נקבע כי יבואן שיפנה לגורם מוסמך כמפורט בחוק כדי שיבדוק עבורו את תיק המוצר, יהיה זכאי להפחתה משמעותית של 40% בסכום העיצום הכספי שהממונה על התקינה רשאי להטיל עליו, אם התברר כי למרות הבדיקה המקדימה יש ליקוי בתיק מוצר. 10. על מנת להגביר את השקיפות, נקבע כי הממונה יפרסם לציבור מידי שנה דוח לגבי פעולות הפיקוח והאכיפה שביצע בשנה הקודמת לשם אכיפת הוראות הפקודה וחוק התקנים. </t>
  </si>
  <si>
    <t xml:space="preserve">חוק לתיקון פקודת התעבורה (מס' 132 - הוראת שעה – חרבות ברזל), התשפ"ד-2024</t>
  </si>
  <si>
    <t xml:space="preserve"> (מ/1702)</t>
  </si>
  <si>
    <t xml:space="preserve">פקודת התעבורה מקנה לשרת התחבורה והבטיחות בדרכים סמכות להאריך בצו, מטעמים מיוחדים, את תוקפם של רישיונות רכב בתקופה של עד 90 ימים. החוק מקנה לשרת התחבורה והבטיחות בדרכים סמכות להאריך את תוקפם של רישיונות הרכב בתקופה של עד 90 ימים נוספים, כלומר, בסך הכול בתקופה של עד 180 ימים מהמועד שבו פקע רישיון הרכב, עבור מי שזכאים לכך מכוח חוק דחיית מועדים (הוראת שעה – חרבות ברזל) (חוזה, פסק דין או תשלום לרשות), התשפ"ד–2023 (להלן – חוק דחיית מועדים). עם הזכאים מכוח חוק דחיית מועדים נמנים, בין היתר, חטופים, נעדרים, מפונים, אנשי כוחות הביטחון וחיילי מילואים (להלן – זכאים לדחייה). כן נקבע כי השרה רשאית להתנות את ההארכה בתנאים או לקבוע סוגים מסוימים של זכאים לדחייה שההארכה תחול לגבי רישיון רכב בבעלותם. חוק דחיית מועדים, שנחקק עקב מלחמת חרבות ברזל, דחה עבור הזכאים לדחייה את המועד לתשלום תשלומים שונים, ובהם את המועד לתשלום אגרת רישיון הרכב, החל מפרוץ המלחמה. במקביל, עשתה השרה שימוש בסמכותה לפי הפקודה, והאריכה בתקופות שונות את תוקפם של רישיונות רכב שפקעו, תחילה עבור כלל האוכלוסייה, ולאחר מכן עבור הזכאים לדחייה. בדצמבר 2023 תוקן חוק דחיית מועדים, וניתנה לזכאים דחייה נוספת בתשלום אגרת רישיון הרכב. אולם, סמכותה של השרה לעניין הארכת תוקפם של רישיונות הרכב מוצתה לגבי חלק מרישיונות אלה, משום שחלפו יותר מ-90 ימים ממועד פקיעתם. לאור הקושי של אוכלוסיית הזכאים לעמוד בדרישות חידוש רישיון הרכב (אגרה וביצוע מבחן כשירות שנתי – "טסט"), כדי לוודא כי הם יחזיקו ברישיון רכב תקף אף אם אין באפשרותם לעמוד בדרישות תשלום האגרה וביצוע הטסט השנתי, וכדי ליצור הלימה בין דחיית המועד לתשלום האגרה עבור רישיון הרכב מכוח חוק דחיית מועדים לבין תוקף רישיון הרכב, נחקק החוק וניתנה לשרה סמכות להאריך את תוקפם של רישיונות רכב כאמור.  </t>
  </si>
  <si>
    <t xml:space="preserve">חוק לתיקון ולהארכת תוקפן של תקנות שעת חירום (חרבות ברזל) (פגישה עם עורך דין של עצור בעבירת ביטחון), התשפ"ד-2024</t>
  </si>
  <si>
    <t xml:space="preserve"> (מ/1701)</t>
  </si>
  <si>
    <t xml:space="preserve">הוארך תוקפן של תקנות שעת חירום המאפשרות מניעת פגישה של עצורים בטחוניים עם עורכי הדין שלהם. שתי הקבוצות שבהן מדובר: עצורים בשל פעולות האיבה שהתרחשו בין יום ה-7 באוקטובר 2023 לבין ה-10 באוקטובר 2023 או מי שנעצר במסגרת פעולות המלחמה בעזה שאירעו בין יום ה-07 באוקטובר לבין תום הפעולות הצבאיות עם עורכי הדין שלהם. המניעה תחול עד לתום 180 ימים מהמועד הראשוני שבו החלה מניעת הפגישה של העצורים. הארכה של התקנות לשעת חירום תהיה עד ליום ה-3 באפריל 2024.</t>
  </si>
  <si>
    <t xml:space="preserve">הצעת חוק לדחיית הבחירות הכלליות לרשויות המקומיות (תיקון - מועד הבחירות), התשפ"ד-2024</t>
  </si>
  <si>
    <t xml:space="preserve"> (פ/4206/25)</t>
  </si>
  <si>
    <t xml:space="preserve">הצעת חוק מס רכוש וקרן פיצויים (תיקון - הוראת שעה - חרבות ברזל), התשפ"ד-2024</t>
  </si>
  <si>
    <t xml:space="preserve"> (פ/4204/25)</t>
  </si>
  <si>
    <t xml:space="preserve"> (פ/4203/25)</t>
  </si>
  <si>
    <t xml:space="preserve">הצעת חוק הרשות הארצית לכבאות והצלה (נספים), התשפ"ד-2024</t>
  </si>
  <si>
    <t xml:space="preserve"> (פ/4200/25)</t>
  </si>
  <si>
    <t xml:space="preserve"> (פ/4199/25)</t>
  </si>
  <si>
    <t xml:space="preserve">הצעת חוק לתיקון פקודת מס הכנסה (דחיית מימוש נקודות זיכוי לחייל משוחרר עצמאי), התשפ"ד-2024</t>
  </si>
  <si>
    <t xml:space="preserve"> (פ/4196/25)</t>
  </si>
  <si>
    <t xml:space="preserve">הצעת חוק שמאי ביטוח, התשפ"ד-2024</t>
  </si>
  <si>
    <t xml:space="preserve"> (פ/4188/25)</t>
  </si>
  <si>
    <t xml:space="preserve">הצעת חוק מס ערך מוסף (תיקון - מס בשיעור אפס על דירה ראשונה ללוחם משוחרר), התשפ"ד-2024</t>
  </si>
  <si>
    <t xml:space="preserve"> (פ/4187/25)</t>
  </si>
  <si>
    <t xml:space="preserve">הצעת חוק ההתגוננות האזרחית (תיקון - מנגנון נעילת דלת מרחב מוגן דירתי), התשפ"ד-2024</t>
  </si>
  <si>
    <t xml:space="preserve"> (פ/4185/25)</t>
  </si>
  <si>
    <t xml:space="preserve">הצעת חוק המפלגות (תיקון - חובת הקמת גוף פנימי בוחר), התשפ"ד-2024</t>
  </si>
  <si>
    <t xml:space="preserve"> (פ/4184/25)</t>
  </si>
  <si>
    <t xml:space="preserve">הצעת חוק משפחות חיילים שנספו במערכה (תגמולים ושיקום) (תיקון - המונח יתום), התשפ"ד-2024</t>
  </si>
  <si>
    <t xml:space="preserve"> (פ/4181/25)</t>
  </si>
  <si>
    <t xml:space="preserve">08.01.2024</t>
  </si>
  <si>
    <t xml:space="preserve">הצעת חוק הרשות לפיתוח הנגב (תיקון - קידום הקמתם של יישובים חקלאיים חדשים בנגב), התשפ"ד-2024</t>
  </si>
  <si>
    <t xml:space="preserve"> (פ/4180/25)</t>
  </si>
  <si>
    <t xml:space="preserve">הצעת חוק שירות המילואים (תיקון - הרחבת מתווה התגמולים לחיילי מילואים שאינם מפקדים), התשפ"ד-2024</t>
  </si>
  <si>
    <t xml:space="preserve"> (פ/4179/25)</t>
  </si>
  <si>
    <t xml:space="preserve">הצעת חוק הקאדים (תיקון - חברי הוועדה לבחירת קאדים), התשפ"ד-2024</t>
  </si>
  <si>
    <t xml:space="preserve"> (פ/4178/25)</t>
  </si>
  <si>
    <t xml:space="preserve">הצעת חוק נתוני אשראי (תיקון - אי-הכללת מידע במצב מיוחד בעורף), התשפ"ד-2024</t>
  </si>
  <si>
    <t xml:space="preserve"> (פ/4176/25)</t>
  </si>
  <si>
    <t xml:space="preserve">הצעת חוק השלכות חלוקתיות בחקיקה, התשפ"ד-2024</t>
  </si>
  <si>
    <t xml:space="preserve"> (פ/4175/25)</t>
  </si>
  <si>
    <t xml:space="preserve">הצעת חוק משפחות חיילים שנספו במערכה (תגמולים ושיקום) (תיקון - ביטול מגבלת גיל להכרה ביתומי צה"ל וכוחות הביטחון), התשפ"ד-2024</t>
  </si>
  <si>
    <t xml:space="preserve"> (פ/4174/25)</t>
  </si>
  <si>
    <t xml:space="preserve">הצעת חוק מניעת ביצוע עבירות באמצעות פרסום באינטרנט (הסרת תוכן), התשפ"ד-2024</t>
  </si>
  <si>
    <t xml:space="preserve"> (פ/4173/25)</t>
  </si>
  <si>
    <t xml:space="preserve">הצעת חוק עבודת נשים (תיקון - הרחבת ההקלות לבני ולבנות זוגם של משרתים במילואים), התשפ"ד-2024 </t>
  </si>
  <si>
    <t xml:space="preserve"> (פ/4172/25)</t>
  </si>
  <si>
    <t xml:space="preserve">הצעת חוק חינוך ממלכתי (תיקון - איסור תמיכה בטרור), התשפ"ד-2024</t>
  </si>
  <si>
    <t xml:space="preserve"> (פ/4170/25)</t>
  </si>
  <si>
    <t xml:space="preserve"> (פ/4169/25)</t>
  </si>
  <si>
    <t xml:space="preserve">חוק לתיקון פקודת המשטרה (מס' 40), התשפ"ד-2024</t>
  </si>
  <si>
    <t xml:space="preserve"> (מ/1600)</t>
  </si>
  <si>
    <t xml:space="preserve">03.01.2024</t>
  </si>
  <si>
    <t xml:space="preserve">תיקון מספר 40 לפקודת המשטרה, נועד להסדיר את השימוש במערכות צילום בעלות יכולת ניתוח ועיבוד לזיהוי חד-ערכי של חפצים על מנת לסייע לגורמי אכיפת החוק ולגופי הביטחון למלא את תפקידם באופן יעיל, ויובהר כי התיקון אינו מתייחס למערכות צילום בעלות יכולת זיהוי ביומטרי של בני אדם. השימוש במידע יכול להיות בשני מתווים – באמצעות התראת זמן אמת, שתסייע באיתור החפץ בזמן אמת או באמצעות חיפוש בדיעבד בחומר שצולם במערכות הצילום ונאגר. יצוין כי בעת חקיקת החוק, המערכת היחידה שקיימת ברשות המשטרה היא כזו המזהה לוחיות רישוי של כלי רכב, אך החוק יוצר מסגרת חוקית שתאפשר את יישומו גם לגבי זיהוי חפצים אחרים, ככל שתהיה טכנולוגיה כזו. הצבת המצלמות תעשה בהתאם למטרות המנויות בחוק, ביניהם מניעה, סיכול או גילוי של עבירות פשע או של עבירות שעלולות לסכן את שלומו או ביטחונו של אדם, את שלום הציבור או את ביטחון המדינה, וכן גילוי מעורבים בתכנונן ובביצוען של עבירות אלה. בנוסף, ניתן יהיה להציב את המצלמות לשם מניעת פגיעה חמורה בביטחון הנפש או הרכוש, איתור נעדרים או אנשים שיש חשש לשלומם וכן אכיפת איסורי כניסה למקומות ציבוריים. שעה שהופעלו המצלמות, ניתן יהיה להשתמש בחומר שצולם בהן גם למטרות נוספות הקבועות בחוק, לרבות הצלת חיי אדם או הגנה עליהם, גילוי עבירות פשע או עבירות עוון המוגדות בחוק והליכים פליליים בעניינן וחילוט רכוש על פי דין.  במסגרת החוק, מוטלות מגבלות על הצבת המצלמות במרחב הציבורי, על השימוש במערכות המצלמות אדם ברשות היחיד, והכל תוך קביעת מנגנוני בקרה על אלו. בנוסף, מוסדר אופן השימוש בחומר שצולם במערכות תוך קביעת מגבלות לעניין זה, לרבות לתקופה בה יישמר המידע הנאגר במערכות וסנקציה פלילית במקרה של הפרת ההוראות. מעבר לכך, החוק מאפשר להעביר מידע ממערכות הצילום גם לגופים אחרים בתחומי אכיפת החוק והביטחון, המנויים בחוק, ובתנאים הקבועים בו. </t>
  </si>
  <si>
    <t xml:space="preserve">חוק שירות המדינה (מינויים) (תיקון מס' 20), התשפ"ד–2024</t>
  </si>
  <si>
    <t xml:space="preserve"> (מ/1648)</t>
  </si>
  <si>
    <t xml:space="preserve">נקבע כי יש לחייב את מי שמונה על ידי הממשלה למשרת ראש נציגות דיפלומטית או קונסולרית בחוץ לארץ, להצהיר בפני שר החוץ או עובד מדינה שהוסמך לכך בתקנות כי הוא מתחייב לשמור אמונים למדינת ישראל כמדינה יהודית ודמוקרטית ולמלא באמונה את תפקידו.</t>
  </si>
  <si>
    <t xml:space="preserve">חוק רשות התעופה האזרחית (תיקון מס' 3), התשפ"ד-2024</t>
  </si>
  <si>
    <t xml:space="preserve"> (מ/1608)</t>
  </si>
  <si>
    <t xml:space="preserve">החוק מעגן את סמכותה של רשות התעופה האזרחית לתת אישור בדבר כשירותו האווירית של כלי טיס של מדינה זרה, לבקשת המדינה ומוסדותיה או תאגיד ישראלי, כמו גם את סמכותה לגבות ממבקש האישור תשלום בעד שעות העבודה שהשקיעו עובדי רשות התעופה האזרחית לשם מתן האישור, וכן החזר הוצאות שהוציאה הרשות או מי מעובדיה לשם מתן האישור, בין שהאישור ניתן ובין שלא ניתן.  אישור כשירות כאמור הוא אישור כי התקנה של ציוד תעופתי או של מערכת שאינה בגדר ציוד כאמור, בכלי טיס של מדינה זרה, או ביצוע שינוי בציוד תעופתי או במערכת כאמור המותקנים בכלי טיס של מדינה זרה, אינם פוגעים בכשירותו האווירית של אותו כלי הטיס. אישור כשירות זה נדרש מאחר שחברות ישראליות הנמנות עם התעשיות הביטחוניות, מעוניינות להתמודד במכרזים בין-לאומיים לביצוע התקנות של ציוד תעופתי ושל מערכות בכלי טיס של צבאות זרים, או לביצוע שינויים בציוד ובמערכות כאמור המותקנים באותם כלי טיס. במסגרת תנאי המכרז לביצוע פרויקטים מעין אלה, נדרשים המציעים, כלומר החברות הישראליות, להצהיר כי קיים במדינה הרלוונטית קיים גוף ממלכתי חיצוני שאינו בעל עניין ושבתחום מומחיותו וסמכותו לתת אישורים בתחום התעופה, ושיכול לאשר שההתקנות או השינויים שבוצעו בכלי הטיס לא פגעו בכשירותו האווירית ובהטסתו הבטוחה. לפי החוק, רשות התעופה האזרחית תוכל כעת לגבות תשלום והחזר הוצאות ממבקשי האישור, בהתאם להוראות המפורטות בתוספת לחוק. </t>
  </si>
  <si>
    <t xml:space="preserve">חוק הטיס (תיקון מס' 4), התשפ"ד-2024</t>
  </si>
  <si>
    <t xml:space="preserve"> (מ/1472)</t>
  </si>
  <si>
    <t xml:space="preserve">01.01.2024</t>
  </si>
  <si>
    <t xml:space="preserve">החוק מרחיב את סמכותו של מנהל רשות התעופה האזרחית בסעיף 165 לחוק הטיס, התשע"א–2011 (להלן – חוק הטיס), לתת פטור מהוראות החוק, כך שיהיה מוסמך לתת פטור גם מהוראות סעיף 35 לחוק הטיס לעניין הפעלת מיתקן עזר לטיסה. סעיף 165 לחוק הטיס מסמיך את מנהל רשות התעופה האזרחית לתת פטור מהוראות לפי חוק הטיס, רק לגבי רשימת סעיפים המנויה בסעיף, בהתקיים נסיבות המפורטות בסעיף ובכפוף לכך שיינקטו צעדים מתאימים לשמירה על בטיחות הטיסה וסדירותה. סעיף 35 לחוק הטיס, קובע כי הפעלת מיתקן עזר לטיסה, המשמש או המיועד לשמש כלי טיס אזרחיים, טעונה אישור מנהל רשות התעופה האזרחית לכך שהמיתקן בנוי או מותקן, מתוחזק ומופעל בהתאם לתנאי האישור. האישור ניתן, ככלל, לאחר שהמנהל נוכח כי מתקיימות לגבי המיתקן דרישות ארגון התעופה הבינלאומי. נכון להיום, קיימים ברשות שדות התעופה מיתקנים שאינם עומדים, מבחינת ביצועים ותחזוקה, בדרישות ארגון התעופה העולמי, ולפיכך מנהל רשות התעופה האזרחית אינו יכול לאשרם לפי סעיף 35 לחוק הטיס. עם זאת, לרשות שדות התעופה אין ברירה אלא להמשיך שימוש במיתקנים כאמור עד להחלפתם העתידית, שכן הימנעות משימוש בהם, משמעותה הפסקת הפעילות האווירית האזרחית. עם כניסתו לתוקף, יאפשר החוק למנהל רשות התעופה האזרחית לתת פטור למיתקנים האמורים מקיום הוראות סעיף 35 לחוק הטיס. </t>
  </si>
  <si>
    <t xml:space="preserve">הצעת חוק העונשין (תיקון - החמרת ענישה בעבירות ממניע גזעני), התשפ"ד-2024</t>
  </si>
  <si>
    <t xml:space="preserve"> (פ/4164/25)</t>
  </si>
  <si>
    <t xml:space="preserve">הצעת חוק-יסוד: ברית החיים</t>
  </si>
  <si>
    <t xml:space="preserve"> (פ/4162/25)</t>
  </si>
  <si>
    <t xml:space="preserve">הצעת חוק כלי הירייה (תיקון - פיקוח פרלמנטרי), התשפ"ד-2024</t>
  </si>
  <si>
    <t xml:space="preserve"> (פ/4161/25)</t>
  </si>
  <si>
    <t xml:space="preserve">הצעת חוק צוותי התערבות במשבר נפשי, התשפ"ג-2023</t>
  </si>
  <si>
    <t xml:space="preserve"> (פ/5/25)</t>
  </si>
  <si>
    <t xml:space="preserve"> (כ/979)</t>
  </si>
  <si>
    <t xml:space="preserve">חוק דחיית מועדים (הוראת שעה – חרבות ברזל) (חוזה, פסק דין או תשלום לרשות) (תיקון) (דחיית מועדים בתקופה הקובעת השנייה), התשפ"ד-2023</t>
  </si>
  <si>
    <t xml:space="preserve"> (מ/1697)</t>
  </si>
  <si>
    <t xml:space="preserve">27.12.2023</t>
  </si>
  <si>
    <t xml:space="preserve">החוק מאריך את תוקף ההסדר לפיו תתאפשר דחייה לביצוע חיובים שנקבעו בחוזה או בהחלטות שיפוטיות ודחיית מועד לתשלום לרשות ציבורית עד ליום כ' באדר א' התשפ"ד (29 בפברואר 2024). ביחס למועדי תשלום לרשות ציבורית חל החוק על כל מי שהוא חל עליו עד כה: חיילים בשירות סדיר, קבע ומילואים, משרתים בגופי ביטחון פנים (שוטרים, סוהרים ביחידות מסוימות וכבאים), עובדים בארגוני ההצלה מד"א, זק"א ואיחוד הצלה ומתנדבים בארגונים אלה בהיקף המקביל למשרה מלאה, ואוכלוסייה אזרחית שנפגעה מהאירועים: נעדרים, חטופים, שבויים תושבי יישובים שהתפנו ומי שאושפז לתקופה העולה על שבוע כתוצאה מפציעה שנגרמה לו בשל הלחימה. כן חודדה תחולת החוק על מי שאושפז בהיותו חייל. ביחס לביצוע חיובים הקבועים בחוזים או בהחלטות שיפוטיות, נקבע כי הסדר זה יחול באופן מצומצם יותר, ואוכלוסיית הזכאים תכלול חיילים בשירות סדיר וקבע בתפקידי לחימה, משרתי מילואים שנקראו בצו 8, משרתים בגופי ביטחון הפנים ביחידות מסוימות שמנויות בחוק, נעדרים, חטופים, שבויים ותושבי יישובים שהתפנו. כל הזכויות יחולו גם על בני זוגם של הזכאים, אם הם אחראים לחיוב עמם, על עזבונותיהם ועל חברות מעטים ושותפויות שהשליטה בהן מצויה בידי הזכאים.</t>
  </si>
  <si>
    <t xml:space="preserve">חוק שירות ביטחון (תיקון מס' 25 – הוראת שעה – חרבות ברזל) (העלאת גיל הפטור משירות מילואים), התשפ"ד-2023</t>
  </si>
  <si>
    <t xml:space="preserve"> (מ/1691)</t>
  </si>
  <si>
    <t xml:space="preserve">החוק קבע כי מי שאמור היה לקבל פטור משירות מילואים מטעמי גיל ב-31.12.2023, ימשיך להיות חלק ממערך המילואים עד ה-29.2.2024. מדובר בחיילי מילואים שאינם קצינים ומלאו להם 40 בשנת 2023, קצינים שמלאו להם 45 בשנת 2023, ומי שמשרתים בתפקידים ובמקצועות הקבועים בצו חריגי הגיל ומלאו להם בשנת 2023 45 או 49, לפי העניין.</t>
  </si>
  <si>
    <t xml:space="preserve">חוק לייעול האכיפה והפיקוח העירוניים ברשויות המקומיות (הוראת שעה) (תיקון מס' 11), התשפ"ד-2023</t>
  </si>
  <si>
    <t xml:space="preserve"> (מ/1695)</t>
  </si>
  <si>
    <t xml:space="preserve">החוק לייעול האכיפה והפיקוח העירוניים ברשויות המקומיות נחקק כהוראת שעה בשנת 2011, והחל כפיילוט במספר רשויות מקומיות. מטרת החוק הינה ייעול יכולת הפיקוח והאכיפה של הרשויות המקומיות בעבירות שבתחום אחריותן וכן סיוע למשטרת ישראל בפעולות למניעת אלימות. לשם כך החוק מסמיך פקחים עירוניים ומסדיר את הקמתו של מערך שיטור עירוני. לאורך השנים הוראת השעה הוארכה מספר פעמים ותחולתה הורחבה לרשויות נוספות.  בתיקון מספר 11 לחוק, תוקן סעיף 23, כך שתוקפו של החוק הוארך לתקופת זמן נוספת ועד ליום כ"ב בניסן התשפ"ד (30 באפריל 2024). כמו כן, תוקנה התוספת השנייה לחוק באופן המרחיב את סמכויותיו של "פקח מסייע" גם למרחבים חקלאיים המוגדרים כ"שטח שבו מתבצעות פעולות של עיבוד קרקע, או של ניהול משק חי או צומח". הרחבה זו נעשתה על רקע אתגרים ייחודיים שהתגלו במערכי האכיפה במועצות האזוריות, שלא זכו למענה בחוק הקיים שאפשר ל"פקח מסייע", להפעיל את סמכויותיו לטובת סיוע למשטרת ישראל במניעת אלימות במקומות מוגדרים אשר תחת שיפוטה של הרשות המקומית, לרבות בגנים ציבוריים, אזורי מסחר וחופי רחצה.  </t>
  </si>
  <si>
    <t xml:space="preserve">חוק הסדרים במשק המדינה (תיקוני חקיקה) (תיקון מס' 19), התשפ"ד-2023</t>
  </si>
  <si>
    <t xml:space="preserve"> (מ/1692)</t>
  </si>
  <si>
    <t xml:space="preserve">החוק הופך שתי הוראות שעה לעניין קידום התחרות במשק הגז הביתי, הקבועות בסעיפים 17א ו-17ב לחוק הסדרים במשק המדינה (תיקוני חקיקה), התשמ"ט–1989 (להלן – חוק הסדרים במשק המדינה), להוראות קבועות.  בשנת 2008 נחקק חוק משק הגז (קידום תחרות בגז לצריכה ביתית) (תיקוני חקיקה), התשס"ח–2008, ובמסגרתו תוקן חוק הסדרים במשק המדינה, ונקבעו בו הסדרים שנועדו לקדם את התחרות במשק הגז הביתי ובהם שתי הוראות שעה. הוראת השעה הראשונה נקבעה בסעיף 17א לחוק הסדרים במשק המדינה, והיא קובעת כי אם צרכן גז ביתי מסר לספק גז הודעה על החלטתו להתנתק ממנו, אסור לאותו ספק גז או למי מטעמו להתקשר עם הצרכן או להציע הטבות כלשהן לעניין אספקת גז במשך שישה חודשים מיום מסירת ההודעה על ידי הצרכן.   הוראת השעה השנייה נקבעה בסעיף 17ב לחוק הסדרים במשק המדינה, ולפיה ספק גז אינו רשאי לסרב סירוב בלתי סביר לתת שירות לצרכן גז ביתי המבקש להתקשר עמו. כלומר, אסור לספק גז לסרב לתת שירות לצרכן גז ביתי, אם מדובר על מתן שירות באותו אזור ובתנאים דומים לתנאים שבהם ספק הגז מספק את השירות לצרכן גז ביתי דומה, אלא אם כן הראה כי קיימים טעמים המצדיקים שלא לתת את השירות בתנאים דומים כאמור. הוראות שעה אלה הוארכו כמה פעמים כדי לבחון את השפעותיהן על קידום התחרות במשק הגז הביתי. מאחר שלפי נתוני משרד האנרגיה והתשתיות ורשות התחרות, הוראות השעה תרמו לקידום התחרות במשק הגז הביתי ובכלל זה לשיפור כושר התחרות של ספקי הגז הקטנים, הוחלט להפוך אותן להוראות קבועות.  </t>
  </si>
  <si>
    <t xml:space="preserve">חוק גיל פרישה (הורה שילדו נפטר) (הוראת שעה) (תיקון מס' 2), התשפ"ד-2023</t>
  </si>
  <si>
    <t xml:space="preserve"> (מ/1693)</t>
  </si>
  <si>
    <t xml:space="preserve">חוק זה מאריך בשנתיים את תוקף ההוראה לפיה מעסיק לא יחייב עובד שהוא הורה שילדו נפטר לפרוש מעבודתו בשל גילו,  עד ארבע שנים מיום שהגיע לגיל פרישת חובה, כל זאת בהתקיים התנאים הקבועים בחוק. עוד קובע החוק המשך חובת דיווח של הממשלה לוועדת עבודה ורווחה, אחת לשנה, על פעילותם בעניין פרסום הוראות החוק לעובדים ולמעסיקים</t>
  </si>
  <si>
    <t xml:space="preserve">חוק משק הגז הטבעי (תיקון מס' 13), התשפ"ד-2023 </t>
  </si>
  <si>
    <t xml:space="preserve">החוק כולל שני תיקונים לחוק משק הגז הטבעי, התשס"ב–2002 (להלן – חוק משק הגז הטבעי). התיקון הראשון עניינו מתן סמכות לשר האנרגיה והתשתיות להאריך את רישיון חברת נתיבי גז לישראל (נתג"ז) שהיא החברה הממשלתית המחזיקה היום ברישיון הולכה, שהוא רישיון להקמה ולהפעלה של מערכת הולכת גז טבעי. סעיף 8(ב) לחוק משק הגז הטבעי קובע כי לא יינתנו רישיונות, בין היתר רישיון הולכה או רישיון חלוקה, לחברה ממשלתית. אולם סעיף 11א לחוק האמור מסמיך את שר האנרגיה והתשתיות לתת רישיון הולכה לחברה ממשלתית, אם מצא כי קיימים צרכים דחופים של משק האנרגיה. מכוח אותו סעיף, ניתן בשנת 2004 רישיון הולכה לחברת נתג"ז. לפי סעיף 15 לחוק משק הגז הטבעי, התקופה המרבית של רישיון הולכה היא 30 שנים. בהתאם לכך רישיון ההולכה שניתן לחברת נתג"ז יעמוד בתוקפו עד לשנת 2034. לפי התיקון הראשון, שר האנרגיה והתשתיות יהיה מוסמך להאריך את תוקפו של רישיון ההולכה שניתן לחברה ממשלתית המחזיקה ברישיון הולכה לפי סעיף 11א לחוק, כיום – נתג"ז, בתקופה אחת נוספת של 15 שנים.  התיקון השני נועד לאפשר לחברת נתג"ז להיכנס לפעילות במקטע החלוקה ולתת לה רישיון חלוקה, בכפוף למספר תנאים. רישיון חלוקה הוא רישיון שניתן לגבי אזור מסוים, לשם הקמה והפעלה של רשת חלוקה שהיא מערכת קווי צינורות להעברה של גז טבעי בלחץ נמוך ומתקני הגז הקשורים למערכת זו. טרם התיקון, החוק איפשר לשר האנרגיה והתשתיות לתת רישיון חלוקה רק לחברת-בת של בעל רישיון הולכה, ובלבד שקיימים לדעתו ולדעת שר האוצר צרכים דחופים של משק האנרגיה. לפי התיקון, חברה ממשלתית שקיבלה רישיון הולכה תוכל לקבל משר האנרגיה והתשתיות גם רישיון חלוקה, בכפוף למספר תנאים. ראשית, רישיון חלוקה כאמור יינתן אם שר האוצר ושר האנרגיה והתשתיות השתכנעו כי לשם פיתוח משק האנרגיה, אין זה נכון לתת את הרישיון לגורם מהמגזר הפרטי ויותר מתאים לתת אותו לחברה ממשלתית. שנית, וכדי למנוע ריכוזיות בענף, לא יינתן רישיון חלוקה כאמור באזור מסוים, אם כתוצאה מכך חברה ממשלתית תחזיק ברישיונות חלוקה בשלושה אזורים או במחצית מכלל האזורים שלגביהם כבר ניתנו רישיונות חלוקה, לפי הגבוה מבניהם.  </t>
  </si>
  <si>
    <t xml:space="preserve">הצעת חוק הקמת חדרי מיון קדמיים, התשפ"ג-2023</t>
  </si>
  <si>
    <t xml:space="preserve"> (פ/3714/25)</t>
  </si>
  <si>
    <t xml:space="preserve">הצעת חוק חינוך ממלכתי (תיקון - איסור תמיכה בטרור), התשפ"ג-2023</t>
  </si>
  <si>
    <t xml:space="preserve"> (פ/2476/25)</t>
  </si>
  <si>
    <t xml:space="preserve">חוק התמודדות עם תקיפות סייבר חמורות במגזר השירותים הדיגיטליים ושירותי האחסון (הוראת שעה - חרבות ברזל), התשפ"ד-2023</t>
  </si>
  <si>
    <t xml:space="preserve"> (מ/1688)</t>
  </si>
  <si>
    <t xml:space="preserve">25.12.2023</t>
  </si>
  <si>
    <t xml:space="preserve">החוק מסמיך מנהל מוסמך משירות הביטחון הכללי, ממערך הסייבר או מהמלמ"ב לקבוע כי תקיפת סייבר שמתרחשת או עומדת להתרחש אצל מי שעיסוקו אספקת שירותי אחסון או שירותים דיגיטליים, היא תקיפת סייבר חמורה, אם סבר כי קיים חשש ממשי שתפגע בביטחון המדינה, בביטחון הציבור או בקיום האספקה והשירותים החיוניים. קביעה זו תיעשה בכפוף לתנאים הבאים: התקיפה התרחשה במהלך מלחמת חרבות ברזל; התקיפה בעלת השפעה ממשית שאינה מוגבלת לספק הנתקף, והתקיפה היא תקיפת סייבר חמורה בהתחשב במאפייניה. בנוסף, נקבע כי הסמכות לקבוע כי תקיפת סייבר היא חמורה נתונה גם לרח"ט הגנה בסייבר בצה"ל, אם מצא שיש בתקיפה כדי לפגוע ברציפות התפקוד המבצעי של צה"ל בשל התנאים כאמור. במקרה שנקבע כי תקיפת סייבר היא חמורה, החוק קובע הליך פעולה מדורג: ראשית, העובד המוסמך יפרט לספק את התשתית העובדתית לקביעתו כי תקיפת סייבר היא חמורה, ויאפשר לספק הזדמנות לפעול לצורך איתור התקיפה, מניעתה או בלימתה בהקדם האפשרי. בהמשך לכך, הספק יידרש לעדכן את העובד המוסמך בדבר הפעולות שביצע או למסור תצהיר בדבר יישום הנחיות אבטחה בהתאם לתקן. אם הספק לא הגיש תצהיר או העובד המוסמך מצא שלא פעל באופן הולם לאיתור התקיפה, מניעתה ובלימתה, יהיה רשאי העובד המוסמך למסור הוראות לביצוע פעולות הגנה בסייבר. בנוסף, החוק קובע הוראות בעניין חובת סודיות והגבלת שימוש במידע. עוד קובע החוק חובת דיווח ליועצת המשפטית לממשלה ולוועדת החוץ והביטחון של הכנסת בדבר המקרים בהם ניתנו הוראות לפי החוק. החוק נקבע כהוראת שעה למשך שבעה חודשים. </t>
  </si>
  <si>
    <t xml:space="preserve">חוק ההתייעלות הכלכלית (תיקוני חקיקה להשגת יעדי התקציב לשנות התקציב 2023 ו-2024), התשפ"ג-2023</t>
  </si>
  <si>
    <t xml:space="preserve">החוק קובע שורה של תיקונים בחוקים שונים בהתאם ליעדי התקציב לשנות התקציב 2023 ו-2024, בין היתר בנושאים: מסים, מיסוי בשוק הדיור, ביטוח לאומי, גבייה ממשלתית וגמלאות.</t>
  </si>
  <si>
    <t xml:space="preserve">הצעת חוק לדחיית הבחירות הכלליות לרשויות המקומיות (תיקון - מועד הבחירות), התשפ"ד-2023 </t>
  </si>
  <si>
    <t xml:space="preserve"> (פ/4156/25)</t>
  </si>
  <si>
    <t xml:space="preserve">הצעת חוק דמי מחלה עבור מלווה בן משפחה לבדיקה רפואית (תיקוני חקיקה), התשפ"ד-2023</t>
  </si>
  <si>
    <t xml:space="preserve"> (פ/4153/25)</t>
  </si>
  <si>
    <t xml:space="preserve">הצעת חוק ההוצאה לפועל (תיקון - השהיית הליך ואי-נקיטתו כלפי אסירים משוחררים), התשפ"ד-2023</t>
  </si>
  <si>
    <t xml:space="preserve"> (פ/4152/25)</t>
  </si>
  <si>
    <t xml:space="preserve">הצעת חוק שיקום נכי נפש בקהילה (תיקון - שינוי מונחים בתחום הדיור), התשפ"ד-2023</t>
  </si>
  <si>
    <t xml:space="preserve"> (פ/4151/25)</t>
  </si>
  <si>
    <t xml:space="preserve">הצעת חוק כביש אגרה (כביש ארצי לישראל) (תיקון - פטור מאגרה בשל האטה ממהירות הנסיעה המותרת), התשפ"ד-2023</t>
  </si>
  <si>
    <t xml:space="preserve"> (פ/4149/25)</t>
  </si>
  <si>
    <t xml:space="preserve">הצעת חוק פיקוח על מחירים, שיווק וסבסוד של מזון ללא גלוטן, התשפ"ד-2023</t>
  </si>
  <si>
    <t xml:space="preserve"> (פ/4148/25)</t>
  </si>
  <si>
    <t xml:space="preserve">הצעת חוק הביטוח הלאומי (תיקון - מענק שעת חירום לעובד עצמאי), התשפ"ד-2023</t>
  </si>
  <si>
    <t xml:space="preserve"> (פ/4147/25)</t>
  </si>
  <si>
    <t xml:space="preserve">הצעת חוק לשכת עורכי הדין (תיקון - קיצור תקופת ההתמחות), התשפ"ד-2023</t>
  </si>
  <si>
    <t xml:space="preserve"> (פ/4145/25)</t>
  </si>
  <si>
    <t xml:space="preserve">הצעת חוק הביטוח הלאומי (תיקון - שיפוי המעסיק על הפרשות פנסיוניות בעד עובדו המשרת במילואים בנסיבות חירום) (הוראת שעה - חרבות ברזל), התשפ"ד- 2023</t>
  </si>
  <si>
    <t xml:space="preserve"> (פ/4143/25)</t>
  </si>
  <si>
    <t xml:space="preserve">הצעת חוק הביטוח הלאומי (תיקון - שיפוי המעסיק על הפרשות פנסיוניות בעד עובדו המשרת במילואים בנסיבות חירום) (הוראת שעה - חרבות ברזל), התשפ"ד-2023</t>
  </si>
  <si>
    <t xml:space="preserve"> (פ/4142/25)</t>
  </si>
  <si>
    <t xml:space="preserve">חוק קליטת חיילים משוחררים (תיקון מס' 25), התשפ"ד–2023</t>
  </si>
  <si>
    <t xml:space="preserve"> (פ/4/25)</t>
  </si>
  <si>
    <t xml:space="preserve"> (כ/984)</t>
  </si>
  <si>
    <t xml:space="preserve">20.12.2023</t>
  </si>
  <si>
    <t xml:space="preserve">נקבע כי יינתן מימון מלא של שכר לימוד שנתי לחיילים משוחררים זכאים (חיילים ששירתו כלוחמים, חיילים בודדים, עולים חדשים, חיילים בני האוכלוסייה הערבית, לרבות הדרוזית או הצ'רקסית, וחיילים שקיבלו תשלומי משפחה בשל מצבם הכלכלי של הוריהם), זאת במקום מימון בשיעור 75%. השתתפות במימון שכר הלימוד תתבצע באופן מדורג, כך שבכל שנת לימודים יקבל החייל המשוחרר הזכאי 85% משכר הלימוד השנתי, או אם שכר הלימוד ששילם בפועל קטן משכר הלימוד השנתי – את שכר הלימוד ששילם בפועל, ובשנה האחרונה יקבל את היתרה השווה להשלמת שכר הלימוד לשלוש או ארבע שנות לימוד, לפי העניין. עוד נקבעה הארכה לפרק הזמן למימוש הזכאות לחמש שנים לאחר תום השנה שבה החייל השתחרר משירות סדיר, ולעניין חייל ששירת שירות נוסף – לא תובא תקופת השירות הנוסף במניין חמש השנים לזכאות, ובלבד שהחל את לימודיו בתוך שבע שנים מתום השנה שבה השתחרר. בנוסף, נקבע כי הוראות החוק יחולו על חיילים משוחררים זכאים שביום תחילת החוק טרם סיימו את שנות הלימוד המזכות במימון לפי החוק, כך שיתרת ההשתתפות במימון תינתן בשנת הלימודים האחרונה. </t>
  </si>
  <si>
    <t xml:space="preserve">הצעת חוק מגבלות על חזרתו של עבריין טרור לסביבת נפגע עבירה, התשפ"ג-2023</t>
  </si>
  <si>
    <t xml:space="preserve"> (פ/3048/25)</t>
  </si>
  <si>
    <t xml:space="preserve">הצעת חוק הדחת נציג ציבור התומך במאבק מזוין נגד מדינת ישראל (תיקוני חקיקה), התשפ"ג-2023</t>
  </si>
  <si>
    <t xml:space="preserve"> (פ/1519/25)</t>
  </si>
  <si>
    <t xml:space="preserve">הצעת חוק הביטוח הלאומי (תיקון - ביטול מבחני התלות לקבלת גמלת סיעוד לאזרח שמלאו לו 80 שנים), התשפ"ג-2022</t>
  </si>
  <si>
    <t xml:space="preserve"> (פ/511/25)</t>
  </si>
  <si>
    <t xml:space="preserve">חוק כליאתם של לוחמים בלתי חוקיים (תיקון מס' 4 והוראת שעה – חרבות ברזל), התשפ"ד-2023</t>
  </si>
  <si>
    <t xml:space="preserve"> (מ/1690)</t>
  </si>
  <si>
    <t xml:space="preserve">18.12.2023</t>
  </si>
  <si>
    <t xml:space="preserve">חוק כליאתם של לוחמים בלתי חוקיים קובע כי במקרה בו הודיעה הממשלה לוועדת החוץ והביטחון של הכנסת על החלטה לפתוח במלחמה או על פעולות צבאיות משמעותיות לפי חוק יסוד: הממשלה, רשאית היא להכריז כי אלו מצריכות תחולה של הוראות שונות בחוק. בחוק זה נקבעו הוראות אשר נועדו להתאים לתיקונים שנעשו בחוק יסוד: הממשלה, כך שתהיה התייחסות להכרזה על פעולות צבאיות משמעותיות העלולות להוביל בהסתברות קרובה לוודאי למלחמה. עוד נקבעה, בהוראת שעה למשך ארבעה חודשים, הארכה למשך תקופת הכליאה הזמנית של לוחמים בלתי חוקיים, מועד ההבאה בפני שופט והתקופות בהן ניתן למנוע פגישה עם עורך דין. בנוסף, נקבע כי במקרים של שינויים בתחולת החוק תרד דרגת הגורם הצבאי המוסמך לאשר פעולות שונות לפי החוק, וכן יתאפשר קיום דיונים לפי החוק בדרך של היוועדות חזותית.</t>
  </si>
  <si>
    <t xml:space="preserve">חוק קיום דיונים בהיוועדות חזותית בהשתתפות עצורים, אסירים וכלואים (הוראת שעה – חרבות ברזל), התשפ"ד-2023</t>
  </si>
  <si>
    <t xml:space="preserve"> (מ/1674)</t>
  </si>
  <si>
    <t xml:space="preserve">נקבע כי שר המשפטים רשאי, לאחר התייעצות עם השר לביטחון לאומי, להכריז כי יהיה ניתן לקיים דיונים בבתי המשפט ובבתי הדין, במדינה כולה או בחלק ממנה, שלא בנוכחות עצורים ואסירים אלא בהשתתפותם בהיוועדות חזותית, זאת לאחר ששוכנע כי קיים סיכון ממשי בהבאתם לדיונים בשל מצב החירום המיוחד. בנוסף נקבע כי שר המשפטים והשר לביטחון לאומי רשאים להכריז יחד כי ניתן לקיים דיונים בבתי המשפט שלא בנוכחות עצורים ואסירים בעבירות ביטחוניות, זאת לאחר ששוכנעו כי קיימת סכנת חיים או סיכון ביטחוני מוגבר בהבאתם לדיונים בשל מצב מלחמה השורר במדינה. במטרה למזער ככל האפשר את הפגיעה בעצור או באסיר, נקבעו הוראות מפורטות בדבר אופן קיום הדיון בהיוועדות חזותית, כך שניתן יהיה להבטיח את השתתפותו הרציפה בדיון. כמו כן, נקבעה אפשרות לחרוג מההסדרים הכלליים במקרים מיוחדים.</t>
  </si>
  <si>
    <t xml:space="preserve">חוק הגז (בטיחות ורישוי) (תיקון מס' 9), התשפ"ד–2023</t>
  </si>
  <si>
    <t xml:space="preserve"> (מ/1682)</t>
  </si>
  <si>
    <t xml:space="preserve">חוק הגז (בטיחות ורישוי) (תיקון מס' 9), התשפ"ד–2023, מבטל את סעיף 8י לחוק הגז (בטיחות ורישוי) התשמ"ט–1989 (להלן – החוק), שעניינו סמכות הממונה על הבטיחות ברשות הגז הטבעי לעניין מיתקן גז טבעי לצריכה. מיתקני גז טבעי לצריכה הם מיתקני גז לצריכת גז טבעי המשמשים בין היתר במפעלי תעשייה.  בשנת 2015 אושרה בכנסת, במסגרת חוק ההסדרים, הרפורמה לחיבור מפעלי תעשייה לרשת הגז הטבעי. עיקרה של הרפורמה היה הסמכת גופים פרטיים כגופים בודקים על ידי הרשות הלאומית להסמכת מעבדות, שיהיו מורשים לערוך בדיקות בטיחות להתקנתם ולהפעלתם של מיתקני גז טבעי לצריכה ויהיו מורשים לתת אישורי תקינות לגבי מיתקנים אלה. לעניין זה, החוק קובע כי גם מכון התקנים נחשב לגוף בודק. בהתאם להוראות סעיף 8י האמור, במקרים שבהם יש חשש כי מיתקן גז טבעי לצריכה מהווה סכנה לבטיחות הציבור, רשאי הממונה על הבטיחות ברשות הגז הטבעי להורות לגוף בודק, ובכלל זה למכון התקנים, לבצע בדיקת תקינות למיתקן, ובלבד שהגוף שיבדוק את המתקן לא יהיה אותו הגוף שנתן את אישור התקינות לגבי המתקן.  מאחר שבעת חקיקת הרפורמה  היה ברור כי מכון התקנים יהיה הגוף הבודק העיקרי עד שיוסמכו גופים בודקים נוספים, נקבעה בסעיף 8טו(ב) לחוק הוראת מעבר לעניין סעיף 8י, שלפיה הממונה על הבטיחות ברשות הגז הטבעי רשאי, במהלך תקופת המעבר, להורות למכון התקנים לבצע בדיקת תקינות במתקן גז טבעי במקרה של סכנה לבטיחות הציבור כאמור, גם אם מכון התקנים היה הגוף שנתן את אישור התקינות לגבי אותו מתקן. אולם, מאז שאושרה הרפורמה ב-2015, הוסמכו שני גופים בודקים בלבד, אשר בשונה ממכון התקנים, הם אינם מוסמכים לבדוק את כל הסוגים של מתקני הגז הטבעי. כפועל יוצא מכך, תוקף הוראת המעבר הוארך שלוש פעמים, שכן ללא הארכתה, הממונה לא היה רשאי להורות למכון התקנים לערוך בדיקת תקינות במקרה של סכנה לציבור.  מאחר שסעיף 8י לחוק כמעט ולא יושם מאז חקיקתו, ובהתחשב בכך שהממונה על הבטיחות ברשות הגז הטבעי אינו הרגולטור של הגופים הבודקים, הוחלט לבטל את הסעיף, וכפועל יוצא – גם את הוראת המעבר בעניינו, הקבועה בסעיף 8ט(ב) לחוק.  </t>
  </si>
  <si>
    <t xml:space="preserve">חוק זכויות החולה (תיקון מס' 15), התשפ"ד-2023</t>
  </si>
  <si>
    <t xml:space="preserve"> (מ/1686)</t>
  </si>
  <si>
    <t xml:space="preserve">התיקון לסעיף 20 לחוק זכויות החולה, התשנ"ו-1996 קובע כי מוסד רפואי ומטפל יוכלו להעביר (בכפוף לכללים הקבועים כבר בסעיף האמור) מידע רפואי הנחוץ לשם זיהוי גופה או לשם קביעת סיבת מוות אל המרכז הלאומי לרפואה משפטית, ובכלל זה לגורמים שרופאי המרכז הלאומי האמור מסתייעים בהם (כגון מומחים אנתרופולגיים), או אל מטפל אחר המוסמך על פי דין לזיהוי גופה או לקביעת סיבת מוות (כגון רופא בלשכת הבריאות המחוזית שתפקידו לקבוע סיבת מוות, או רופאי השיניים הפועלים כחלק ממשטרת ישראל בזיהוי גופה לפי מישנן). החוק מבהיר כי לעניין זה יראו במסירת המידע כאמור כמסירת מידע לשם טיפול במטופל.  </t>
  </si>
  <si>
    <t xml:space="preserve">הצעת חוק פיתוח והתחדשות של יישובים באזור חבל תקומה (תיקוני חקיקה, פיצויים, הטבות, הנצחה והוראת שעה), התשפ"ד-2023</t>
  </si>
  <si>
    <t xml:space="preserve"> (פ/4140/25)</t>
  </si>
  <si>
    <t xml:space="preserve">הצעת חוק לתיקון פקודת מס הכנסה (הוראת שעה - חרבות ברזל) (פטור ממס במשיכת תשלומי מעביד מקרן השתלמות), התשפ"ד-2023</t>
  </si>
  <si>
    <t xml:space="preserve"> (פ/4137/25)</t>
  </si>
  <si>
    <t xml:space="preserve">הצעת חוק כלי הירייה (תיקון - חובת שקיפות במינוי פקידי רישוי), התשפ"ד-2023</t>
  </si>
  <si>
    <t xml:space="preserve"> (פ/4133/25)</t>
  </si>
  <si>
    <t xml:space="preserve">הצעת חוק קליטת חיילים משוחררים (תיקון - מימון שכר לימוד מלא ללוחמים), התשפ"ד-2023</t>
  </si>
  <si>
    <t xml:space="preserve"> (פ/4130/25)</t>
  </si>
  <si>
    <t xml:space="preserve">הצעת חוק הכניסה לישראל (תיקון - חובת הפקדת ערובה בהגשת ערר לבית הדין לעררים), התשפ"ד-2023</t>
  </si>
  <si>
    <t xml:space="preserve"> (פ/4129/25)</t>
  </si>
  <si>
    <t xml:space="preserve">הצעת חוק ההוצאה לפועל (תיקון - סייג להגבלה על יציאה מהארץ), התשפ"ד-2023</t>
  </si>
  <si>
    <t xml:space="preserve"> (פ/4128/25)</t>
  </si>
  <si>
    <t xml:space="preserve">חוק תקציב נוסף לשנת הכספים 2023, התשפ"ד-2023</t>
  </si>
  <si>
    <t xml:space="preserve"> (מ/1687)</t>
  </si>
  <si>
    <t xml:space="preserve">14.12.2023</t>
  </si>
  <si>
    <t xml:space="preserve">נוכח שינוי הנסיבות שמקורו במלחמת חרבות ברזל, המצריך תיקונים משמעותיים ברוב סעיפי חוק התקציב, שינוי בתעדוף הוצאות הממשלה והגדלת מסגרת ההוצאה הממשלתית, החוק קובע תקציב נוסף ביחס לשנת 2023, שהוראותיו יבואו במקום הוראותיו של חוק התקציב לשנת הכספים 2023, התשפ"ג–2023.</t>
  </si>
  <si>
    <t xml:space="preserve">חוק הפחתת הגירעון והגבלת ההוצאה התקציבית (תיקון מס' 24), התשפ"ד-2023</t>
  </si>
  <si>
    <t xml:space="preserve"> (מ/1684)</t>
  </si>
  <si>
    <t xml:space="preserve">בשל מלחמת חרבות ברזל, נדרשה הממשלה להגדיל את מסגרת התקציב בחוק התקציב לשנת הכספים 2023, התשפ"ג–2023, כדי שניתן יהיה להוציא סכומים נוספים, לצורכי הלחימה ולצרכים האזרחיים הנובעים ממנה, אשר לא ניתן היה לחזות בעת שהתקבל חוק התקציב לשנת התקציב 2023. לנוכח האמור, החוק מגדיל את תקרת הגירעון לשנת 2023 וקובע כי בשנת 2023 לא יעלה שיעור הגירעון הכולל על 3.7% (במקום שיעור של 2.75%) מהתוצר המקומי הגולמי. כמו כן, החוק מגדיל את ההוצאה הממשלתית המותרת לשנת 2023 בשיעור של 3.75% לצורך מימון ההוצאות הדרושות לצרכים צבאיים (המשקף סכום של 17 מיליארד ש"ח) ובשיעור של 1.95% לצורך מימון ההוצאות הדרושות לצרכים אזרחיים הנובעים במישרין ממצב הלחימה (המשקף סכום של 8.8 מיליארד ש"ח). עוד נקבע כי הגידול בסכום ההוצאה הממשלתית לא יובא בחשבון לצורך חישוב ההוצאה הממשלתית בשנים הבאות.</t>
  </si>
  <si>
    <t xml:space="preserve">חוק-יסוד: משק המדינה (תיקון מס' 14)</t>
  </si>
  <si>
    <t xml:space="preserve"> (מ/1661)</t>
  </si>
  <si>
    <t xml:space="preserve">מוצע לאפשר דחיית מועדים למנגנון ההתכנסות הקבוע בסעיף 3א1 לחוק היסוד, בתקופה שלא תעלה על 50 ימים, במצבים בהם התרחש אירוע חריג ובלתי צפוי שיש לו השלכה תקציבית משמעותית בסמוך למועד הגשת דוח ההפרשים.</t>
  </si>
  <si>
    <t xml:space="preserve">הצעת חוק המועצה להשכלה גבוהה (תיקון - שלילת זכאות לתואר אקדמי בשל תמיכה בטרור), התשפ"ד-2023</t>
  </si>
  <si>
    <t xml:space="preserve"> (פ/4126/25)</t>
  </si>
  <si>
    <t xml:space="preserve">11.12.2023</t>
  </si>
  <si>
    <t xml:space="preserve">הצעת חוק חינוך ממלכתי (תיקון - חובת לימוד עברית וערבית), התשפ"ד-2023</t>
  </si>
  <si>
    <t xml:space="preserve"> (פ/4125/25)</t>
  </si>
  <si>
    <t xml:space="preserve">הצעת חוק הנוער (טיפול והשגחה) (תיקון - ביטול הגנת קטין מפני פרסומים מזיקים במקרה של טיפול ואשפוז פסיכיאטריים), התשפ"ד-2023</t>
  </si>
  <si>
    <t xml:space="preserve"> (פ/4124/25)</t>
  </si>
  <si>
    <t xml:space="preserve">הצעת חוק שירות המילואים (תיקון - התנדבות למילואים במג"ב), התשפ"ד-2023</t>
  </si>
  <si>
    <t xml:space="preserve"> (פ/4121/25)</t>
  </si>
  <si>
    <t xml:space="preserve">הצעת חוק הכנסת (תיקון - שעת שאלות לראש הממשלה), התשפ"ד-2023</t>
  </si>
  <si>
    <t xml:space="preserve"> (פ/4120/25)</t>
  </si>
  <si>
    <t xml:space="preserve">הצעת חוק הרשות הארצית לכבאות והצלה (נספים), התשפ"ד-2023</t>
  </si>
  <si>
    <t xml:space="preserve"> (פ/4119/25)</t>
  </si>
  <si>
    <t xml:space="preserve">חוק התכנון והבנייה (תיקון מס' 150 והוראת שעה - חרבות ברזל), התשפ"ד-2023</t>
  </si>
  <si>
    <t xml:space="preserve"> (מ/1681)</t>
  </si>
  <si>
    <t xml:space="preserve">06.12.2023</t>
  </si>
  <si>
    <t xml:space="preserve">מטרת החוק היא לאפשר הקמת מתחמי מגורים זמניים למפוני עוטף עזה במלחמת "חרבות ברזל" באופן מזורז באמצעות קביעת הליכים ייעודיים. נקבע כי שר הפנים יהיה רשאי לקבוע בצו הקמת מתחם מגורים זמני לאותם תושבים ללא צורך בקבלת היתר בנייה. במקרים שהקמת המתחם תיעשה בשטח שאין לגביו תוכנית, רשאי שר הפנים לאשר את הקמת המתחם אף בפטור מתוכנית. זאת בתנאי שהתקבלה חוות דעתו של מתכנן המחוז לפיה יש אפשרות סבירה להסדרת העבודות בתכנית עתידית ותוך מתן אפשרות לראש הרשות המקומית שבתחומה מוצע הצו להציג את עמדתו בפני השר. עוד נקבע כי במצב בו נקבע בצו פטור מתכנית, יפקע תוקפו של הצו אם לא הוגשה תכנית הכוללת הוראות להסדרת העבודות כפי שנקבעו בצו בתוך שנתיים, אם לא התקבלה החלטה על אישור התכנית תוך 3 שנים וחצי, אם התכנית לא נכנסה לתוקף בתוך 5 שנים או אם התכנית המסדירה את העבודות בצו נכנסה לתוקף. כמו כן, ניתנה לשר הפנים סמכות להאריך את תוקפו של הצו במצבים מסוימים. פקע הצו בלא שאושרה תכנית מסדירה כאמור, יהיה אחראי מבצע העבודות לפי הצו להשיב את המצב לקדמותו.  עוד נקבע כי מספר הצווים להקמת מתחם שחל בשטח שאיננו תואם תכנית שאושרה או שהוחלט על הפקדתה, לא יעלה על 12. שר הפנים, באישור ועדת הפנים והגנת הסביבה רשאי להגדיל את מספר הצווים כאמור.  כמו כן, נקבע כי מתן האפשרות לבנות שירותים ומקלחת בממ"דים באזורי עימות המצויה בסעיף 151(ג)(2) לחוק התכנון והבנייה, תורחב גם לאזור הסמוך לגבול עם סוריה.</t>
  </si>
  <si>
    <t xml:space="preserve">חוק הסמכת צבא הגנה לישראל ושירות הביטחון הכללי לביצוע חדירה לחומר מחשב המשמש להפעלת מצלמה נייחת ופעולה בו (הוראת שעה – חרבות ברזל), התשפ"ד-2023</t>
  </si>
  <si>
    <t xml:space="preserve"> (מ/1680)</t>
  </si>
  <si>
    <t xml:space="preserve">החוק מסמיך את צה"ל ואת השב"כ לחדור לחומר מחשב הנמצא במחשב המפעיל מצלמה נייחת, לשם סיכול או מניעה של גישה למידע החזותי המופק במצלמה, אם יש בו כדי לסכן באופן ממשי את ביטחון המדינה או את רציפות התפקוד המבצעי של צה"ל, בקשר לפעילות במסגרת מלחמת "חרבות ברזל". החוק נקבע כהוראת שעה לשישה חודשים, עם אפשרות להארכה לתקופה של עד שלושה חודשים.</t>
  </si>
  <si>
    <t xml:space="preserve">חוק לתיקון דיני הראיות (הגנת ילדים) (תיקון מס' 19 - הוראת שעה - חרבות ברזל), התשפ"ד-2023</t>
  </si>
  <si>
    <t xml:space="preserve"> (מ/1683)</t>
  </si>
  <si>
    <t xml:space="preserve">04.12.2023</t>
  </si>
  <si>
    <t xml:space="preserve">חוקר ילדים אחראי על חקירת ילדים וגביית העדות בעבירות המפורטות בתוספת בחוק. בחוק זה, הורחבה סמכותו של חוקר ילדים כאמור לעניין עבירות המתה, עבירות התעללות ועבירות חטיפה בקשר למעשה טרור או פגיעת איבה שבוצעו בתקופה מיום ה-7 באוקטובר 2023 עד תום שנה מיום תחילתו של החוק זאת בתנאי שהילד אינו חשוד ומתחת לגיל 14. שר המשפטים רשאי להאריך את התקופה בהסכמת שר הרווחה והביטחון חברתי, ובאישור ועדת החוקה, חוק ומשפט. כמו כן, הורחבה סמכותו של חוקר ילדים אף לעניין כל עבירה שבוצעה בקשר למעשה טרור או פגיעת איבה בתקופה מיום ה-7 באוקטובר 2023 עד יום 9 באוקטובר 2023, זאת בתנאי שהילד אינו חשוד ומתחת לגיל 15. במידה והילד נפגע עבירת החטיפה, חוקר הילדים יוכל לחקור אותו גם אם המעשה או פגיעת האיבה התרחשה לאחר התקופה המנויה. לבסוף, נקבע שבטרם קבלת ההחלטה על חקירת ילדים בקשר למעשה הטרור או פגיעת האיבה שבוצעו, יתייעץ הקצין הממונה על חקירת העבירה במשטרה עם חוקר ילדים. </t>
  </si>
  <si>
    <t xml:space="preserve">הצעת חוק הסכם לקליטת תושבים מרצועת עזה, התשפ"ד-2023</t>
  </si>
  <si>
    <t xml:space="preserve"> (פ/4118/25)</t>
  </si>
  <si>
    <t xml:space="preserve">הצעת חוק להקפאת כספים ששילמה הרשות הפלסטינית בזיקה לטרור מהכספים המועברים אליה מממשלת ישראל (תיקון - הקמת קרן ייעודית לטובת נפגעי פעולות טרור), התשפ"ד-2023</t>
  </si>
  <si>
    <t xml:space="preserve"> (פ/4117/25)</t>
  </si>
  <si>
    <t xml:space="preserve">הצעת חוק הקמת קרן למלחמה בעישון ולצמצום והטבת נזקי הטבק ומוצריו, התשפ"ד-2023</t>
  </si>
  <si>
    <t xml:space="preserve"> (פ/4116/25)</t>
  </si>
  <si>
    <t xml:space="preserve">הצעת חוק רכש טובין ושירותים מתוצרת הארץ או מעוסק ישראלי (חרבות ברזל - הוראת שעה), התשפ"ד-2023</t>
  </si>
  <si>
    <t xml:space="preserve"> (פ/4113/25)</t>
  </si>
  <si>
    <t xml:space="preserve">הצעת חוק הגנה על עובדים בשעת חירום (תיקון - אובדן ימי עבודה בשל מצב מיוחד בעורף), התשפ"ד-2023</t>
  </si>
  <si>
    <t xml:space="preserve"> (פ/4112/25)</t>
  </si>
  <si>
    <t xml:space="preserve">חוק התכנון והבנייה (תיקון מס' 149 והוראת שעה), התשפ"ד-2023</t>
  </si>
  <si>
    <t xml:space="preserve">29.11.2023</t>
  </si>
  <si>
    <t xml:space="preserve">נקבע כי יושב ראש מוסד תכנון רשאי להורות על דרכי פרסום נוספות על האמור בחוק אם מצא כי הפרסום איננו יעיל בשל נוכחות מעטה של תושבים בשטח שהתכנית חלה עליו, עקב מצב מיוחד בעורף.  עוד נקבע כי יחול הליך רישוי בדרך מקוצרת על הקמת מרחב מוגן במבנה קיים. כמו כן, גורם מאשר או גורם נוסף ישיב לפנייה בנוגע להקמת מרחב מוגן כאמור שהגיש מבקש ההיתר בתוך 15 ימים. לא השיב הגורם בתוך התקופה האמורה, יראו בו כמי שנתן את הסכמתו. שר הפנים רשאי לקבוע את התנאים שרשות הרישוי או מהנדס ועדה רשאים לקבוע כתנאי למתן היתר או כתנאי ביתר לעניין הקמת מרחב מוגן כאמור. בנוסף, לא תידרש הסכמת רשות מקרקעי ישראל להקמת המרחב המוגן, והיא לא תגבה כל תשלום בשל הקמתו. כמו כן, נקבע כי באזורי עימות לא יראו כסטייה ניכרת תוספת של 3 מ"ר של שטר רצפה לשם חדר שירותים או רחצה למרחב מוגן דירתי שאינו מרחב מוגן ליחידת דיור קיימת בבניין רב קומות. כמו כן, נקבע כי לא יראו קרקע כנפגעת אם נפגעה על ידי תכנית שמטרתה היחידה היא קביעת הוראות לבניית מרחב מוגן או חדר עם שיפורי מיגון במבנה קיים. בנוסף, לא יהיה תשלום היטל השבחה בגין השבחה בשל תכנית שמטרתה העיקרית היא קביעת הוראות לבניית מרחב מוגן או שיפורי מיגון.</t>
  </si>
  <si>
    <t xml:space="preserve">חוק הגנה על עובדים בשעת חירום (תיקון מס' 5 והוראת שעה – חרבות ברזל), התשפ"ד-2023</t>
  </si>
  <si>
    <t xml:space="preserve"> (מ/1672)</t>
  </si>
  <si>
    <t xml:space="preserve">27.11.2023</t>
  </si>
  <si>
    <t xml:space="preserve">חוק זה קובע כהוראת שעה לשלושה חודשים (עם אפשרות הארכה של כולה או חלקה, עד 12 חודשים), הגנה מפני פיטורים לעובד שנעדר מעבודתו או לא ביצע את עבודתו, מאחת הסיבות המפורטות:  (א) העובד שהתפנה מאחד הישובים שמנויים בתוספת;  (ב) העובד הוא הורה או בן זוג של נעדר או חטוף, או שהוא ילדו או אחיו של החטוף או קרוב משפחה אחר של חטוף או נעדר והצהיר שההיעדרות או אי ביצוע העבודה נגרמו עקב כך. (ג) העובד שנעדר משום שיש עמו ילד עד גיל 14 ובן זוגו או הורהו האחר של הילד הוא חייל או שהוא בשירות עבודה או בשירות אחר שמנוי בסעיף 11 לחוק.  (4) העובד נעדר מעבודתו משום שהוא חטוף או נעדר.  (5) העובד נעדר בשל סגירת מוסד החינוך של ילדו  - גם  אם הסגירה היא עקב הודעה מהרשות המקומית או ממוסד החינוך עצמו בלבד. כמו כן החוק קובע כהוראת שעה לשנתיים, שניתן להאריכה בשנה נוספת, שמעסיק של עובד חטוף או נעדר יהיה חייב להמשיך להפריש עבורו בתקופה שהוא חטוף או נעדר את מלוא ההפרשות לקופת גמל לקצבה לשם שמירת רצף הזכויות והמוסד לביטוח לאומי ישפה את המעסיק על כך. המוסד לביטוח לאומי ישלם את ההפקדות לקופת גמל לקצבה עבור חטוף או נעדר שהוא עצמאי, וכן עבור חטוף או נעדר שעבודתו הסתיימה בחמשת החודשים שקדמו לחטיפה או ההיעדרות וגם למי שתסתיים העסקתו לאחר מכן, בתקופה שהוא חטוף או נעדר. החוק קובע כהוראה קבועה כי ההגנה מפני פיטורים הניתנת בשל הצורך בהשגחה על ילד קיימת גם לגבי ילד במשפחת אומנה וזאת בכפוף לאישור של מנחה האומנה.  </t>
  </si>
  <si>
    <t xml:space="preserve">הצעת חוק קליטת חיילים משוחררים (תיקון - מימון מלא לתוכנית "ממדים ללימודים"), התשפ"ג-2023</t>
  </si>
  <si>
    <t xml:space="preserve"> (פ/1761/25)</t>
  </si>
  <si>
    <t xml:space="preserve">הצעת חוק קליטת חיילים משוחררים (תיקון - מימון שכר לימוד מלא ללוחמים), התשפ"ג-2023</t>
  </si>
  <si>
    <t xml:space="preserve"> (פ/1424/25)</t>
  </si>
  <si>
    <t xml:space="preserve"> (פ/1280/25)</t>
  </si>
  <si>
    <t xml:space="preserve">חוק הארכת תקופות ודחיית מועדים (הוראת שעה – חרבות ברזל) (הליכי מס ומענקי סיוע), התשפ"ד-2023 </t>
  </si>
  <si>
    <t xml:space="preserve"> (מ/1677)</t>
  </si>
  <si>
    <t xml:space="preserve">מוצע להאריך תוקפן של תקופות קצובות בזמן שנקבעו בהליכי מס שונים. לפי המוצע, אם מועד תחילת ביצוע הפעולה חל לפני תום התקופה הקובעת (תקופה של שלושה חודשים שתחילתה ביום 7 באוקטובר 2023) ומועד סיום ביצוע הפעולה, חל במהלך התקופה הקובעת או בחודשיים שאחריה, תקופה זו לא תבוא במניין הימים לביצוע הפעולה. כמו כן, מוצע להוסיף ימים למניין התקופות בעניין מכירת דירת מגורים מזכה לפי חוק מיסוי מקרקעין (שבח ורכישה), התשכ"ג–1963.</t>
  </si>
  <si>
    <t xml:space="preserve">הצעת חוק-יסוד: מדינת ישראל</t>
  </si>
  <si>
    <t xml:space="preserve"> (פ/4110/25)</t>
  </si>
  <si>
    <t xml:space="preserve">הצעת חוק-יסוד: ישראל - מדינת הלאום של העם היהודי (תיקון - שוויון זכויות לעדה הדרוזית)</t>
  </si>
  <si>
    <t xml:space="preserve"> (פ/4108/25)</t>
  </si>
  <si>
    <t xml:space="preserve">הצעת חוק-יסוד: עיגון מעמדה של העדה הדרוזית כשוות זכויות אזרחיות במדינת ישראל</t>
  </si>
  <si>
    <t xml:space="preserve"> (פ/4107/25)</t>
  </si>
  <si>
    <t xml:space="preserve">הצעת חוק-יסוד: ישראל - מדינת הלאום של העם היהודי (תיקון - שוויון, שפה והתיישבות)</t>
  </si>
  <si>
    <t xml:space="preserve"> (פ/4103/25)</t>
  </si>
  <si>
    <t xml:space="preserve">הצעת חוק זכויות נפגעי עבירה (תיקון - מתן קדימות בהליכים פליליים לנפגעי עבירה קטינים בגין עבירת מין או אלימות חמורה), התשפ"ד-2023</t>
  </si>
  <si>
    <t xml:space="preserve"> (פ/4102/25)</t>
  </si>
  <si>
    <t xml:space="preserve"> (פ/4101/25)</t>
  </si>
  <si>
    <t xml:space="preserve">הצעת חוק ההתיישנות (תיקון - הרחבת הזכות לתביעה בגין עבירות שהוגש בהם כתב אישום), התשפ"ד-2023</t>
  </si>
  <si>
    <t xml:space="preserve"> (פ/4098/25)</t>
  </si>
  <si>
    <t xml:space="preserve">הצעת חוק החמרת ענישה ושלילת אזרחות (תיקוני חקיקה), התשפ"ד-2023</t>
  </si>
  <si>
    <t xml:space="preserve"> (פ/4097/25)</t>
  </si>
  <si>
    <t xml:space="preserve">הצעת חוק הקפאה של העברת כספים לרשות הפלסטינית בזמן מלחמה, בעת ביצוע פעולות צבאיות משמעותיות ובתקופת מצב מיוחד בעורף (תיקוני חקיקה), התשפ"ד-2023 </t>
  </si>
  <si>
    <t xml:space="preserve"> (פ/4095/25)</t>
  </si>
  <si>
    <t xml:space="preserve">הצעת חוק חיילים משוחררים (החזרה לעבודה) (תיקון - הגנה לבני ובנות זוג של משרתי מילואים מפני פיטורים), התשפ"ד-2023</t>
  </si>
  <si>
    <t xml:space="preserve"> (פ/4094/25)</t>
  </si>
  <si>
    <t xml:space="preserve">הצעת חוק הנצחת זכרם וגבורתם של נופלי ושורדי מלחמת עוטף ישראל, התשפ"ד-2023</t>
  </si>
  <si>
    <t xml:space="preserve"> (פ/4091/25)</t>
  </si>
  <si>
    <t xml:space="preserve">הצעת חוק יום הזיכרון למתקפה על ישראל בשמחת תורה ולעוז הרוח, התשפ"ד-2023</t>
  </si>
  <si>
    <t xml:space="preserve"> (פ/4089/25)</t>
  </si>
  <si>
    <t xml:space="preserve">הצעת חוק הדגל, הסמל והמנון המדינה (תיקון - הצבת דגל המדינה בכיתות במוסדות חינוך מוכרים ובמוסדות להשכלה גבוהה), התשפ"ד-2023</t>
  </si>
  <si>
    <t xml:space="preserve"> (פ/4086/25)</t>
  </si>
  <si>
    <t xml:space="preserve">חוק הארכת תקופות ודחיית מועדים (הוראת שעה – חרבות ברזל) (סדרי מינהל, תקופות כהונה ותאגידים), התשפ"ד-2023</t>
  </si>
  <si>
    <t xml:space="preserve"> (מ/1673)</t>
  </si>
  <si>
    <t xml:space="preserve">22.11.2023</t>
  </si>
  <si>
    <t xml:space="preserve">נקבע הסדר שעניינו מתן ארכה לרשויות ולאזרחים לביצוע פעולות שונות, על רקע מלחמת "חרבות ברזל". בכל הנוגע לאזרחים – ניתנת הארכה גורפת של חודשיים לביצוע פעולות רבות אשר מועד ביצוען חל בין 7.10.2023 ל-7.1.2024, זאת מלבד חריגים המפורטים בתוספת שאינם מוארכים. לעניין, קבלת החלטות מינהליות בנושאים שונים נעשתה הבחנה בין התקופה עד חקיקת החוק והתקופה שלאחריה. לגבי מועדים טרם חקיקת החוק (מיום 7.10.23 ועד 22.11.23), לרשויות תינתן דחייה גורפת של חודשיים על כל ההחלטות המנהליות שהיו צריכות להתקבל (מלבד חריגים המנויים בתוספת). לגבי החלטות מיום 23.11.2023 ועד ליום 7.1.2024, אין דחייה גורפת והשר הרלוונטי יידרש לקבל החלטה ספציפית כדי לקבל דחייה וזאת בהתאם להליך שנקבע בחוק. התקופה הקובעת ותקופות הדחייה שנקבעו בחוק ניתנות להארכה בצו, באישור ועדת החוקה.  כמו כן, החוק כולל שורה של הסדרים ספציפיים המאריכים מועדים בתחומים שונים ובהם חופש המידע, כהונת נושאי משרה בגופים ציבוריים, כהונת דירקטורים בתאגידים ועוד. </t>
  </si>
  <si>
    <t xml:space="preserve">חוק התגמולים לנפגעי פעולות איבה (תיקון מס' 41 - הוראת שעה – חרבות ברזל) (מינוי רופא מוסמך), התשפ"ד-2023</t>
  </si>
  <si>
    <t xml:space="preserve"> (מ/1679)</t>
  </si>
  <si>
    <t xml:space="preserve">20.11.2023</t>
  </si>
  <si>
    <t xml:space="preserve">חוק זה קובע הוראת שעה לשנתיים, שלפיה קביעת דרגת נכות של נפגע פעולות איבה תוכל להיעשות גם על ידי רופא מוסמך כהגדרתו בסעיף 208(ב) לחוק הביטוח הלאומי, כלומר, על ידי רופא שמוסמך בדרך כלל לקבוע אחוזי נכות בנכות כללית, ואולם נדרש כי הוא יהיה בעל ידע בתחומים הנכללים בתוכנית ההכשרה של רופא שקובע כיום דרגת נכות לנפגע איבה. בנוסף, החוק מסמיך את שר העבודה להאריך את הוראת השעה אם נוכח כי הדבר נדרש בשל ריבוי תביעות, בתקופות נוספות, שבמצטבר לא יעלו על שנה. ערר על החלטת רופא מוסמך תוגש לוועדה רפואית לעררים לפי סעיף 122 לחוק הביטוח הלאומי.  החוק קובע כי הוראת השעה תחול גם על תביעות לתגמול שהוגשו לפני תחילתה, מיום 8.10.23. עוד החוק מתקן את חוק התוכנית לסיוע כלכלי (הוראת שעה – חרבות ברזל) ומבהיר כי עובד שיצא לחל"ת ומעסיקו פטור מתשלום דמי ביטוח בעדו, יראו אותו כאילו שולמו בעדו דמי ביטוח, וזאת כדי להבטיח בין היתר רצף של זכויות. בנוסף חוק זה מתקן את תיקון מס' 238 לחוק הביטוח הלאומי, ומבהיר כי הוראת השעה לעניין תגמול מזערי למשרתי מילואים תחול בתקופת הוראת השעה גם אם תוארך בצו מעבר ל-31.12.23. </t>
  </si>
  <si>
    <t xml:space="preserve">הצעת חוק לתיקון פקודת בתי הסוהר (שלילת זכאות למימון שירותי בריאות משפרי איכות חיים לאסיר ביטחוני), התשפ"ג-2022</t>
  </si>
  <si>
    <t xml:space="preserve"> (פ/231/25)</t>
  </si>
  <si>
    <t xml:space="preserve"> (פ/37/25)</t>
  </si>
  <si>
    <t xml:space="preserve">חוק ארגון הפיקוח על העבודה (תיקון מס' 12), התשפ"ד-2023</t>
  </si>
  <si>
    <t xml:space="preserve"> (מ/1619)</t>
  </si>
  <si>
    <t xml:space="preserve">חוק זה מאריך את תוקף הוראת השעה לעניין עוזרי בטיחות בשנתיים נוספות וכן מכניס בהוראה זו מספר שינויים. ראשית, החוק מבהיר כי החובה למנות עוזר בטיחות חלה רק באתר בנייה בו נדרש מינוי של מנהל עבודה. שנית, בחוק נוספה הוראה המאפשרת גם לאוכלוסיות נוספות להיות עוזרי בטיחות -  כך שכעת גם אדם ללא ניסיון בעבודות בניה או בניה הנדסית יוכל לשמש כעוזר בטיחות וזאת אם עבר בהצלחה הכשרה מעשית בהיקף של יותר ממאה שעות, וכן יוכל לשמש כעוזר בטיחות מי שהוא מהנדס או הנדסאי בענף הנדסה אזרחית או מי שהוא כשיר להיות מנהל עבודה או ממונה בטיחות, כל עוד לא מונה לתפקידים אלה באותו אתר בנייה. שלישית, בחוק נוספו תפקידים נוספים לתפקידים של עוזר הבטיחות, כמו תפקיד של סיוע למנהל העבודה במעקב אחר תיקון של הוראת בטיחות שהחובה לקיומה מוטלת על מנהל העבודה. </t>
  </si>
  <si>
    <t xml:space="preserve">הצעת חוק ההתנתקות והפיצויים לנפגעיה (תיקון - נוכחות וחופש תנועה לישראלים בחבל עזה), התשפ"ד-2023 </t>
  </si>
  <si>
    <t xml:space="preserve"> (פ/4085/25)</t>
  </si>
  <si>
    <t xml:space="preserve">הצעת חוק העונשין (תיקון - פריצה למיתקן ביטחוני), התשפ"ד-2023</t>
  </si>
  <si>
    <t xml:space="preserve"> (פ/4084/25)</t>
  </si>
  <si>
    <t xml:space="preserve">הצעת חוק איסור כספים קואליציוניים, התשפ"ד-2023</t>
  </si>
  <si>
    <t xml:space="preserve"> (פ/4082/25)</t>
  </si>
  <si>
    <t xml:space="preserve">הצעת חוק משפחות חיילים שנספו במערכה (תגמולים ושיקום) (תיקון - הרחבת הזכאות ליתומים שמלאו להם 21 שנים), התשפ"ד-2023</t>
  </si>
  <si>
    <t xml:space="preserve"> (פ/4081/25)</t>
  </si>
  <si>
    <t xml:space="preserve">הצעת חוק תשלום קצבאות לחיילי מילואים ולבני משפחותיהם (תיקון - השוואת תנאי אלמנות חללי המילואים), התשפ"ד-2023 </t>
  </si>
  <si>
    <t xml:space="preserve"> (פ/4080/25)</t>
  </si>
  <si>
    <t xml:space="preserve">הצעת חוק למניעת חרם חברתי בבתי ספר, התשפ"ד-2023</t>
  </si>
  <si>
    <t xml:space="preserve"> (פ/4079/25)</t>
  </si>
  <si>
    <t xml:space="preserve">הצעת חוק התכנון והבנייה (תיקון - פיצול דירות) (הוראת שעה), התשפ"ד-2023</t>
  </si>
  <si>
    <t xml:space="preserve"> (פ/4078/25)</t>
  </si>
  <si>
    <t xml:space="preserve">הצעת חוק העונשין (תיקון - עונש מינימום וקנס על החזקת נשק בלתי חוקי), התשפ"ד-2023</t>
  </si>
  <si>
    <t xml:space="preserve"> (פ/4077/25)</t>
  </si>
  <si>
    <t xml:space="preserve">הצעת חוק מס ערך מוסף (תיקון - מכירת טובין למלכ"ר המיועדים לתרומה לכוחות הביטחון וההצלה), התשפ"ד-2023</t>
  </si>
  <si>
    <t xml:space="preserve"> (פ/4076/25)</t>
  </si>
  <si>
    <t xml:space="preserve">הצעת חוק הסדרים במשק המדינה (תיקוני חקיקה להשגת יעדי התקציב) (תיקון - פטור מארנונה לנכס שפונה בעת מצב הלחימה - חרבות ברזל), התשפ"ד-2023</t>
  </si>
  <si>
    <t xml:space="preserve"> (פ/4075/25)</t>
  </si>
  <si>
    <t xml:space="preserve">הצעת חוק התגמולים לנפגעי פעולות איבה (תיקון - נכי ארגוני הצלה במלחמת חרבות ברזל), התשפ"ד-2023 </t>
  </si>
  <si>
    <t xml:space="preserve"> (פ/4074/25)</t>
  </si>
  <si>
    <t xml:space="preserve">הצעת חוק לתיקון פקודת מס הכנסה (פטור ממס על משיכה הונית מקופת גמל), התשפ"ד-2023</t>
  </si>
  <si>
    <t xml:space="preserve"> (פ/4073/25)</t>
  </si>
  <si>
    <t xml:space="preserve">הצעת חוק למניעת הוצאה של כספים מישראל על ידי מסתנן או נתין זר או עבורו, התשפ"ד-2023</t>
  </si>
  <si>
    <t xml:space="preserve"> (פ/4072/25)</t>
  </si>
  <si>
    <t xml:space="preserve">הצעת חוק העונשין (תיקון - ניקוי ישראל מנשק לא חוקי), התשפ"ד-2023 </t>
  </si>
  <si>
    <t xml:space="preserve"> (פ/4070/25)</t>
  </si>
  <si>
    <t xml:space="preserve">הצעת חוק הנגשה לשונית והתאמה תרבותית, התשפ"ד-2023</t>
  </si>
  <si>
    <t xml:space="preserve"> (פ/4069/25)</t>
  </si>
  <si>
    <t xml:space="preserve">הצעת חוק החומרים המסוכנים (תיקון - פרטי התקשרות למרכז רעלים), התשפ"ד-2023</t>
  </si>
  <si>
    <t xml:space="preserve"> (פ/4068/25)</t>
  </si>
  <si>
    <t xml:space="preserve">חוק הארכת תקופות ודחיית מועדים (הוראת שעה – חרבות ברזל) (תכנון ובנייה ומקרקעי ציבור), התשפ"ד-2023</t>
  </si>
  <si>
    <t xml:space="preserve">15.11.2023</t>
  </si>
  <si>
    <t xml:space="preserve">נקבע הסדר שעניינו הארכת תקופות ודחיית מועדים לביצוע פעולות בנושאי התכנון והבנייה. כך למשל נקבעה תקופת הקפאה גורפת בכל הארץ, ותקופת הקפאה ארוכה יותר ביישובים שפונו בשל המצב הביטחוני המיוחד, אשר במסגרתן, אם חלה תקופה שנקבעה לפי הוראות חוק מסוימות המצוינות בחוק זה, לא יבואו הימים שבתקופת ההקפאה במניין הימים של התקופה האמורה. כמו כן, ניתנה סמכות ליושב ראש מוסד תכנון להורות על הארכת תקופה המוגדרת בחוק או להורות על דיון בהתנגדות שהוגשה לאחר תום המועד להגשת התנגדות לפי כל דין, אם סבר שיש לכך הצדקה בשל המצב הביטחוני המיוחד. בנוסף, הוראות פקיעה של תכנית שחלה בתקופה של 5 חודשים מיום כ"ב בתשרי התשפ"ד (7 באוקטובר 2023), יידחה מועד פקיעת התכנית בשישה חודשים. עוד נקבע כי ועדה מקומית עצמאית שהסמכתה הסתיימה בתקופה שמיום י"ד באב התשפ"ג (1 באוגוסט 2023), תוארך הסמכתה לתקופה של שנה. נוסף על כן, נקבע הסדר בהוראת שעה למשך שנה, במסגרתו במידה וועדה מקומית לא החליטה בבקשה להיתר בתוך 90 ימים ממועד קליטתה, בהינתן תנאים מסוימים הבקשה תעבור לדיון בוועדת הערר, לה יהיו את כל הסמכויות הנתונות לוועדה המקומית לעניין זה. </t>
  </si>
  <si>
    <t xml:space="preserve">חוק קיום דיונים בהיוועדות חזותית בהשתתפות עצורים ואסירים (הוראת שעה – חרבות ברזל), התשפ"ד-2023</t>
  </si>
  <si>
    <t xml:space="preserve">לתקופת זמן של חודש עד ל-18 בדצמבר 2023 או עד לתום תקופת תוקפה של ההכרזה על מצב מיוחד בעורף, לפי המוקדם, יהיה ניתן לקיים דיוני מעצר בעבירות ביטחון, דיוני הקראה ודיון שאינו דיון פלילי שהוא צד בו או שנדרשת נוכחותו של העציר או האסיר, בבתי המשפט ובבתי הדין שלא בנוכחות עצורים ואסירים אלא בהשתתפותם בהיוועדות חזותית. ואולם, כל זמן שלא התקיים דיון בהשתתפות פיזית של האסיר או העציר הארכת המעצר תהיה לשבועיים בלבד. כמו כן, נקבעו הוראות על אופן קיומו של דיון בהיוועדות חזותית כגון מיזעור הפגיעה בעצור או באסיר, חובת נוכחות סניגורו של העצור בדיון, תירגום בידי מתורגמן, עריכת התאמות בעניינו של עצור או אסיר עם מוגבלות ועוד.</t>
  </si>
  <si>
    <t xml:space="preserve">חוק הענקת אזרחות כבוד לחללי מערכות ישראל, התשפ"ד-2023</t>
  </si>
  <si>
    <t xml:space="preserve"> (מ/1678)</t>
  </si>
  <si>
    <t xml:space="preserve">נקבע כי שר הפנים, בהמלצת שר הביטחון, יעניק אזרחות כבוד של מדינת ישראל לחלל מערכות ישראל שבמועד פטירתו לא היה אזרח ישראלי.  עוד נקבע כי במידה והורה, בן זוג, ילד או אח של חלל שהוענקה לו אזרחות כבוד יגיש בקשה לשר הפנים לבטלה, שר הפנים יעשה כן כך שיראוה כאילו לא ניתנה כלל.</t>
  </si>
  <si>
    <t xml:space="preserve">חוק הארכת תקופות (הוראת שעה – חרבות ברזל) (אומנה לילדים), התשפ"ד-2023 </t>
  </si>
  <si>
    <t xml:space="preserve">13.11.2023</t>
  </si>
  <si>
    <t xml:space="preserve">חוק זה קובע כי במקרים שבהם האריך המפקח הארצי על האומנה את תקופת שהייתו של ילד באומנת חירום בשלושה חודשים נוספים לפי הוראות סעיף 62 לחוק האומנה לילדים, התשע"ו-2016, והיום האחרון של הארכת תקופת השהייה כאמור חל בתקופה של שלושה חודשים שתחילתה ביום 7 באוקטובר 2023, יהיה המפקח הארצי על האומנה, בהתייעצות עם גורמי המקצוע ומטעמים מיוחדים שיירשמו, רשאי להאריך את תקופת השהייה של הילד באומנת החירום בתקופה נוספת שלא תעלה על שלושה חודשים נוספים. כל זאת בלי לגרוע מחובת המפקח הארצי על האומנה לפעול במהירות הראויה בהתאם לנסיבות העניין.</t>
  </si>
  <si>
    <t xml:space="preserve">חוק חינוך מיוחד (הוראת שעה – חרבות ברזל) (הארכת זכאות), התשפ"ד-2023 </t>
  </si>
  <si>
    <t xml:space="preserve"> (מ/1671)</t>
  </si>
  <si>
    <t xml:space="preserve">החוק קובע בהוראת שעה כי זכאות לשירותי חינוך מיוחדים של תלמיד שנקבעה על ידי ועדת זכאות ואפיון או יל ידי ועדת השגה בשנות הלימוד תשפ"א-תשפ"ג, תוארך בשנה נוספת בלא צורך בקיום דיון חוזר בוועדה; זאת מבלי לגרוע מהסמכות לקיים דיון חוזר בוועדה לגבי התלמיד אם הוגשה בקשה לעשות כן, לרבות ע"י ההורים. עוד נקבע סייג לפיו יתקיים דיון חוזר בעניינם של תלמידים שנקבעה להם זכאות בשנים התשפ"ב-התשפ"ג, אם תום תקופת הזכאות המקורית הוא לקראת מעבר בין שלבי הגיל (מגן חובה לבי"ס יסודי, מיסודי לחטיבת הביניים או מחטיבת הביניים לחטיבה העליונה). החוק מחייב את משרד החינוך, ככל הניתן, להודיע להורים בתוך חודש מתחילתו על תקופת הארכת הזכאות, הזכות לבקש דיון חוזר ודרך הגשת הבקשה לדיון חוזר. </t>
  </si>
  <si>
    <t xml:space="preserve">חוק פסיקת ריבית והצמדה (תיקון מס' 9), התשפ"ד-2023 </t>
  </si>
  <si>
    <t xml:space="preserve"> (מ/1542)</t>
  </si>
  <si>
    <t xml:space="preserve"> חוק פסיקת ריבית והצמדה, התשכ"א–1961 תוקן לאור השינויים שחלו במשק הישראלי ובמטרה להבטיח כי ההסדר יאזן בצורה מדויקת יותר בין האינטרסים של הנושים והחייבים, תוך שמירה על פשטות ההסדר ככל הניתן. בכלל זה, נקבעה הריבית השקלית כריבית ברירת מחדל, נקבע מנגנון הוספת "דמי פיגורים" במקום "ריבית פיגורים" ובוטל מנגנון ה"ריבית דריבית" עליו, וכן בוטלה הריבית על מטבע החוץ.  כמו כן, נעשו תיקונים עקיפים לחוקים המפנים להוראות החוק האמור או להגדרות המופיעות בו, לצורך התאמתם להסדר החדש. התיקון העקיף המשמעותי ביותר הינו בחוק ההוצאה לפועל, התשכ"ז–1967, ולפיו דמי הפיגורים לא יחולו לגבי חייבים המשלמים את חובם בתשלומים. כמו כן הורחב שיקול הדעת של רשמי ההוצאה לפועל להפחית את דמי הפיגורים לצורך קידום הגבייה בתיקים וסגירת חובות. בנוסף, נעשו תיקונים שונים בחוק האמור שמטרתם ליישם את השינויים בחוק פסיקת ריבית והצמדה. </t>
  </si>
  <si>
    <t xml:space="preserve">חוק המאבק בטרור (תיקון מס' 10), התשפ"ד-2023</t>
  </si>
  <si>
    <t xml:space="preserve"> (מ/1668)</t>
  </si>
  <si>
    <t xml:space="preserve">החוק מתקן את פרק ב' לחוק המאבק בטרור, התשע"ו-2016, כך ששר הביטחון יוכל להכריז באופן עצמאי וישיר גם על אדם זר כפעיל טרור, אף מבלי שגורם מוסמך מחוץ לישראל הכריז עליו קודם לכן ככזה.  עוד נקבעה הרחבה להגדרה הקיימת כיום בחוק האמור של "פעיל טרור", כך שגם מי שנוטל חלק באופן ממשי במימון פעילות של ארגון טרור מוכרז או בהעמדת אמצעים לארגון כאמור, גם אם אינו חבר בו, יכנס לגדר ההגדרה "פעיל טרור". כן תוקנה הגדרת המונח "נשק" כך שההגדרה תכלול גם נשק שאינו תקין. </t>
  </si>
  <si>
    <t xml:space="preserve">הצעת חוק משפחות חיילים שנספו במערכה (תגמולים ושיקום) (תיקון - הכרה בארוסות חיילים שנספו במערכה), התשפ"ד-2023</t>
  </si>
  <si>
    <t xml:space="preserve"> (פ/4066/25)</t>
  </si>
  <si>
    <t xml:space="preserve">הצעת חוק להקפאת כספים ששילמה הרשות הפלסטינית בזיקה לטרור מהכספים המועברים אליה מממשלת ישראל (תיקון - עלות החזקת אסיר או עצור שהוא פעיל טרור פלסטיני), התשפ"ד-2023 </t>
  </si>
  <si>
    <t xml:space="preserve"> (פ/4065/25)</t>
  </si>
  <si>
    <t xml:space="preserve">הצעת חוק יום הזיכרון לטבח שמחת תורה בעוטף עזה, התשפ"ד-2023</t>
  </si>
  <si>
    <t xml:space="preserve"> (פ/4064/25)</t>
  </si>
  <si>
    <t xml:space="preserve">הצעת חוק העונשין (תיקון - קנס בעבירת גניבת נשק), התשפ"ד-2023</t>
  </si>
  <si>
    <t xml:space="preserve"> (פ/4063/25)</t>
  </si>
  <si>
    <t xml:space="preserve">הצעת חוק פדיון הבית, התשע"ד-2023</t>
  </si>
  <si>
    <t xml:space="preserve"> (פ/4061/25)</t>
  </si>
  <si>
    <t xml:space="preserve">הצעת חוק המאבק בטרור (תיקון - מניעת הזדהות עם ארגון טרור), התשפ"ד-2023</t>
  </si>
  <si>
    <t xml:space="preserve"> (פ/4060/25)</t>
  </si>
  <si>
    <t xml:space="preserve">הצעת חוק המאבק בטרור (תיקון - החמרת ענישה), התשפ"ד-2023 </t>
  </si>
  <si>
    <t xml:space="preserve"> (פ/4057/25)</t>
  </si>
  <si>
    <t xml:space="preserve">הצעת חוק איסור אספקת חשמל, מים, תקשורת ודלק לישות הנשלטת על ידי חמאס, התשפ"ד-2023</t>
  </si>
  <si>
    <t xml:space="preserve"> (פ/4055/25)</t>
  </si>
  <si>
    <t xml:space="preserve">הצעת חוק איסור לשון הרע (תיקון - הגנה על דיווחים לרשויות החוק), התשפ"ד-2023</t>
  </si>
  <si>
    <t xml:space="preserve"> (פ/4053/25)</t>
  </si>
  <si>
    <t xml:space="preserve">הצעת חוק שירות ביטחון (תיקון - פטור מטעמי הכרה דתית), התשפ"ד-2023</t>
  </si>
  <si>
    <t xml:space="preserve"> (פ/4052/25)</t>
  </si>
  <si>
    <t xml:space="preserve">הצעת חוק יום אבל לאומי לזכרם של נרצחי אירועי ה-7 באוקטובר, התשפ"ד-2023</t>
  </si>
  <si>
    <t xml:space="preserve"> (פ/4050/25)</t>
  </si>
  <si>
    <t xml:space="preserve">חוק הביטוח הלאומי (תיקון מס' 238 - הוראת שעה – חרבות ברזל) (תגמולים למשרתים במילואים), התשפ"ד-2023</t>
  </si>
  <si>
    <t xml:space="preserve"> (מ/1676)</t>
  </si>
  <si>
    <t xml:space="preserve">09.11.2023</t>
  </si>
  <si>
    <t xml:space="preserve">חוק זה קובע כהוראת שעה לגבי מי ששירת במילואים בתקופה שמיום 7.10.2023 ועד יום 31.12.2023, ששיעור התגמול המזערי בעד יום מילואים עבורו יעלה לסכום של 300.61 שקלים חדשים במקום 215.17 שקלים חדשים שהיו ניתנים עד היום. בנוסף, החוק מאפשר לשר העבודה בהסכמת שר הביטחון ושר האוצר ובאישור ועדת העבודה והרווחה של הכנסת להאריך בצו את התקופה האמורה אם הדבר יידרש בשל הימשכות מלחמת חרבות ברזל. </t>
  </si>
  <si>
    <t xml:space="preserve">חוק התוכנית לסיוע כלכלי (הוראת שעה – חרבות ברזל), התשפ"ד-2023</t>
  </si>
  <si>
    <t xml:space="preserve"> (מ/1670)</t>
  </si>
  <si>
    <t xml:space="preserve">08.11.2023</t>
  </si>
  <si>
    <t xml:space="preserve">מוצע לתקן את חוק מס רכוש וקרן פיצויים, התשכ"א–1961, ולקבוע בו מתווה סיוע לעסקים קטנים ובינוניים להשתתפות בהוצאותיהם הקבועות וכן בחלק מהוצאות השכר עקב מלחמת "חרבות ברזל". כמו כן, מוצע לתקן את חוק הביטוח הלאומי [נוסח משולב], התשנ"ה–1995, חוק עבודת נשים, התשי"ד–1954 וחוק מענק הסתגלות מיוחד לבני 67 ומעלה (הוראת שעה – נגיף הקורונה החדש), התש"ף–2020, לשם מתן הקלות והטבות בעניין קבלת דמי אבטלה לעובדים שהעסקתם הופסקה בעקבות המלחמה. </t>
  </si>
  <si>
    <t xml:space="preserve">חוק המאבק בטרור (תיקון מס' 9 והוראת שעה), התשפ"ד-2023</t>
  </si>
  <si>
    <t xml:space="preserve"> (מ/1664)</t>
  </si>
  <si>
    <t xml:space="preserve">נוספה כהוראה שעה לתקופה של שנתיים עבירה שתאסור על צריכה שיטתית וממושכת, בנסיבות של הזדהות עם ארגון הטרור, של פרסומים מסוימים של ארגון חמאס ודאע"ש שכוללים קריאה ישירה לביצוע מעשי טרור, דברי שבח, אהדה או עידוד למעשי הטרור או תיעוד של מעשה הטרור המתלווה לצריכת פרסומים הכוללים קריאה לביצוע מעשה טרור או דברי שבח או אהדה למעשים אלה. דינו של הצורך לפי חוק זה ¬¬– מאסר שנה. עם זאת, צריכה של פרסומים שנעשתה באקראי, בתום לב או במטרה כשרה לא תהיה צריכה אסורה. על שר המשפטים לדווח כל חצי שנה לוועדת החוקה, חוק ומשפט באופן פרטני על אופן הפעלתה של עבירה זו.  כמו כן, נקבע כי היועץ המשפטי לממשלה יהיה רשאי לאצול לפרקליט המדינה ולמשנה לפרקליט המדינה את הסמכות לאשר הגשת כתבי אישום על מכלול עבירות הביטוי הקשורות במאבק בטרור.</t>
  </si>
  <si>
    <t xml:space="preserve">חוק איסור הלבנת הון (תיקון מס' 33), התשפ"ד-2023</t>
  </si>
  <si>
    <t xml:space="preserve"> (מ/1666)</t>
  </si>
  <si>
    <t xml:space="preserve">המטה הלאומי ללוחמה כלכלית בטרור שהוקם במשרד הבטחון התווסף לרשימת הגופים אשר ניתן להעביר אליהם מידע באופן ישיר מהרשות לאיסור הלבנת הון ומימון טרור כאשר תתבצע בקשה מנומקת להעברת המידע, זאת לצורך ביצוע תפקידיו של המטה הלאומי ללוחמה כלכלית בטרור בנוגע לפעילות של ארגוני טרור ובנוגע לפעילות של מימון טרור. כמו כן, המטה התווסף לרשימה של גורמים שלגביהם ראש הרשות המוסמכת צריך לדווח מדי שנה לועדת חוקה, חוק ומשפט על מספר בקשות מידע והעברות מידע ממאגר המידע של הרשות.</t>
  </si>
  <si>
    <t xml:space="preserve">חוק העברת מידע לצורך זיהוי או אימות זהות של אדם לרבות גופה, ואיתור נעדר או שבוי, הנדרשים בשל פעולות האיבה או פעולות המלחמה (הוראות שעה – חרבות ברזל), התשפ"ד-2023</t>
  </si>
  <si>
    <t xml:space="preserve"> (מ/1675)</t>
  </si>
  <si>
    <t xml:space="preserve"> נוספו בהוראת שעה ההוראות שנקבעו בתקנות שעת החירום לצורך הסדרת הגישה של גופי הביטחון למידע מהמאגר הביומטרי במשרד הפנים לצורך זיהוי ואיתור הנרצחים, הנעדרים והשבויים בעקבות מלחמת חרבות ברזל, וכן את אפשרות המשטרה לקבל מידע לרבות מידע גנטי ורפואי שיוכל לסייע במשימה זו. עוד נוספו תיקונים הנוגעים לנושא שמירת טביעות האצבעות במאגר הביומטרי ואיסור מחיקתן בתקופת הוראת השעה,  השימוש בתמונות תווי פנים ע"י רשות האוכלוסין, וכן הוראות בדבר סמכות דרישת ידיעות ומסמכים ע"י צה"ל. התיקונים עוגנו במסגרת שלוש הוראות שעה: האחת - בחוק הכללת אמצעי זיהוי ביומטריים ונתוני זיהוי ביומטריים במסמכי זיהוי ובמאגר מידע, התש"ע-2009, השנייה - בפקודת משטרה, והשלישית במסגרת החוק המוצע. הוראות השעה יעמדו בתוקפן למשך שנה מיום תחילת החוק, עד ליום 7.11.24, ובכפוף לסמכות הארכת תקופה זו, על ידי שר הפנים או השר לביטחון לאומי או שר הביטחון, לפי העניין, לתקופות נוספות שלא יעלו על 12 חודשים במצטבר. כן נקבע כי בתקופת הוראת השעה יהיה ניתן להשתמש בסמכויות האמורות גם לצורך איתור נעדרים והרוגים במסגרת אירוע אזרחי רב נפגעים עליו הכריז שר הפנים. </t>
  </si>
  <si>
    <t xml:space="preserve">חוק נציב תלונות הציבור על שופטים (תיקון מס' 5 - הוראת שעה), התשפ"ד-2023</t>
  </si>
  <si>
    <t xml:space="preserve"> (מ/1669)</t>
  </si>
  <si>
    <t xml:space="preserve">06.11.2023</t>
  </si>
  <si>
    <t xml:space="preserve">נקבע בהוראת שעה לתקופה של חצי שנה, כי שר המשפטים ונשיא בית המשפט העליון, יחד, יהיו רשאים להאריך את תקופת כהונתו של נציב תלונות הציבור על שופטים בתקופה של חצי שנה בלבד.</t>
  </si>
  <si>
    <t xml:space="preserve">חוק תגמולים לבני משפחה של חטופים ונעדרים בפעולת איבה, התשפ"ד–2023</t>
  </si>
  <si>
    <t xml:space="preserve"> (פ/4030/25)</t>
  </si>
  <si>
    <t xml:space="preserve"> (כ/983)</t>
  </si>
  <si>
    <t xml:space="preserve">חוק זה קובע כמה הסדרים לעניין חטופים ונעדרים ובני משפחותיהם. ראשית, החוק קובע שבני משפחה של מי שנקבע כי הוא חטוף או נעדר יהיו זכאים לתגמולים ולהטבות הניתנים לבן משפחה של נספה בפעולת איבה או של חלל צה"ל ואולם שר הביטחון יהיה רשאי לקבוע בתקנות שינויים והתאמות במתן הזכאויות באופן שיתאים לצרכי בני משפחות החטופים. שנית קובע החוק, בהוראת שעה לשנתיים שניתן להאריכה בשנה נוספת, כי למשפחות של שבויים, נעדרים וחטופים ישולם מענק כספי אחת לשלושה חודשים בסכום של 90,000 ש"ח – מחצית מן המענק ישולם לבן הזוג ומחציתו להורים, ובהעדרם – ישולם לבני משפחה אחרים לפי הפירוט שבחוק. כמו כן ישולם מענק, תלת חודשי כאמור, בסך 21,000 שקלים חדשים לכל אחד מאחיו של החטוף או הנעדר, כולל אחים חורגים, וכן לילדיו, אך זאת בתנאי שלא משולמים בעד האחים או הילדים או להם תגמולים בשל אותו חטוף או נעדר. למענקים המשולמים במועד אחד לאדם מסוים נקבעה תקרה של 200,000 ש"ח.  שלישית החוק קובע כי גם חטוף שאינו חייל או איש כוחות הביטחון יהיה זכאי עם שחרורו לתשלומים חודשיים לפי חוק התשלומים לפדויי שבי, התשס"ה–2005. בנוסף, החוק מעגן הגנה מפני עיקולים על הסכומים המשולמים, קובע פטור ממס הכנסה על תשלומים אלו וכן קובע הגבלה על  שכר הטרחה המרבי בעד הטיפול בתביעה לקבלת תשלומים אלה, שלא בשלב המחייב פנייה לערכאות</t>
  </si>
  <si>
    <t xml:space="preserve">חוק הירושה (תיקון מס' 19), התשפ"ד-2023</t>
  </si>
  <si>
    <t xml:space="preserve"> (מ/1667)</t>
  </si>
  <si>
    <t xml:space="preserve">החוק נועד לתת מענה לבעיות יישומיות בתחום הירושה שנובעות ממתקפת הטרור של 7 ו-8 באוקטובר 2023. נקבע כי יורש של אדם שמת כתוצאה מפעולות המלחמה המנויות בחוק בתקופה שמיום ה-7 באוקטובר 2023 ועד שנה מתום תקופת תוקפה של ההכרזה על מצב מיוחד בעורף, רשאי להסתלק מחלקו בעיזבון לא רק לטובת בן זוגו, ילדו או אחיו של המוריש, אלא גם לטובת בני המשפחה של המוריש וכן לטובת בן זוגו לשעבר, ילדו או ילד שהמוריש ראה אותו כילדו. תקופה זו ניתנת להארכה. כמו כן, נקבע כי כאשר מתו בני משפחה בפעולות המלחמה ומותם היה ב-7 באוקטובר 2023 או ב-8 באוקטובר 2023, יראו אותם ככאלה שלא ניתן לקבוע מי מהם מת תחילה, זאת במטרה למעט דיונים בסדר הפטירות וכחריג לעיקרון לפיו העיזבון עובר ליורש של הנפטר האחרון מבני המשפחה. עם זאת, הרשם רשאי לאשר חלוקה אחרת בין היורשים אם היורש הסכים לכך או מטעמים מיוחדים שיירשמו.</t>
  </si>
  <si>
    <t xml:space="preserve">חוק הרשות הלאומית לביטחון קהילתי (תיקון מס' 2), התשפ"ד-2023</t>
  </si>
  <si>
    <t xml:space="preserve"> (מ/1451)</t>
  </si>
  <si>
    <t xml:space="preserve">נקבעו תיקוני חקיקה המשלימים להחלטת הממשלה בדבר סגירת המשרד לחיזוק וקידום קהילתי והעברת הרשות לביטחון קהילתי למשרד לביטחון הפנים.</t>
  </si>
  <si>
    <t xml:space="preserve">חוק התכנון והבנייה (תיקון מס' 146), התשפ"ד-2023</t>
  </si>
  <si>
    <t xml:space="preserve"> (פ/936/25)</t>
  </si>
  <si>
    <t xml:space="preserve"> (כ/976)</t>
  </si>
  <si>
    <t xml:space="preserve">נקבע כי לא יראו העברת מקרקעין או הענקת זכויות בהם הטעונה רישום בפנקסי המקרקעין, בתמורה או ללא תמורה, כמימוש זכויות המחייב בהיטל השבחה, ובלבד שהעברת הזכויות כאמור התבצעה אגב הליך פירוד בין בני זוג. עוד נקבע כי ההסדר כאמור יחול בין היתר על גירושין, ביטול נישואין או הפקעתם, ואף כשהנישואין טרם פקעו אך בית המשפט או בית דין קבע הסדר איזון משאבים בין בני הזוג וכי תחולתו של ההסדר תהיה לעניין שומת השבחה שטרם הפכה לשומה סופית. בנוסף, נקבע לקבוע פטור מהיטל השבחה על השבחה שנוצרה בשל בניית חדר עם שיפורי מיגון במידה ולא ניתן לבנות מרחב מוגן באותו מבנה וזאת על היתר לשיפור מיגון שניתן מיום תחילתו של חוק זה ואילך. </t>
  </si>
  <si>
    <t xml:space="preserve">הצעת חוק הגנת הצרכן (תיקון - הצגת מחיר בשעת חירום), התשפ"ד-2023</t>
  </si>
  <si>
    <t xml:space="preserve"> (פ/4049/25)</t>
  </si>
  <si>
    <t xml:space="preserve">הצעת חוק קליטת חיילים משוחררים (תיקון - הכנסת מקצועות הסיעוד לקרן ממדים ללימודים), התשפ"ד-2023</t>
  </si>
  <si>
    <t xml:space="preserve"> (פ/4048/25)</t>
  </si>
  <si>
    <t xml:space="preserve">הצעת חוק זכויות החולה (תיקון - אדם הנזקק לטיפול רפואי בשל מעשה טרור), התשפ"ד-2023 </t>
  </si>
  <si>
    <t xml:space="preserve"> (פ/4047/25)</t>
  </si>
  <si>
    <t xml:space="preserve">הצעת חוק הבטחת הכנסה (תיקון - מימון תרופות שאינן בסל שירותי הבריאות לילדים שהוריהם מקבלים גמלת הבטחת הכנסה), התשפ"ד-2023</t>
  </si>
  <si>
    <t xml:space="preserve"> (פ/4046/25)</t>
  </si>
  <si>
    <t xml:space="preserve">הצעת חוק צער בעלי חיים (הגנה על בעלי חיים) (תיקון - איסור משלוחים ימיים של צאן חי לשחיטה), התשפ"ד-2023</t>
  </si>
  <si>
    <t xml:space="preserve"> (פ/4045/25)</t>
  </si>
  <si>
    <t xml:space="preserve">הצעת חוק מס ערך מוסף (תיקון - מס בשיעור אפס על מרחבים מוגנים), התשפ"ד-2023</t>
  </si>
  <si>
    <t xml:space="preserve"> (פ/4044/25)</t>
  </si>
  <si>
    <t xml:space="preserve">חוק הגנה על מענקים מיוחדים (חרבות ברזל), התשפ"ד-2023</t>
  </si>
  <si>
    <t xml:space="preserve"> (מ/1665)</t>
  </si>
  <si>
    <t xml:space="preserve">01.11.2023</t>
  </si>
  <si>
    <t xml:space="preserve">החוק קובע הגנה מפני עיקול על המענקים המפורטים בתוספת לחוק, וכן מקנה לשר האוצר ולשר המשפטים סמכות לקבוע מענקים מינהליים נוספים, שכולם או חלקם, יהיו מוגנים מפני עיקול אם נמצא שיש הצדקה לעשות כן בנסיבות.</t>
  </si>
  <si>
    <t xml:space="preserve">חוק לדחיית הבחירות הכלליות לרשויות המקומיות (תיקון), התשפ"ד-2023</t>
  </si>
  <si>
    <t xml:space="preserve"> (מ/1657)</t>
  </si>
  <si>
    <t xml:space="preserve">בחוק זה נקבעו מספר הסדרים משלימים הנובעים מדחיית הבחירות הכלליות לרשויות המקומיות עקב מלחמת "חרבות ברזל". כך למשל, נקבע מנגנון פיצוי עיזבון של מועמד בבחירות לראשות מועצה אזורית שהוכר כחלל מערכות ישראל או מי שנפטר כתוצאה מפגיעת איבה בקשר למצב הביטחוני המיוחד, על הוצאות בחירות שהוציא המועמד כדין. עוד נקבע, כי החובה לצאת לחופשה או להפסיק את השירות מיום הגשת הרשימות, החלה על המועמדים העובדים בשירות המדינה ועל אנשי הקבע של צה"ל, לא תחול עד היום ה-30 שלפני מועד הבחירות החדש. כמו כן, נקבע כי מועמד שנדרש לצאת לחופשה ללא תשלום או להפסיק את שירותו על מנת להתמודד בבחירות, ועשה כן לפי כל דין, זכאי לתשלום מיוחד ממעסיקו בעד התקופה בה שהה בחופשה או שהופסק בה שירותו בשיעור של 70% מהשכר הרגיל שלו, ולא יותר מ-11,870 ש"ח. בנוסף, נקבע כי במסגרת הוראת שעה, יוקלו התנאים לנטילת מקדמות למימון בחירות, יתאפשר החזר חלקי מוקדם של ערבונות שניתנו לשם התמודדות בבחירות ואף סכום התרומות המותר למועמד או לרשימה יעלה.   </t>
  </si>
  <si>
    <t xml:space="preserve">חוק המקרקעין (תיקון מס' 37), התשפ"ד-2023</t>
  </si>
  <si>
    <t xml:space="preserve"> (מ/1663)</t>
  </si>
  <si>
    <t xml:space="preserve">30.10.2023</t>
  </si>
  <si>
    <t xml:space="preserve">נקבע כי לשם בניית מרחב מוגן דירתי או מרחב מוגן קומתי במבנה או באגף מסוים בבית מורכב (בית משותף המורכב מכמה מבנים או אגפים), או במקום בו לא ניתן לבנות אחד מאלו, בנייה של שיפורי מיגון, תידרש הסכמה של בעלי דירות שבבעלותם שישים אחוזים מהדירות באותו מבנה או אגף, בהתקיים התנאים המפורטים בחוק. הוראה דומה קיימת כבר היום בחוק ביחס לבית משותף שאיננו בית מורכב.</t>
  </si>
  <si>
    <t xml:space="preserve">הצעת חוק משפחות חיילים שנספו במערכה (תגמולים ושיקום) (תיקון - הגדרת אלמן ושכול), התשפ"ד-2023</t>
  </si>
  <si>
    <t xml:space="preserve"> (פ/4042/25)</t>
  </si>
  <si>
    <t xml:space="preserve">הצעת חוק החמרת ענישה בעבירות מין על רקע לאומני (תיקוני חקיקה) (תיקון - ביטול החוק), התשפ"ד-2023 </t>
  </si>
  <si>
    <t xml:space="preserve"> (פ/4039/25)</t>
  </si>
  <si>
    <t xml:space="preserve">הצעת חוק קליטת חיילים משוחררים (תיקון - שימוש בפיקדון לטיפול נפשי), התשפ"ד-2023</t>
  </si>
  <si>
    <t xml:space="preserve"> (פ/4038/25)</t>
  </si>
  <si>
    <t xml:space="preserve"> (פ/4036/25)</t>
  </si>
  <si>
    <t xml:space="preserve">הצעת חוק השיפוט הצבאי (תיקון - משך תחולת החוק על מי שחדל מהיות חייל ועבר עבירת מין), התשפ"ד-2023</t>
  </si>
  <si>
    <t xml:space="preserve"> (פ/4034/25)</t>
  </si>
  <si>
    <t xml:space="preserve">הצעת חוק השיפוט הצבאי (תיקון - הגבלה על פרסום של פרטי חייל, צילום פניו או כל פרט מזהה אחר בעת מילוי תפקידו), התשפ"ד-2023 </t>
  </si>
  <si>
    <t xml:space="preserve"> (פ/4033/25)</t>
  </si>
  <si>
    <t xml:space="preserve">חוק הארכת תקופות ודחיית מועדים (הוראת שעה – חרבות ברזל) (אישורים רגולטוריים, עיצומים כספיים ובדיקות מיתקני גז), התשפ"ד-2023</t>
  </si>
  <si>
    <t xml:space="preserve"> (מ/1662)</t>
  </si>
  <si>
    <t xml:space="preserve">25.10.2023</t>
  </si>
  <si>
    <t xml:space="preserve">נקבעו בחוק זה הסדרים לצורך הקלה על המשק והבטחת רציפות תפקודית תקינה של אספקת מצרכים ושירותים לציבור בשל מצב החירום. זאת, באמצעות הארכת אישורים רגולטוריים בשלושה חודשים (ובחלק מהמקרים - בארבעה חודשים), דחיית מועדים הקשורים לעיצומים כספיים בשלושה חודשים ודחיית מועד לביצוע בדיקה תקופתית של מתקן גז בשלושה חודשים. ראש הממשלה רשאי, בצו, באישור הממשלה להאריך את תקופת הדחייה של נתינת אישור רגולטורי ואת המועד לביצוע בדיקה תקופתית של מתקן גז אם נוכח כי מתקיימות נסיבות המצדיקות זאת עקב המצב הבטחוני המיוחד. שר המשפטים רשאי, בצו, באישור ממשלה להאריך את תקופת הדחייה של דחיית מועדים הקשורים לעיצומים כספיים אם נוכח כי מתקיימות נסיבות המצדיקות זאת עקב המצב הבטחוני המיוחד.</t>
  </si>
  <si>
    <t xml:space="preserve">חוק לדחיית הבחירות הכלליות לרשויות המקומיות, התשפ"ד-2023</t>
  </si>
  <si>
    <t xml:space="preserve">23.10.2023</t>
  </si>
  <si>
    <t xml:space="preserve">על רקע מצב המלחמה שבו מצויה מדינת ישראל בימים אלה והקשיים המשמעותיים הנובעים מקיום מערכת בחירות במהלך תקופה זו, נקבע כי יידחה מועד הבחירות הכלליות לרשויות המקומיות ולמועצות האזוריות בשלושה חודשים, ליום כ' בשבט התשפ"ד (30בינואר 2024). בנוסף, נקבע כי אם נוכחה הממשלה כי נתקיימו נסיבות אשר מונעות עריכת הבחירות במועד זה, היא רשאית, בצו שיאושר בכנסת, לאחר קבלת המלצתה של ועדת הפנים והגנת הסביבה על ידי שלושה רבעים מחבריה, לדחות את מועד הבחירות ליום י"ח באדר א' התשפ"ד (27 בפברואר 2024).</t>
  </si>
  <si>
    <t xml:space="preserve">חוק אמנת הבנק האסייני לפיתוח, התשפ"ד-2023</t>
  </si>
  <si>
    <t xml:space="preserve"> (מ/1643)</t>
  </si>
  <si>
    <t xml:space="preserve">החוק קובע כי לבנק האסייני לפיתוח תהיה אישיות משפטית בישראל בהתאם להסכם בדבר הקמת הבנק אשר נחתם במנילה בדצמבר 1965, אשר אליו הצטרפה מדינת ישראל באפריל 2022 (להלן – אמנת הבנק). בנוסף, עוגנו בחוק המעמד, החסינויות וזכויות היתר המפורטים באמנת הבנק עבור הבנק ונושאי המשרה בו ונקבע כי שר האוצר ייצג את המדינה לעניין חברותה בבנק ויביא לידיעת הממשלה תיקונים באמנת הבנק, טרם כניסתם לתוקף.</t>
  </si>
  <si>
    <t xml:space="preserve">הצעת חוק הרשויות המקומיות (בחירות) (תיקון מס' 53) (תיקון - ביטול החוק), התשפ"ד-2023</t>
  </si>
  <si>
    <t xml:space="preserve"> (פ/4031/25)</t>
  </si>
  <si>
    <t xml:space="preserve">הצעת חוק פיצויי פיטורים (תיקון - התפטרות בזמן מלחמת חרבות ברזל) (הוראת שעה), התשפ"ד-2023</t>
  </si>
  <si>
    <t xml:space="preserve"> (פ/4029/25)</t>
  </si>
  <si>
    <t xml:space="preserve">הצעת חוק דמי הבראה, התשפ"ד-2023</t>
  </si>
  <si>
    <t xml:space="preserve"> (פ/4028/25)</t>
  </si>
  <si>
    <t xml:space="preserve">הצעת חוק הרשויות המקומיות (יועצת לקידום מעמד האישה) (תיקון - תפקיד וסמכויות), התשפ"ד-2023</t>
  </si>
  <si>
    <t xml:space="preserve"> (פ/4027/25)</t>
  </si>
  <si>
    <t xml:space="preserve">הצעת חוק האזרחים הוותיקים (תיקון - חניה חינם לאזרח ותיק שמלאו לו 75 שנים), התשפ"ד-2023</t>
  </si>
  <si>
    <t xml:space="preserve"> (פ/4026/25)</t>
  </si>
  <si>
    <t xml:space="preserve"> (פ/4025/25)</t>
  </si>
  <si>
    <t xml:space="preserve">הצעת חוק הגנת השכר (תיקון - פטור מדמי טיפול מקצועי-ארגוני), התשפ"ד-2023</t>
  </si>
  <si>
    <t xml:space="preserve"> (פ/4024/25)</t>
  </si>
  <si>
    <t xml:space="preserve">הצעת חוק הרשות הלאומית לתרבות ולשפה המרוקאית יהודית, התשפ"ד-2023</t>
  </si>
  <si>
    <t xml:space="preserve"> (פ/4023/25)</t>
  </si>
  <si>
    <t xml:space="preserve">הצעת חוק שוויון זכויות לאנשים עם מוגבלות (תיקון - מוקד להנגשת שירותים), התשפ"ד-2023</t>
  </si>
  <si>
    <t xml:space="preserve"> (פ/4022/25)</t>
  </si>
  <si>
    <t xml:space="preserve">הצעת חוק ביטוח בריאות ממלכתי (תיקון - מנגנון להעברת כספים מקופות החולים למגן דוד אדום), התשפ"ד-2023</t>
  </si>
  <si>
    <t xml:space="preserve"> (פ/4021/25)</t>
  </si>
  <si>
    <t xml:space="preserve">חוק דחיית מועדים (הוראת שעה – חרבות ברזל) (חוזה, פסק דין או תשלום לרשות), התשפ"ד-2023</t>
  </si>
  <si>
    <t xml:space="preserve"> (מ/1660)</t>
  </si>
  <si>
    <t xml:space="preserve">18.10.2023</t>
  </si>
  <si>
    <t xml:space="preserve">החוק קובע, בהוראת שעה, דחיית מועדים וחיובים מסוגים שונים, שאירעו במהלך "תקופה קובעת", שהיא התקופה שבין יום תחילת מתקפת הטרור, ה-7 באוקטובר 2023, ועד למועד תום תקופת התיקון הזמני, ה-7 בנובמבר 2023. החוק גם כולל מנגנון הארכה של תקופה זו, באישור ועדת החוץ והביטחון של הכנסת. בפרט, החוק מאפשר דחייה של 30 ימים למועד עשיית פעולה שנקבעה בחוזה, מועד לעשיית פעולה שנקבעה בפסק דין או בהחלטה סופית של בית משפט ומועד תשלום לרשות, להוציא חיובי תשלום מזונות וחוזי עבודה, כל עוד מועדים אלו חלים במהלך התקופה הקובעת. הזכאים לדחיית מועדים וחיובים אלו הם חיילים בשירות סדיר, קבע ומילואים, משרתים בגופי ביטחון הפנים (שוטרים, סוהרים וכבאים), עובדים בארגוני ההצלה מד"א, זק"א ואיחוד הצלה ומתנדבים בארגונים אלה בהיקף המקביל למשרה מלאה, ואוכלוסייה אזרחית שנפגעה מהאירועים, ובכלל זאת נעדרים, חטופים, שבויים ותושבי היישובים הסמוכים לרצועת עזה ולגבול לבנון, המנויים בתוספת לחוק. עוד נכללים בקבוצת הזכאים בני זוגם של הזכאים כל עוד הם אחראים לחיוב יחד עימם, עיזבונותיהם של הזכאים, חברות מעטים ושותפויות שהשליטה בהן מצויה בידי מי מהזכאים ומי שאושפזו למשך 7 ימים לפחות בשל פציעה שנגרמה בשל האירועים במהלך התקופה הקובעת. בדומה לתקופה הקובעת, החוק כולל מנגנון של הארכת התקופה גם לגבי תקופת הדחייה.</t>
  </si>
  <si>
    <t xml:space="preserve">חוק סדר הדין הפלילי (תיקון מס' 93 - הוראת שעה – חרבות ברזל) (היוועדות חזותית), התשפ"ד-2023</t>
  </si>
  <si>
    <t xml:space="preserve"> (מ/1659)</t>
  </si>
  <si>
    <t xml:space="preserve">חוק סדר הדין הפלילי תוקן כך שניתן יהיה לקיים בהיוועדות חזותית גם דיוני הקראה של פתיחת המשפט הפלילי, המתקיימים בעניינים של נאשמים עצורים או אסירים, זאת בשל מצב החירום. במקרים שבהם אין דרך לקיים דיון אפילו בהיוועדות חזותית, ניתן יהיה לקיים את ההקראה במכשיר טכנולוגי המאפשר שמיעה בלבד, אם ניתנה לכך הסכמת הנאשם וסניגורו או שבית המשפט הוראה כאמור לאחר ששוכנע כי יש דחיפות לקיים את הדיון באותה עת. בנוסף, התווספה אפשרות לקיים דיונים בהיוועדות חזותית אם יש בהם כדי לסיים את ההליך בעניינו של הנאשם והוא ביקש זאת באמצעות סניגורו. הדיונים יתקיימו בנוכחות סנגורו של הנאשם, ואם אינו מיוצג אז ימונה לו סנגור ובדרך שתבטיח כי הסנגור, הנאשם והשופט ישמעו זה את זה ויראו זה את זה. הסדר זה נקבע כהוראת שעה לתקופת זמן של חודשיים וחצי, ובנוסף - ההוראות יחולו רק בתקופת תוקפן של ההודעה על הגבלת הדיונים בבתי המשפט והכרזה על קיומים של דיוני מעצר בהיוועדות חזותית מתוקף התקש"ח האמור.</t>
  </si>
  <si>
    <t xml:space="preserve">חוק לתיקון פקודת בתי הסוהר (מס' 64 – הוראת שעה – חרבות ברזל) (מצב חירום כליאתי), התשפ"ד–2023</t>
  </si>
  <si>
    <t xml:space="preserve"> (מ/1658)</t>
  </si>
  <si>
    <t xml:space="preserve">החוק נועד לאפשר לשירות בתי הסוהר לקלוט עצורים נוספים רבים בתקופה הקרובה, נוכח העלייה במספר הכלואים והעצורים המוחזקים במתקני שירות בתי הסוהר בעקבות הלחימה. החוק קובע, בהוראת שעה למשך שלושה חודשים, כי השר לביטחון לאומי, בהמלצת נציבת בתי הסוהר ובהסכמת ראש הממשלה ושר הביטחון, יהיה רשאי להכריז על מצב חירום כליאתי אם נוכח כי לאור המצב הביטחוני השורר במדינה יש צורך במקומות כליאה נוספים באופן מיידי, או שעל בסיס חוות דעת של גורמי ביטחון נוכח כי קיימת סבירות גבוהה לכך. הכרזה על מצב חירום כליאתי תאפשר למנהל בית סוהר להלין אסיר תוך חריגה מהוראות הדין לעניין שטח מחיה מינימלי, וככל הנדרש – גם להלינו שלא על מיטה בחריגה מהוראות לעניין זכאות למיטה. עם זאת, הלנת אסיר שלא על מיטה תיעשה רק בנסיבות בהן אין אפשרות לספק לו מיטה, ויש להגביל זאת לתקופה קצרה ככל האפשר. בנוסף, לאסיר שלא סופקה לו מיטה יסופק מזרן כפול, והדבר ייעשה תוך התחשבות בגודל התא ובמאפייניו. חריגה זו מהוראות הדין תיעשה, ככלל, לגבי אסירים ועצירים ביטחוניים. עם זאת, החוק מאפשר למנהל בית הסוהר להפעיל את סמכותו זו גם לעניין תאים שמוחזקים בהם אסירים אחרים, אם שוכנע שהחריגה מההוראות לעניין שטח מחיה או לעניין זכאות למיטה נדרשת נוכח המצב הביטחוני השורר במדינה, ולאחר שלא נמצאו חלופות אחרות. הכרזת השר תעמוד בתוקף למשך חמישה ימים, והממשלה תהיה רשאית להאריך את תוקף ההכרזה לתקופה אחת נוספת בת חמישה ימים. בנוסף, הממשלה, באישור הוועדה לביטחון לאומי של הכנסת, תוכל להאריך את תוקף ההכרזה לתקופות נוספות. פניית הממשלה לוועדה לביטחון לאומי של הכנסת תלווה בדיווח של השר לביטחון לאומי בדבר צעדים נוספים להתמודדות עם מצב החירום הכליאתי, וכן דיווח של נציבת בתי הסוהר על נתונים הנוגעים ליישום סמכויותיה לפי ההסדר במתקני הכליאה. דיווחי השר והנציבה יועברו לוועדה אחת לשבועיים, כל עוד ההכרזה עומדת בתוקפה. </t>
  </si>
  <si>
    <t xml:space="preserve">הצעת חוק שמירת הניקיון (הוראת שעה), התשפ"ג-2023 - החלק שנותר</t>
  </si>
  <si>
    <t xml:space="preserve"> (מ/1652)</t>
  </si>
  <si>
    <t xml:space="preserve">16.10.2023</t>
  </si>
  <si>
    <t xml:space="preserve">חוק שמירת הניקיון (תיקון מס' 25 והוראת שעה), התשפ"ד-2023</t>
  </si>
  <si>
    <t xml:space="preserve">מוצע לעגן פעם נוספת, כהוראת שעה לתקופה של עד ליום ה-31.12.2027, את ההסדר שהיה קבוע בהוראת השעה שפקעה בחודש פברואר 2023, בה נקבע כי במידה ונותרה יתרה מחשבון היטל ההטמנה בשנה מסוימת, ניתן לממן מיתרה זו, בנוסף למטרות הנוספות המוגדרות היום בחוק, גם סיוע לרשויות המקומיות המשויכות לאשכולות 1 עד 5 במדרג החברתי-כלכלי בטיפול במפגעי פסולת, בהקמת תשתיות לטיפול בפסולת  וכן בסיוע להסדרת הטיפול השוטף בפסולת באותן רשויות לתקופה שלא תעלה על שלוש שנים (במקום לתקופה של שנה כפי שנקבע בהוראות השעה הקודמות).  עוד מוצע, כתיקון קבוע לחוק, לקבוע מועדים מדויקים למסירת הדיווחים לכנסת הנדרשים לפי החוק לגבי פעילות הקרן הכנסותיה והוצאותיה.</t>
  </si>
  <si>
    <t xml:space="preserve">הצעת חוק לעשיית דין במחבלי החמאס ובעוזריהם, התשפ"ד-2023</t>
  </si>
  <si>
    <t xml:space="preserve"> (פ/4020/25)</t>
  </si>
  <si>
    <t xml:space="preserve">הצעת חוק פרעות התשפ"ד, התשפ"ד-2023</t>
  </si>
  <si>
    <t xml:space="preserve"> (פ/4019/25)</t>
  </si>
  <si>
    <t xml:space="preserve">הצעת חוק חניה לנכים (תיקון - החלטה בבקשה לתג נכה), התשפ"ד-2023</t>
  </si>
  <si>
    <t xml:space="preserve"> (פ/4018/25)</t>
  </si>
  <si>
    <t xml:space="preserve">הצעת חוק-יסוד: הממשלה (תיקון - מספר סגני שרים)</t>
  </si>
  <si>
    <t xml:space="preserve"> (פ/4016/25)</t>
  </si>
  <si>
    <t xml:space="preserve">הצעת חוק חג המימונה, התשפ"ד-2023</t>
  </si>
  <si>
    <t xml:space="preserve"> (פ/4015/25)</t>
  </si>
  <si>
    <t xml:space="preserve">הצעת חוק הביטוח הלאומי (תיקון - פטור מתשלום דמי ביטוח לאומי לנכי צה"ל), התשפ"ד-2023</t>
  </si>
  <si>
    <t xml:space="preserve"> (פ/4014/25)</t>
  </si>
  <si>
    <t xml:space="preserve">הצעת חוק הבנקאות (שירות ללקוח) (תיקון - חובת הצבת מכשיר אוטומטי למשיכת והפקדת מזומנים ושיקים), התשפ"ד-2023</t>
  </si>
  <si>
    <t xml:space="preserve"> (פ/4012/25)</t>
  </si>
  <si>
    <t xml:space="preserve">הצעת חוק הסכמים קיבוציים (תיקון - תחרות בין ארגוני עובדים ויציגות ארגון עובדים בשירות המדינה), התשפ"ד-2023</t>
  </si>
  <si>
    <t xml:space="preserve"> (פ/4011/25)</t>
  </si>
  <si>
    <t xml:space="preserve">הצעת חוק למניעת אלימות במשפחה (תיקון - ממונה על נושא האלימות במשפחה במקומות עבודה גדולים), התשפ"ד-2023</t>
  </si>
  <si>
    <t xml:space="preserve"> (פ/4010/25)</t>
  </si>
  <si>
    <t xml:space="preserve">הצעת חוק הביטוח הלאומי (תיקון - טיפול בפעוטות במעונות יום כעבודה מועדפת), התשפ"ד-2023</t>
  </si>
  <si>
    <t xml:space="preserve"> (פ/4009/25)</t>
  </si>
  <si>
    <t xml:space="preserve">הצעת חוק הרשויות המקומיות (ריבית והפרשי הצמדה על תשלומי חובה) (תיקון - הפחתת אחוז הריבית ברשויות המקומיות), התשפ"ד-2023</t>
  </si>
  <si>
    <t xml:space="preserve"> (פ/4008/25)</t>
  </si>
  <si>
    <t xml:space="preserve">הצעת חוק הרשות הממשלתית להתחדשות עירונית (תיקון - נשיאת הוצאות בבית משותף מחודש), התשפ"ד-2023</t>
  </si>
  <si>
    <t xml:space="preserve"> (פ/4007/25)</t>
  </si>
  <si>
    <t xml:space="preserve">הצעת חוק לתיקון פקודת העיריות (גמול השתתפות בישיבות והחזר הוצאות לחברי מועצה), התשפ"ד-2023</t>
  </si>
  <si>
    <t xml:space="preserve"> (פ/4006/25)</t>
  </si>
  <si>
    <t xml:space="preserve">הצעת חוק מניעת ביצוע עבירות באמצעות פרסום באינטרנט וברשתות החברתיות (הסרת תכנים אנטישמיים), התשפ"ד-2023</t>
  </si>
  <si>
    <t xml:space="preserve"> (פ/4004/25)</t>
  </si>
  <si>
    <t xml:space="preserve">הצעת חוק חובת המכרזים (תיקון - עידוד עסקים קטנים ובינוניים באזור פריפריה במכרז), התשפ"ד-2023</t>
  </si>
  <si>
    <t xml:space="preserve"> (פ/4003/25)</t>
  </si>
  <si>
    <t xml:space="preserve">הצעת חוק שיפוט בתי דין רבניים (נישואין וגירושין) (תיקון - גירושין אזרחיים), התשפ"ד-2023</t>
  </si>
  <si>
    <t xml:space="preserve"> (פ/4002/25)</t>
  </si>
  <si>
    <t xml:space="preserve">הצעת חוק הרשויות המקומיות (גמול השתתפות בישיבות והחזר הוצאות לחברי מועצה), התשפ"ד-2023</t>
  </si>
  <si>
    <t xml:space="preserve"> (פ/4001/25)</t>
  </si>
  <si>
    <t xml:space="preserve">הצעת חוק-יסוד: הממשלה (תיקון - חובת מינוי ממלא מקום ראש הממשלה) </t>
  </si>
  <si>
    <t xml:space="preserve"> (פ/4000/25)</t>
  </si>
  <si>
    <t xml:space="preserve">הצעת חוק לתיקון פקודת המכס (איסור השמדת טובין חבי מכס), התשפ"ד-2023</t>
  </si>
  <si>
    <t xml:space="preserve"> (פ/3999/25)</t>
  </si>
  <si>
    <t xml:space="preserve">הצעת חוק לתיקון פקודת מס הכנסה (הגדלת מספר התושבים ביישוב מוטב), התשפ"ד-2023</t>
  </si>
  <si>
    <t xml:space="preserve"> (פ/3998/25)</t>
  </si>
  <si>
    <t xml:space="preserve">הצעת חוק שוברים להשלמת לימודי בסיס בחינוך הבלתי פורמלי, התשפ"ד-2023</t>
  </si>
  <si>
    <t xml:space="preserve"> (פ/3997/25)</t>
  </si>
  <si>
    <t xml:space="preserve">הצעת חוק הסכמים קיבוציים (תיקון - אי-תחולה על עובד זר בענף החקלאות), התשפ"ד-2023</t>
  </si>
  <si>
    <t xml:space="preserve"> (פ/3996/25)</t>
  </si>
  <si>
    <t xml:space="preserve">הצעת חוק לתיקון פקודת מס הכנסה (הארכת הפטור ממס עבור נכה שנקבעה לו נכות עקב מחלת הסרטן), התשפ"ד-2023</t>
  </si>
  <si>
    <t xml:space="preserve"> (פ/3995/25)</t>
  </si>
  <si>
    <t xml:space="preserve">הצעת חוק שילוב פעוטות עם צורך במענים ייחודיים במעונות יום, התשפ"ד-2023</t>
  </si>
  <si>
    <t xml:space="preserve"> (פ/3994/25)</t>
  </si>
  <si>
    <t xml:space="preserve">הצעת חוק קידום התחרות בענף המזון (תיקון - החלת החוק על ענף מוצרי הצריכה), התשפ"ד-2023</t>
  </si>
  <si>
    <t xml:space="preserve"> (פ/3993/25)</t>
  </si>
  <si>
    <t xml:space="preserve">הצעת חוק מעונות יום שיקומיים (תיקון - פעוטות עם צרכים רפואיים וחלופה ביתית), התשפ"ד-2023</t>
  </si>
  <si>
    <t xml:space="preserve"> (פ/3992/25)</t>
  </si>
  <si>
    <t xml:space="preserve">הצעת חוק נפגעי תאונות דרכים (סיוע לבני משפחה) (תיקון - הרחבת הסיוע), התשפ"ד-2023</t>
  </si>
  <si>
    <t xml:space="preserve"> (פ/3991/25)</t>
  </si>
  <si>
    <t xml:space="preserve">הצעת חוק לצמצום רגולציה ושעורי אגרות לעסקים קטנים, התשפ"ד-2023</t>
  </si>
  <si>
    <t xml:space="preserve"> (פ/3990/25)</t>
  </si>
  <si>
    <t xml:space="preserve">הצעת חוק לתיקון פקודת בריאות העם (העדפות מתן רישיון למכשור רפואי בפריפריה), התשפ"ד-2023</t>
  </si>
  <si>
    <t xml:space="preserve"> (פ/3989/25)</t>
  </si>
  <si>
    <t xml:space="preserve"> (פ/3988/25)</t>
  </si>
  <si>
    <t xml:space="preserve">הצעת חוק יום לציון זכרם של חללי ונפגעי יהדות התפוצות על רקע אנטישמי, התשפ"ד-2023</t>
  </si>
  <si>
    <t xml:space="preserve"> (פ/3987/25)</t>
  </si>
  <si>
    <t xml:space="preserve">הצעת חוק חינוך ממלכתי (תיקון - סמכויות המועצה לחינוך ממלכתי דתי), התשפ"ד-2023</t>
  </si>
  <si>
    <t xml:space="preserve"> (פ/3985/25)</t>
  </si>
  <si>
    <t xml:space="preserve">הצעת חוק הרשות לוועדות רפואיות, התשפ"ד-2023</t>
  </si>
  <si>
    <t xml:space="preserve"> (פ/3984/25)</t>
  </si>
  <si>
    <t xml:space="preserve">הצעת חוק העברת מידע בין רשויות, התשפ"ד-2023</t>
  </si>
  <si>
    <t xml:space="preserve"> (פ/3983/25)</t>
  </si>
  <si>
    <t xml:space="preserve">הצעת חוק הגנת הצרכן (תיקון - מענה אנושי בשירות טלפוני לאזרח ותיק), התשפ"ד-2023</t>
  </si>
  <si>
    <t xml:space="preserve"> (פ/3982/25)</t>
  </si>
  <si>
    <t xml:space="preserve">הצעת חוק הכניסה לישראל (הוראת שעה), התשפ"ד-2023</t>
  </si>
  <si>
    <t xml:space="preserve"> (פ/3981/25)</t>
  </si>
  <si>
    <t xml:space="preserve">הצעת חוק הבחירות לכנסת (תיקון - שינוי מבנה פתק ההצבעה), התשפ"ד-2023</t>
  </si>
  <si>
    <t xml:space="preserve"> (פ/3980/25)</t>
  </si>
  <si>
    <t xml:space="preserve">הצעת חוק ביטוח בריאות ממלכתי (תיקון - הפחתה בדמי ביטוח בריאות לתושבי הפריפריה), התשפ"ד-2023</t>
  </si>
  <si>
    <t xml:space="preserve"> (פ/3979/25)</t>
  </si>
  <si>
    <t xml:space="preserve"> (פ/3978/25)</t>
  </si>
  <si>
    <t xml:space="preserve">הצעת חוק העונשין (תיקון - איסור הנפת דגל של ישות עוינת), התשפ"ד-2023</t>
  </si>
  <si>
    <t xml:space="preserve"> (פ/3976/25)</t>
  </si>
  <si>
    <t xml:space="preserve"> (פ/3975/25)</t>
  </si>
  <si>
    <t xml:space="preserve">הצעת חוק לתיקון פקודת הסמים המסוכנים (שימוש עצמי בקנבוס), התשפ"ד-2023</t>
  </si>
  <si>
    <t xml:space="preserve"> (פ/3974/25)</t>
  </si>
  <si>
    <t xml:space="preserve">הצעת חוק בתי דין רבניים (קיום פסקי דין של גירושין) (תיקון - הגבלת שימוש בכרטיסי אשראי לסרבני גט), התשפ"ד-2023</t>
  </si>
  <si>
    <t xml:space="preserve"> (פ/3973/25)</t>
  </si>
  <si>
    <t xml:space="preserve"> (פ/3971/25)</t>
  </si>
  <si>
    <t xml:space="preserve">הצעת חוק הביטוח הלאומי (תיקון - עבודה במסגרת לאנשים עם מוגבלויות כעבודה מועדפת), התשפ"ד-2023</t>
  </si>
  <si>
    <t xml:space="preserve"> (פ/3970/25)</t>
  </si>
  <si>
    <t xml:space="preserve">הצעת חוק לתיקון פקודת התעבורה (חובת נשיאת לוחית זיהוי באופניים ממונעים ובקורקינט ממונע), התשפ"ד-2023</t>
  </si>
  <si>
    <t xml:space="preserve"> (פ/3969/25)</t>
  </si>
  <si>
    <t xml:space="preserve">הצעת חוק הרשויות המקומיות (התאמת תקציב הרווחה), התשפ"ד-2023</t>
  </si>
  <si>
    <t xml:space="preserve"> (פ/3968/25)</t>
  </si>
  <si>
    <t xml:space="preserve">הצעת חוק העונשין (תיקון - גזענות נגד קבוצה דתית), התשפ"ד-2023</t>
  </si>
  <si>
    <t xml:space="preserve"> (פ/3967/25)</t>
  </si>
  <si>
    <t xml:space="preserve">הצעת חוק הגנת הצרכן (תיקון - הגבלות על מכירה מיוחדת), התשפ"ד-2023</t>
  </si>
  <si>
    <t xml:space="preserve"> (פ/3966/25)</t>
  </si>
  <si>
    <t xml:space="preserve">הצעת חוק הביטוח הלאומי (תיקון - מסלול ברירת מחדל בהפקדות לחיסכון ארוך טווח לילד), התשפ"ד-2023</t>
  </si>
  <si>
    <t xml:space="preserve"> (פ/3965/25)</t>
  </si>
  <si>
    <t xml:space="preserve">הצעת חוק הביטוח הלאומי (תיקון - ביטול דרישה לחתימת הורים כתנאי למשיכת כספי החיסכון), התשפ"ד-2023</t>
  </si>
  <si>
    <t xml:space="preserve"> (פ/3964/25)</t>
  </si>
  <si>
    <t xml:space="preserve">הצעת חוק רשות מקרקעי ישראל (תיקון - ייצוג הולם לאוכלוסייה החרדית במועצת הרשות), התשפ"ד-2023</t>
  </si>
  <si>
    <t xml:space="preserve"> (פ/3962/25)</t>
  </si>
  <si>
    <t xml:space="preserve">הצעת חוק בתי המשפט (תיקון - נציגי הכנסת בוועדה לבחירת שופטים), התשפ"ד-2023</t>
  </si>
  <si>
    <t xml:space="preserve"> (פ/3960/25)</t>
  </si>
  <si>
    <t xml:space="preserve">הצעת חוק לצמצום רגולציה ושיעורי אגרות לעסקים קטנים, התשפ"ד-2023</t>
  </si>
  <si>
    <t xml:space="preserve"> (פ/3958/25)</t>
  </si>
  <si>
    <t xml:space="preserve"> (פ/3956/25)</t>
  </si>
  <si>
    <t xml:space="preserve">הצעת חוק להקמת קרן למוצרי מזון בריא, התשפ''ד-2023</t>
  </si>
  <si>
    <t xml:space="preserve"> (פ/3955/25)</t>
  </si>
  <si>
    <t xml:space="preserve">הצעת חוק לתיקון פקודת מס הכנסה (שווי השימוש ברכב או ברדיו טלפון נייד), התשפ"ד-2023 </t>
  </si>
  <si>
    <t xml:space="preserve"> (פ/3954/25)</t>
  </si>
  <si>
    <t xml:space="preserve">הצעת חוק משק החשמל (תיקון - תשלומי חשמל מופחתים בשל ילד עם מוגבלות), התשפ"ד-2023</t>
  </si>
  <si>
    <t xml:space="preserve"> (פ/3953/25)</t>
  </si>
  <si>
    <t xml:space="preserve">הצעת חוק הסדרת העיסוק בייצוג על ידי יועצי מס (תיקון - היתר לבעל רישיון פנסיוני לייצג לפני רשות מס), התשפ"ד-2023</t>
  </si>
  <si>
    <t xml:space="preserve"> (פ/3952/25)</t>
  </si>
  <si>
    <t xml:space="preserve"> (פ/3950/25)</t>
  </si>
  <si>
    <t xml:space="preserve">הצעת חוק מאבק בנטילת דמי חסות (אכיפה וענישה) (תיקוני חקיקה והוראת שעה), התשפ"ד-2023</t>
  </si>
  <si>
    <t xml:space="preserve"> (פ/3949/25)</t>
  </si>
  <si>
    <t xml:space="preserve">הצעת חוק חניה לנכים (תיקון - זכאות תג נכה לצמיתות), התשפ"ד-2023</t>
  </si>
  <si>
    <t xml:space="preserve"> (פ/3948/25)</t>
  </si>
  <si>
    <t xml:space="preserve">הצעת חוק לתיקון פקודת התעבורה (מחירי חניה ברשויות מקומיות), התשפ"ד-2023</t>
  </si>
  <si>
    <t xml:space="preserve"> (פ/3947/25)</t>
  </si>
  <si>
    <t xml:space="preserve">הצעת חוק סיוע לצעירים חסרי עורף משפחתי, התשפ"ד-2023</t>
  </si>
  <si>
    <t xml:space="preserve"> (פ/3946/25)</t>
  </si>
  <si>
    <t xml:space="preserve"> (פ/3944/25)</t>
  </si>
  <si>
    <t xml:space="preserve">הצעת חוק להקמת אוניברסיטה בעיר אשדוד, התשפ"ד-2023</t>
  </si>
  <si>
    <t xml:space="preserve"> (פ/3943/25)</t>
  </si>
  <si>
    <t xml:space="preserve">הצעת חוק העונשין (תיקון - העלבת חייל והפרעה לחייל במילוי תפקידו), התשפ"ד-2023</t>
  </si>
  <si>
    <t xml:space="preserve"> (פ/3942/25)</t>
  </si>
  <si>
    <t xml:space="preserve">הצעת חוק לתיקון פקודת התעבורה (פיצוי כספי בגין איחור אוטובוס), התשפ"ד-2023</t>
  </si>
  <si>
    <t xml:space="preserve"> (פ/3941/25)</t>
  </si>
  <si>
    <t xml:space="preserve">הצעת חוק שוויון זכויות לאנשים עם מוגבלות (תיקון - חובת נגישות באוטובוסים בין-עירוניים), התשפ"ד-2023</t>
  </si>
  <si>
    <t xml:space="preserve"> (פ/3940/25)</t>
  </si>
  <si>
    <t xml:space="preserve">הצעת חוק למניעת הטרדה מינית (תיקון - חובת הדרכה שנתית), התשפ"ד-2023</t>
  </si>
  <si>
    <t xml:space="preserve"> (פ/3939/25)</t>
  </si>
  <si>
    <t xml:space="preserve">הצעת חוק הביטוח הלאומי (תיקון - הכרה בפגיעה מינית בעבודה כתאונת עבודה), התשפ"ד-2023</t>
  </si>
  <si>
    <t xml:space="preserve"> (פ/3938/25)</t>
  </si>
  <si>
    <t xml:space="preserve">הצעת חוק הבטחת מסגרת השמה חוץ-ביתית לקטינים נזקקים, התשפ"ד-2023</t>
  </si>
  <si>
    <t xml:space="preserve"> (פ/3937/25)</t>
  </si>
  <si>
    <t xml:space="preserve"> (פ/3936/25)</t>
  </si>
  <si>
    <t xml:space="preserve">הצעת חוק איסור חקירה בדבר עברו המיני של נפגע עבירה (תיקוני חקיקה), התשפ"ד-2023</t>
  </si>
  <si>
    <t xml:space="preserve"> (פ/3935/25)</t>
  </si>
  <si>
    <t xml:space="preserve"> (פ/3934/25)</t>
  </si>
  <si>
    <t xml:space="preserve">הצעת חוק שירותי הסעד (תיקון - איסור התניית מימון שירותי רווחה ברשויות מוחלשות), התשפ"ד-2023</t>
  </si>
  <si>
    <t xml:space="preserve"> (פ/3933/25)</t>
  </si>
  <si>
    <t xml:space="preserve">חוק שחרור על-תנאי ממאסר (תיקון מס' 17 – הוראת שעה) (תיקון מס' 3), התשפ"ד-2023</t>
  </si>
  <si>
    <t xml:space="preserve"> (מ/1641)</t>
  </si>
  <si>
    <t xml:space="preserve">19.09.2023</t>
  </si>
  <si>
    <t xml:space="preserve">נקבעה הארכה להוראת השעה המסדירה את פעילות היחידה לשחרור ממאסרים קצרים, שדנה בבקשות לשחרור מוקדם של אסירים שנגזרו עליהם תקופות מאסר של 3 חודשים עד שנה, עד ליום י"ד בכסלו התשפ"ה (15 בדצמבר 2024).</t>
  </si>
  <si>
    <t xml:space="preserve">הצעת חוק לתיקון פקודת התעבורה (חובת נשיאת לוחית זיהוי באופניים ממונעים ובקורקינט ממונע), התשפ"ג-2023</t>
  </si>
  <si>
    <t xml:space="preserve"> (פ/2948/25)</t>
  </si>
  <si>
    <t xml:space="preserve">05.09.2023</t>
  </si>
  <si>
    <t xml:space="preserve">הצעת חוק לתיקון פקודת התעבורה (חובת נשיאת לוחית זיהוי באופניים ממונעים ובקורקינט ממונע), התשפ"ג-2022</t>
  </si>
  <si>
    <t xml:space="preserve"> (פ/135/25)</t>
  </si>
  <si>
    <t xml:space="preserve">חוק תשלומים לחיילים בשירות סדיר (הגנה על תשלומים) (תיקון מס' 2), התשפ"ג-2023</t>
  </si>
  <si>
    <t xml:space="preserve"> (מ/1524)</t>
  </si>
  <si>
    <t xml:space="preserve">16.08.2023</t>
  </si>
  <si>
    <t xml:space="preserve">חוק זה קובע כי תשלומים שמשולמים על ידי משרד העלייה והקליטה לעולה חדש שהוא חייל, משרת בשירות לאומי-אזרחי, מתנדב בשירות לאומי או מתנדב בשירות קהילתי, יהיו מוגנים מפני העברה, שעבוד או עיקול, למעט אם מדובר בחוב מזונות. תשלומים כאמור יהיו מוגנים כאשר הם בידי משרד העלייה והקליטה וגם ב-30 הימים הראשונים בחשבון הבנק. למשרד העלייה והקליטה נשמרת הזכות לקזז את התשלום המגיע לזכאי כנגד חוב שהוא חייב לאותו משרד. עוד נקבע בחוק זה ששר הביטחון או השר הממונה על השירות האזרחי, לפי העניין, יוכלו לקבוע בתקנות כי תשלומים המשולמים לחיילים, למשרתים בשירות לאומי אזרחי או למתנדבים כאמור, על ידי משרד ממשלתי אחר למטרות קיום, יהיו גם הם מוגנים מפני העברה, שיעבוד או עיקול.</t>
  </si>
  <si>
    <t xml:space="preserve">הצעת חוק לתיקון פקודת העיריות (צדק חלוקתי בכל הרשויות המתוקצבות במדינת ישראל), התשפ"ג-2023</t>
  </si>
  <si>
    <t xml:space="preserve"> (פ/3349/25)</t>
  </si>
  <si>
    <t xml:space="preserve">הצעת חוק לתיקון פקודת העיריות (צדק חלוקתי בכל הרשויות המתוקצבות במדינת ישראל), התשפ"ג-2022</t>
  </si>
  <si>
    <t xml:space="preserve"> (פ/454/25)</t>
  </si>
  <si>
    <t xml:space="preserve">הצעת חוק התכנון והבנייה (תיקון מס' 146), התשפ"ג-2023</t>
  </si>
  <si>
    <t xml:space="preserve"> (מ/1650)</t>
  </si>
  <si>
    <t xml:space="preserve">הצעת חוק ההוצאה לפועל (תיקון מס' 71) (ריבית ודמי פיגורים), התשפ"ב-2022 </t>
  </si>
  <si>
    <t xml:space="preserve">09.08.2023</t>
  </si>
  <si>
    <t xml:space="preserve">חוק כלי הירייה (תיקון מס' 24), התשפ"ג-2023</t>
  </si>
  <si>
    <t xml:space="preserve"> (מ/1520)</t>
  </si>
  <si>
    <t xml:space="preserve">30.07.2023</t>
  </si>
  <si>
    <t xml:space="preserve">החוק קובע כי פעילות ייצור, יצוא, יבוא, אחסנה, הובלה ומסחר בדמויי כלי ירייה יחויבו ברישיון, וכן  כי החזקה ונשיאה של דמויי כלי ירייה ייעשו רק במועדונים שקיבלו רישיון לכך. בנוסף, החזקת דמויי כלי ירייה מחוץ למועדונים, וכן רכישה, הובלה, ייצור, ייצוא, ייבוא ומסחר בהם ללא רישיון לכך יהוו עבירה פלילית. כהוראת שעה לשנה, נקבע כי ניתן לאפשר גם מתן הרשאה להחזקה ונשיאה של דמוי כלי ירייה מחוץ למועדון לצורכי אימונים ותחרויות, במספר מוגבל ובכפוף לתנאים שייקבעו בתקנות. בנוסף, הוסדרו סמכויות הפיקוח של האגף לרישוי כלי ירייה, הכוללות דרישת הזדהות, מסירת ידיעות ומסמכים וסמכות כניסה למקומות, כאשר סמכות כניסה למקומות מגורים טעונה צו מבית המשפט. כמו כן, נקבע כי במקרים חריגים של אירועי בטיחות חמורים, מנהל האגף לרישוי כלי ירייה יהיה רשאי להוציא צו הפסקה מנהלי לבעל רישיון למשך שלושה ימים, או עד לקבלת החלטה בידי הרשות המוסמכת לבטל את הרישיון או להטיל עליו תנאים והגבלות. לבסוף, תוקנו סעיפי העונשין בחוק וכן נוספו סנקציות פליליות בגין ביצוע פעולות בדמוי כלי ירייה ללא רישיון ובגין אי-הודעה למשטרה במקרה של אובדן, גניבה או השמדה של כלי ירייה או דמוי כלי ירייה. </t>
  </si>
  <si>
    <t xml:space="preserve">חוק עבודת הנוער (תיקון מס' 21), התשפ"ג-2023</t>
  </si>
  <si>
    <t xml:space="preserve"> (פ/2046/24)</t>
  </si>
  <si>
    <t xml:space="preserve"> (כ/888)</t>
  </si>
  <si>
    <t xml:space="preserve">הוועדה המיוחדת לזכויות הילד</t>
  </si>
  <si>
    <t xml:space="preserve">החוק קובע שכל העסקה של נער בגילאי 15 עד 18 בתחום הדוגמנות או הצילומים, לרבות בשלבים מוקדמים של ההעסקה כגון תיווך להעסקה ומבחני במה, ייעשו בכפוף לאישור של הנער והורהו או האפוטרופוס. האישור יינתן בכתב בהתאם לטופס מובנה שיפורסם באתר משרד הכלכלה. כמו כן, במקרה של תיווך או העסקה חוזרת אצל אותו מתווך או מעסיק בתוך תקופה של שנה, ההסכמה יכולה להינתן באמצעות מסרון או אמצעי דיגיטלי אחר שהמתווך או המעסיק יוכלו לשמור אותו. כמו כן נקבע שמעסיק הפועל בניגוד לאמור עובר עבירה שדינה קנס או מאסר, ושלהורה או לבן משפחה בגיר אחר יש זכות להיות נוכח בזמן ובמקום שבהם מועסק הנער. </t>
  </si>
  <si>
    <t xml:space="preserve">חוק החמרת ענישה בעבירות מין על רקע לאומני (תיקוני חקיקה), התשפ"ג-2023</t>
  </si>
  <si>
    <t xml:space="preserve"> (פ/715/25)</t>
  </si>
  <si>
    <t xml:space="preserve"> (כ/970)</t>
  </si>
  <si>
    <t xml:space="preserve">החוק מבהיר כי הוראות ההחמרה בענישה בגין מעשה טרור חלות על עבירות מין, וכן מחיל את הוראות ההחמרה בענישה בגין עבירה ממניע גזענות או עוינות כלפי ציבור, כמשמעותה בחוק העונשין, על עבירות הטרדה מינית. בנוסף, בית המשפט רשאי לפסוק כפל הפיצוי הקבוע בחוק בגין עבירות הטרדה מינית שבוצעו ממניע של גזענות או עוינות כלפי ציבור. לצד זאת, נקבעה חובת דיווח שנתית לוועדה לביטחון לאומי של הכנסת אודות מספר כתבי האישום שהוגשו ומספר תיקי החקירה שנפתחו בגין עבירות מין ועבירות הטרדה מינית שבוצעו ממניע של גזענות או עוינות כלפי ציבור, או שהן מעשה טרור.</t>
  </si>
  <si>
    <t xml:space="preserve">חוק הגנת הצרכן (תיקון מס' 66), התשפ"ג-2023</t>
  </si>
  <si>
    <t xml:space="preserve"> (מ/1628)</t>
  </si>
  <si>
    <t xml:space="preserve">התיקון לחוק נחקק על רקע תופעות חוזרות ונשנות של עוקץ ועושק אזרחים ותיקים וצרכנים פגיעים אחרים באמצעות שיטות שיווק אגרסיביות שיש בהן הטעיית הצרכן, השפעה בלתי הוגנת על הצרכן או הפרה אחרת של חוק הגנת הצרכן, התשמ"א-1981. החוק בנוסחו לפני התיקון מסמיך את הממונה על הגנת הצרכן והסחר ההוגן (להלן – הממונה) להטיל עיצום כספי בשל הפרה מהוראות החוק, ואם ההפרה נעשתה בנסיבות מחמירות (שכוללות רק הפרות הנוגעות למספר רב במיוחד של צרכנים), סכום העיצום הכספי יהיה בשיעור פי אחד וחצי מהסכום המקורי שניתן להטיל בשל אותה הפרה. התיקון לחוק מרחיב את ההגדרה של הפרה בנסיבות מחמירות, כך שזו תכלול גם הפרה של הוראה מהוראות החוק המנויה בתוספת השביעית לחוק, שנעשתה כלפי צרכן שהוא אזרח ותיק, עולה חדש, קטין, אדם שניכר כי הוא נתון במצב של חולשה שכלית, נפשית או גופנית ואדם שניכר כי אינו שולט בשפה שבה נקשרה העסקה במידה מספקת לשם התקשרות בעסקה.  התוספת השביעית כוללת הפרות שניתן להטיל בשלהן עיצום כספי בנסיבות מחמירות, בין היתר, הפרות שעניינן הטעייה של צרכן והפרות הנוגעות לביטול עסקה. לפי התיקון לחוק, שר הכלכלה והתעשייה, באישור ועדת הכלכלה של הכנסת, רשאי לשנות בצו את התוספת האמורה. עם זאת, הממונה יהיה רשאי להטיל עיצום כספי בנסיבות מחמירות כאמור רק בהתאם לנהלים שיורה עליהם. נהלים אלו יהיו טעונים אישור של היועץ המשפטי לממשלה ויפורסמו באתר האינטרנט של הרשות להגנת הצרכן ולסחר הוגן. כמו כן, התיקון לחוק מגדיל את סכום העיצום הכספי שניתן להטיל בשל הפעלת השפעה בלתי הוגנת על צרכנים תוך ניצול מוגבלות נפשית, שכלית או גופנית של צרכן או תוך ניצול העובדה שצרכן אינו יודע במידה מספקת את השפה שבה נקשרת העסקה. בהתאם לכך, התיקון לחוק יצר מדרגה חדשה של סכום העיצום – הגבוהה ביותר שניתן להטיל לפי החוק, כך שהסכום לגבי יחיד יעמוד על כ-38,000 ₪ ולגבי תאגיד – כ-69,000 ₪. עוד נקבע כי במסגרת הודעה על כוונת חיוב, אותה מוסר הממונה למפר טרם הטלת עיצום כספי עליו, יפרט הממונה את הנסיבות המחמירות לעניין ההפרה, אם היו. בהמשך לכך, זכות טיעון המוקנית למפר בחוק תחול גם ביחס לטענות בנוגע להתקיימותן של נסיבות מחמירות. </t>
  </si>
  <si>
    <t xml:space="preserve">חוק להסדר ההימורים בספורט (תיקון מס' 15), התשפ"ג-2023</t>
  </si>
  <si>
    <t xml:space="preserve"> (מ/1623)</t>
  </si>
  <si>
    <t xml:space="preserve">החוק כולל תיקונים שמטרתם שיפור תפקוד המועצה להסדר הימורים בספורט, שהיא תאגיד שהוקם בחוק המסדיר חלק משמעותי מההימורים החוקיים במדינה, ובכלל זה עדכון ושיפור הסדרי המשטר התאגידי בשים לב לאופי פעילות התאגיד, כגון: שינוי הרכב המועצה הציבורית, הרחבתה, דרכי מינוי, תנאי כשירות וכהונה והוראות בענין גמול והוצאות, קציבת מינוי וכהונה של חברי המועצה והמנכ"ל, הסדרי ניגוד עניינים וסמכות לבדיקת עבר פלילי ומשמעתי של חברי מועצה, עובדי התאגיד והזכניים שלו. בנוסף, החוק מגדיל את הסכום המרבי לעריכת הסכמי שיווק ותפעול של התאגיד עם גופי ספורט מ-46 מיליון ל-70 מיליון ש"ח וכן מאפשר הגדלת התשלומים לזוכים על חשבון כספים המועברים לאוצר המדינה, וזאת לתקופה של 5 שנים בלבד. לבסוף, החוק מגביר ומדגיש את האחריות החברתית של התאגיד - הן בעיגון המחויבות לפעול לפי תקנים בינלאומיים של הימורים באחריות, בחובת ייעוד כספים למטרות חברתיות, בגיוון הרכב המועצה של התאגיד כך שתכלול נציגי ממשלה ונציגי ציבור העוסקים בטיפול בהשפעות חברתיות של הימורים, ובבחינת שיקולים חברתיים ומניעתיים בעת אישור ותיקון תוכניות הימורים.</t>
  </si>
  <si>
    <t xml:space="preserve">חוק העונשין (תיקון מס' 146 והוראת שעה), התשפ"ג–2023</t>
  </si>
  <si>
    <t xml:space="preserve"> (פ/2156/25)</t>
  </si>
  <si>
    <t xml:space="preserve"> (כ/965)</t>
  </si>
  <si>
    <t xml:space="preserve">נקבעה עבירה של גביית דמי חסות בשתי דרגות חומרה. האחת, עניינה בגביית דמי חסות תוך ניצול מצוקה ללא איום. במצב זה נקבעה חזקת מודעות של העבריין הגובה דמי חסות באופן מתמשך, למצוקתו של הקורבן, אם התבצעו לכאורה עבירות גוף או רכוש בסביבתו של הקורבן. דרגת החומרה השנייה, עניינה בגביית דמי חסות תוך שימוש באיום. בנוסף, נקבעו כהוראת שעה ל-5 שנים – עונש מינימום על העבירה החדשה וכן הסדרי חילוט על ידי בית-המשפט בהליך פלילי ובהליך אזרחי ללא הרשעה. על יישום הוראות סעיפים אלה, נקבעה חובת דיווח ל-10 שנים.</t>
  </si>
  <si>
    <t xml:space="preserve">חוק למניעת העסקה במוסדות מסוימים של מי שהורשע באלימות כלפי ילדים וחסרי ישע, התשפ"ג-2023</t>
  </si>
  <si>
    <t xml:space="preserve"> (פ/935/25)</t>
  </si>
  <si>
    <t xml:space="preserve"> (כ/960)</t>
  </si>
  <si>
    <t xml:space="preserve">החוק קובע איסור עיסוק והעסקה במוסדות מסוימים על בגיר שהורשע בעבירות אלימות והתעללות כלפי ילדים עד גיל 6 וחסרי ישע. תקופת האיסור תעמוד על 10 או 18 שנים בהתאם לחומרת העבירה בה הורשע. לשם אכיפת האיסור, החוק קובע חובה על מעסיק לקבל אישור משטרה כתנאי להעסקה במוסדות כאמור. כן תוקם ועדת מומחים שתוסמך לפטור מהאיסור אדם ששוכנעה כי אינו מהווה סכנה לילדים או לחסרי ישע. בנוסף, החוק כולל הסדר המאפשר להורה של ילד או לאחראי על חסר ישע, לבקש הצגת אישור משטרה לגבי מועסקים במוסדות כאמור, וכן לגבי מטפלת המועסקת בבית ההורה או האחראי. החוק קובע הסדר ייחודי לעניין מעסיק שהוא רשות מקומית וכן שמשרד החינוך מוחרג מהסדר זה. לצד זאת, החוק קובע איסור על העברת המידע או על כל שימוש אחר באישור המשטרה. בנוסף, החוק כולל תיקון עקיף לחוק סדר הדין הפלילי (סמכויות אכיפה - מעצרים), התשנ"ו-1996, שלפיו אם הוגש כתב אישום בעבירות אלה, יהיה על בית המשפט לשקול במסגרת תנאי שחרור, קביעת איסור על עיסוק במוסד כאמור, ואם לא קבע איסור כזה - יהיה עליו לנמק זאת. בית משפט שקבע איסור עיסוק יורה למשטרה שלא לתת למשוחרר אישור משטרה. תחילתו של חוק זה שנה מיום פרסומו, וזאת בשל משך הזמן הנדרש להקמת המערכת הממוחשבת במשטרה ולהקמת ועדת המומחים, שתוקם בתוך חצי שנה מיום הפרסום. לעניין מועסקים קיימים, תחילת החוק שנה ו-3 חודשים מיום הפרסום, וזאת כדי לאפשר להם ולמעסיקיהם להיערך. כמו כן, בשל משך הזמן שיידרש לבדיקה ידנית של המשטרה בתיקי עבר, נקבע סייג מיוחד מאחריות פלילית למעסיק שיאפשר במקרה הצורך העסקת עובד למשך 3 חודשים, גם בטרם התקבל אישור משטרה. סייג זה יעמוד בתוקפו למשך 10 שנים. בנוסף, כדי ליידע את הציבור בכלל ואת המעסיקים והמועסקים בפרט, החוק קובע חובת פרסום לציבור בדבר ההסדר החדש בסמוך למועד תחילת החוק ובסמוך להקמת ועדת המומחים. </t>
  </si>
  <si>
    <t xml:space="preserve">חוק התאגיד לפיקוח וטרינרי (תיקוני חקיקה), התשפ"ג-2023</t>
  </si>
  <si>
    <t xml:space="preserve">החוק קובע כי התאגיד לפיקוח וטרינרי יפעל בניהול תקציבו ביעילות, על יסוד חישובים כלכליים כמשק כספים סגור ותוך מזעור עלויות הפיקוח. החוק משנה את סכום האגרה הבסיסי וקובע מנגנון לעדכון שנתי של סכום האגרה הבסיסי – בהתאם לשינוי הממוצע השנתי של השכר הממוצע של עובדי החברות הממשלתיות. החוק קובע כי השר יקבע בתקנות את האגרות שהתאגיד יוכל לגבות בעד הפיקוח הוטרינרי במפעלים השונים ובבתי השחיטה. אגרות אלה והאגרות שהתאגיד גובה בעד פיקוח וטרינרי במפעלי יצוא הבשר וכן בבתי המטבחיים, ייקבעו בתקנות בזיקה לסכום האגרה הבסיסי ותוך הבחנה בין פיקוח בשעות רגילות, שעות לילה ושעות נוספות ובין תפקידי הפיקוח השונים הנדרשים על ידי משרד הבריאות או משרד החקלאות. כמו כן נקבע בחוק כי סכומי אגרות אלה ישולמו בתוספת מע"מ.  נוסף על כך החוק משנה את סכום אגרת פיקוח בשווקים שהתאגיד גובה ומעביר לרשויות המקומיות, וכן קובע כי גם על סכום אגרה זו יתווסף מע"מ, ויחול לגבי חישובה מנגנון העדכון השנתי בהתאמות מסוימות. </t>
  </si>
  <si>
    <t xml:space="preserve">חוק מיסוי תשלומים בתקופת בחירות (תיקון מס' 9 - הוראת שעה), התשפ"ג–2023</t>
  </si>
  <si>
    <t xml:space="preserve"> (פ/3671/25)</t>
  </si>
  <si>
    <t xml:space="preserve"> (כ/973)</t>
  </si>
  <si>
    <t xml:space="preserve">נקבעה הוראת שעה שתחול לתקופה של שנה, שמטרה לאחד את הכלל בין הבחירות לרשויות המקומיות לבין הבחירות לכנסת, לפיו "תקופת הבחירות" לעניין מיסוי תשלומים לעובדים בתקופת בחירות תוגדר כתקופה של 60 ימים המסתיימת ביום ה-14 שלאחר יום הבחירות. עוד נקבע, כי המס המיוחד שמשולם בגין עבודה בתקופת בחירות יופחת מ-25% ל-18%.</t>
  </si>
  <si>
    <t xml:space="preserve">חוק שירות ביטחון (הוראת שעה) (הצבת יוצאי צבא בשירות בתי הסוהר) (תיקון מס' 11), התשפ"ג-2023</t>
  </si>
  <si>
    <t xml:space="preserve"> (מ/1646)</t>
  </si>
  <si>
    <t xml:space="preserve">הוראת השעה המסדירה הצבת חיילים בשירות בתי הסוהר צפויה לפקוע ביום כ"ח באב התשפ"ג (15 באוגוסט 2023). על כן נקבע כי חיילים שהוצבו בשירות בתי הסוהר לפי יום הפקיעה ימשיכו לשרת גם לאחר יום הפקיעה, עד לתום תקופת שירותם או עד ליום ל' בכסלו התשפ"ה (31 בדצמבר 2024), לפי המוקדם מבין השניים.</t>
  </si>
  <si>
    <t xml:space="preserve">חוק שירות אזרחי (תיקון מס' 4), התשפ"ג-2023</t>
  </si>
  <si>
    <t xml:space="preserve"> (מ/1632)</t>
  </si>
  <si>
    <t xml:space="preserve">חוק זה מאריך עד יום 31 באוגוסט 2025 את הוראת המעבר הקבועה בסעיף 112(ד)(1) לחוק שירות אזרחי, התשע"ז-2017 אשר פקעה ב-1 באפריל 2022. הוראת הסעיף שתוקפה מוארך קובעת כי גוף שקיבל הכרה כגוף מוכר ערב יום התחילה של חוק שירות אזרחי לפי תקנות הביטוח הלאומי (בנות בשירות לאומי בהתנדבות), התשס"ב-2002, יראו אותו כגוף שהוכר לפי סעיף 48 לחוק גם אם אינו מקיים את תנאי אותו סעיף. תיקון זה נדרש מכיוון שטרם הושלמה התקנת התקנות לפי סעיף 48 שייקבעו את התנאים להכרה בגוף כגוף מוכר, וזאת על מנת לשמור על רציפות פעילותם של הגופים המוכרים שפועלים כעת ולמנוע פגיעה בזכויות המתנדבים. </t>
  </si>
  <si>
    <t xml:space="preserve">חוק רישוי שירותים ומקצועות בענף הרכב (תיקון מס' 11), התשפ"ג-2023</t>
  </si>
  <si>
    <t xml:space="preserve"> (מ/1642)</t>
  </si>
  <si>
    <t xml:space="preserve">התיקון לחוק מאריך את תוקף צווי הפיקוח וכן שתי הוראות שעה הקבועות בחוק רישוי שירותים ומקצועות בענף הרכב, התשע"ו–2016 (להלן – החוק), כפי שיפורט להלן. לעניין תוקף צווי הפיקוח – החוק מסדיר באופן מקיף תחומים שונים בענף הרכב, ובהם ייבוא רכב, מוסכים ושמאות רכב, ובמסגרתו נקבעו הסדרים עדכניים שנועדו להחליף את צווי הפיקוח – צווים שהותקנו מכוח חוק הפיקוח על מצרכים ושירותים, התשי"ח–1957, שהם חקיקה לשעת חירום, ובהם הוסדרו תחומים אלה עד לחקיקת החוק. נושאים מסוימים מוסדרים בהוראות נוהל שנקבעו לפי צווי הפיקוח. לשם יישומו המלא של החוק יש צורך בהתקנת מספר רב של תקנות, חלקן באישור ועדת הכלכלה של הכנסת. כדי לאפשר לשר התחבורה והבטיחות בדרכים להשלים את התקנתן של כל התקנות הנדרשות, נקבע בחוק כי צווי הפיקוח והוראות הנוהל מכוחם ימשיכו לעמוד בתוקף עד שיותקנו אותן תקנות. התיקון לחוק מאריך בשנה, עד 16 באוגוסט 2024, את התקופה שבה יעמדו בתוקפם צווי הפיקוח לעניין ייצור וייבוא רכב, מוצרי תעבורה, מוסכים ושמאות רכב. בנוסף, התיקון לחוק מאריך עד אותו מועד גם שתי הוראות שעה: הוראת השעה המאפשרת לייבואן זעיר (שהוא יבואן רכב המורשה לייבא עד 20 כלי רכב בשנה) לייבא רכב גם אם טרם חלפו 12 חודשים ממועד ייצורו של הרכב עד מועד רישומו בישראל, וכן הוראת שעה הקובעת כי החובות החלות על יבואן ישיר לטפל בכלי רכב מאותו תוצר שיובאו על ידי יבואנים עקיפים וזעירים, לא יחולו על רכב שאינו מסוג רכב נוסעים או רכב מסחרי. לפי התיקון, שר התחבורה והבטיחות בדרכים רשאי להאריך בצו, באישור ועדת הכלכלה של הכנסת, את תוקף צווי הפיקוח לתקופות נוספות שלא יעלו במצטבר על 6 חודשים, וכן את שתי הוראות השעה כאמור לשתי תקופות נוספות שכל אחת מהן לא תעלה על 6 חודשים, כאשר לעניין הוראת השעה הנוגעת לחובות ייבואן ישיר לגבי כלי רכב שאינם רכב נוסעים או רכב מסחרי (כגון רכב דו-גלגלי), השר יהיה רשאי להאריך את תוקפה רק לעניין סוגי כלי רכב מסוימים כפי שיקבע בצו.</t>
  </si>
  <si>
    <t xml:space="preserve">חוק ביטוח בריאות ממלכתי (תיקון מס' 67), התשפ"ג–2023</t>
  </si>
  <si>
    <t xml:space="preserve"> (פ/621/24)</t>
  </si>
  <si>
    <t xml:space="preserve"> (כ/924)</t>
  </si>
  <si>
    <t xml:space="preserve">חוק זה מרחיב את הזכאות לפי חוק ביטוח בריאות ממלכתי, התשנ"ד-1994 להחזר דמי נסיעה בניידת טיפול נמרץ או באמבולנס כך שיינתן החזר מלא  בעד הוצאות הסעה לבית חולים בניידת טיפול נמרץ או באמבולנס כשהמבוטח שהוסע נפטר בטרם אושפז, - אך לא יותר מסכום האגרה הקבוע לנסיעה באמבולנס או בניידת טיפול נמרץ של מד"א. כמו כן  נקבע כי מבוטח שמלאו לו 80 שנים והוא זכאי לגמלת סיעוד ברמה 5 או ברמה 6 לפי חוק הביטוח הלאומי וזכאי גם לגמלת הבטחת הכנסה, יהיה זכאי להחזר של 50% מסכום ההוצאה ששילם, בעד הוצאות הנסיעה לבית החולים בניידת טיפול נמרץ או באמבולנס.</t>
  </si>
  <si>
    <t xml:space="preserve">חוק הנכים (תגמולים ושיקום) (תיקון מס' 32), התשפ"ג-2023</t>
  </si>
  <si>
    <t xml:space="preserve"> (מ/1574)</t>
  </si>
  <si>
    <t xml:space="preserve">עניינו של החוק עיגון והרחבה של זכויות נכי צה"ל. בחוק עוגנו זכאויות שונות בתחום הדיור והוקמה ועדה מייעצת, שבהתאם להמלצתה מוסמך קצין תגמולים לאשר סיוע בדיור שלא לפי כללים הרגילים.  בתחום הניידות - עוגנה הזכאות לסיוע ברכישת רכב רפואי ולהחלפתו מדי שלוש וחצי שנים. אם הותקנו ברכב אבזרי עזר שערכם עולה על 50% מעלות הרכב, החלפת הרכב תהיה כל חמש שנים. הסיוע יינתן בהתאם לסכומים המפורטים בחוק. כמו כן עוגנה הזכאות לרכב רפואי בבעלות המדינה והיא הורחבה לכלל הנכים בעלי דרגת נכות מיוחדת. כדי למנוע שחיקה של הסכומים הם הוצמדו למדד המכוניות החדשות. נוסף על כך עוגנה הזכאות לדמי ניידות והם הוצמדו למדד דלק ושמנים לכלי רכב. כמו כן עוגנו זכאויות נוספות בתחום הניידות וביניהן: סיוע במימון דמי ביטוח שנתיים, סיוע במימון אגרת רישוי, מימון של אבזרי עזר לרכב וסיוע במימון שיעורי נהיגה ומבחני נהיגה. במסגרת החוק הוקמה גם ועדת חריגים לניידות.  בנושא תגמולי הקיום המשתלמים לנכים - הוספה לחוק הוראת קבע לעניין מבחני הכנסה מקלים בכל הנוגע להכנסה מעבודה. הכנסות שאינן מעבודה או ממשלח יד לא יובאו כלל בחשבון. נקבע מנגנון עדכון אוטומטי לתגמולים פעמיים בשנה לפי ממוצע חצי שנתי של מדד השכר החודשי הממוצע למשרת שכיר בסך כל השירותים הציבוריים. מנגנון זה הוחל גם על תגמולים המשתלמים לפי חוק משפחות חיילים שנספו במערכה.  תיקונים נוספים עניינם ניכוי תשלומים ששולמו ביתר, אופן התשלום של תגמולים וזכאויות נוספות באיחור והגדרת הפרעה בתר-חבלתית – פוסט טראומה. במסגרת החוק תוקן גם חוק התגמולים לנפגעי פעולות איבה והוחלו בו הוראות שונות מחוק הנכים (תגמולים ושיקום).  </t>
  </si>
  <si>
    <t xml:space="preserve"> (פ/3932/25)</t>
  </si>
  <si>
    <t xml:space="preserve">26.07.2023</t>
  </si>
  <si>
    <t xml:space="preserve">הצעת חוק סדר הדין הפלילי (סמכויות אכיפה - מעצרים) (תיקון - סייג לקביעת קצין משטרה את תנאי השחרור ממעצר המגבילים את זכות ההפגנה), התשפ"ג-2023</t>
  </si>
  <si>
    <t xml:space="preserve"> (פ/3931/25)</t>
  </si>
  <si>
    <t xml:space="preserve">הצעת חוק סדר הדין הפלילי (חקירת חשודים) (תיקון - נוכחות עורך דין בחקירת חשוד בעבירות פשע), התשפ"ג-2023</t>
  </si>
  <si>
    <t xml:space="preserve"> (פ/3929/25)</t>
  </si>
  <si>
    <t xml:space="preserve">הצעת חוק לתיקון פקודת בריאות העם (העדפות מתן רישיון למכשור רפואי בפריפריה), התשפ"ג-2023</t>
  </si>
  <si>
    <t xml:space="preserve"> (פ/3928/25)</t>
  </si>
  <si>
    <t xml:space="preserve">הצעת חוק זכויות נפגעי ונפגעות עבירת מין או אלימות במשפחה בהליך אזרחי, התשפ"ג-2023</t>
  </si>
  <si>
    <t xml:space="preserve"> (פ/3927/25)</t>
  </si>
  <si>
    <t xml:space="preserve">הצעת חוק זכויות מבצעים ומשדרים (תיקון - הרחבת היקף הזכויות), התשפ"ג-2023</t>
  </si>
  <si>
    <t xml:space="preserve"> (פ/3926/25)</t>
  </si>
  <si>
    <t xml:space="preserve">הצעת חוק הכשרות לאנשי מקצוע בנושא זיהוי ודיווח על התעללות בילדים, התשפ"ג-2023</t>
  </si>
  <si>
    <t xml:space="preserve"> (פ/3925/25)</t>
  </si>
  <si>
    <t xml:space="preserve"> (פ/3924/25)</t>
  </si>
  <si>
    <t xml:space="preserve">הצעת חוק יישוב סכסוכי עבודה (תיקון - אחריות ארגוני עובדים ומעבידים לשביתות בלתי מוגנות), התשפ"ג-2023</t>
  </si>
  <si>
    <t xml:space="preserve"> (פ/3922/25)</t>
  </si>
  <si>
    <t xml:space="preserve">הצעת חוק לתיקון פקודת בריאות העם (חובת הקצאת מקום לתפילת מוסלמים בבתי חולים), התשפ"ג-2023</t>
  </si>
  <si>
    <t xml:space="preserve"> (פ/3921/25)</t>
  </si>
  <si>
    <t xml:space="preserve">הצעת חוק לתיקון פקודת מס הכנסה (ניכוי סכומים שהוצאו לצורך טיפול בילד), התשפ"ג-2023</t>
  </si>
  <si>
    <t xml:space="preserve"> (פ/3920/25)</t>
  </si>
  <si>
    <t xml:space="preserve">הצעת חוק ביטוח בריאות ממלכתי (תיקון - בחירת נותן שירותים על ידי מבוטח), התשפ"ג-2023</t>
  </si>
  <si>
    <t xml:space="preserve"> (פ/3919/25)</t>
  </si>
  <si>
    <t xml:space="preserve">הצעת חוק לתיקון פקודת התעבורה (איסור שימוש במצלמות ניידות לאכיפת עבירות חניה), התשפ"ג-2023</t>
  </si>
  <si>
    <t xml:space="preserve"> (פ/3918/25)</t>
  </si>
  <si>
    <t xml:space="preserve">הצעת חוק לתיקון פקודת בריאות העם (שינוי הוראת התקנת מצלמות לשם הגנה על מאושפזים בבית חולים גריאטרי), התשפ"ג-2023</t>
  </si>
  <si>
    <t xml:space="preserve"> (פ/3916/25)</t>
  </si>
  <si>
    <t xml:space="preserve">הצעת חוק הביטוח הלאומי (תיקון - קצבת ילדים כפולה בלידת תאומים או יותר), התשפ"ג-2023</t>
  </si>
  <si>
    <t xml:space="preserve"> (פ/3915/25)</t>
  </si>
  <si>
    <t xml:space="preserve">הצעת חוק הביטוח הלאומי (תיקון - תשלום למי שסיפק מצרכים חיוניים), התשפ"ג-2023</t>
  </si>
  <si>
    <t xml:space="preserve"> (פ/3914/25)</t>
  </si>
  <si>
    <t xml:space="preserve">הצעת חוק דיווח לכנסת על תלונות וטיפול בהטרדות מיניות במשטרת ישראל, בשירות בתי הסוהר, בצבא ההגנה לישראל והטיפול בהן (תיקוני חקיקה), התשפ"ג-2023</t>
  </si>
  <si>
    <t xml:space="preserve"> (פ/3913/25)</t>
  </si>
  <si>
    <t xml:space="preserve">הצעת חוק הגנת השכר (תיקון - התיישנות), התשפ"ג-2023</t>
  </si>
  <si>
    <t xml:space="preserve"> (פ/3912/25)</t>
  </si>
  <si>
    <t xml:space="preserve">הצעת חוק נפגעי תאונות דרכים (סיוע לבני משפחה) (תיקון - הרחבת הסיוע), התשפ"ג-2023</t>
  </si>
  <si>
    <t xml:space="preserve"> (פ/3910/25)</t>
  </si>
  <si>
    <t xml:space="preserve">הצעת חוק האזרחים הוותיקים (תיקון - הנחה ברכישת אמצעי לזיהוי מצב חירום רפואי), התשפ"ג-2023</t>
  </si>
  <si>
    <t xml:space="preserve"> (פ/3909/25)</t>
  </si>
  <si>
    <t xml:space="preserve"> (פ/3908/25)</t>
  </si>
  <si>
    <t xml:space="preserve">הצעת חוק לתיקון פקודת התעבורה (רישום רכב), התשפ"ג-2023</t>
  </si>
  <si>
    <t xml:space="preserve"> (פ/3907/25)</t>
  </si>
  <si>
    <t xml:space="preserve">הצעת חוק בטיחות בטיולים ובפעילויות חוץ של מסגרות לבוגרי תיכון לפני שירות (תיקוני חקיקה), התשפ"ג-2023</t>
  </si>
  <si>
    <t xml:space="preserve"> (פ/3906/25)</t>
  </si>
  <si>
    <t xml:space="preserve">הצעת חוק הביטוח הלאומי (תיקון - ביטול מעמד עקרת בית), התשפ"ג-2023</t>
  </si>
  <si>
    <t xml:space="preserve"> (פ/3905/25)</t>
  </si>
  <si>
    <t xml:space="preserve">הצעת חוק הפיקוח על שירותים פיננסיים (ביטוח) (תיקון - ביטוח חיים עם מרכיב חיסכון שלא אושר כקופת גמל), התשפ"ג-2023</t>
  </si>
  <si>
    <t xml:space="preserve"> (פ/3904/25)</t>
  </si>
  <si>
    <t xml:space="preserve">הצעת חוק דמי מחלה (היעדרות בשל מחלת ילד) (תיקון - היעדרות בעקבות פגיעה בעבירת מין או אלימות חמורה), התשפ"ג-2023</t>
  </si>
  <si>
    <t xml:space="preserve"> (פ/3902/25)</t>
  </si>
  <si>
    <t xml:space="preserve">הצעת חוק ביטוח בריאות ממלכתי (תיקון - קדימות בתור לטיפול או שירות רפואי לאדם עם מוגבלות), התשפ"ג-2023</t>
  </si>
  <si>
    <t xml:space="preserve"> (פ/3901/25)</t>
  </si>
  <si>
    <t xml:space="preserve">הצעת חוק הביטוח הלאומי (תיקון - ביטוח שאירים לאלמן), התשפ"ג-2023</t>
  </si>
  <si>
    <t xml:space="preserve"> (פ/3900/25)</t>
  </si>
  <si>
    <t xml:space="preserve">הצעת חוק מס ערך מוסף (תיקון - מס בשיעור אפס על תרופות), התשפ"ג-2023</t>
  </si>
  <si>
    <t xml:space="preserve"> (פ/3898/25)</t>
  </si>
  <si>
    <t xml:space="preserve">הצעת חוק הסדרת העיסוק בייצוג על ידי יועצי מס (תיקון - היתר ליועץ פנסיוני לייצג לפני רשות מס), התשפ"ג-2023</t>
  </si>
  <si>
    <t xml:space="preserve"> (פ/3897/25)</t>
  </si>
  <si>
    <t xml:space="preserve">הצעת חוק אימות חתימה על מסמכי עמיתים (תיקוני חקיקה), התשפ"ג-2023</t>
  </si>
  <si>
    <t xml:space="preserve"> (פ/3896/25)</t>
  </si>
  <si>
    <t xml:space="preserve">הצעת חוק הפיקוח על שירותים פיננסיים (קופות גמל) (תיקון - משיכת כספים בסכום צבירה מזערי, בסכום חד-פעמי שלא בדרך של היוון קצבה), התשפ"ג-2023</t>
  </si>
  <si>
    <t xml:space="preserve"> (פ/3895/25)</t>
  </si>
  <si>
    <t xml:space="preserve">הצעת חוק הפיקוח על שירותים פיננסיים (ייעוץ, שיווק ומערכת סליקה פנסיוניים) (תיקון - ייעוץ פנסיוני דיגיטלי), התשפ"ג-2023</t>
  </si>
  <si>
    <t xml:space="preserve"> (פ/3894/25)</t>
  </si>
  <si>
    <t xml:space="preserve">הצעת חוק סדר הדין הפלילי (סמכויות אכיפה - מעצרים) (תיקון - מאבק בעיכובי שווא), התשפ"ג-2023</t>
  </si>
  <si>
    <t xml:space="preserve"> (פ/3893/25)</t>
  </si>
  <si>
    <t xml:space="preserve">הצעת חוק הביטוח הלאומי (תיקון - מימון הסעת יולדת באמבולנס), התשפ"ג-2023</t>
  </si>
  <si>
    <t xml:space="preserve"> (פ/3892/25)</t>
  </si>
  <si>
    <t xml:space="preserve">הצעת חוק הביטוח הלאומי (תיקון - פטור מתשלום דמי ביטוח לתלמיד על יסודי), התשפ"ג-2023</t>
  </si>
  <si>
    <t xml:space="preserve"> (פ/3890/25)</t>
  </si>
  <si>
    <t xml:space="preserve">הצעת חוק הביטוח הלאומי (תיקון - השוואת זכויות אלמן ואלמנה), התשפ"ג-2023</t>
  </si>
  <si>
    <t xml:space="preserve"> (פ/3889/25)</t>
  </si>
  <si>
    <t xml:space="preserve">הצעת חוק-יסוד: השפיטה (תיקון - עילת הסבירות)</t>
  </si>
  <si>
    <t xml:space="preserve"> (פ/3888/25)</t>
  </si>
  <si>
    <t xml:space="preserve">הצעת חוק התקנת מצלמות לשם הגנה על פעוטות במעונות יום לפעוטות (תיקון - היתר צפייה בצילומים ללא המתנה לצו שיפוטי), התשפ"ג-2023</t>
  </si>
  <si>
    <t xml:space="preserve"> (פ/3885/25)</t>
  </si>
  <si>
    <t xml:space="preserve">הצעת חוק חינוך ממלכתי (תיקון - סמכויות המועצה לחינוך ממלכתי דתי), התשפ"ג-2023</t>
  </si>
  <si>
    <t xml:space="preserve"> (פ/3884/25)</t>
  </si>
  <si>
    <t xml:space="preserve">הצעת חוק התקשורת (בזק ושידורים) (תיקון - איסור סימון בשלט), התשפ"ג-2023</t>
  </si>
  <si>
    <t xml:space="preserve"> (פ/3882/25)</t>
  </si>
  <si>
    <t xml:space="preserve">הצעת חוק להנצחת חנה סנש (ציון זכרה ופועלה), התשפ"ג-2023</t>
  </si>
  <si>
    <t xml:space="preserve"> (פ/3881/25)</t>
  </si>
  <si>
    <t xml:space="preserve">הצעת חוק טיפול במכורים לסמים קשים ואשפוזם (תיקוני חקיקה), התשפ"ג-2023</t>
  </si>
  <si>
    <t xml:space="preserve"> (פ/3880/25)</t>
  </si>
  <si>
    <t xml:space="preserve">הצעת חוק המועצה לענף הלול (ייצור ושיווק) (תיקון - סימון ביצים), התשפ"ג-2023</t>
  </si>
  <si>
    <t xml:space="preserve"> (פ/3879/25)</t>
  </si>
  <si>
    <t xml:space="preserve">הצעת חוק מבקר הפרקליטות, התשפ"ג-2023 </t>
  </si>
  <si>
    <t xml:space="preserve"> (פ/3878/25)</t>
  </si>
  <si>
    <t xml:space="preserve">הצעת חוק איסור מכירת צעצועים המדמים כלי נשק, התשפ"ג-2023</t>
  </si>
  <si>
    <t xml:space="preserve"> (פ/3876/25)</t>
  </si>
  <si>
    <t xml:space="preserve">הצעת חוק טיפול בחולי נפש (תיקון - תנאי אשפוז הולמים), התשפ"ג-2023</t>
  </si>
  <si>
    <t xml:space="preserve"> (פ/3875/25)</t>
  </si>
  <si>
    <t xml:space="preserve">הצעת חוק הביטוח הלאומי (תיקון - תשלום גמלה בעד תקופה שקדמה להגשת התביעה), התשפ"ג-2023</t>
  </si>
  <si>
    <t xml:space="preserve"> (פ/3874/25)</t>
  </si>
  <si>
    <t xml:space="preserve"> (פ/3873/25)</t>
  </si>
  <si>
    <t xml:space="preserve">הצעת חוק הדגל, הסמל והמנון המדינה (תיקון - שימוש בהמנון המדינה בידי מוסדות להשכלה גבוהה), התשפ"ג-2023</t>
  </si>
  <si>
    <t xml:space="preserve"> (פ/3872/25)</t>
  </si>
  <si>
    <t xml:space="preserve">הצעת חוק הבחירות לכנסת (תיקון - זכות לשכר ביום הבחירות), התשפ"ג-2023</t>
  </si>
  <si>
    <t xml:space="preserve"> (פ/3871/25)</t>
  </si>
  <si>
    <t xml:space="preserve">הצעת חוק הקמת חדרי מיון בשדרות ובקריית שמונה, התשפ"ג-2023</t>
  </si>
  <si>
    <t xml:space="preserve"> (פ/3870/25)</t>
  </si>
  <si>
    <t xml:space="preserve">הצעת חוק הביטוח הלאומי (תיקון - הגדלת הסכום שאינו מובא בחשבון וסכום לקביעת זכאות לנכה), התשפ"ג-2023</t>
  </si>
  <si>
    <t xml:space="preserve"> (פ/3869/25)</t>
  </si>
  <si>
    <t xml:space="preserve">הצעת חוק ההתגוננות האזרחית (תיקון - מרחב מוגן דירתי ביישובים סמוכי גבול), התשפ"ג-2023</t>
  </si>
  <si>
    <t xml:space="preserve"> (פ/3868/25)</t>
  </si>
  <si>
    <t xml:space="preserve"> (פ/3867/25)</t>
  </si>
  <si>
    <t xml:space="preserve">הצעת חוק העונשין (תיקון - גזענות נגד קבוצה דתית), התשפ"ג-2022</t>
  </si>
  <si>
    <t xml:space="preserve"> (פ/3866/25)</t>
  </si>
  <si>
    <t xml:space="preserve">הצעת חוק הביטוח הלאומי (תיקון - גמלת אבל לעצמאים), התשפ"ג-2023</t>
  </si>
  <si>
    <t xml:space="preserve"> (פ/3865/25)</t>
  </si>
  <si>
    <t xml:space="preserve">הצעת חוק העונשין (תיקון - עונש מינימום בעבירת גניבת נשק), התשפ"ג-2023</t>
  </si>
  <si>
    <t xml:space="preserve"> (פ/3864/25)</t>
  </si>
  <si>
    <t xml:space="preserve">הצעת חוק הביטוח הלאומי (תיקון - גמלת אבל), התשפ"ג-2023</t>
  </si>
  <si>
    <t xml:space="preserve"> (פ/3863/25)</t>
  </si>
  <si>
    <t xml:space="preserve">הצעת חוק הלוואות לדיור (תיקון - עדכון זכאות ותנאי הלוואה לדיור), תשפ"ג-2023</t>
  </si>
  <si>
    <t xml:space="preserve"> (פ/3861/25)</t>
  </si>
  <si>
    <t xml:space="preserve">הצעת חוק חכירה הוגנת, התשפ"ג-2023 </t>
  </si>
  <si>
    <t xml:space="preserve"> (פ/3860/25)</t>
  </si>
  <si>
    <t xml:space="preserve">הצעת חוק הסיוע המשפטי (תיקון - סיוע משפטי לנפגעי הונאה ועושק), התשפ"ג-2023</t>
  </si>
  <si>
    <t xml:space="preserve"> (פ/3859/25)</t>
  </si>
  <si>
    <t xml:space="preserve">הצעת חוק העונשין (תיקון - עונש מינימום בעבירות כניסה והתפרצות), התשפ"ג-2023</t>
  </si>
  <si>
    <t xml:space="preserve"> (פ/3858/25)</t>
  </si>
  <si>
    <t xml:space="preserve">הצעת חוק לעידוד הסעות עובדים מאורגנות (תיקוני חקיקה), התשפ"ג-2023</t>
  </si>
  <si>
    <t xml:space="preserve"> (פ/3857/25)</t>
  </si>
  <si>
    <t xml:space="preserve">הצעת חוק העונשין (תיקון - עונש מינימום בעבירות גניבה מרכב), התשפ"ג-2023</t>
  </si>
  <si>
    <t xml:space="preserve"> (פ/3856/25)</t>
  </si>
  <si>
    <t xml:space="preserve">הצעת חוק תגמול ספורטאים בעלי דירוג עולמי, התשפ"ג-2023</t>
  </si>
  <si>
    <t xml:space="preserve"> (פ/3855/25)</t>
  </si>
  <si>
    <t xml:space="preserve">הצעת חוק ההוצאה לפועל (תיקון - החרגת עיקול ביטוח רפואי בידי צד שלישי), התשפ"ג-2023</t>
  </si>
  <si>
    <t xml:space="preserve"> (פ/3854/25)</t>
  </si>
  <si>
    <t xml:space="preserve">הצעת חוק הלוואות לדיור (תיקון - מניעת מגבלה על שיעור המימון מבנק), התשפ"ג-2023</t>
  </si>
  <si>
    <t xml:space="preserve"> (פ/3853/25)</t>
  </si>
  <si>
    <t xml:space="preserve">הצעת חוק לתיקון פקודת סדרי השלטון והמשפט (חקיקה באזור באמצעות צו), התשפ"ג-2023</t>
  </si>
  <si>
    <t xml:space="preserve"> (פ/3852/25)</t>
  </si>
  <si>
    <t xml:space="preserve">הצעת חוק העונשין (תיקון - עונש מינימום על עבירת אונס), התשפ"ג-2023</t>
  </si>
  <si>
    <t xml:space="preserve"> (פ/3851/25)</t>
  </si>
  <si>
    <t xml:space="preserve">הצעת חוק זכויות החולה (תיקון - הסכמה מדעת של קטין), התשפ"ג-2023</t>
  </si>
  <si>
    <t xml:space="preserve"> (פ/3850/25)</t>
  </si>
  <si>
    <t xml:space="preserve">הצעת חוק למניעת הטרדה מינית (תיקון - הרחבת תחולה על עובדים עצמאים, מתנדבים ועובדי כלכלת הפלטפורמה), התשפ"ג-2023</t>
  </si>
  <si>
    <t xml:space="preserve"> (פ/3848/25)</t>
  </si>
  <si>
    <t xml:space="preserve">הצעת חוק העונשין (תיקון - עונש מינימום על תקיפת שוטר), התשפ"ג-2023 </t>
  </si>
  <si>
    <t xml:space="preserve"> (פ/3847/25)</t>
  </si>
  <si>
    <t xml:space="preserve">הצעת חוק מגן דוד אדום (תיקון - פריסת ניידות טיפול נמרץ ברחבי המדינה), התשפ"ג-2023 </t>
  </si>
  <si>
    <t xml:space="preserve"> (פ/3845/25)</t>
  </si>
  <si>
    <t xml:space="preserve">הצעת חוק הארכת תקופת צינון למשרתים במערכת הביטחון (תיקוני חקיקה), התשפ"ג-2023</t>
  </si>
  <si>
    <t xml:space="preserve"> (פ/3844/25)</t>
  </si>
  <si>
    <t xml:space="preserve">הצעת חוק מס ערך מוסף (תיקון - הגדרת עוסק פטור), התשפ"ג-2023</t>
  </si>
  <si>
    <t xml:space="preserve"> (פ/3843/25)</t>
  </si>
  <si>
    <t xml:space="preserve">הצעת חוק הביטוח הלאומי (תיקון - זכאות לקצבת נכות), התשפ"ג-2023</t>
  </si>
  <si>
    <t xml:space="preserve"> (פ/3842/25)</t>
  </si>
  <si>
    <t xml:space="preserve">הצעת חוק המשטרה (סמכויות), התשפ"ג-2023</t>
  </si>
  <si>
    <t xml:space="preserve"> (פ/3841/25)</t>
  </si>
  <si>
    <t xml:space="preserve">הצעת חוק הכרת מדינת ישראל באחריות על הטבח בכפר קאסם, התשפ"ג-2023</t>
  </si>
  <si>
    <t xml:space="preserve"> (פ/3840/25)</t>
  </si>
  <si>
    <t xml:space="preserve">הצעת חוק הביטוח הלאומי (תיקון - הרחבת הזכאות לגמלת ניידות לפי הסכם מכוח סעיף 9), התשפ"ג-2023</t>
  </si>
  <si>
    <t xml:space="preserve"> (פ/3839/25)</t>
  </si>
  <si>
    <t xml:space="preserve">הצעת חוק צער בעלי חיים (הגנה על בעלי חיים) (תיקון - המעמד המשפטי של בעלי חיים), התשפ"ג-2023</t>
  </si>
  <si>
    <t xml:space="preserve"> (פ/3838/25)</t>
  </si>
  <si>
    <t xml:space="preserve">הצעת חוק תפיסת הביטחון הלאומי, התשפ"ג-2023</t>
  </si>
  <si>
    <t xml:space="preserve"> (פ/3836/25)</t>
  </si>
  <si>
    <t xml:space="preserve">הצעת חוק העונשין (תיקון - עונש מינימום על עבירת הפרעה לשוטר), התשפ"ג-2023</t>
  </si>
  <si>
    <t xml:space="preserve"> (פ/3835/25)</t>
  </si>
  <si>
    <t xml:space="preserve">הצעת חוק העונשין (תיקון - עונש מינימום על עבירות ירי בנשק חם), התשפ"ג-2023</t>
  </si>
  <si>
    <t xml:space="preserve"> (פ/3832/25)</t>
  </si>
  <si>
    <t xml:space="preserve">הצעת חוק לתיקון פקודת התעבורה (הגבלת תשלום למורה נהיגה בעד שימוש ברכבו במבחן נהיגה), התשפ"ג-2023</t>
  </si>
  <si>
    <t xml:space="preserve"> (פ/3831/25)</t>
  </si>
  <si>
    <t xml:space="preserve">הצעת חוק התקנים (תיקון - גוף וולונטרי), התשפ"ג-2023</t>
  </si>
  <si>
    <t xml:space="preserve"> (פ/3830/25)</t>
  </si>
  <si>
    <t xml:space="preserve">הצעת חוק מס רכוש וקרן פיצויים (תיקון - תשלום פיצויים לאזרחים שהתפנו מבתיהם בעת מצב מיוחד בעורף), התשפ"ג-2023</t>
  </si>
  <si>
    <t xml:space="preserve"> (פ/3828/25)</t>
  </si>
  <si>
    <t xml:space="preserve">הצעת חוק העונשין (תיקון - עונש מינימום על עבירת החזקת נשק בלתי חוקי), התשפ"ג-2023</t>
  </si>
  <si>
    <t xml:space="preserve"> (פ/3827/25)</t>
  </si>
  <si>
    <t xml:space="preserve">הצעת חוק ביטוח בריאות ממלכתי (תיקון - העברת תיק רפואי במעבר בין קופות חולים), התשפ"ג-2023</t>
  </si>
  <si>
    <t xml:space="preserve"> (פ/3824/25)</t>
  </si>
  <si>
    <t xml:space="preserve"> (פ/3823/25)</t>
  </si>
  <si>
    <t xml:space="preserve">הצעת חוק הכנסת (תיקון - הגברת פיקוח הכנסת), התשפ"ג-2023</t>
  </si>
  <si>
    <t xml:space="preserve"> (פ/3822/25)</t>
  </si>
  <si>
    <t xml:space="preserve">הצעת חוק הכנסת (תיקון - אמירת אמת והתייצבות בפני ועדות הכנסת), התשפ"ג-2023 </t>
  </si>
  <si>
    <t xml:space="preserve"> (פ/3821/25)</t>
  </si>
  <si>
    <t xml:space="preserve">הצעת חוק חובת המכרזים (תיקון - עידוד עסקים להעסקת בני החברה הערבית והחרדית), התשפ"ג-2023</t>
  </si>
  <si>
    <t xml:space="preserve"> (פ/3820/25)</t>
  </si>
  <si>
    <t xml:space="preserve"> (פ/3819/25)</t>
  </si>
  <si>
    <t xml:space="preserve"> (פ/3817/25)</t>
  </si>
  <si>
    <t xml:space="preserve">הצעת חוק ביטוח בריאות ממלכתי (תיקון - זמן סביר לעניין שירות רפואי), התשפ"ג-2023</t>
  </si>
  <si>
    <t xml:space="preserve"> (פ/3816/25)</t>
  </si>
  <si>
    <t xml:space="preserve"> (פ/3815/25)</t>
  </si>
  <si>
    <t xml:space="preserve">חוק לעידוד תעשייה עתירת ידע (הוראת שעה), התשפ"ג-2023</t>
  </si>
  <si>
    <t xml:space="preserve"> (מ/1577)</t>
  </si>
  <si>
    <t xml:space="preserve">25.07.2023</t>
  </si>
  <si>
    <t xml:space="preserve">החוק קובע הטבות מס מסוגים שונים למשקיעים בחברות היי-טק ולחברות היי-טק בהוראת שעה עד תום שנת 2026: הענקת זיכוי ממס למשקיעים בחברות הזנק (סטארט-אפ); דחיית תשלום המס על רווח ההון במכירה של חברה לבעל מניות אשר משתמש בחלק מהתמורה מהמכירה לצורך השקעה בחברת סטארט-אפ; התרת השקעה במניות כהוצאה לצורכי מס, לחברה אשר רוכשת שליטה בחברה אחרת – ישראלית או זרה, כך שניתן יהיה לנכות את עלות ההשקעה במשך 5 שנים לאחר השגת השליטה; הענקת פטור ממס למוסד פיננסי זר על הכנסותיו מריבית או מהפרשי הצמדה, שבהם נושאת חברה ישראלית כחלק מההחזר על ההלוואה שנתן לה אותו מוסד פיננסי; הארכת ההטבה הקבועה בסעיף 92א לפקודה בשל השקעות בחברת מו"פ אשר מונפקות בבורסה, כך שהשקעה מזכה במניה של חברת מו"פ תוכר למשקיע כהפסד הון בשנה שבה ביצע את ההשקעה עד לגובה של 5 מיליון שקלים חדשים. עוד קובע החוק כי מנהל רשות המסים והמנהל הכללי של הרשות לחדשנות ידווחו לוועדת הכספים לא יאוחר משישה חודשים לפני תום תקופת הוראת השעה על מידת מימוש הטבות המס, סכום ההטבות שניתנו, התועלת שנצמחה מהצעת החוק, ואם מן הראוי להמשיך להחיל את ההטבות.</t>
  </si>
  <si>
    <t xml:space="preserve">חוק שירות לאומי־אזרחי (תיקון מס' 4), התשפ"ג-2023</t>
  </si>
  <si>
    <t xml:space="preserve"> (מ/1640)</t>
  </si>
  <si>
    <t xml:space="preserve">החוק מאפשר לתלמידי ישיבות שניתן להן צו דחיית שירות טרם פקיעתו של ההסדר שאפשר זאת ב-30.6.2023, לשרת בשירות לאומי-אזרחי, אם מלאו להם 21 שנים, אם ביקשו לשרת בשירות לאומי-אזרחי ואם בקשה זו אושרה על ידי פוקד. ההסדר נקבע כהוראת שעה לשנה, עד יום 30.6.2024.</t>
  </si>
  <si>
    <t xml:space="preserve">חוק הצלילה הספורטיבית (תיקון מס' 3), התשפ"ג-2023</t>
  </si>
  <si>
    <t xml:space="preserve"> (מ/1603)</t>
  </si>
  <si>
    <t xml:space="preserve">החוק מבקש לעגן בחקיקה ראשית את המצב הקיים בפועל, לפיו ילדים החל מגיל 8 יוכלו לבצע צלילת היכרות בכפוף לתנאים והגבלות שיפורטו בחוק. ההגבלות על צלילת היכרות לילדים החל מגיל 8, כוללות הגבלת עומק הצלילה ל-6 מטרים, ליווי צמוד של מדריך צלילה לכל צולל, בדיקת כשירות רפואית ותפקודית, אישור הורים חתום, ציוד המותאם לילד, משך הצלילה לא יעלה על 45 דקות, ולילדים עד גיל 10 לא ניתן לבצע יותר משתי צלילות היכרות ביום ועוד. כמו כן, החוק קובע ששר התרבות והספורט רשאי לקבוע תנאים שונים לצלילת היכרות בבריכת שחייה מסוג שהוא יקבע, השונים מהתנאים שפורטו לעיל, ובלבד שלא תיפגע בטיחות הצוללים, ושלא ניתן יהיה לקבוע גיל הנמוך מגיל 8 לצלילת היכרות בבריכת שחייה. עוד נקבע שהרשות המוסמכת רשאית לקבוע הוראות שיחולו על מרכזי צלילה לעניין עריכת צלילת היכרות. </t>
  </si>
  <si>
    <t xml:space="preserve">חוק לתיקון פקודת האגודות השיתופיות (מס' 12), התשפ"ג–2023</t>
  </si>
  <si>
    <t xml:space="preserve"> (פ/1862/24)</t>
  </si>
  <si>
    <t xml:space="preserve"> (כ/934)</t>
  </si>
  <si>
    <t xml:space="preserve">תורחב האפשרות לקיים הליכי מיון באמצעות ועדות הקבלה בשני היבטים עיקריים. ראשית, החוק יורחב לאזורים נוספים כך שבנוסף לנגב והגליל, הוא יחול גם על יישוב קהילתי שיוגדר כ"יישוב עדיפות לאומית", שנמצא במפת העדיפות הלאומית של משרד הבינוי והשיכון, ומסווג באשכול 1 עד 5 במדד הפריפריאליות. שנית, החוק יורחב ליישובים קהילתיים גדולים יותר, כך שבהליך מדורג ותוך קבלת אישור מוועדה מינהלית מיוחדת, ניתן יהיה לקיים ועדות קבלה גם ביישובים קהילתיים שיגדלו וימנו מעל 400 יחידות דיור. במקביל לכך, תעודכן אחת מהעילות המרכזיות לדחייה של מועמדים תוך התאמתה ליישובים הגדולים יותר, יתוקן הרכב ועדת הקבלה כך שלא יתאפשר בה רוב מובנה לנציגי היישוב הקהילתי, ויוסדר בצורה מפורטת יותר את אופן פעולת ועדת הקבלה.</t>
  </si>
  <si>
    <t xml:space="preserve">חוק לתיקון פקודת בתי הסוהר (הוראות שעה), התשפ"ג-2023</t>
  </si>
  <si>
    <t xml:space="preserve"> (מ/1644)</t>
  </si>
  <si>
    <t xml:space="preserve">24.07.2023</t>
  </si>
  <si>
    <t xml:space="preserve">הוארכה הוראת השעה בעניין הסדר השחרור המנהלי המורחב הקבוע בפקודת בתי הסוהר עד לתאריך כ"ה בתמוז התשפ"ד (31 ביולי 2023), במספר שינויים שעיקרם ביטול השחרור המינהלי לאסירים ביטחוניים והרחבת תקופת השחרור המינהלי לאסירים שנגזרו עליהם 18 עד 36 חודשי מאסר. כן נקבע כי תקן הכליאה בבתי הסוהר יעמוד על 14,5000 מקומות עד יום כ"א בשבט התשפ"ד (31 בינואר 2024).</t>
  </si>
  <si>
    <t xml:space="preserve">הצעת חוק הארכת מועדים (תיקון - שירות לפי סעיף 8 או 9 לחוק שירות המילואים), התשפ"ג-2023</t>
  </si>
  <si>
    <t xml:space="preserve"> (פ/3814/25)</t>
  </si>
  <si>
    <t xml:space="preserve">הצעת חוק סמכויות שעת-חירום (מעצרים) (תיקון - מעצר מינהלי של אזרח ישראלי), התשפ"ג-2023</t>
  </si>
  <si>
    <t xml:space="preserve"> (פ/3813/25)</t>
  </si>
  <si>
    <t xml:space="preserve">הצעת חוק הגנת הצרכן (תיקון - שלוחה טלפונית ייעודית לביטול עסקה), התשפ"ג-2023</t>
  </si>
  <si>
    <t xml:space="preserve"> (פ/3812/25)</t>
  </si>
  <si>
    <t xml:space="preserve"> (פ/3811/25)</t>
  </si>
  <si>
    <t xml:space="preserve">הצעת חוק ארגון הפיקוח על העבודה (תיקון - תחולה באזור), התשפ"ג-2023</t>
  </si>
  <si>
    <t xml:space="preserve"> (פ/3810/25)</t>
  </si>
  <si>
    <t xml:space="preserve"> (פ/3809/25)</t>
  </si>
  <si>
    <t xml:space="preserve">הצעת חוק שוויון זכויות לאנשים עם מוגבלות (תיקון - הנפקת תעודות לבעלי מוגבלות בראייה), התשפ"ג-2023</t>
  </si>
  <si>
    <t xml:space="preserve"> (פ/3808/25)</t>
  </si>
  <si>
    <t xml:space="preserve">הצעת חוק הביטוח הלאומי (תיקון - תשלום קצבת ילדים לילדי החינוך המיוחד עד גיל 21 שנשארים במערכת החינוך), התשפ"ג-2023</t>
  </si>
  <si>
    <t xml:space="preserve"> (פ/3807/25)</t>
  </si>
  <si>
    <t xml:space="preserve">הצעת חוק עבודת נשים (תיקון - תקופת לידה והורות להורה יחיד), התשפ"ג-2023</t>
  </si>
  <si>
    <t xml:space="preserve"> (פ/3806/25)</t>
  </si>
  <si>
    <t xml:space="preserve">הצעת חוק דמי מחלה (היעדרות בשל מחלת ילד) (תיקון - היעדרות בעקבות תקיפה או התעללות בילד), התשפ"ג-2023</t>
  </si>
  <si>
    <t xml:space="preserve"> (פ/3805/25)</t>
  </si>
  <si>
    <t xml:space="preserve">הצעת חוק חובת הודעה להורים על אי-הגעת ילד למוסד חינוך או למעון יום (תיקוני חקיקה), התשפ"ג-2023</t>
  </si>
  <si>
    <t xml:space="preserve"> (פ/3804/25)</t>
  </si>
  <si>
    <t xml:space="preserve">הצעת חוק שירותי הסעד (תיקון - הגבלת מספר התיקים בטיפול עובד סוציאלי המטפל במשפחות), התשפ"ג-2023</t>
  </si>
  <si>
    <t xml:space="preserve"> (פ/3803/25)</t>
  </si>
  <si>
    <t xml:space="preserve">הצעת חוק פיקוח על בתי ספר (תיקון - חובת הכנת תסקיר בטיחות), התשפ"ג-2023</t>
  </si>
  <si>
    <t xml:space="preserve"> (פ/3802/25)</t>
  </si>
  <si>
    <t xml:space="preserve">הצעת חוק החומרים המסוכנים (תיקון - פרטי התקשרות למרכז רעלים), התשפ"ג-2023</t>
  </si>
  <si>
    <t xml:space="preserve"> (פ/3801/25)</t>
  </si>
  <si>
    <t xml:space="preserve">הצעת חוק להבטחת קיום הסכמים מדיניים, התשפ"ג-2023</t>
  </si>
  <si>
    <t xml:space="preserve"> (פ/3800/25)</t>
  </si>
  <si>
    <t xml:space="preserve">הצעת חוק הרשות לשיקום האסיר (תיקון - חיזוק הפיקוח הפרלמנטרי על הרשות), התשפ"ג-2023</t>
  </si>
  <si>
    <t xml:space="preserve"> (פ/3799/25)</t>
  </si>
  <si>
    <t xml:space="preserve">הצעת חוק חובת המכרזים (תיקון - הרחבת חובת העדפה של תוצרת הארץ), התשפ"ג-2023</t>
  </si>
  <si>
    <t xml:space="preserve"> (פ/3798/25)</t>
  </si>
  <si>
    <t xml:space="preserve">הצעת חוק חובת הנגשה לשונית של אתרי אינטרנט ושירותים ממשלתיים מקוונים, התשפ"ג-2023</t>
  </si>
  <si>
    <t xml:space="preserve"> (פ/3796/25)</t>
  </si>
  <si>
    <t xml:space="preserve">הצעת חוק המאבק בטרור (תיקון - הסתה למעשה טרור), התשפ"ג-2023</t>
  </si>
  <si>
    <t xml:space="preserve"> (פ/3794/25)</t>
  </si>
  <si>
    <t xml:space="preserve">הצעת חוק בתי דין רבניים (קיום פסקי דין של גירושין) (תיקון - גט אוטומטי), התשפ"ג-2023</t>
  </si>
  <si>
    <t xml:space="preserve"> (פ/3793/25)</t>
  </si>
  <si>
    <t xml:space="preserve"> (פ/3792/25)</t>
  </si>
  <si>
    <t xml:space="preserve">הצעת חוק לתיקון פקודת העיריות (ביטול סמכויות גבייה מינהליות), התשפ"ג-2023</t>
  </si>
  <si>
    <t xml:space="preserve"> (פ/3790/25)</t>
  </si>
  <si>
    <t xml:space="preserve">הצעת חוק למניעת הטרדה מינית (תיקון - עונש מינימום), התשפ"ג-2023</t>
  </si>
  <si>
    <t xml:space="preserve"> (פ/3788/25)</t>
  </si>
  <si>
    <t xml:space="preserve">הצעת חוק נציב תלונות הציבור על שופטים (תיקון - הארכת תקופת כהונה), התשפ"ג-2023</t>
  </si>
  <si>
    <t xml:space="preserve"> (פ/3786/25)</t>
  </si>
  <si>
    <t xml:space="preserve">הצעת חוק ההוצאה לפועל (תיקון - שופט אכיפה), התשפ"ג-2023</t>
  </si>
  <si>
    <t xml:space="preserve"> (פ/3783/25)</t>
  </si>
  <si>
    <t xml:space="preserve">הצעת חוק ייצוג גופים ציבוריים שעניינם בשמירת איכות הסביבה (תיקוני חקיקה), התשפ"ג-2023</t>
  </si>
  <si>
    <t xml:space="preserve"> (פ/3781/25)</t>
  </si>
  <si>
    <t xml:space="preserve">הצעת חוק שילוב פעוטות עם צורך במענים ייחודיים במעונות יום, התשפ"ג-2023</t>
  </si>
  <si>
    <t xml:space="preserve"> (פ/3780/25)</t>
  </si>
  <si>
    <t xml:space="preserve">הצעת חוק מגבלות על חזרתו של עבריין מין לסביבת נפגע העבירה (תיקון - הרחבת סמכות בית המשפט להטלת מגבלות), התשפ"ג-2023</t>
  </si>
  <si>
    <t xml:space="preserve"> (פ/3778/25)</t>
  </si>
  <si>
    <t xml:space="preserve">הצעת חוק תובענות ייצוגיות (תיקון - מעמדם של ארגוני סביבה), התשפ"ג-2023</t>
  </si>
  <si>
    <t xml:space="preserve"> (פ/3777/25)</t>
  </si>
  <si>
    <t xml:space="preserve">הצעת חוק הבטחת הכנסה (תיקון - גמלה לתלמיד שהוא הורה עצמאי), התשפ"ג-2023 </t>
  </si>
  <si>
    <t xml:space="preserve"> (פ/3775/25)</t>
  </si>
  <si>
    <t xml:space="preserve">הצעת חוק בתי המשפט (תיקון - צילום בבתי משפט), התשפ"ג-2023</t>
  </si>
  <si>
    <t xml:space="preserve"> (פ/3774/25)</t>
  </si>
  <si>
    <t xml:space="preserve">הצעת חוק לתיקון פקודת העיריות (מס' 151) (תיקון - דחיית מועד תחילת סעיף 330כד), התשפ"ג-2023</t>
  </si>
  <si>
    <t xml:space="preserve"> (פ/3773/25)</t>
  </si>
  <si>
    <t xml:space="preserve">הצעת חוק הכנסת (תיקון - הקמת ועדות זמניות לענייני חוקה, חוק ומשפט וביטחון לאומי על ידי הוועדה המסדרת), התשפ"ג-2023</t>
  </si>
  <si>
    <t xml:space="preserve"> (פ/3772/25)</t>
  </si>
  <si>
    <t xml:space="preserve">הצעת חוק העונשין (תיקון - הרחבת הגדרת הגזענות), התשפ"ג-2023</t>
  </si>
  <si>
    <t xml:space="preserve"> (פ/3771/25)</t>
  </si>
  <si>
    <t xml:space="preserve">הצעת חוק מחקר ופיתוח בקנאביס למטרות רפואיות, התשפ"ג-2023</t>
  </si>
  <si>
    <t xml:space="preserve"> (פ/3770/25)</t>
  </si>
  <si>
    <t xml:space="preserve">הצעת חוק הרשות השנייה לטלוויזיה ורדיו (תיקון - ביטול זיכיון לשידורים או רישיון לשידורים, פקיעתו או התלייתו), התשפ"ג-2023</t>
  </si>
  <si>
    <t xml:space="preserve"> (פ/3769/25)</t>
  </si>
  <si>
    <t xml:space="preserve"> (פ/3768/25)</t>
  </si>
  <si>
    <t xml:space="preserve">הצעת חוק שידורי טלוויזיה (כתוביות ושפת סימנים) (תיקון - העלאת שיעור השידורים שילוו בתרגום לשפת סימנים), התשפ"ג-2023</t>
  </si>
  <si>
    <t xml:space="preserve"> (פ/3767/25)</t>
  </si>
  <si>
    <t xml:space="preserve">הצעת חוק שוויון ההזדמנויות בעבודה (תיקון - איסור הפליה לפי מקום ביצוע העבודה), התשפ"ג-2023</t>
  </si>
  <si>
    <t xml:space="preserve"> (פ/3765/25)</t>
  </si>
  <si>
    <t xml:space="preserve">הצעת חוק הסדרים במשק המדינה (תיקוני חקיקה להשגת יעדי התקציב) (תיקון - שיפוי רשויות מקומיות בגין הנחה כפויה בארנונה), התשפ"ג-2023</t>
  </si>
  <si>
    <t xml:space="preserve"> (פ/3764/25)</t>
  </si>
  <si>
    <t xml:space="preserve">הצעת חוק רשות שדות התעופה (תיקון - דיווח לוועדת הכלכלה של הכנסת), התשפ"ג-2023</t>
  </si>
  <si>
    <t xml:space="preserve"> (פ/3763/25)</t>
  </si>
  <si>
    <t xml:space="preserve">הצעת חוק הוועדה למינוי בכירים (תיקוני חקיקה), התשפ"ג-2023</t>
  </si>
  <si>
    <t xml:space="preserve"> (פ/3762/25)</t>
  </si>
  <si>
    <t xml:space="preserve">הצעת חוק זכות יוצרים (תיקון - תשלום תמלוגים), התשפ"ג-2023</t>
  </si>
  <si>
    <t xml:space="preserve"> (פ/3761/25)</t>
  </si>
  <si>
    <t xml:space="preserve">הצעת חוק העונשין (תיקון - מאבק בפשיעה החקלאית), התשפ"ג-2023</t>
  </si>
  <si>
    <t xml:space="preserve"> (פ/3760/25)</t>
  </si>
  <si>
    <t xml:space="preserve">הצעת חוק הגנת הצרכן (תיקון - אישור הצרכן מראש להעלאת תעריפים בעסקה מתמשכת שאינה עסקה לתקופה קצובה), התשפ"ג-2023</t>
  </si>
  <si>
    <t xml:space="preserve"> (פ/3759/25)</t>
  </si>
  <si>
    <t xml:space="preserve">חוק-יסוד: השפיטה (תיקון מס' 3) </t>
  </si>
  <si>
    <t xml:space="preserve"> (כ/968)</t>
  </si>
  <si>
    <t xml:space="preserve">23.07.2023</t>
  </si>
  <si>
    <t xml:space="preserve">נקבע בחוק-יסוד: השפיטה כי רשות שיפוטית לא תדון בעניין סבירות ההחלטה של הממשלה במליאתה, של ראש הממשלה או של שר אחר ולא תיתן צו בעניין סבירות ההחלטה.</t>
  </si>
  <si>
    <t xml:space="preserve">חוק הגנת הצרכן (תיקון מס' 65), התשפ"ג–2023</t>
  </si>
  <si>
    <t xml:space="preserve"> (פ/519/24)</t>
  </si>
  <si>
    <t xml:space="preserve"> (כ/922)</t>
  </si>
  <si>
    <t xml:space="preserve">19.07.2023</t>
  </si>
  <si>
    <t xml:space="preserve">החוק מחייב עוסק לסמן באופן בולט את ארץ הייצור של תוצרת חקלאית שאינה ארוזה בעת הצגתה למכירה או תוצרת חקלאית הנארזת במקום בו היא נמכרת או משווקת לצרכן, בצמוד לתוצרת החקלאית כאמור. חובת הסימון תחול על פירות וירקות טריים, מוצרי חלב ובשר טרי (עופות, בשר ודגים), למעט בשר טרי כאמור המשווק באופן מקוון. כמו כן, בחוק זה נקבע כי שר הכלכלה והתעשייה, באישור ועדת הכלכלה של הכנסת, יהיה רשאי לקבוע בתקנות כי חובת סימון כאמור לא תחול על שיווק באופן מקוון על סוגי תוצרת חקלאית כפי שיקבע. תחילתו של חוק זה חמישה חודשים מיום פרסומו, ולעניין תוצרת חקלאית המשווקת באופן מקוון – שבעה חודשים מיום פרסומו. </t>
  </si>
  <si>
    <t xml:space="preserve">הצעת חוק הקרימינולוגים השיקומיים, התשפ"ג-2023</t>
  </si>
  <si>
    <t xml:space="preserve"> (פ/3704/25)</t>
  </si>
  <si>
    <t xml:space="preserve">הצעת חוק הפרות מינהליות, התשפ"ג-2023</t>
  </si>
  <si>
    <t xml:space="preserve"> (פ/3172/25)</t>
  </si>
  <si>
    <t xml:space="preserve">הצעת חוק פיקוח על מחירים, שיווק וסבסוד של מזון ללא גלוטן, התשפ"ג-2023</t>
  </si>
  <si>
    <t xml:space="preserve"> (פ/2716/25)</t>
  </si>
  <si>
    <t xml:space="preserve"> (פ/2666/25)</t>
  </si>
  <si>
    <t xml:space="preserve">הצעת חוק סל הקליטה (תיקון - שעות לימוד עברית), התשפ"ג-2023</t>
  </si>
  <si>
    <t xml:space="preserve"> (פ/2519/25)</t>
  </si>
  <si>
    <t xml:space="preserve">הצעת חוק הסיוע המשפטי (תיקון - סיוע משפטי לנפגעי עבירות) (הוראת שעה), התשפ"ג-2023</t>
  </si>
  <si>
    <t xml:space="preserve"> (פ/2340/25)</t>
  </si>
  <si>
    <t xml:space="preserve">הצעת חוק השיפוט הצבאי (תיקון - משך תחולת החוק על מי שחדל מהיות חייל ועבר עבירת מין), התשפ"ג-2023 </t>
  </si>
  <si>
    <t xml:space="preserve"> (פ/2247/25)</t>
  </si>
  <si>
    <t xml:space="preserve">הצעת חוק למניעת אלימות במשפחה (תיקון - מניעת אלימות כלכלית) (הוראת שעה), התשפ"ג-2023</t>
  </si>
  <si>
    <t xml:space="preserve"> (פ/2024/25)</t>
  </si>
  <si>
    <t xml:space="preserve">הצעת חוק שוויון זכויות לאנשים עם מוגבלות (תיקון - הנפקת תעודות לבעלי מוגבלות בראיה), התשפ"ג-2023</t>
  </si>
  <si>
    <t xml:space="preserve"> (פ/1813/25)</t>
  </si>
  <si>
    <t xml:space="preserve">הצעת חוק-יסוד: כבוד האדם וחירותו (תיקון - הזכות לשוויון) </t>
  </si>
  <si>
    <t xml:space="preserve"> (פ/1595/25)</t>
  </si>
  <si>
    <t xml:space="preserve">הצעת חוק הביטוח הלאומי (תיקון - שמירה חקלאית כעבודה מועדפת), התשפ"ג-2023</t>
  </si>
  <si>
    <t xml:space="preserve"> (פ/1562/25)</t>
  </si>
  <si>
    <t xml:space="preserve">הצעת חוק משק החשמל (תיקון - איסור ניתוק חשמל לצרכן ביתי), התשפ"ג-2023</t>
  </si>
  <si>
    <t xml:space="preserve"> (פ/1464/25)</t>
  </si>
  <si>
    <t xml:space="preserve">הצעת חוק סבסוד מוצרים ללא גלוטן, התשפ"ג-2023</t>
  </si>
  <si>
    <t xml:space="preserve"> (פ/1244/25)</t>
  </si>
  <si>
    <t xml:space="preserve"> (פ/337/25)</t>
  </si>
  <si>
    <t xml:space="preserve"> (פ/103/25)</t>
  </si>
  <si>
    <t xml:space="preserve">הצעת חוק לקידום הנשים בישראל, התשפ"ג-2023</t>
  </si>
  <si>
    <t xml:space="preserve"> (פ/3670/25)</t>
  </si>
  <si>
    <t xml:space="preserve">18.07.2023</t>
  </si>
  <si>
    <t xml:space="preserve">הצעת חוק העונשין (תיקון - הגדרת איום), התשפ"ג-2023</t>
  </si>
  <si>
    <t xml:space="preserve"> (פ/3248/25)</t>
  </si>
  <si>
    <t xml:space="preserve">17.07.2023</t>
  </si>
  <si>
    <t xml:space="preserve">הצעת חוק הגנת הצרכן (תיקון - הפרה בנסיבות מחמירות), התשפ"ג-2023</t>
  </si>
  <si>
    <t xml:space="preserve"> (פ/2075/25)</t>
  </si>
  <si>
    <t xml:space="preserve"> (פ/2964/25)</t>
  </si>
  <si>
    <t xml:space="preserve">הצעת חוק הנוער (טיפול והשגחה) (תיקון - מתווה הוצאת ילד ממשמורתו), התשפ"ג-2023</t>
  </si>
  <si>
    <t xml:space="preserve"> (פ/3756/25)</t>
  </si>
  <si>
    <t xml:space="preserve"> (פ/3755/25)</t>
  </si>
  <si>
    <t xml:space="preserve">הצעת חוק הגנה על בתי תפילה ותיקים (תיקוני חקיקה), התשפ"ג-2023</t>
  </si>
  <si>
    <t xml:space="preserve"> (פ/3754/25)</t>
  </si>
  <si>
    <t xml:space="preserve">הצעת חוק הביטוח הלאומי (תיקון - הארכת המועד להגשת תביעה לגמלה והתקופה שבעדה תשולם), התשפ"ג-2023</t>
  </si>
  <si>
    <t xml:space="preserve"> (פ/3751/25)</t>
  </si>
  <si>
    <t xml:space="preserve"> (פ/3750/25)</t>
  </si>
  <si>
    <t xml:space="preserve"> (פ/3749/25)</t>
  </si>
  <si>
    <t xml:space="preserve">הצעת חוק הביטוח הלאומי (תיקון - פטור מתשלום דמי ביטוח לאומי לנכי צה"ל), התשפ"ג-2023</t>
  </si>
  <si>
    <t xml:space="preserve"> (פ/3747/25)</t>
  </si>
  <si>
    <t xml:space="preserve">הצעת חוק חינוך ממלכתי (תיקון - חינוך למניעת הטרדה מינית), התשפ"ג-2023</t>
  </si>
  <si>
    <t xml:space="preserve"> (פ/3746/25)</t>
  </si>
  <si>
    <t xml:space="preserve">הצעת חוק הבחירות לכנסת (תיקון - שינוי מבנה פתק ההצבעה), התשפ"ג-2023</t>
  </si>
  <si>
    <t xml:space="preserve"> (פ/3745/25)</t>
  </si>
  <si>
    <t xml:space="preserve">הצעת חוק לתיקון פקודת מס הכנסה (דיווח שנתי או חצי שנתי לסוגי נכסים), התשפ"ג-2023</t>
  </si>
  <si>
    <t xml:space="preserve"> (פ/3744/25)</t>
  </si>
  <si>
    <t xml:space="preserve">הצעת חוק איסור אלימות בספורט (תיקון - מניעת הרחקה גורפת מאירועי ספורט), התשפ"ג-2023</t>
  </si>
  <si>
    <t xml:space="preserve"> (פ/3743/25)</t>
  </si>
  <si>
    <t xml:space="preserve">הצעת חוק הסיוע הניתן מטעם המדינה לסטודנטים במוסדות להשכלה גבוהה, התשפ"ג-2023</t>
  </si>
  <si>
    <t xml:space="preserve"> (פ/3742/25)</t>
  </si>
  <si>
    <t xml:space="preserve">הצעת חוק חוזה הביטוח (תיקון - השוואת תנאי ביטוח סיעודי לתנאי המוסד לביטוח לאומי), התשפ"ג-2023</t>
  </si>
  <si>
    <t xml:space="preserve"> (פ/3741/25)</t>
  </si>
  <si>
    <t xml:space="preserve">הצעת חוק איסור אלימות בספורט (תיקון - החמרת ענישה על כניסה לשדה המשחק), התשפ"ג-2023</t>
  </si>
  <si>
    <t xml:space="preserve"> (פ/3740/25)</t>
  </si>
  <si>
    <t xml:space="preserve">הצעת חוק חינוך ממלכתי (תיקון - חינוך לשוויון מגדרי), התשפ"ג-2023</t>
  </si>
  <si>
    <t xml:space="preserve"> (פ/3739/25)</t>
  </si>
  <si>
    <t xml:space="preserve">הצעת חוק לתיקון פקודת מס הכנסה (שווי שימוש ברכב), התשפ"ג-2023</t>
  </si>
  <si>
    <t xml:space="preserve"> (פ/3738/25)</t>
  </si>
  <si>
    <t xml:space="preserve">הצעת חוק חישוב דרגת הזכאות של מורה להשתתפות המדינה בדמי ההחזקה לילד במעונות יום ובמשפחתונים, התשפ"ג-2023</t>
  </si>
  <si>
    <t xml:space="preserve"> (פ/3737/25)</t>
  </si>
  <si>
    <t xml:space="preserve">הצעת חוק יום הדמוקרטיה, התשפ"ג-2023</t>
  </si>
  <si>
    <t xml:space="preserve"> (פ/3736/25)</t>
  </si>
  <si>
    <t xml:space="preserve">הצעת חוק החברות הממשלתיות (תיקון - הגדרת זיקה אישית או פוליטית), התשפ"ג-2023</t>
  </si>
  <si>
    <t xml:space="preserve"> (פ/3734/25)</t>
  </si>
  <si>
    <t xml:space="preserve">הצעת חוק יישוב סכסוכי עבודה (תיקון - בוררות חובה במערכת החינוך), התשפ"ג-2023</t>
  </si>
  <si>
    <t xml:space="preserve"> (פ/3733/25)</t>
  </si>
  <si>
    <t xml:space="preserve"> (פ/3732/25)</t>
  </si>
  <si>
    <t xml:space="preserve">הצעת חוק הביטוח הלאומי (תיקון - הקמת מצבה לאדם ערירי), התשפ"ג-2023</t>
  </si>
  <si>
    <t xml:space="preserve"> (פ/3731/25)</t>
  </si>
  <si>
    <t xml:space="preserve"> (פ/3730/25)</t>
  </si>
  <si>
    <t xml:space="preserve"> (פ/3729/25)</t>
  </si>
  <si>
    <t xml:space="preserve">הצעת חוק שוויון זכויות לאנשים עם מוגבלות (תיקון - חובת הנגשת אוטובוסים בין-עירוניים), התשפ"ג-2023</t>
  </si>
  <si>
    <t xml:space="preserve"> (פ/3728/25)</t>
  </si>
  <si>
    <t xml:space="preserve">הצעת חוק דמי מחלה (היעדרות בשל מחלת הורה) (תיקון - בני משפחה מטפלים), התשפ"ג-2023</t>
  </si>
  <si>
    <t xml:space="preserve"> (פ/3727/25)</t>
  </si>
  <si>
    <t xml:space="preserve">הצעת חוק בתי המשפט (תיקון - תקופת צינון לפני מינוי), התשפ"ג-2023</t>
  </si>
  <si>
    <t xml:space="preserve"> (פ/3725/25)</t>
  </si>
  <si>
    <t xml:space="preserve">הצעת חוק עיטור ההדר, התשפ"ג-2023</t>
  </si>
  <si>
    <t xml:space="preserve"> (פ/3724/25)</t>
  </si>
  <si>
    <t xml:space="preserve">הצעת חוק לתיקון פקודת בריאות העם (שינוי הוראות התקנת מצלמות לשם הגנה על מאושפזים בבית חולים גריאטרי), התשפ"ג-2023</t>
  </si>
  <si>
    <t xml:space="preserve"> (פ/3723/25)</t>
  </si>
  <si>
    <t xml:space="preserve">הצעת חוק החלת הריבונות הישראלית על בקעת הירדן רבתי, התשפ"ג-2023</t>
  </si>
  <si>
    <t xml:space="preserve"> (פ/3722/25)</t>
  </si>
  <si>
    <t xml:space="preserve">הצעת חוק מיסוי רווחי יתר של תאגידים בנקאיים, התשפ"ג-2023</t>
  </si>
  <si>
    <t xml:space="preserve"> (פ/3721/25)</t>
  </si>
  <si>
    <t xml:space="preserve">הצעת חוק לתיקון פקודת המשטרה (הפגנה ליד בתי מגורים), התשפ"ג-2023</t>
  </si>
  <si>
    <t xml:space="preserve"> (פ/3720/25)</t>
  </si>
  <si>
    <t xml:space="preserve">הצעת חוק קידום תעשיות עתירות ידע בצפון ובדרום, התשפ"ג-2023</t>
  </si>
  <si>
    <t xml:space="preserve"> (פ/3719/25)</t>
  </si>
  <si>
    <t xml:space="preserve">הצעת חוק לתיקון פקודת מס הכנסה (משיכה מקרן השתלמות לרכישת דירה ראשונה), התשפ"ג-2023</t>
  </si>
  <si>
    <t xml:space="preserve"> (פ/3718/25)</t>
  </si>
  <si>
    <t xml:space="preserve"> (פ/3717/25)</t>
  </si>
  <si>
    <t xml:space="preserve"> (פ/3716/25)</t>
  </si>
  <si>
    <t xml:space="preserve">הצעת חוק לתיקון פקודת מס הכנסה (הטבות במס ליישוב מאוים באזור), התשפ"ג-2023</t>
  </si>
  <si>
    <t xml:space="preserve"> (פ/3715/25)</t>
  </si>
  <si>
    <t xml:space="preserve">הצעת חוק זכויות הדייר בדיור הציבורי (תיקון - עיגון זכויות דייר ממשיך בדיור הציבורי), התשפ"ג-2023</t>
  </si>
  <si>
    <t xml:space="preserve"> (פ/3712/25)</t>
  </si>
  <si>
    <t xml:space="preserve">הצעת חוק הכרה בוותק של עולים, התשפ"ג-2023</t>
  </si>
  <si>
    <t xml:space="preserve"> (פ/3711/25)</t>
  </si>
  <si>
    <t xml:space="preserve">הצעת חוק הסדרת העיסוק במקצועות הבריאות (תיקון - הסדרת מקצוע הרנטגנאות והדימות), התשפ"ג-2023</t>
  </si>
  <si>
    <t xml:space="preserve"> (פ/1421/25)</t>
  </si>
  <si>
    <t xml:space="preserve">13.07.2023</t>
  </si>
  <si>
    <t xml:space="preserve">הצעת חוק הסדרת העיסוק במקצועות הבריאות (תיקון - הסדרת מקצוע הרנטגנאות והדימות), התשפ"ג-2022</t>
  </si>
  <si>
    <t xml:space="preserve"> (פ/524/25)</t>
  </si>
  <si>
    <t xml:space="preserve">הצעת חוק הסדרת העיסוק במקצועות הטיפול הרפואי, התשפ"ג-2022</t>
  </si>
  <si>
    <t xml:space="preserve"> (פ/942/25)</t>
  </si>
  <si>
    <t xml:space="preserve">12.07.2023</t>
  </si>
  <si>
    <t xml:space="preserve">חוק מבקר המדינה (תיקון מס' 50), התשפ''ג-2023</t>
  </si>
  <si>
    <t xml:space="preserve"> (פ/353/25)</t>
  </si>
  <si>
    <t xml:space="preserve"> (כ/959)</t>
  </si>
  <si>
    <t xml:space="preserve">הוועדה לענייני ביקורת המדינה</t>
  </si>
  <si>
    <t xml:space="preserve">התיקון מרחיב את סמכותו של מבקר המדינה, כנציב תלונות הציבור, המאפשרת לו להוציא צו כדי להגן על זכויות עובד, במטרה למנוע את פיטוריו בגין חשיפת שחיתויות ומקרים נוספים המנויים בחוק, כך שתחול גם על משטרת ישראל ועל שירות בתי הסוהר. עוד מוצע כי אם הוגשה תלונה לנציב תלונות הציבור, לא יתאפשר בירור מקביל שלה בידי נציב קבילות שוטרים וסוהרים.</t>
  </si>
  <si>
    <t xml:space="preserve">הצעת חוק הרבנות הראשית לישראל (תיקון - הרכב האסיפה הבוחרת), התשפ"ג-2023</t>
  </si>
  <si>
    <t xml:space="preserve"> (פ/3380/25)</t>
  </si>
  <si>
    <t xml:space="preserve">הצעת חוק המאבק בטרור (תיקון - פיצוי עונשי לנפגעי עבירה), התשפ"ג-2023</t>
  </si>
  <si>
    <t xml:space="preserve"> (פ/3167/25)</t>
  </si>
  <si>
    <t xml:space="preserve">הצעת חוק שוברים להשלמת לימודי בסיס בחינוך הבלתי פורמלי, התשפ"ג-2023</t>
  </si>
  <si>
    <t xml:space="preserve"> (פ/3159/25)</t>
  </si>
  <si>
    <t xml:space="preserve">הצעת חוק שלילת תקציב ממוסדות חינוך המלמדים את תוכנית הלימוד הפלסטינית הכוללים הסתה לטרור (תיקוני חקיקה), התשפ"ג-2023</t>
  </si>
  <si>
    <t xml:space="preserve"> (פ/3147/25)</t>
  </si>
  <si>
    <t xml:space="preserve"> (פ/2412/25)</t>
  </si>
  <si>
    <t xml:space="preserve"> (פ/2085/25)</t>
  </si>
  <si>
    <t xml:space="preserve">הצעת חוק לתיקון פקודת התעבורה (פטור מתשלום אגרה לתאגיד השידור לאדם עם מוגבלות בשמיעה), התשפ"ג-2023</t>
  </si>
  <si>
    <t xml:space="preserve"> (פ/1873/25)</t>
  </si>
  <si>
    <t xml:space="preserve">הצעת חוק לתיקון פקודת מס הכנסה (ניכוי תשלומים לביטוח בריאות לעצמאים), התשפ״ג-2022</t>
  </si>
  <si>
    <t xml:space="preserve"> (פ/736/25)</t>
  </si>
  <si>
    <t xml:space="preserve">הצעת חוק הרבנות הראשית לישראל (תיקון - ייצוג הציבור באסיפה הבוחרת), התשפ"ג-2022</t>
  </si>
  <si>
    <t xml:space="preserve"> (פ/531/25)</t>
  </si>
  <si>
    <t xml:space="preserve">הצעת חוק שוברים להשלמת לימודי בסיס בחינוך הבלתי פורמלי, התשפ"ג–2022</t>
  </si>
  <si>
    <t xml:space="preserve"> (פ/110/25)</t>
  </si>
  <si>
    <t xml:space="preserve">הצעת חוק התכנון והבנייה (תיקון - דחיית תשלום היטל השבחה אגב גירושין), התשפ"ג-2023</t>
  </si>
  <si>
    <t xml:space="preserve"> (פ/3134/25)</t>
  </si>
  <si>
    <t xml:space="preserve">11.07.2023</t>
  </si>
  <si>
    <t xml:space="preserve">חוק מיסוי מקרקעין (שבח ורכישה) (תיקון מס' 103), התשפ"ג–2023</t>
  </si>
  <si>
    <t xml:space="preserve"> (פ/512/25)</t>
  </si>
  <si>
    <t xml:space="preserve"> (כ/958)</t>
  </si>
  <si>
    <t xml:space="preserve">החוק קובע כי ברכישת דירה עבור ילד יתום מאחד מהוריו, יוחרג התא המשפחתי הקיים בין הורה וילד (כפי שהוחרג "ילד נשוי") כך שיוטל על רכישה כאמור מס בשיעורים הקבועים לדירה יחידה.</t>
  </si>
  <si>
    <t xml:space="preserve">חוק חוזה הביטוח (תיקון מס' 12), התשפ"ג-2023</t>
  </si>
  <si>
    <t xml:space="preserve"> (פ/530/25)</t>
  </si>
  <si>
    <t xml:space="preserve"> (כ/962)</t>
  </si>
  <si>
    <t xml:space="preserve">נקבע כי יש לאפשר העברת מוטבים בין תאגידים בנקאיים במסגרת אותו חוזה ביטוח ובכך לחסוך בירוקרטיה רבה מלווי משכנתאות ולמנוע את החסם הקיים במחזור משכנתאות בשל התקדמות גיל הלווה או שינוי במצב רפואי. </t>
  </si>
  <si>
    <t xml:space="preserve">חוק התכנון והבנייה (תיקון מס' 145), התשפ"ג-2023</t>
  </si>
  <si>
    <t xml:space="preserve"> (פ/853/25)</t>
  </si>
  <si>
    <t xml:space="preserve"> (כ/956)</t>
  </si>
  <si>
    <t xml:space="preserve">עד קבלת חוק זה, כל חבר של ועדה מקומית לתכנון ובנייה (להלן - ועדה מקומית) או נציג בעל דעה מייעצת בה רשאי היה לדרוש כי יתקיים דיון במליאת הוועדה המקומית בנושא שנדון בוועדת המשנה של אותה ועדה מקומית. בחוק זה נקבע כי הדיון יועבר למליאת הועדה המקומית כאמור, רק אם דרשו זאת לפחות שניים מחברי הועדה המקומית או לחילופין נציג בעל דעה מייעצת. עוד מוצע כי בוועדה מרחבית, נציג רשות מקומית שהוא נציגה היחיד באותה הועדה יוכל לדרוש דיון במליאת הוועדה המרחבית.</t>
  </si>
  <si>
    <t xml:space="preserve">חוק ההוצאה לפועל (תיקון מס' 73), התשפ"ג-2023</t>
  </si>
  <si>
    <t xml:space="preserve"> (פ/2884/24)</t>
  </si>
  <si>
    <t xml:space="preserve"> (כ/906)</t>
  </si>
  <si>
    <t xml:space="preserve">הורחב היקף נכסי החייב החוסים תחת הגנה מפני עיקול בידי צד שלישי וצו עיקול במסגרת הליכים בהוצאה לפועל, ולכלול בתוכם כספי סיוע לנכות המגיעים לחייב ממשרד הרווחה והשירותים החברתיים (בנוסף על דמי ליווי לעיוור), כספים המגיעים לחייב ממשרד העלייה והקליטה, וכן כספים המגיעים לחייב במסגרת תכנית ממשלתית שמכוחה ניתן סיוע להורה עצמאי.</t>
  </si>
  <si>
    <t xml:space="preserve">חוק ההוצאה לפועל (תיקון מס' 74), התשפ"ג-2023</t>
  </si>
  <si>
    <t xml:space="preserve"> (פ/1092/25)</t>
  </si>
  <si>
    <t xml:space="preserve"> (כ/961)</t>
  </si>
  <si>
    <t xml:space="preserve">סעיף 14 לחוק ההוצאה לפועל, התשכ"ז-1967 מאפשר לרשם ההוצאה לפועל לתת כנגד חייב, צו עיכוב יציאה מהארץ, או לחייבו בהפקדת דרכון, או לחייבו במתן ערובה לשם יציאה מהארץ, אם יש  יסוד להניח שהחייב עומד לצאת מהארץ בלי שהסדיר את החוב, או שיציאתו עשויה לסכל את ביצוע פסק הדין.  חוק זה קובע כי אם סך חובותיו הפסוקים של חייב בהוצאה לפועל (חוץ מחוב למזונות) קטן מ־50,000 שקלים חדשים, רשם ההוצאה לפועל לא יוכל לתת צו עיכוב יציאה מהארץ כנגדו או לחייבו בהפקדת דרכון או במתן ערובה לפי הסעיף האמור. החוק קובע גם כי אם רשם ההוצאה לפועל נתן צו או הוראה לפי הסעיף האמור (כשסך החובות של החייב היה יותר מ-50,000 שקלים חדשים) וסך החובות של החייב פחת מ-40,000 שקלים חדשים, הצו שניתן יבוטל  - אם החייב ביקש זאת. מגבלות אלה לא יחולו על תיק הוצאה לפועל בשל חוב מזונות ואפשר יהיה להמשיך ולתת צו עיכוב יציאה מהארץ  או הוראות אחרות לפי סעיף 14 האמור לשם גביית חוב מזונות גם אם סכומו נמוך יותר.  </t>
  </si>
  <si>
    <t xml:space="preserve">הצעת חוק התגמולים לנפגעי פעולות איבה (תיקון - זכאות לתגמולים ולפיצויים לפי חוק אחר), התשפ"ג-2023</t>
  </si>
  <si>
    <t xml:space="preserve"> (פ/2540/25)</t>
  </si>
  <si>
    <t xml:space="preserve">10.07.2023</t>
  </si>
  <si>
    <t xml:space="preserve">הצעת חוק המאבק בטרור (תיקון - קנסות בגין הנפת דגל של ארגון טרור) (הוראת שעה), התשפ"ג-2023</t>
  </si>
  <si>
    <t xml:space="preserve"> (פ/2963/25)</t>
  </si>
  <si>
    <t xml:space="preserve">הצעת חוק איסור פרסומת והגבלת השיווק של מוצרי טבק ועישון (תיקון - איסור על ייצור ושיווק של מוצר עישון בטעם או בריח מובחן), התשפ"ג-2023</t>
  </si>
  <si>
    <t xml:space="preserve"> (פ/3331/25)</t>
  </si>
  <si>
    <t xml:space="preserve">הצעת חוק הבנקאות (רישוי) (תיקון - פיקוח פרלמנטרי על סגירת סניפים וצמצום שירותי בנק), התשפ"ג-2023</t>
  </si>
  <si>
    <t xml:space="preserve"> (פ/3206/25)</t>
  </si>
  <si>
    <t xml:space="preserve">חוק לתיקון דיני הבחירות לרשויות המקומיות, התשפ"ג-2023</t>
  </si>
  <si>
    <t xml:space="preserve">החוק מאגד תיקוני חקיקה שונים הנוגעים לייעול הליך הבחירות ברשויות המקומיות, לרבות אפשרות למנוי מזכיר קלפי שני, הסדרת הצבעת בעלי תפקידים, הטלת חובת פרסום הרכב ועדת הבחירות של רשות מקומית והסדרת התהליך לתיקון ליקויים ברשימת מועמדים.</t>
  </si>
  <si>
    <t xml:space="preserve">הצעת חוק הגנת הצרכן (תיקון - מסירת מסמך עיקרי עסקה בשפה שבה נעשתה הפנייה השיווקית), התשפ"ג-2023</t>
  </si>
  <si>
    <t xml:space="preserve"> (פ/3710/25)</t>
  </si>
  <si>
    <t xml:space="preserve">הצעת חוק הגנת הצרכן (תיקון - צירוף הוראות שימוש למוצרי חשמל בשפה העברית ובשפה הערבית), התשפ"ג-2023</t>
  </si>
  <si>
    <t xml:space="preserve"> (פ/3709/25)</t>
  </si>
  <si>
    <t xml:space="preserve">הצעת חוק חניה לנכים (תיקון - זכאות תג נכה לצמיתות), התשפ"ג-2023</t>
  </si>
  <si>
    <t xml:space="preserve"> (פ/3707/25)</t>
  </si>
  <si>
    <t xml:space="preserve">הצעת חוק עובדים זרים (תיקון - הגבלת שכר טרחת עורך דין), התשפ"ג-2023</t>
  </si>
  <si>
    <t xml:space="preserve"> (פ/3705/25)</t>
  </si>
  <si>
    <t xml:space="preserve">הצעת חוק מעמד ידועים בציבור, התשפ"ג-2023</t>
  </si>
  <si>
    <t xml:space="preserve"> (פ/3703/25)</t>
  </si>
  <si>
    <t xml:space="preserve">הצעת חוק ההוצאה לפועל (תיקון - מניעת פינוי דייר בשל אי-תשלום לכונס נכסים או לעורך דין), התשפ"ג-2023</t>
  </si>
  <si>
    <t xml:space="preserve"> (פ/3701/25)</t>
  </si>
  <si>
    <t xml:space="preserve">הצעת חוק הפיקוח על תכולת מוצרי עישון, התשפ"ג-2023 </t>
  </si>
  <si>
    <t xml:space="preserve"> (פ/3700/25)</t>
  </si>
  <si>
    <t xml:space="preserve">הצעת חוק קידום התחרות בענף המזון (תיקון - הפיכת הוראת שעה להוראה קבועה), התשפ"ג-2023</t>
  </si>
  <si>
    <t xml:space="preserve"> (פ/3698/25)</t>
  </si>
  <si>
    <t xml:space="preserve">הצעת חוק הגנת הצרכן (תיקון - הקפאת עסקה מתמשכת בתקופת לידה והורות), התשפ"ג-2023</t>
  </si>
  <si>
    <t xml:space="preserve"> (פ/3697/25)</t>
  </si>
  <si>
    <t xml:space="preserve"> (פ/3695/25)</t>
  </si>
  <si>
    <t xml:space="preserve">הצעת חוק עובדים זרים (תיקון - תאגיד עובדים זרים מחליפים זמניים), התשפ"ג-2023</t>
  </si>
  <si>
    <t xml:space="preserve"> (פ/3694/25)</t>
  </si>
  <si>
    <t xml:space="preserve">הצעת חוק לתיקון פקודת התעבורה (הגבלת סכום אגרת רישיון רכב), התשפ"ג-2023</t>
  </si>
  <si>
    <t xml:space="preserve"> (פ/3693/25)</t>
  </si>
  <si>
    <t xml:space="preserve">הצעת חוק לתיקון פקודת ביטוח רכב מנועי (מרכיב ההעמסה בתעריף הביטוח), התשפ"ג- 2023</t>
  </si>
  <si>
    <t xml:space="preserve"> (פ/3692/25)</t>
  </si>
  <si>
    <t xml:space="preserve">הצעת חוק הביטוח הלאומי (תיקון - עבודה כאיש צוות בכלי שיט כעבודה מועדפת), התשפ"ג-2023</t>
  </si>
  <si>
    <t xml:space="preserve"> (פ/3691/25)</t>
  </si>
  <si>
    <t xml:space="preserve">הצעת חוק לתיקון פקודת מס הכנסה (קיצור משך הזמן בעבור תשלום החזרי מס), התשפ"ג-2023</t>
  </si>
  <si>
    <t xml:space="preserve"> (פ/3690/25)</t>
  </si>
  <si>
    <t xml:space="preserve">הצעת חוק חניה לנכים (תיקון - החלטה בבקשה לתג נכה), התשפ"ג-2023</t>
  </si>
  <si>
    <t xml:space="preserve"> (פ/3689/25)</t>
  </si>
  <si>
    <t xml:space="preserve">הצעת חוק הגנה על עיתונאים (תיקוני חקיקה), התשפ"ג-2023</t>
  </si>
  <si>
    <t xml:space="preserve"> (פ/3688/25)</t>
  </si>
  <si>
    <t xml:space="preserve">הצעת חוק הביטוח הלאומי (תיקון - השבת תשלומי מעסיק בגין תשלומים לקופות ולקרנות של העובד בימי מילואים), התשפ"ג-2023</t>
  </si>
  <si>
    <t xml:space="preserve"> (פ/3686/25)</t>
  </si>
  <si>
    <t xml:space="preserve"> (פ/3684/25)</t>
  </si>
  <si>
    <t xml:space="preserve">הצעת חוק מאבק בנטילת דמי חסות (אכיפה וענישה) (תיקוני חקיקה והוראת שעה), התשפ"ג-2023</t>
  </si>
  <si>
    <t xml:space="preserve"> (פ/3682/25)</t>
  </si>
  <si>
    <t xml:space="preserve">הצעת חוק הכשרות המשפטית והאפוטרופסות (תיקון - שלילת אפוטרופסות בשל עבירת מעשה מגונה בנסיבות מחמירות), התשפ"ג-2023</t>
  </si>
  <si>
    <t xml:space="preserve"> (פ/3681/25)</t>
  </si>
  <si>
    <t xml:space="preserve"> (פ/3680/25)</t>
  </si>
  <si>
    <t xml:space="preserve">הצעת חוק אסדרת שוק הקנאביס לצריכה עצמית, התשפ"ג-2023</t>
  </si>
  <si>
    <t xml:space="preserve"> (פ/3679/25)</t>
  </si>
  <si>
    <t xml:space="preserve">הצעת חוק הביטוח הלאומי (תיקון - הארכת המועד להגשת תביעות ליקוי שמיעה), התשפ"ג-2023</t>
  </si>
  <si>
    <t xml:space="preserve"> (פ/3678/25)</t>
  </si>
  <si>
    <t xml:space="preserve">הצעת חוק עבודת נשים (תיקון - הפרשות לקופת גמל בתקופת שמירת היריון, לידה והורות), התשפ"ג-2023</t>
  </si>
  <si>
    <t xml:space="preserve"> (פ/3677/25)</t>
  </si>
  <si>
    <t xml:space="preserve">הצעת חוק מימון טיפול בקנאביס רפואי לילדים חולי אפילפסיה, התשפ"ג-2023</t>
  </si>
  <si>
    <t xml:space="preserve"> (פ/3676/25)</t>
  </si>
  <si>
    <t xml:space="preserve">הצעת חוק הפעלת מוקד טלפוני לטיפול בקנאביס רפואי, התשפ"ג-2023</t>
  </si>
  <si>
    <t xml:space="preserve"> (פ/3675/25)</t>
  </si>
  <si>
    <t xml:space="preserve">הצעת חוק העברת מידע בין רשויות, התשפ"ג-2023</t>
  </si>
  <si>
    <t xml:space="preserve"> (פ/3674/25)</t>
  </si>
  <si>
    <t xml:space="preserve">הצעת חוק האזרחים הוותיקים (תיקון - הנחה בארנונה לאזרח ותיק המתגורר בדירה שאינה בהחזקתו), התשפ"ג-2023</t>
  </si>
  <si>
    <t xml:space="preserve"> (פ/3673/25)</t>
  </si>
  <si>
    <t xml:space="preserve">הצעת חוק עובדים בתעשיית הקנאביס, התשפ"ג-2023</t>
  </si>
  <si>
    <t xml:space="preserve"> (פ/3672/25)</t>
  </si>
  <si>
    <t xml:space="preserve">הצעת חוק להרחבת הייצוג ההולם של קבוצות שונות בתאגידים ציבוריים וברשויות מקומיות (תיקוני חקיקה), התשפ"ג–2023</t>
  </si>
  <si>
    <t xml:space="preserve"> (פ/1542/25)</t>
  </si>
  <si>
    <t xml:space="preserve"> (כ/969)</t>
  </si>
  <si>
    <t xml:space="preserve">חוק הכניסה לישראל (תיקון מס' 37 – הוראת שעה – נגיף הקורונה החדש), התשפ"ג-2023</t>
  </si>
  <si>
    <t xml:space="preserve"> (מ/1620)</t>
  </si>
  <si>
    <t xml:space="preserve">05.07.2023</t>
  </si>
  <si>
    <t xml:space="preserve">נקבע בהוראת שעה, התקפה למשך ארבעה חודשים, בחינה מחדש ואישור של בקשות הארכה לרישיון לישיבת ביקור, לשם העסקת עובדים זרים בסיעוד, אשר נדחו בתקופת מגפת הקורונה.  רישיונות אלה יבחנו במקרים בהם הקשר בין המטופל לעובד הזר נמשך מעל מספר חודשים, בשל הסתמכות על תקופת ההיערכות הארוכה שניתנה בעקבות מגפת הקורונה, ובלבד שבעת הגשת הבקשה העובד הזר לא שהה בישראל מעל 13 שנים.  כל זאת על מנת למנוע ניתוקו של קשר טיפולי ארוך אשר יכול לגרום לפגיעה קשה במטופל.</t>
  </si>
  <si>
    <t xml:space="preserve"> (פ/3527/25)</t>
  </si>
  <si>
    <t xml:space="preserve"> (פ/3323/25)</t>
  </si>
  <si>
    <t xml:space="preserve"> (פ/3306/25)</t>
  </si>
  <si>
    <t xml:space="preserve">הצעת חוק הסדרת העיסוק במקצועות הבריאות (תיקון - טיפול באמצעות אמנויות), התשפ"ג-2023</t>
  </si>
  <si>
    <t xml:space="preserve"> (פ/3226/25)</t>
  </si>
  <si>
    <t xml:space="preserve">הצעת חוק הגבלת הפרסומת והשיווק של משקאות אלכוהוליים (תיקון - אזהרת שתיית אלכוהול לנשים הרות), התשפ"ג-2023</t>
  </si>
  <si>
    <t xml:space="preserve"> (פ/3074/25)</t>
  </si>
  <si>
    <t xml:space="preserve"> (פ/2217/25)</t>
  </si>
  <si>
    <t xml:space="preserve"> (פ/2146/25)</t>
  </si>
  <si>
    <t xml:space="preserve"> (פ/2040/25)</t>
  </si>
  <si>
    <t xml:space="preserve"> (פ/1880/25)</t>
  </si>
  <si>
    <t xml:space="preserve"> (פ/1800/25)</t>
  </si>
  <si>
    <t xml:space="preserve">הצעת חוק תאגידי מים וביוב (תיקון - הפעלת שירותי מים וביוב על ידי רשות מקומית), התשפ"ג-2023</t>
  </si>
  <si>
    <t xml:space="preserve"> (פ/1496/25)</t>
  </si>
  <si>
    <t xml:space="preserve">הצעת חוק שירות המדינה (מינויים) (תיקון - ייצוג הולם לבני החברה הערבית, לרבות הדרוזית והצ'רקסית), התשפ"ג-2023</t>
  </si>
  <si>
    <t xml:space="preserve"> (פ/1298/25)</t>
  </si>
  <si>
    <t xml:space="preserve">הצעת חוק הסדרת העיסוק במקצועות הבריאות (תיקון - טיפול באמצעות אמנויות), התשפ"ג-2022</t>
  </si>
  <si>
    <t xml:space="preserve"> (פ/675/25)</t>
  </si>
  <si>
    <t xml:space="preserve"> (פ/474/25)</t>
  </si>
  <si>
    <t xml:space="preserve"> (פ/44/25)</t>
  </si>
  <si>
    <t xml:space="preserve">חוק הרשויות המקומיות (בחירות) (תיקון מס' 53), התשפ"ג-2023 </t>
  </si>
  <si>
    <t xml:space="preserve"> (פ/3343/25)</t>
  </si>
  <si>
    <t xml:space="preserve"> (כ/966)</t>
  </si>
  <si>
    <t xml:space="preserve">04.07.2023</t>
  </si>
  <si>
    <t xml:space="preserve">בוטלה ההוראה האוסרת על מי שכיהן כחבר ועדה ממונה או למי שמונה לעמוד בראש ועדה כאמור, להתמודד בבחירות לרשות המקומית בה כיהן בבחירות הראשונות לאחר מינויו. עוד נקבע כי אדם כאמור שירצה להתמודד באותן בחירות, יידרש להתפטר מתפקידו 90 ימים בטרם מועד הבחירות.</t>
  </si>
  <si>
    <t xml:space="preserve">הצעת חוק פיקוח על בתי ספר (תיקון - איסור העסקת מורשעי ותומכי טרור ופיקוח על תכני הלימוד למניעת הסתה), התשפ"ג-2023</t>
  </si>
  <si>
    <t xml:space="preserve"> (פ/3079/25)</t>
  </si>
  <si>
    <t xml:space="preserve">הצעת חוק למניעת הטרדה מינית (תיקון - החמרת ענישה בעבירות טרור לאומני), התשפ"ג-2023</t>
  </si>
  <si>
    <t xml:space="preserve"> (פ/2639/25)</t>
  </si>
  <si>
    <t xml:space="preserve">03.07.2023</t>
  </si>
  <si>
    <t xml:space="preserve">חוק הרבנות הראשית לישראל (הארכת כהונה של הרבנים הראשיים לישראל ושל חברי מועצת הרבנות הראשית לישראל) (הוראת שעה), התשפ"ג-2023</t>
  </si>
  <si>
    <t xml:space="preserve"> (מ/1635)</t>
  </si>
  <si>
    <t xml:space="preserve">נקבע כי יש לדחות בהוראת שעה, את מועד סיום כהונתם של הרבנים הראשיים לישראל המכהנים כיום עד ל-09.04.2024. כמו כן, נקבע כי יש לדחות, בהוראת שעה, את מועד סיום כהונתם של חברי מועצת הרבנים הראשית עד ל-10.06.2024.</t>
  </si>
  <si>
    <t xml:space="preserve"> (פ/3669/25)</t>
  </si>
  <si>
    <t xml:space="preserve">הצעת חוק עובדים זרים (תיקון - אי-תחולת הסדר פנסיוני על עובד זר המועסק בחקלאות), התשפ"ג-2023</t>
  </si>
  <si>
    <t xml:space="preserve"> (פ/3668/25)</t>
  </si>
  <si>
    <t xml:space="preserve">הצעת חוק לתיקון פקודת מס הכנסה (דחיית מימוש נקודות זיכוי לחיילים משוחררים), התשפ"ג-2023</t>
  </si>
  <si>
    <t xml:space="preserve"> (פ/3667/25)</t>
  </si>
  <si>
    <t xml:space="preserve"> (פ/3666/25)</t>
  </si>
  <si>
    <t xml:space="preserve">הצעת חוק לקידום התחרות ולצמצום הריכוזיות (תיקון - שירותי בנקאות כתחום תשתית חיונית), התשפ"ג-2023</t>
  </si>
  <si>
    <t xml:space="preserve"> (פ/3665/25)</t>
  </si>
  <si>
    <t xml:space="preserve">הצעת חוק מס ערך מוסף (תיקון - מס בשיעור אפס על מוצרי היגיינה נשית), התשפ"ג-2023</t>
  </si>
  <si>
    <t xml:space="preserve"> (פ/3664/25)</t>
  </si>
  <si>
    <t xml:space="preserve"> (פ/3663/25)</t>
  </si>
  <si>
    <t xml:space="preserve">הצעת חוק סדר הדין הפלילי (תיקון - הגבלת משך זמן החקירה המשטרתית וטיפול התביעה בתיק החקירה עד להגשת כתב אישום), התשפ"ג-2023</t>
  </si>
  <si>
    <t xml:space="preserve"> (פ/3662/25)</t>
  </si>
  <si>
    <t xml:space="preserve">הצעת חוק לשכת עורכי הדין (תיקון - התמחות ומבחני הסמכה), התשפ"ג-2023</t>
  </si>
  <si>
    <t xml:space="preserve"> (פ/3661/25)</t>
  </si>
  <si>
    <t xml:space="preserve">הצעת חוק צער בעלי חיים (הגנה על בעלי חיים) (תיקון - איסור שימוש באביזרים חשמליים), התשפ"ג-2023</t>
  </si>
  <si>
    <t xml:space="preserve"> (פ/3660/25)</t>
  </si>
  <si>
    <t xml:space="preserve">הצעת חוק יום הרבי מלובביץ' (ציון זכרו ופועלו), התשפ"ג-2023</t>
  </si>
  <si>
    <t xml:space="preserve"> (פ/3659/25)</t>
  </si>
  <si>
    <t xml:space="preserve"> (פ/3658/25)</t>
  </si>
  <si>
    <t xml:space="preserve">הצעת חוק מעונות סטודנטים, התשפ"ג-2023</t>
  </si>
  <si>
    <t xml:space="preserve"> (פ/3657/25)</t>
  </si>
  <si>
    <t xml:space="preserve">הצעת חוק המועצה הלאומית לשפת הסימנים, התשפ"ג-2023</t>
  </si>
  <si>
    <t xml:space="preserve"> (פ/3656/25)</t>
  </si>
  <si>
    <t xml:space="preserve">הצעת חוק להקמת טכניון בנגב, התשפ"ג-2023</t>
  </si>
  <si>
    <t xml:space="preserve"> (פ/3655/25)</t>
  </si>
  <si>
    <t xml:space="preserve">הצעת חוק לתיקון פקודת התעבורה (הוראות לעניין סככות המתנה בתחנות אוטובוס), התשפ"ג-2023</t>
  </si>
  <si>
    <t xml:space="preserve"> (פ/3652/25)</t>
  </si>
  <si>
    <t xml:space="preserve">הצעת חוק לתיקון פקודת התעבורה (ביטול קנס בשל רכישת מערכות בטיחות מתקדמות), התשפ"ג-2023</t>
  </si>
  <si>
    <t xml:space="preserve"> (פ/3651/25)</t>
  </si>
  <si>
    <t xml:space="preserve"> (פ/3650/25)</t>
  </si>
  <si>
    <t xml:space="preserve">הצעת חוק-יסוד: השפיטה (תיקון - הגבלת זכות העמידה לתאגידים המקבלים מימון מישות מדינית זרה) </t>
  </si>
  <si>
    <t xml:space="preserve"> (פ/3649/25)</t>
  </si>
  <si>
    <t xml:space="preserve">הצעת חוק הצבעה גלויה בכנסת (תיקוני חקיקה), התשפ"ג-2023</t>
  </si>
  <si>
    <t xml:space="preserve"> (פ/3648/25)</t>
  </si>
  <si>
    <t xml:space="preserve">הצעת חוק בתי המשפט (תיקון - בחירות גלויות לוועדה לבחירת שופטים), התשפ"ג-2023</t>
  </si>
  <si>
    <t xml:space="preserve"> (פ/3647/25)</t>
  </si>
  <si>
    <t xml:space="preserve">הצעת חוק איסור אלימות בספורט (תיקון - החמרת ענישה על כניסה לשדה משחק), התשפ"ג-2023</t>
  </si>
  <si>
    <t xml:space="preserve"> (פ/3646/25)</t>
  </si>
  <si>
    <t xml:space="preserve">הצעת חוק שיפוט בתי דין רבניים (נישואין וגירושין) (תיקון - מינוי נציגות ציבור), התשפ"ג-2023 </t>
  </si>
  <si>
    <t xml:space="preserve"> (פ/3645/25)</t>
  </si>
  <si>
    <t xml:space="preserve"> (פ/3644/25)</t>
  </si>
  <si>
    <t xml:space="preserve">הצעת חוק זכויות הדייר בדיור הציבורי (תיקון - זכאות לאם יחידנית המקבלת תשלומי מזונות מהמוסד לביטוח לאומי), ‏התשפ"ג-2023</t>
  </si>
  <si>
    <t xml:space="preserve"> (פ/3643/25)</t>
  </si>
  <si>
    <t xml:space="preserve"> (פ/3642/25)</t>
  </si>
  <si>
    <t xml:space="preserve">הצעת חוק הבטחת הכנסה (תיקון - תוספת לגמלה בעד הילד השלישי ואילך), התשפ"ג- 2023</t>
  </si>
  <si>
    <t xml:space="preserve"> (פ/3641/25)</t>
  </si>
  <si>
    <t xml:space="preserve">הצעת חוק הביטוח הלאומי (תיקון - תנאי זכאות לדמי לידה), התשפ"ג-2023</t>
  </si>
  <si>
    <t xml:space="preserve"> (פ/3640/25)</t>
  </si>
  <si>
    <t xml:space="preserve"> (פ/3639/25)</t>
  </si>
  <si>
    <t xml:space="preserve">הצעת חוק העונשין (תיקון - הוספת עבירה של גביית דמי חסות), התשפ"ג-2023</t>
  </si>
  <si>
    <t xml:space="preserve"> (פ/3638/25)</t>
  </si>
  <si>
    <t xml:space="preserve">הצעת חוק הביטוח הלאומי (תיקון - שמירת היריון חלקית), התשפ"ג-2023</t>
  </si>
  <si>
    <t xml:space="preserve"> (פ/3637/25)</t>
  </si>
  <si>
    <t xml:space="preserve">הצעת חוק ייצוא קנאביס למטרות רפואיות, התשפ"ג-2023</t>
  </si>
  <si>
    <t xml:space="preserve"> (פ/3636/25)</t>
  </si>
  <si>
    <t xml:space="preserve"> (פ/3635/25)</t>
  </si>
  <si>
    <t xml:space="preserve">הצעת חוק העונשין (תיקון - תקיפת עובד מערך בריאות), התשפ"ג-2023</t>
  </si>
  <si>
    <t xml:space="preserve"> (פ/3634/25)</t>
  </si>
  <si>
    <t xml:space="preserve">הצעת חוק זכויות הסטודנט (תיקון - החזר תשלום שכר לימוד לסטודנטים בגין שביתה), התשפ"ג-2023</t>
  </si>
  <si>
    <t xml:space="preserve"> (פ/3633/25)</t>
  </si>
  <si>
    <t xml:space="preserve">הצעת חוק לתיקון פקודת המשטרה (התקהלות בלתי חוקית מול ביתו של איש ציבור), התשפ"ג-2023</t>
  </si>
  <si>
    <t xml:space="preserve"> (פ/3632/25)</t>
  </si>
  <si>
    <t xml:space="preserve">הצעת חוק חתימה אלקטרונית (תיקון - הגבלת הנפקת תעודות אלקטרוניות מאושרות בידי המדינה), התשפ"ג-2023</t>
  </si>
  <si>
    <t xml:space="preserve"> (פ/3631/25)</t>
  </si>
  <si>
    <t xml:space="preserve">הצעת חוק העונשין (תיקון - תקיפת עורך דין כתקיפת עובד ציבור), התשפ"ג-2023</t>
  </si>
  <si>
    <t xml:space="preserve"> (פ/3630/25)</t>
  </si>
  <si>
    <t xml:space="preserve">הצעת חוק מרשם האוכלוסין (תיקון - רישום ילד שנפטר), התשפ"ג-2023</t>
  </si>
  <si>
    <t xml:space="preserve"> (פ/3627/25)</t>
  </si>
  <si>
    <t xml:space="preserve">הצעת חוק הרשויות המקומיות (בחירת ראש הרשות וסגניו וכהונתם) (תיקון - שכר לסגן ראש רשות), התשפ"ג-2023</t>
  </si>
  <si>
    <t xml:space="preserve"> (פ/3626/25)</t>
  </si>
  <si>
    <t xml:space="preserve">הצעת חוק הבנקאות (שירות ללקוח) (תיקון - יידוע על חלופות השקעה), התשפ"ג-2023</t>
  </si>
  <si>
    <t xml:space="preserve"> (פ/3625/25)</t>
  </si>
  <si>
    <t xml:space="preserve">הצעת חוק הבנקאות (שירות ללקוח) (תיקון - מידע ללקוח אודות סכומי יתרה בחשבון עובר ושב וחלופות השקעה), התשפ"ג-2023</t>
  </si>
  <si>
    <t xml:space="preserve"> (פ/3624/25)</t>
  </si>
  <si>
    <t xml:space="preserve">הצעת חוק לתיקון פקודת הבנקאות (הגבלת עמלת פירעון מוקדם בהלוואה לרכישת דירה), התשפ"ג-2023</t>
  </si>
  <si>
    <t xml:space="preserve"> (פ/3623/25)</t>
  </si>
  <si>
    <t xml:space="preserve"> (פ/3622/25)</t>
  </si>
  <si>
    <t xml:space="preserve">הצעת חוק עובדים זרים (תיקון - אגרה מופחתת בסיעוד המוסדי) (הוראת שעה), התשפ"ג-2023</t>
  </si>
  <si>
    <t xml:space="preserve"> (פ/3621/25)</t>
  </si>
  <si>
    <t xml:space="preserve"> (פ/3246/25)</t>
  </si>
  <si>
    <t xml:space="preserve">28.06.2023</t>
  </si>
  <si>
    <t xml:space="preserve">הצעת חוק אימוץ ילדים (תיקון - איסור הפרדה בין אחים בהליך אימוץ), התשפ"ג-2023</t>
  </si>
  <si>
    <t xml:space="preserve"> (פ/3145/25)</t>
  </si>
  <si>
    <t xml:space="preserve">הצעת חוק הפרשנות (תיקון - הגדרת הפליה על רקע זהות מגדרית, נטייה מינית או אמונה דתית), התשפ"ג-2023</t>
  </si>
  <si>
    <t xml:space="preserve"> (פ/2317/25)</t>
  </si>
  <si>
    <t xml:space="preserve"> (פ/2072/25)</t>
  </si>
  <si>
    <t xml:space="preserve">הצעת חוק ארוחה יומית לתלמיד (תיקון – ארוחת כריך יומית בבית ספר על יסודי), התשפ"ג–2023</t>
  </si>
  <si>
    <t xml:space="preserve"> (פ/1605/25)</t>
  </si>
  <si>
    <t xml:space="preserve"> (פ/1278/25)</t>
  </si>
  <si>
    <t xml:space="preserve">הצעת חוק לתיקון פקודת האגודות השיתופיות (מספר בתי אב ביישוב קהילתי), התשפ"ג-2023</t>
  </si>
  <si>
    <t xml:space="preserve"> (פ/1832/25)</t>
  </si>
  <si>
    <t xml:space="preserve">27.06.2023</t>
  </si>
  <si>
    <t xml:space="preserve">חוק ההתייעלות הכלכלית (תיקוני חקיקה להשגת יעדי התקציב לשנות התקציב 2017 ו-2018) (תיקון מס' 9), התשפ"ג-2023</t>
  </si>
  <si>
    <t xml:space="preserve"> (פ/1044/25)</t>
  </si>
  <si>
    <t xml:space="preserve"> (כ/957)</t>
  </si>
  <si>
    <t xml:space="preserve">החוק מתקן את המנגנון להקצאת תשלומים לרשויות הסמוכות לנתב"ג כך שיימחק הסעיף המקצה חלק מהתקציב לרשויות ספציפיות ותבוטל האפשרות לקבוע עבורן כללי חלוקה שונים.</t>
  </si>
  <si>
    <t xml:space="preserve">הצעת חוק הגנת הצרכן (תיקון מס' 68) (שירות טלפוני לביטול עסקה עם חברת תעופה), התשפ"ג–2023</t>
  </si>
  <si>
    <t xml:space="preserve"> (פ/2051/25)</t>
  </si>
  <si>
    <t xml:space="preserve"> (כ/964)</t>
  </si>
  <si>
    <t xml:space="preserve">הצעת חוק לתיקון פקודת המועצות המקומיות (מס' 79) (אחוז החסימה בבחירות לוועד מקומי), התשפ"ג–2023</t>
  </si>
  <si>
    <t xml:space="preserve"> (פ/799/25)</t>
  </si>
  <si>
    <t xml:space="preserve"> (כ/963)</t>
  </si>
  <si>
    <t xml:space="preserve">חוק לייעול האכיפה והפיקוח העירוניים ברשויות המקומיות (הוראת שעה) (תיקון מס' 10), התשפ"ג-2023</t>
  </si>
  <si>
    <t xml:space="preserve"> (מ/1536)</t>
  </si>
  <si>
    <t xml:space="preserve">26.06.2023</t>
  </si>
  <si>
    <t xml:space="preserve">החוק מאריך את תוקפו של חוק לייעול האכיפה והפיקוח העירוניים ברשויות המקומיות, התשע"א-2011, המסמיך פקחים עירוניים לאכיפת חוקי העזר ומסדיר את פעילות מערך השיטור העירוני, לתקופה של שישה חודשים, עד ליום י"ט בטבת התשפ"ד (31 בדצמבר 2023). </t>
  </si>
  <si>
    <t xml:space="preserve"> (פ/3620/25)</t>
  </si>
  <si>
    <t xml:space="preserve">הצעת חוק הביטוח הלאומי (תיקון - שעות סיעוד עובדים זרים), התשפ"ג-2023</t>
  </si>
  <si>
    <t xml:space="preserve"> (פ/3618/25)</t>
  </si>
  <si>
    <t xml:space="preserve">הצעת חוק מאבק בארגוני פשיעה (תיקון - הרחבת הנסיבה המחמירה לזיקה לארגון פשיעה), התשפ"ג-2023</t>
  </si>
  <si>
    <t xml:space="preserve"> (פ/3617/25)</t>
  </si>
  <si>
    <t xml:space="preserve"> (פ/3615/25)</t>
  </si>
  <si>
    <t xml:space="preserve">הצעת חוק לתיקון פקודת בתי הסוהר (שלילת זכויות יתר מאסיר ביטחוני המשתייך לארגון טרור), התשפ"ג-2023</t>
  </si>
  <si>
    <t xml:space="preserve"> (פ/3613/25)</t>
  </si>
  <si>
    <t xml:space="preserve">הצעת חוק קליטת חיילים משוחררים (תיקון - הוקרת שירות הלוחם והלוחמת), התשפ"ג-2023</t>
  </si>
  <si>
    <t xml:space="preserve"> (פ/3612/25)</t>
  </si>
  <si>
    <t xml:space="preserve">הצעת חוק לתיקון פקודת העיריות (הודעה מוקדמת לחייב), התשפ"ג-2023</t>
  </si>
  <si>
    <t xml:space="preserve"> (פ/3611/25)</t>
  </si>
  <si>
    <t xml:space="preserve">הצעת חוק שירות מילואים בהצטיינות, התשפ"ג-2023</t>
  </si>
  <si>
    <t xml:space="preserve"> (פ/3610/25)</t>
  </si>
  <si>
    <t xml:space="preserve">הצעת חוק עבודת נשים (תיקון - תקופת לידה והורות מיועדת לאב), התשפ"ג-2023</t>
  </si>
  <si>
    <t xml:space="preserve"> (פ/3609/25)</t>
  </si>
  <si>
    <t xml:space="preserve">הצעת חוק עבודת נשים (תיקון - זכות להיעדר מעבודה בעת שירות מילואים של בן הזוג), התשפ"ג-2023</t>
  </si>
  <si>
    <t xml:space="preserve"> (פ/3608/25)</t>
  </si>
  <si>
    <t xml:space="preserve">הצעת חוק להסדרת הפיקוח על כלבים (תיקון - כלבי הפקר), התשפ"ג-2023</t>
  </si>
  <si>
    <t xml:space="preserve"> (פ/3607/25)</t>
  </si>
  <si>
    <t xml:space="preserve">הצעת חוק חובת לימודי ליבה וביטול מוסדות הפטור (תיקוני חקיקה), התשפ"ג-2023</t>
  </si>
  <si>
    <t xml:space="preserve"> (פ/3606/25)</t>
  </si>
  <si>
    <t xml:space="preserve"> (פ/3605/25)</t>
  </si>
  <si>
    <t xml:space="preserve">הצעת חוק חג המימונה, התשפ"ג-2023 </t>
  </si>
  <si>
    <t xml:space="preserve"> (פ/3604/25)</t>
  </si>
  <si>
    <t xml:space="preserve">הצעת חוק-יסוד: נשיא המדינה (תיקון - ביטול סמכות חנינה לאסירי עולם ביטחוניים)</t>
  </si>
  <si>
    <t xml:space="preserve"> (פ/3601/25)</t>
  </si>
  <si>
    <t xml:space="preserve"> (פ/3599/25)</t>
  </si>
  <si>
    <t xml:space="preserve">הצעת חוק יום לציון פרשת היעלמותם של ילדי תימן, המזרח והבלקן, התשפ"ג-2023</t>
  </si>
  <si>
    <t xml:space="preserve"> (פ/3598/25)</t>
  </si>
  <si>
    <t xml:space="preserve">הצעת חוק המאבק בטרור (תיקון - הסתה לטרור), התשפ"ג-2023</t>
  </si>
  <si>
    <t xml:space="preserve"> (פ/3596/25)</t>
  </si>
  <si>
    <t xml:space="preserve">הצעת חוק להסדרת מקצוע עוזר רופא, התשפ"ג-2023</t>
  </si>
  <si>
    <t xml:space="preserve"> (פ/3595/25)</t>
  </si>
  <si>
    <t xml:space="preserve">הצעת חוק-יסוד: הממשלה (תיקון - סמכויות הממשלה בענייניה המשפטיים)</t>
  </si>
  <si>
    <t xml:space="preserve"> (פ/3594/25)</t>
  </si>
  <si>
    <t xml:space="preserve">הצעת חוק עובדים זרים (תיקון - הפחתת אגרה לעובדים בענף המלונאות), התשפ"ג-2023</t>
  </si>
  <si>
    <t xml:space="preserve"> (פ/3593/25)</t>
  </si>
  <si>
    <t xml:space="preserve">הצעת חוק התכנון והבנייה (תיקון - שינוי מדיניות ההתנגדויות), התשפ"ג-2023</t>
  </si>
  <si>
    <t xml:space="preserve"> (פ/3592/25)</t>
  </si>
  <si>
    <t xml:space="preserve"> (פ/3591/25)</t>
  </si>
  <si>
    <t xml:space="preserve">הצעת חוק למניעת התנכלות תעסוקתית, התשפ"ג-2023</t>
  </si>
  <si>
    <t xml:space="preserve"> (פ/3590/25)</t>
  </si>
  <si>
    <t xml:space="preserve">הצעת חוק קידום התחרות בענף המזון (תיקון - הפיכת הוראת שעה להוראה קבועה), התשפ''ג-2023</t>
  </si>
  <si>
    <t xml:space="preserve"> (פ/3589/25)</t>
  </si>
  <si>
    <t xml:space="preserve"> (פ/3588/25)</t>
  </si>
  <si>
    <t xml:space="preserve"> (פ/3587/25)</t>
  </si>
  <si>
    <t xml:space="preserve">הצעת חוק המועצה הישראלית לצרכנות (תיקון - ודאות תקציבית), התשפ"ג-2023</t>
  </si>
  <si>
    <t xml:space="preserve"> (פ/3586/25)</t>
  </si>
  <si>
    <t xml:space="preserve">הצעת חוק לתיקון פקודת ביטוח רכב מנועי (פוליסה לשני כלי רכב של נהג יחיד), התשפ"ג-2023</t>
  </si>
  <si>
    <t xml:space="preserve"> (פ/3585/25)</t>
  </si>
  <si>
    <t xml:space="preserve"> (פ/3584/25)</t>
  </si>
  <si>
    <t xml:space="preserve">הצעת חוק הביטוח הלאומי (תיקון - הוספה והסרה של עבודות מלוח ח'), התשפ"ג-2023</t>
  </si>
  <si>
    <t xml:space="preserve"> (פ/3583/25)</t>
  </si>
  <si>
    <t xml:space="preserve"> (פ/3581/25)</t>
  </si>
  <si>
    <t xml:space="preserve">הצעת חוק התכנון והבנייה (תיקון - החלטה מקדמית לפי תוכנית החיזוק), התשפ"ג-2023</t>
  </si>
  <si>
    <t xml:space="preserve"> (פ/3580/25)</t>
  </si>
  <si>
    <t xml:space="preserve"> (פ/3578/25)</t>
  </si>
  <si>
    <t xml:space="preserve">הצעת חוק זכויות הסטודנט (תיקון - ביטול ארגון סטודנטים יציג), התשפ"ג-2023</t>
  </si>
  <si>
    <t xml:space="preserve"> (פ/3577/25)</t>
  </si>
  <si>
    <t xml:space="preserve">הצעת חוק מבקר המדינה (תיקון - הגנה על חושפי שחיתויות במשטרת ישראל), התשפ''ג-2023</t>
  </si>
  <si>
    <t xml:space="preserve"> (פ/3576/25)</t>
  </si>
  <si>
    <t xml:space="preserve"> (פ/3575/25)</t>
  </si>
  <si>
    <t xml:space="preserve">הצעת חוק לתיקון פקודת העיריות (אבטחת גורמים מאוימים בתאגידים עירוניים), התשפ"ג-2023</t>
  </si>
  <si>
    <t xml:space="preserve"> (פ/3574/25)</t>
  </si>
  <si>
    <t xml:space="preserve">הצעת חוק המועצות האזוריות (בחירת ראש המועצה) (תיקון - הגשת רשימה על ידי סיעה או מפלגה), התשפ"ג-2023</t>
  </si>
  <si>
    <t xml:space="preserve"> (פ/3573/25)</t>
  </si>
  <si>
    <t xml:space="preserve">הצעת חוק החברות (תיקון - ייצוג הולם לבני שני המינים בדירקטוריונים של חברות ציבוריות), התשפ"ג-2023</t>
  </si>
  <si>
    <t xml:space="preserve"> (פ/3571/25)</t>
  </si>
  <si>
    <t xml:space="preserve">הצעת חוק בתי דין רבניים (קיום פסקי דין של גירושין) (תיקון - הגבלת שימוש בכרטיסי אשראי לסרבני גט), התשפ"ג-2023</t>
  </si>
  <si>
    <t xml:space="preserve"> (פ/3569/25)</t>
  </si>
  <si>
    <t xml:space="preserve">הצעת חוק העונשין (תיקון - קביעת עונש מינימום בגין נטילת דמי חסות), התשפ"ג-2023</t>
  </si>
  <si>
    <t xml:space="preserve"> (פ/3566/25)</t>
  </si>
  <si>
    <t xml:space="preserve">הצעת חוק התכנון והבנייה (תיקון - שימוש חורג בקרקע חקלאית), התשפ"ג-2023</t>
  </si>
  <si>
    <t xml:space="preserve"> (פ/3565/25)</t>
  </si>
  <si>
    <t xml:space="preserve">הצעת חוק העונשין (תיקון - חובת פיצוי נפגע עבירה וחובת הנמקה), התשפ"ג-2023</t>
  </si>
  <si>
    <t xml:space="preserve"> (פ/3564/25)</t>
  </si>
  <si>
    <t xml:space="preserve">הצעת חוק מימון מפלגות (תיקון - ייצוג לנשים ברשימת המועמדים), התשפ"ג-2023</t>
  </si>
  <si>
    <t xml:space="preserve"> (פ/3563/25)</t>
  </si>
  <si>
    <t xml:space="preserve"> (פ/3560/25)</t>
  </si>
  <si>
    <t xml:space="preserve">הצעת חוק עיקול ותפיסה מידתיים של נכסים המוחזקים בידי צד שלישי (תיקוני חקיקה), התשפ"ג-2023</t>
  </si>
  <si>
    <t xml:space="preserve"> (פ/3559/25)</t>
  </si>
  <si>
    <t xml:space="preserve">הצעת חוק בתי המשפט (תיקון - מחלקות לעבירות מין), התשפ"ג-2023</t>
  </si>
  <si>
    <t xml:space="preserve"> (פ/3558/25)</t>
  </si>
  <si>
    <t xml:space="preserve">הצעת חוק לתיקון פקודת מס הכנסה (ניכוי ריבית על משכנתה וסיוע ברכישת דירה), התשפ"ג-2023</t>
  </si>
  <si>
    <t xml:space="preserve"> (פ/3557/25)</t>
  </si>
  <si>
    <t xml:space="preserve">הצעת חוק מס ערך מוסף (תיקון - הגבלת שיעור מס שכר למלכ"רים בירושלים), התשפ"ג-2023</t>
  </si>
  <si>
    <t xml:space="preserve"> (פ/3556/25)</t>
  </si>
  <si>
    <t xml:space="preserve">הצעת חוק תשלום קצבאות לחיילי מילואים ולבני משפחותיהם (תיקון - השוואת תנאי אלמנות חללי המילואים), התשפ"ג-2023</t>
  </si>
  <si>
    <t xml:space="preserve"> (פ/3555/25)</t>
  </si>
  <si>
    <t xml:space="preserve">הצעת חוק חילוט תקבולי עבירה בפשיעה חקלאית, התשפ"ג-2023</t>
  </si>
  <si>
    <t xml:space="preserve"> (פ/3554/25)</t>
  </si>
  <si>
    <t xml:space="preserve"> (פ/3553/25)</t>
  </si>
  <si>
    <t xml:space="preserve"> (פ/3552/25)</t>
  </si>
  <si>
    <t xml:space="preserve">הצעת חוק התכנון והבנייה (תיקון - מכירה ישירה של תוצרת חקלאית), התשפ"ג-2023</t>
  </si>
  <si>
    <t xml:space="preserve"> (פ/3550/25)</t>
  </si>
  <si>
    <t xml:space="preserve">הצעת חוק הכניסה לישראל (תיקון - איסור כניסת פעילי טרור), התשפ"ג-2023</t>
  </si>
  <si>
    <t xml:space="preserve"> (פ/3548/25)</t>
  </si>
  <si>
    <t xml:space="preserve">הצעת חוק שירותי תשלום (תיקון - דיווח על ניצול כלכלי של אזרח ותיק או חסר ישע), התשפ"ג -2023</t>
  </si>
  <si>
    <t xml:space="preserve"> (פ/3547/25)</t>
  </si>
  <si>
    <t xml:space="preserve">הצעת חוק אומנה לילדים (תיקון - העברת תשלומים להורה אומנה במקרים מיוחדים), התשפ"ג-2023</t>
  </si>
  <si>
    <t xml:space="preserve"> (פ/3094/25)</t>
  </si>
  <si>
    <t xml:space="preserve">21.06.2023</t>
  </si>
  <si>
    <t xml:space="preserve">הצעת חוק איסור טיפול המרה לקטין, התשפ"ג-2023</t>
  </si>
  <si>
    <t xml:space="preserve"> (פ/2107/25)</t>
  </si>
  <si>
    <t xml:space="preserve"> (פ/1975/25)</t>
  </si>
  <si>
    <t xml:space="preserve">הצעת חוק הבחירות לכנסת (תיקון - הצבעת אנשי צוות אוויר), התשפ"ג-2022</t>
  </si>
  <si>
    <t xml:space="preserve"> (פ/504/25)</t>
  </si>
  <si>
    <t xml:space="preserve">חוק לביטול אזרחותו או תושבותו של פעיל טרור שמקבל תגמול עבור ביצוע מעשה הטרור (תיקוני חקיקה), התשפ"ג-2023</t>
  </si>
  <si>
    <t xml:space="preserve"> (פ/373/25)</t>
  </si>
  <si>
    <t xml:space="preserve"> (כ/946)</t>
  </si>
  <si>
    <t xml:space="preserve">20.06.2023</t>
  </si>
  <si>
    <t xml:space="preserve">נקבע כי אזרח או תושב ישראלי שהורשע בביצוע עבירה שהיא הפרת אמונים למדינת ישראל, נגזר עליו מאסר בפועל בגינה, והוכח כי הרשות הפלסטינית מתגמלת אותו על כך, ניתן יהיה לבטל את אזרחותו או את רישיונו לישיבת הקבע לפי העניין, ולהרחיקו לשטחי הרשות הפלסטינית או לרצועת עזה. רישיון ישיבת קבע יבוטל על ידי שר הפנים, לאחר היוועצות בוועדה מייעצת ובהסכמת שר המשפטים, וביטול אזרחות יהיה על ידי בית המשפט, לבקשת שר הפנים, לאחר היוועצות בוועדה מייעצת ובהסכמת שר המשפטים. החוק תוחם את לוח הזמנים להליך ביטול התושבות או האזרחות וקובע חזקה לפיה אדם שקיבל כספים כאמור,  זכאי למעמד ברשות הפלסטינית. </t>
  </si>
  <si>
    <t xml:space="preserve">חוק תאגידי מים וביוב (תיקון מס' 15), התשפ"ג–2023</t>
  </si>
  <si>
    <t xml:space="preserve"> (פ/2313/25)</t>
  </si>
  <si>
    <t xml:space="preserve"> (כ/954)</t>
  </si>
  <si>
    <t xml:space="preserve">חוק תאגידי מים וביוב (תיקון מס' 15) (להלן – התיקון) כולל כמה תיקונים לחוק תאגידי מים וביוב, התשס"א–2001 (להלן – החוק). התיקון דוחה את המועד המחייב להקמת תאגידי מים וביוב אזוריים ל-1 בינואר 2025. בהתאם לכך, התיקון דוחה גם את המועד המחייב לעניין חובת התיאגוד, כלומר לעניין סמכות מועצת רשות המים להורות לרשות מקומית להצטרף לתאגיד מים וביוב או להקים תאגיד כאמור, כך שיחול ב-1 במאי 2024. הוראה כאמור טעונה התייעצות עם מנהל מינהל שלטון מקומי במשרד הפנים. עוד נקבע כי סכום העיצום הכספי בשל הפרת הוראת מועצת רשות המים כאמור יוגדל, ויוטל באופן מדורג, בהתאם לאשכול החברתי-כלכלי אליו משויכת הרשות המקומית. עם זאת, מועצת רשות המים לא תורה לרשות מקומית להצטרף לתאגיד מים וביוב ולא תטיל עליה עיצום כספי בשל אי-קיום ההוראה, אם שוכנעה כי הרשות המקומית עשתה כל שביכולתה כדי להצטרף לתאגיד מים וביוב קיים, ובשל נסיבות שאינן בשליטת הרשות המקומית וכל עוד מתקיימות אותן נסיבות, הדבר אינו אפשרי. בנוסף, התיקון מבטל את המגבלה הקיימת בחוק, שלפיה מספר תאגידי מים וביוב אזוריים לא יעלה על 30, כלומר מספר התאגידים האזוריים ייקבע בהחלטת מועצת רשות המים ללא מגבלה מספרית בחוק. כמו כן, הסמכות לבדיקת מינויים של דירקטורים ומנכ"לים בתאגידי מים וביוב תעבור מהוועדה לבדיקת מינויים המייעצת לרשות החברות הממשלתיות, לידי הוועדה למינוי דירקטורים חיצוניים ברשות המים. הוועדה האמורה תדון ותחליט בעניינו של מועמד בתקופות המפורטות בחוק, שיימנו מיום שהוגשו לה כל המסמכים והמידע שדרשה לשם קבלת החלטה. בהמשך לכך, התיקון קובע הוראת שעה ולפיה אם הוועדה האמורה לא קיבלה החלטה בעניינו של מועמד לכהונת דירקטור בתוך התקופות הקצובות כאמור, מועצת הרשות המקומית תוכל למנות את המועמד לדירקטור שיכהן עד להחלטת הוועדה בעניינו, בכפוף להעברת מסמכים על ידי הרשות המקומית שמבקשת למנותו ולבדיקת היועץ המשפטי של התאגיד בדבר התקיימות תנאי הכשירות למינויו. עוד נקבע כי ראש רשות מקומית או חבר רשות מקומית, המבקשים להתמנות כדירקטורים בתאגיד מים וביוב, לא יידרשו לעמוד בתנאי הכשירות למינוי לעניין ניסיון והשכלה שכן מדובר בנבחרי ציבור. עם זאת, הוראה זו לא תחול לגבי חבר מועצה המועמד לכהן כיושב ראש דירקטוריון.   נושא נוסף הנכלל בתיקון נוגע לחלוקת דיבידנדים של תאגידי המים והביוב. בעניין זה נקבע כי הממונה על התאגידים ברשות המים יהיה רשאי לאשר חלוקת דיבידנד לרשות מקומית גם אם תאגיד מים וביוב שבבעלותה לא ביצע שלב משלבי ההקמה של תאגיד אזורי. כמו כן, התיקון מחדש את הוראות השעה שהיו בתוקף בעבר לעניין פטור ממס דיבידנדים שמחלקים תאגידי המים והביוב וזאת עד סוף שנת 2023, וכן לעניין פטור ממס חברות לגבי הכנסות של התאגידים עד סוף שנת 2022. </t>
  </si>
  <si>
    <t xml:space="preserve"> (פ/1583/25)</t>
  </si>
  <si>
    <t xml:space="preserve">19.06.2023</t>
  </si>
  <si>
    <t xml:space="preserve">חוק טיפול בחולי נפש (תיקון מס' 12), התשפ"ג-2023</t>
  </si>
  <si>
    <t xml:space="preserve"> (מ/1618)</t>
  </si>
  <si>
    <t xml:space="preserve">חוק זה קובע הוראות לעניין חברי הוועדות הפסיכיאטריות שממונות ופועלות לפי חוק טיפול בחולי נפש, התשנ"א-1991.  החוק מבטל את ההבחנה שהיתה קיימת בין עובדי מדינה לבין מי שאינם עובדי מדינה לעניין מינוי פסיכיאטרים לכהן כחברי ועדה פסיכיאטרית מחוזית, וכעת ימונו שני הפסיכיאטרים שהם חברי הוועדה המחוזית מרשימה אחת שאותה יערוך השר בהתייעצות עם ההסתדרות הרפואית בישראל. נוסף על כך, החוק מחיל על חברי הוועדות הפסיכיאטריות השונות הוראות להבטחת טוהר המידות ומניעת ניגוד עניינים. כמו כן החוק קובע הגבלה על תקופת הכהונה של חבר ועדה פסיכיאטרית והוראות לעניין הפסקת הכהונה על ידי השר לפני תום התקופה. כמו כן לפי הוראות חוק זה ימונה שופט בדימוס אשר יהיה אחראי על בירור תלונות על התנהגות חברי הוועדה במסגרת מילוי תפקידם, והוא יהיה מוסמך, בין השאר, להמליץ לשר להעביר חבר ועדה מכהונתו או להתלות את כהונתו או להתרות בו. </t>
  </si>
  <si>
    <t xml:space="preserve">חוק התחרות הכלכלית (תיקון מס' 23 והוראת שעה), התשפ"ג-2023</t>
  </si>
  <si>
    <t xml:space="preserve"> (מ/1550)</t>
  </si>
  <si>
    <t xml:space="preserve">החוק אוסר על יבואנים ישירים לעשות מעשים, המנויים בתוספת לחוק, שעלולים לפגוע בייבוא מקביל או בייבוא אישי. בהתאם לחוק, האיסור יחול על יבואן ישיר שעשה מעשה מהמעשים המנויים בתוספת, אם כתוצאה מהמעשה עלול להיפגע ייבוא מקביל או ייבוא אישי ובשל כך עלולה להיפגע התחרות בענף הנוגע בדבר; אם עיקרו של המעשה הוא מניעה או הפחתה של התחרות מצד ייבוא מקביל או ייבוא אישי; או אם המעשה עלול למנוע או להפחית את התחרות מצד ייבוא מקביל או ייבוא אישי ואינו נחוץ למימוש עיקרו של ייבוא הטובין על ידי היבואן הישיר. כמו כן, החוק מסמיך את שר הכלכלה והתעשייה בהמלצת הממונה על התחרות ובאישור ועדת הכלכלה של הכנסת, לשנות את התוספת לחוק כאמור. בנוסף, התיקון מקנה סמכות לממונה על התחרות להטיל עיצום כספי על יבואן ישיר המפר את הוראות החוק לעניין פגיעה בייבוא מקביל או יבוא אישי. כמו כן, בחוק זה נקבעה הוראת שעה לפיה הממונה על התחרות ידווח לוועדת הכלכלה, אחת לשנה, במשך ארבע שנים, על יישום הוראות התיקון ופעולות האכיפה שנעשו מכוחן. נוסף על כך, החוק כולל תיקון עקיף לחוק רישוי שירותים ומקצועות בענף הרכב, שהוסף בדיוני ועדת הכלכלה ומטרתו להסיר חסמים בפני ייבוא מקביל של כלי רכב. בהתאם לתיקון העקיף, וכדי שיבואני רכב שהם יבואנים מקבילים יוכלו לקבל העדפה בשיעור המכס כמו יבואנים ישירים, נקבעה הוראת שעה שתהיה בתוקף עד 30.6.2025 המחייבת יבואני רכב שהם יבואנים ישירים למסור למנהל המכס פרטים לגבי דגמי כלי הרכב המיובאים על ידם ויש לגביהם "תעודת מקור". עוד נקבע כי מנהל המכס יעביר למנהל במשרד התחבורה והבטיחות בדרכים, שהוא הרגולטור של יבואני הרכב, פרטים לגבי יבואנים ישירים שלא מסרו מידע כאמור, וזאת כדי שניתן יהיה להפעיל כלפיהם אמצעי אכיפה לפי החוק. עם זאת, הסמכות להטיל עיצומים כספיים על יבואנים ישירים שהפרו את חובת מסירת המידע תיכנס לתוקף ב-1.1.2025. </t>
  </si>
  <si>
    <t xml:space="preserve">הצעת חוק מס הכנסה (מיסוי הכנסה מפעילות בכלי שיט לפי תפוסה), התשפ"ג-2023</t>
  </si>
  <si>
    <t xml:space="preserve"> (פ/3545/25)</t>
  </si>
  <si>
    <t xml:space="preserve">הצעת חוק לשכת עורכי הדין (תיקון - השעיה עד סיום ההליכים), התשפ"ג-2023</t>
  </si>
  <si>
    <t xml:space="preserve"> (פ/3544/25)</t>
  </si>
  <si>
    <t xml:space="preserve">הצעת חוק לתיקון פקודת מס הכנסה (ידועים בציבור), התשפ"ג-2023</t>
  </si>
  <si>
    <t xml:space="preserve"> (פ/3543/25)</t>
  </si>
  <si>
    <t xml:space="preserve">הצעת חוק ביטוח בריאות ממלכתי (תיקון - ביטול החרגת חיילים), התשפ"ג-2023</t>
  </si>
  <si>
    <t xml:space="preserve"> (פ/3541/25)</t>
  </si>
  <si>
    <t xml:space="preserve">הצעת חוק לתיקון פקודת מס הכנסה (החזר בתשלום למעונות יום לאימהות), התשפ"ג-2023</t>
  </si>
  <si>
    <t xml:space="preserve"> (פ/3540/25)</t>
  </si>
  <si>
    <t xml:space="preserve">הצעת חוק לתיקון פקודת מס הכנסה (חשבון השקעה), התשפ"ג-2023</t>
  </si>
  <si>
    <t xml:space="preserve"> (פ/3539/25)</t>
  </si>
  <si>
    <t xml:space="preserve">הצעת חוק שוויון זכויות לאנשים עם מוגבלות (תיקון - מידע בדבר עמידת מעסיקים פרטיים גדולים ביעד הייצוג ההולם), התשפ"ג-2023</t>
  </si>
  <si>
    <t xml:space="preserve"> (פ/3538/25)</t>
  </si>
  <si>
    <t xml:space="preserve"> (פ/3537/25)</t>
  </si>
  <si>
    <t xml:space="preserve">הצעת חוק הגנת השכר (תיקון - פירוט עלות מעסיק), התשפ"ג-2023</t>
  </si>
  <si>
    <t xml:space="preserve"> (פ/3536/25)</t>
  </si>
  <si>
    <t xml:space="preserve"> (פ/3534/25)</t>
  </si>
  <si>
    <t xml:space="preserve">הצעת חוק החברות הממשלתיות (תיקון - ייצוג הולם בקרב עובדי החברות הממשלתיות), התשפ"ג-2023</t>
  </si>
  <si>
    <t xml:space="preserve"> (פ/3533/25)</t>
  </si>
  <si>
    <t xml:space="preserve">הצעת חוק לתיקון פקודת בריאות העם (מכשירים רפואיים מיוחדים), התשפ"ג-2023</t>
  </si>
  <si>
    <t xml:space="preserve"> (פ/3530/25)</t>
  </si>
  <si>
    <t xml:space="preserve">הצעת חוק צעירים חסרי עורף משפחתי, התשפ"ג-2023</t>
  </si>
  <si>
    <t xml:space="preserve"> (פ/3529/25)</t>
  </si>
  <si>
    <t xml:space="preserve">הצעת חוק לתיקון פקודת הדיג (איכון ספינות דיג), התשפ"ג-2023</t>
  </si>
  <si>
    <t xml:space="preserve"> (פ/3528/25)</t>
  </si>
  <si>
    <t xml:space="preserve">הצעת חוק איסור הפליה במוצרים, בשירותים ובכניסה למקומות בידור ולמקומות ציבוריים (תיקון - איסור הפרדה), התשפ"ג-2023</t>
  </si>
  <si>
    <t xml:space="preserve"> (פ/3526/25)</t>
  </si>
  <si>
    <t xml:space="preserve">הצעת חוק העמותות (תיקון - הגבלת הכנסה ממדינות שאין לישראל יחסים רשמיים עימן), התשפ"ג-2023</t>
  </si>
  <si>
    <t xml:space="preserve"> (פ/3525/25)</t>
  </si>
  <si>
    <t xml:space="preserve">הצעת חוק הגבלת משקל בתעשיית הדוגמנות (תיקון - פיקוח ואכיפה), התשפ"ג-2023</t>
  </si>
  <si>
    <t xml:space="preserve"> (פ/3524/25)</t>
  </si>
  <si>
    <t xml:space="preserve">הצעת חוק שיפוט בתי דין רבניים (נישואין וגירושין) (תיקון - הסכם כבוד הדדי), התשפ"ג-2023</t>
  </si>
  <si>
    <t xml:space="preserve"> (פ/3523/25)</t>
  </si>
  <si>
    <t xml:space="preserve">הצעת חוק העונשין (תיקון - עבירות בנשק), התשפ"ג-2023</t>
  </si>
  <si>
    <t xml:space="preserve"> (פ/3522/25)</t>
  </si>
  <si>
    <t xml:space="preserve">הצעת חוק הרבנות הראשית לישראל (תיקון - כשירות להיבחר), התשפ"ג-2023 </t>
  </si>
  <si>
    <t xml:space="preserve"> (פ/3521/25)</t>
  </si>
  <si>
    <t xml:space="preserve">הצעת חוק הרשות לפיתוח הנגב (תיקון - שינוי הגדרת הנגב), התשפ"ג-2023</t>
  </si>
  <si>
    <t xml:space="preserve"> (פ/3520/25)</t>
  </si>
  <si>
    <t xml:space="preserve">הצעת חוק הביטוח הלאומי (תיקון - גמלת סיעוד בכסף בשיעור מלא), התשפ"ג-2023</t>
  </si>
  <si>
    <t xml:space="preserve"> (פ/3519/25)</t>
  </si>
  <si>
    <t xml:space="preserve">הצעת חוק למניעת הטרדה מינית (תיקון - פיטורי עובד עקב הטרדה מינית), התשפ"ג-2023</t>
  </si>
  <si>
    <t xml:space="preserve"> (פ/3518/25)</t>
  </si>
  <si>
    <t xml:space="preserve">הצעת חוק האזרחות (תיקון - ויתור על אזרחות ישראלית), התשפ"ג-2023</t>
  </si>
  <si>
    <t xml:space="preserve"> (פ/3517/25)</t>
  </si>
  <si>
    <t xml:space="preserve">הצעת חוק למניעת שחרור מוקדם של אדם שהורשע בביצוע מעשה טרור (תיקוני חקיקה), התשפ"ג- 2023 </t>
  </si>
  <si>
    <t xml:space="preserve"> (פ/3516/25)</t>
  </si>
  <si>
    <t xml:space="preserve">הצעת חוק התקשורת (בזק ושידורים) (תיקון - חובת בעל רישיון להעברת תכני חוזי-שמע להפקה או רכישה של הפקות מקומיות), התשפ"ג-2023</t>
  </si>
  <si>
    <t xml:space="preserve"> (פ/3514/25)</t>
  </si>
  <si>
    <t xml:space="preserve">הצעת חוק הפסקת היריון, התשפ"ג-2023</t>
  </si>
  <si>
    <t xml:space="preserve"> (פ/3513/25)</t>
  </si>
  <si>
    <t xml:space="preserve">הצעת חוק לתיקון פקודת הרוקחים (כתב ברייל), התשפ"ג-2023</t>
  </si>
  <si>
    <t xml:space="preserve"> (פ/3512/25)</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</si>
  <si>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התשפ"ג-2023</t>
  </si>
  <si>
    <t xml:space="preserve"> (פ/3511/25)</t>
  </si>
  <si>
    <t xml:space="preserve">הצעת חוק מס ערך מוסף (תיקון - שיעור מס מופחת על מוצרי מזון בסיסיים), התשפג-2023</t>
  </si>
  <si>
    <t xml:space="preserve"> (פ/3508/25)</t>
  </si>
  <si>
    <t xml:space="preserve">הצעת חוק התקנת מצלמות לשם הגנה על פעוטות במעונות יום לפעוטות (תיקון - הרחבת הגישה לצילומים), התשפ"ג-2023 </t>
  </si>
  <si>
    <t xml:space="preserve"> (פ/3507/25)</t>
  </si>
  <si>
    <t xml:space="preserve">הצעת חוק המקרקעין (תיקון - התקנת מעלית מטעמים מיוחדים), התשפ"ג-2023</t>
  </si>
  <si>
    <t xml:space="preserve"> (פ/3506/25)</t>
  </si>
  <si>
    <t xml:space="preserve">הצעת חוק העונשין (תיקון - הארכת ההתיישנות בעבירות מין בקטינים), התשפ"ג-2023</t>
  </si>
  <si>
    <t xml:space="preserve"> (פ/3505/25)</t>
  </si>
  <si>
    <t xml:space="preserve">הצעת חוק הביטוח הלאומי (תיקון - מאבטח מעברים כעבודה מועדפת), תשפ"ג-2023</t>
  </si>
  <si>
    <t xml:space="preserve"> (פ/3504/25)</t>
  </si>
  <si>
    <t xml:space="preserve">הצעת חוק שיפוט בתי דין רבניים (נישואין וגירושין) (תיקון - החרגת שפיטה בענייני רכוש בעת גירושין), התשפ"ג-2023</t>
  </si>
  <si>
    <t xml:space="preserve"> (פ/3503/25)</t>
  </si>
  <si>
    <t xml:space="preserve">הצעת חוק לתיקון פקודת מס הכנסה (מיסוי הכנסה מגורמים זרים), התשפ"ג-2023</t>
  </si>
  <si>
    <t xml:space="preserve"> (פ/3502/25)</t>
  </si>
  <si>
    <t xml:space="preserve">הצעת חוק נישואין וגירושין, התשפ"ג-2023</t>
  </si>
  <si>
    <t xml:space="preserve"> (פ/3501/25)</t>
  </si>
  <si>
    <t xml:space="preserve">הצעת חוק העונשין (תיקון - חילוט רווחי סרסרות), התשפ"ג-2023</t>
  </si>
  <si>
    <t xml:space="preserve"> (פ/3500/25)</t>
  </si>
  <si>
    <t xml:space="preserve">הצעת חוק הרשות לקידום מעמד האישה (תיקון - שם הרשות ותיקונים במבנה הארגוני של הרשות), התשפ"ג-2023</t>
  </si>
  <si>
    <t xml:space="preserve"> (פ/3499/25)</t>
  </si>
  <si>
    <t xml:space="preserve">הצעת חוק שיפוט בתי דין רבניים (נישואין וגירושין) (תיקון - כפיית גט), התשפ"ג-2023</t>
  </si>
  <si>
    <t xml:space="preserve"> (פ/3498/25)</t>
  </si>
  <si>
    <t xml:space="preserve">הצעת חוק שיקום, פיצוי וסיוע משפטי לנפגעי עבירות מין, התשפ"ג-2023</t>
  </si>
  <si>
    <t xml:space="preserve"> (פ/3497/25)</t>
  </si>
  <si>
    <t xml:space="preserve"> (פ/3496/25)</t>
  </si>
  <si>
    <t xml:space="preserve"> (פ/3495/25)</t>
  </si>
  <si>
    <t xml:space="preserve"> (פ/3494/25)</t>
  </si>
  <si>
    <t xml:space="preserve">הצעת חוק סמכויות מינהליות (מעצרים והגבלות) (הוראת שעה), התשפ"ג-2023</t>
  </si>
  <si>
    <t xml:space="preserve"> (פ/3492/25)</t>
  </si>
  <si>
    <t xml:space="preserve">הצעת חוק להקפאת כספים ששילמה הרשות הפלסטינית בזיקה לטרור מהכספים המועברים אליה מממשלת ישראל (תיקון - שיפוי המדינה על נזקי טרור), התשפ"ג-2023 </t>
  </si>
  <si>
    <t xml:space="preserve"> (פ/3491/25)</t>
  </si>
  <si>
    <t xml:space="preserve">הצעת חוק חוזה הביטוח (תיקון - התיישנות וריבית מיוחדת), התשפ"ג-2023</t>
  </si>
  <si>
    <t xml:space="preserve"> (פ/3490/25)</t>
  </si>
  <si>
    <t xml:space="preserve"> (פ/3489/25)</t>
  </si>
  <si>
    <t xml:space="preserve"> (פ/3488/25)</t>
  </si>
  <si>
    <t xml:space="preserve">הצעת חוק מאבק בארגוני פשיעה (תיקון - הרחבת הנסיבה המחמירה לזיקה בארגון פשיעה), התשפ"ג-2023</t>
  </si>
  <si>
    <t xml:space="preserve"> (פ/3067/25)</t>
  </si>
  <si>
    <t xml:space="preserve">14.06.2023</t>
  </si>
  <si>
    <t xml:space="preserve">הצעת חוק לתיקון פקודת סדר הדין הפלילי (מעצר וחיפוש) (שלילת הסכמה כהיתר לחיפוש בחומר מחשב), התשפ"ג-2023</t>
  </si>
  <si>
    <t xml:space="preserve"> (פ/2927/25)</t>
  </si>
  <si>
    <t xml:space="preserve">הצעת חוק הפיקוח על שירותים פיננסיים (קופות גמל) (תיקון - שלילת זכאות לקצבאות ולפיצויי פיטורים עקב ביצוע פעילות טרור), התשפ"ג-2023</t>
  </si>
  <si>
    <t xml:space="preserve"> (פ/2644/25)</t>
  </si>
  <si>
    <t xml:space="preserve">הצעת חוק הרשויות המקומיות (מימון בחירות) (תיקון - עידוד התמודדות נשים לראשות רשות מקומית או מועצה אזורית), התשפ"ג-2023</t>
  </si>
  <si>
    <t xml:space="preserve"> (פ/1948/25)</t>
  </si>
  <si>
    <t xml:space="preserve"> (פ/1759/25)</t>
  </si>
  <si>
    <t xml:space="preserve">הצעת חוק העונשין (תיקון - קנס על החזקת נשק בלתי חוקי), התשפ"ג-2023</t>
  </si>
  <si>
    <t xml:space="preserve"> (פ/1515/25)</t>
  </si>
  <si>
    <t xml:space="preserve">הצעת חוק לקידום שירותים פיננסיים חברתיים (תיקוני חקיקה), התשפ"ג-2022</t>
  </si>
  <si>
    <t xml:space="preserve"> (פ/742/25)</t>
  </si>
  <si>
    <t xml:space="preserve">הצעת חוק העונשין (תיקון - הרחבת הגדרת הגזענות), התשפ"ג-2022</t>
  </si>
  <si>
    <t xml:space="preserve"> (פ/11/25)</t>
  </si>
  <si>
    <t xml:space="preserve">פרק כ"ה (שונות), רק סעיפים 96(2) ו-97 (חוק רישוי שירותים ומקצועות בענף הרכב) מתוך הצעת חוק התכנית הכלכלית (תיקוני חקיקה ליישום המדיניות הכלכלית לשנות התקציב 2023 ו-2024), התשפ"ג-2023 [פוצלה לפי סעיף 84(ב) לתקנון]</t>
  </si>
  <si>
    <t xml:space="preserve">13.06.2023</t>
  </si>
  <si>
    <t xml:space="preserve">הצעת חוק לתיקון פקודת התעבורה (הגבלת דמי חניה במוסד רפואי), התשפ"ג-2023</t>
  </si>
  <si>
    <t xml:space="preserve"> (פ/2450/25)</t>
  </si>
  <si>
    <t xml:space="preserve">הצעת חוק לתיקון פקודת התעבורה (הגבלת תשלום בעד חניה במוסד רפואי), התשפ"ג-2023</t>
  </si>
  <si>
    <t xml:space="preserve"> (פ/2135/25)</t>
  </si>
  <si>
    <t xml:space="preserve">הצעת חוק לתיקון פקודת התעבורה (הגבלת תשלום דמי חניה במוסד רפואי), התשפ"ג-2023</t>
  </si>
  <si>
    <t xml:space="preserve"> (פ/1772/25)</t>
  </si>
  <si>
    <t xml:space="preserve">הצעת חוק לתיקון פקודת התעבורה (הגבלת דמי חניה בחניוני בתי חולים), התשפ"ג-2023</t>
  </si>
  <si>
    <t xml:space="preserve"> (פ/1499/25)</t>
  </si>
  <si>
    <t xml:space="preserve"> (פ/1289/25)</t>
  </si>
  <si>
    <t xml:space="preserve">הצעת חוק לתיקון פקודת התעבורה (הגבלת דמי חניה בחניוני בתי חולים), התשפ"ג-2022</t>
  </si>
  <si>
    <t xml:space="preserve"> (פ/858/25)</t>
  </si>
  <si>
    <t xml:space="preserve"> (פ/857/25)</t>
  </si>
  <si>
    <t xml:space="preserve"> (פ/477/25)</t>
  </si>
  <si>
    <t xml:space="preserve"> (פ/268/25)</t>
  </si>
  <si>
    <t xml:space="preserve">הצעת חוק לתיקון פקודת התעבורה (הגבלת תשלום דמי חניה במוסד רפואי), התשפ"ג-2022</t>
  </si>
  <si>
    <t xml:space="preserve"> (פ/203/25)</t>
  </si>
  <si>
    <t xml:space="preserve">הצעת חוק התקשורת (בזק ושידורים) (תיקון - התראת חיוב בהתקשרות לחוץ לארץ), התשפ"ג-2023</t>
  </si>
  <si>
    <t xml:space="preserve"> (פ/1573/25)</t>
  </si>
  <si>
    <t xml:space="preserve">הצעת חוק לתיקון פקודת המועצות המקומיות (בחירות לוועד מקומי במועצה אזורית), התשפ"ג-2023</t>
  </si>
  <si>
    <t xml:space="preserve"> (פ/2787/25)</t>
  </si>
  <si>
    <t xml:space="preserve">12.06.2023</t>
  </si>
  <si>
    <t xml:space="preserve">חוק הדרכונים (תיקון מס' 10), התשפ"ג-2023</t>
  </si>
  <si>
    <t xml:space="preserve"> (מ/1624)</t>
  </si>
  <si>
    <t xml:space="preserve">התיקון מסמיך את שר הפנים לסרב להעניק דרכון ישראלי לעולה אשר טרם השתקע בישראל. במקום דרכון, יוכל שר הפנים להעניק לו תעודת מעבר. בכך, משיב התיקון את המצב לקדמותו כפי שהיה עד 2017. </t>
  </si>
  <si>
    <t xml:space="preserve">הצעת חוק מס ערך מוסף (תיקון - שיעור מס מופחת על מוצרי מזון בסיסיים) (הוראת שעה), התשפ"ג-2023</t>
  </si>
  <si>
    <t xml:space="preserve"> (פ/3486/25)</t>
  </si>
  <si>
    <t xml:space="preserve">הצעת חוק לתיקון פקודת התעבורה (מחירי חניה ברשויות מקומיות), התשפ"ג-2023</t>
  </si>
  <si>
    <t xml:space="preserve"> (פ/3485/25)</t>
  </si>
  <si>
    <t xml:space="preserve"> (פ/3484/25)</t>
  </si>
  <si>
    <t xml:space="preserve"> (פ/3483/25)</t>
  </si>
  <si>
    <t xml:space="preserve"> (פ/3482/25)</t>
  </si>
  <si>
    <t xml:space="preserve"> (פ/3481/25)</t>
  </si>
  <si>
    <t xml:space="preserve">הצעת חוק-יסוד: השפיטה (תיקון - הגבלת כהונתם של שופטי בית המשפט העליון)</t>
  </si>
  <si>
    <t xml:space="preserve"> (פ/3480/25)</t>
  </si>
  <si>
    <t xml:space="preserve"> (פ/3479/25)</t>
  </si>
  <si>
    <t xml:space="preserve">הצעת חוק הסעד (טיפול באנשים עם מוגבלות שכלית-התפתחותית) (תיקון - דיווח לכנסת לעניין פגיעה באדם עם מוגבלות שכלית-התפתחותית), התשפ"ג-2023</t>
  </si>
  <si>
    <t xml:space="preserve"> (פ/3478/25)</t>
  </si>
  <si>
    <t xml:space="preserve"> (פ/3477/25)</t>
  </si>
  <si>
    <t xml:space="preserve">הצעת חוק איסור הכחשת השואה (תיקון - איסור השוואה למעשיהם או למשטרם של הנאצים), התשפ"ג-2023</t>
  </si>
  <si>
    <t xml:space="preserve"> (פ/3476/25)</t>
  </si>
  <si>
    <t xml:space="preserve"> (פ/3474/25)</t>
  </si>
  <si>
    <t xml:space="preserve">הצעת חוק סדר הדין הפלילי (תיקון - הפחתת תוספת הפיגור על אי-תשלום קנס), התשפ"ג-2023</t>
  </si>
  <si>
    <t xml:space="preserve"> (פ/3473/25)</t>
  </si>
  <si>
    <t xml:space="preserve">הצעת חוק לתיקון דיני המשפחה (מזונות) (תיקון - ביטול חלות הדין האישי), התשפ"ג-2023</t>
  </si>
  <si>
    <t xml:space="preserve"> (פ/3472/25)</t>
  </si>
  <si>
    <t xml:space="preserve">הצעת חוק זכרון השואה והגבורה - יד ושם (תיקון - עידוד יצירה להנצחת זיכרון השואה והגבורה), התשפ"ג-2023</t>
  </si>
  <si>
    <t xml:space="preserve"> (פ/3471/25)</t>
  </si>
  <si>
    <t xml:space="preserve"> (פ/3470/25)</t>
  </si>
  <si>
    <t xml:space="preserve">הצעת חוק בתי המשפט (תיקון - שקיפות בהליכי מינוי שופטים לבית המשפט העליון ובמינוי הנשיא והמשנה לנשיא בית המשפט העליון), התשפ"ג-2023</t>
  </si>
  <si>
    <t xml:space="preserve"> (פ/3469/25)</t>
  </si>
  <si>
    <t xml:space="preserve">הצעת חוק-יסוד: השפיטה (תיקון - סמכות להכרזה על אי-התאמה בין הוראות חוק רגיל ובין הוראות חוק-יסוד)</t>
  </si>
  <si>
    <t xml:space="preserve"> (פ/3465/25)</t>
  </si>
  <si>
    <t xml:space="preserve">הצעת חוק-יסוד: הכנסת (תיקון - שלילת סמכותו של בית המשפט העליון מלהתערב בהחלטות ועדת הבחירות המרכזית לעניין אישור או פסילה של מועמד או רשימה מלהשתתף בבחירות)</t>
  </si>
  <si>
    <t xml:space="preserve"> (פ/3464/25)</t>
  </si>
  <si>
    <t xml:space="preserve">הצעת חוק להסדרת רעיית דבורים וייצור דבש, התשפ"ג-2023</t>
  </si>
  <si>
    <t xml:space="preserve"> (פ/3463/25)</t>
  </si>
  <si>
    <t xml:space="preserve"> (פ/3462/25)</t>
  </si>
  <si>
    <t xml:space="preserve"> (פ/3461/25)</t>
  </si>
  <si>
    <t xml:space="preserve">הצעת חוק העונשין (תיקון - עבירות אלימות במתחם הר הבית), התשפ"ג-2023</t>
  </si>
  <si>
    <t xml:space="preserve"> (פ/3459/25)</t>
  </si>
  <si>
    <t xml:space="preserve"> (פ/3458/25)</t>
  </si>
  <si>
    <t xml:space="preserve">הצעת חוק התכנון והבנייה (תיקון - ביטול התניית חיבור לחשמל, מים וטלפון באישור תאגיד המים), התשפ"ג-2023</t>
  </si>
  <si>
    <t xml:space="preserve"> (פ/3457/25)</t>
  </si>
  <si>
    <t xml:space="preserve">הצעת החוק לתיקון פקודת העיריות (חובת גילוי מסמכי תאגיד עירוני), התשפ"ג-2023</t>
  </si>
  <si>
    <t xml:space="preserve"> (פ/3456/25)</t>
  </si>
  <si>
    <t xml:space="preserve">הצעת חוק להנצחת זכרם של קורבנות הטבח בחברון, התשפ"ג-2023</t>
  </si>
  <si>
    <t xml:space="preserve"> (פ/3455/25)</t>
  </si>
  <si>
    <t xml:space="preserve">הצעת חוק זכויות החולה (תיקון - שמירת דגימות שנלקחו מנפגעי עבירות מין), התשפ"ג-2023</t>
  </si>
  <si>
    <t xml:space="preserve"> (פ/3454/25)</t>
  </si>
  <si>
    <t xml:space="preserve">הצעת חוק בתי המשפט (תיקון - תקופת צינון במועמדות חבר כנסת או שר למשרת שופט), התשפ"ג-2023</t>
  </si>
  <si>
    <t xml:space="preserve"> (פ/3453/25)</t>
  </si>
  <si>
    <t xml:space="preserve">הצעת חוק בתי המשפט (תיקון - רוב רגיל למינוי שופט בית המשפט העליון), התשפ"ג-2023</t>
  </si>
  <si>
    <t xml:space="preserve"> (פ/3452/25)</t>
  </si>
  <si>
    <t xml:space="preserve">הצעת חוק בתי המשפט (תיקון - שימוע ובחירות חשאיות לשופטי בית המשפט העליון), התשפ"ג-2023</t>
  </si>
  <si>
    <t xml:space="preserve"> (פ/3451/25)</t>
  </si>
  <si>
    <t xml:space="preserve"> (פ/3450/25)</t>
  </si>
  <si>
    <t xml:space="preserve"> (פ/3449/25)</t>
  </si>
  <si>
    <t xml:space="preserve"> (פ/3448/25)</t>
  </si>
  <si>
    <t xml:space="preserve">הצעת חוק-יסוד: השפיטה (תיקון - פסקת התגברות) </t>
  </si>
  <si>
    <t xml:space="preserve"> (פ/3447/25)</t>
  </si>
  <si>
    <t xml:space="preserve">פרק ג' (ייעול הליכי רישוי סביבתי), סעיפים 8-5, 14-13 (בעניין רישוי לפי חוק חומרים מסוכנים; חוק מניעת זיהום הים ממקורות יבשתיים; חוק המים) מהצעת חוק התכנית הכלכלית (תיקוני חקיקה ...לשנות התקציב 2023 ו-2024), התשפ"ג-2023[פוצלה לפי סעיף 84(ב) לתקנון]</t>
  </si>
  <si>
    <t xml:space="preserve">08.06.2023</t>
  </si>
  <si>
    <t xml:space="preserve">הצעת חוק שמירת הניקיון (תיקון - טיפול בפסולת בניין), התשפ"ג-2023</t>
  </si>
  <si>
    <t xml:space="preserve"> (פ/3088/25)</t>
  </si>
  <si>
    <t xml:space="preserve">הצעת חוק להקפאת קצבאות שמשולמות לפעיל טרור ומשפחתו מקופת המדינה, התשפ"ג-2022</t>
  </si>
  <si>
    <t xml:space="preserve"> (פ/208/25)</t>
  </si>
  <si>
    <t xml:space="preserve">07.06.2023</t>
  </si>
  <si>
    <t xml:space="preserve">הצעת חוק מס ערך מוסף (תיקון - תשלום המס במתן שירותי כוח אדם ועבודות בנייה), התשפ"ג-2023</t>
  </si>
  <si>
    <t xml:space="preserve"> (פ/3069/25)</t>
  </si>
  <si>
    <t xml:space="preserve">הצעת חוק להקמת אוניברסיטה במחוז הצפון, התשפ"ג-2023</t>
  </si>
  <si>
    <t xml:space="preserve"> (פ/1520/25)</t>
  </si>
  <si>
    <t xml:space="preserve"> (פ/1365/25)</t>
  </si>
  <si>
    <t xml:space="preserve">הצעת חוק נישואין וגירושין, התשפ"ג-2022</t>
  </si>
  <si>
    <t xml:space="preserve"> (פ/502/25)</t>
  </si>
  <si>
    <t xml:space="preserve">הצעת חוק איסור הלבנת הון (תיקון - איסור גביית דמי שמירה בלא רישיון), התשפ"ג-2022</t>
  </si>
  <si>
    <t xml:space="preserve"> (פ/285/25)</t>
  </si>
  <si>
    <t xml:space="preserve">הצעת חוק הדרכונים (תיקון - מתן דרכון לעולה), התשפ"ג-2022</t>
  </si>
  <si>
    <t xml:space="preserve"> (פ/1039/25)</t>
  </si>
  <si>
    <t xml:space="preserve">05.06.2023</t>
  </si>
  <si>
    <t xml:space="preserve">חוק הגדלת נקודות זיכוי להורים במס הכנסה והרחבת מענק עבודה, התשפ"ג-2023</t>
  </si>
  <si>
    <t xml:space="preserve"> (מ/1616)</t>
  </si>
  <si>
    <t xml:space="preserve">החוק קובע כי החל משנת 2024, הורים לילדים בגילאים 6-18 יהיו זכאים לנקודת זיכוי אחת נוספת בשל כל ילד בגילאים האמורים. בנוסף, החוק מגדיל את סכום מענק העבודה (מס הכנסה שלילי) הניתן לאב עובד ולאב שהוא עצמאי, כך שיהיה שווה לסכום המענק הניתן לאם עובדת ולאם שהיא עצמאית (בהתאמה) החל משנת 2024, וכן מוריד את גיל הזכאות למענק עבודה ל-21 החל משנת 2025.  </t>
  </si>
  <si>
    <t xml:space="preserve">הצעת חוק מרשם האוכלוסין (תיקון - רישום בת זוג או בן זוג כהורה), התשפ"ג-2023</t>
  </si>
  <si>
    <t xml:space="preserve"> (פ/3445/25)</t>
  </si>
  <si>
    <t xml:space="preserve"> (פ/3444/25)</t>
  </si>
  <si>
    <t xml:space="preserve">הצעת חוק הביטוח הלאומי (תיקון - מסלול ברירת מחדל בהפקדות לחיסכון ארוך טווח לילד), התשפ"ג-2023</t>
  </si>
  <si>
    <t xml:space="preserve"> (פ/3442/25)</t>
  </si>
  <si>
    <t xml:space="preserve">הצעת חוק לתיקון פקודת מס הכנסה (פטור ממס הכנסה לנכים), התשפ"ג-2023</t>
  </si>
  <si>
    <t xml:space="preserve"> (פ/3441/25)</t>
  </si>
  <si>
    <t xml:space="preserve">הצעת חוק השיפוט הצבאי (תיקון - הגבלה על פרסום של פרטי חייל, צילום פניו או כל פרט מזהה אחר בעת מילוי תפקידו), התשפ"ג-2023 </t>
  </si>
  <si>
    <t xml:space="preserve"> (פ/3440/25)</t>
  </si>
  <si>
    <t xml:space="preserve">הצעת חוק הביטוח הלאומי (תיקון - ביטול דרישה לחתימת הורים כתנאי למשיכת כספי החיסכון), התשפ"ג-2023</t>
  </si>
  <si>
    <t xml:space="preserve"> (פ/3439/25)</t>
  </si>
  <si>
    <t xml:space="preserve">הצעת חוק בתי המשפט (תיקון - הרשעה בפלילים פה אחד), התשפ"ג-2023</t>
  </si>
  <si>
    <t xml:space="preserve"> (פ/3437/25)</t>
  </si>
  <si>
    <t xml:space="preserve">הצעת חוק פיטורי עובד ציבור שקרוב משפחתו מדרגה ראשונה פעיל טרור, התשפ"ג-2023</t>
  </si>
  <si>
    <t xml:space="preserve"> (פ/3436/25)</t>
  </si>
  <si>
    <t xml:space="preserve">הצעת חוק-יסוד: הממשלה (תיקון - ייעוץ משפטי אינו מחייב)</t>
  </si>
  <si>
    <t xml:space="preserve"> (פ/3435/25)</t>
  </si>
  <si>
    <t xml:space="preserve">הצעת חוק העונשין (תיקון - העלבת חייל והפרעה לחייל במילוי תפקידו), התשפ"ג-2023</t>
  </si>
  <si>
    <t xml:space="preserve"> (פ/3434/25)</t>
  </si>
  <si>
    <t xml:space="preserve">הצעת חוק בתי המשפט (תיקון - הקלטה בבית משפט לענייני משפחה), התשפ"ג-2023</t>
  </si>
  <si>
    <t xml:space="preserve"> (פ/3433/25)</t>
  </si>
  <si>
    <t xml:space="preserve">הצעת חוק לתיקון פקודת הסמים המסוכנים (שימוש עצמי בקנבוס), התשפ"ג-2023</t>
  </si>
  <si>
    <t xml:space="preserve"> (פ/3432/25)</t>
  </si>
  <si>
    <t xml:space="preserve">הצעת חוק זכויות החולה (תיקון - מסירת מידע למניעת פגיעה), התשפ"ג-2023</t>
  </si>
  <si>
    <t xml:space="preserve"> (פ/3431/25)</t>
  </si>
  <si>
    <t xml:space="preserve">הצעת חוק זכויות החולה (תיקון - מסירת מידע למניעת פגיעה), התשפ"ג -2023</t>
  </si>
  <si>
    <t xml:space="preserve"> (פ/3430/25)</t>
  </si>
  <si>
    <t xml:space="preserve">הצעת חוק חוזה עבודה (הגבלות לעניין סיום העסקה של עובד), התשפ"ג-2023 </t>
  </si>
  <si>
    <t xml:space="preserve"> (פ/3429/25)</t>
  </si>
  <si>
    <t xml:space="preserve"> (פ/3428/25)</t>
  </si>
  <si>
    <t xml:space="preserve">הצעת חוק הביטוח הלאומי (תיקון - הארכת הזכאות של חולה במחלה ממארת), התשפ"ג-2023</t>
  </si>
  <si>
    <t xml:space="preserve"> (פ/3427/25)</t>
  </si>
  <si>
    <t xml:space="preserve">הצעת חוק ביטוח בריאות ממלכתי (תיקון - פטור מתקופת המתנה לסטודנטים הלומדים בחו"ל), התשפ"ג-2023</t>
  </si>
  <si>
    <t xml:space="preserve"> (פ/3426/25)</t>
  </si>
  <si>
    <t xml:space="preserve">הצעת חוק-יסוד: הכנסת (תיקון - השעיית חבר הכנסת שהוגש נגדו כתב אישום)</t>
  </si>
  <si>
    <t xml:space="preserve"> (פ/3425/25)</t>
  </si>
  <si>
    <t xml:space="preserve">הצעת חוק תרומת זרע, התשפ"ג-2023</t>
  </si>
  <si>
    <t xml:space="preserve"> (פ/3424/25)</t>
  </si>
  <si>
    <t xml:space="preserve"> (פ/3423/25)</t>
  </si>
  <si>
    <t xml:space="preserve">הצעת חוק הבטחת הכנסה (תיקון - תוספת לגמלה בעד הילד השלישי ואילך), התשפ"ג-2023</t>
  </si>
  <si>
    <t xml:space="preserve"> (פ/3422/25)</t>
  </si>
  <si>
    <t xml:space="preserve">הצעת חוק צמצום פערי שכר מגדריים (תיקוני חקיקה), התשפ"ג-2023</t>
  </si>
  <si>
    <t xml:space="preserve"> (פ/3421/25)</t>
  </si>
  <si>
    <t xml:space="preserve"> (פ/3419/25)</t>
  </si>
  <si>
    <t xml:space="preserve">הצעת חוק הביטוח הלאומי (תיקון - הרחבת הזכאות למענק לימודים), התשפ"ג-2023</t>
  </si>
  <si>
    <t xml:space="preserve"> (פ/3418/25)</t>
  </si>
  <si>
    <t xml:space="preserve">הצעת חוק לתיקון פקודת התעבורה (הגבלת הפעלת רכב ציבורי בימי מנוחה), התשפ"ג-2023</t>
  </si>
  <si>
    <t xml:space="preserve"> (פ/3417/25)</t>
  </si>
  <si>
    <t xml:space="preserve">הצעת חוק הכשרות המשפטית והאפוטרופסות (תיקון - שלילת האפוטרופסות הטבעית עבור נאשמים ומורשעים בעבירות אלימות במשפחה), התשפ"ג-2023</t>
  </si>
  <si>
    <t xml:space="preserve"> (פ/3416/25)</t>
  </si>
  <si>
    <t xml:space="preserve">הצעת חוק העונשין (תיקון - הגדרת בן דוד כאחראי על קטין או על חסר ישע), התשפ"ג-2023</t>
  </si>
  <si>
    <t xml:space="preserve"> (פ/3415/25)</t>
  </si>
  <si>
    <t xml:space="preserve"> (פ/3414/25)</t>
  </si>
  <si>
    <t xml:space="preserve"> (פ/3413/25)</t>
  </si>
  <si>
    <t xml:space="preserve"> (פ/3412/25)</t>
  </si>
  <si>
    <t xml:space="preserve"> (פ/3411/25)</t>
  </si>
  <si>
    <t xml:space="preserve">הצעת חוק כביש אגרה (כביש ארצי לישראל) (תיקון - תנאי לגביית אגרה), התשפ"ג-2023</t>
  </si>
  <si>
    <t xml:space="preserve"> (פ/3410/25)</t>
  </si>
  <si>
    <t xml:space="preserve">הצעת חוק בתי המשפט (תיקון - שופט משנה), התשפ"ג-2023</t>
  </si>
  <si>
    <t xml:space="preserve"> (פ/3409/25)</t>
  </si>
  <si>
    <t xml:space="preserve"> (פ/3407/25)</t>
  </si>
  <si>
    <t xml:space="preserve"> (פ/3406/25)</t>
  </si>
  <si>
    <t xml:space="preserve">הצעת חוק המכר (דירות) (תיקון - חובת מסירת תוכניות הדירה לקונה), התשפ"ג-2023</t>
  </si>
  <si>
    <t xml:space="preserve"> (פ/3405/25)</t>
  </si>
  <si>
    <t xml:space="preserve"> (פ/3403/25)</t>
  </si>
  <si>
    <t xml:space="preserve">הצעת חוק לתיקון פקודת הסמים המסוכנים (שידול לייבוא או ייצוא חומר הנחשב לסם בחו"ל), התשפ"ג-2023</t>
  </si>
  <si>
    <t xml:space="preserve"> (פ/3402/25)</t>
  </si>
  <si>
    <t xml:space="preserve">הצעת חוק הפחתת רגולציה (רישום בפנקסי המקרקעין) (תיקוני חקיקה), התשפ"ג-2023</t>
  </si>
  <si>
    <t xml:space="preserve"> (פ/3401/25)</t>
  </si>
  <si>
    <t xml:space="preserve">הצעת חוק לתיקון פקודת מס הכנסה (יישוב מוטב), התשפ"ג-2023</t>
  </si>
  <si>
    <t xml:space="preserve"> (פ/3400/25)</t>
  </si>
  <si>
    <t xml:space="preserve">הצעת חוק לתיקון פקודת הקרקעות (רכישה לצורכי ציבור) (מס' 3) (תיקון - קרקע שנרכשה לצורכי ציבור בהרשאה), התשפ"ג-2023</t>
  </si>
  <si>
    <t xml:space="preserve"> (פ/3399/25)</t>
  </si>
  <si>
    <t xml:space="preserve">הצעת חוק איסור שימוש בתקשורת בביטויים מעודדי אלימות, התשפ"ג-2023</t>
  </si>
  <si>
    <t xml:space="preserve"> (פ/3398/25)</t>
  </si>
  <si>
    <t xml:space="preserve"> (פ/3397/25)</t>
  </si>
  <si>
    <t xml:space="preserve"> (פ/3135/25)</t>
  </si>
  <si>
    <t xml:space="preserve">31.05.2023</t>
  </si>
  <si>
    <t xml:space="preserve">הצעת חוק הכרה ברישיונות מקצועיים על בסיס הנחיות האיחוד האירופי (תיקוני חקיקה), התשפ"ג-2023</t>
  </si>
  <si>
    <t xml:space="preserve"> (פ/2558/25)</t>
  </si>
  <si>
    <t xml:space="preserve"> (פ/2548/25)</t>
  </si>
  <si>
    <t xml:space="preserve"> (פ/1597/25)</t>
  </si>
  <si>
    <t xml:space="preserve">הצעת חוק שיקים ללא כיסוי (תיקון - הקלות בהגבלת חשבון), התשפ"ג-2023</t>
  </si>
  <si>
    <t xml:space="preserve"> (פ/1514/25)</t>
  </si>
  <si>
    <t xml:space="preserve"> (פ/1340/25)</t>
  </si>
  <si>
    <t xml:space="preserve">הצעת חוק סדר הדין הפלילי (סמכויות אכיפה - מעצרים) (תיקון - מעצר עד תום ההליכים בגין עבירה של החזקת נשק שלא כדין), התשפ"ג-2023</t>
  </si>
  <si>
    <t xml:space="preserve"> (פ/1148/25)</t>
  </si>
  <si>
    <t xml:space="preserve"> (פ/1117/25)</t>
  </si>
  <si>
    <t xml:space="preserve"> (פ/760/25)</t>
  </si>
  <si>
    <t xml:space="preserve">הצעת חוק אסדרת שוק הקנאביס לצריכה עצמית, התשפ"ג-2022</t>
  </si>
  <si>
    <t xml:space="preserve"> (פ/520/25)</t>
  </si>
  <si>
    <t xml:space="preserve"> (פ/517/25)</t>
  </si>
  <si>
    <t xml:space="preserve">הצעת חוק הספורט (תיקון – הסדרת העיסוק באימון ספורט), התשפ"ג–2023</t>
  </si>
  <si>
    <t xml:space="preserve"> (פ/2609/25)</t>
  </si>
  <si>
    <t xml:space="preserve">29.05.2023</t>
  </si>
  <si>
    <t xml:space="preserve">הצעת חוק הספורט (תיקון - הסדרת העיסוק באימון ספורט), התשפ"ג–2023</t>
  </si>
  <si>
    <t xml:space="preserve"> (פ/2105/25)</t>
  </si>
  <si>
    <t xml:space="preserve">חוק המקרקעין (תיקון מס' 36), התשפ"ג–2023</t>
  </si>
  <si>
    <t xml:space="preserve"> (פ/379/25)</t>
  </si>
  <si>
    <t xml:space="preserve"> (כ/950)</t>
  </si>
  <si>
    <t xml:space="preserve">התיקון קובע כי בעל דירה רשאי להתקין על חשבונו מנגנון המאפשר הפעלה אוטומטית של משאבת מים בלא חילול שבת ברכוש המשותף והוא יישא בהוצאות החזקתו של המנגנון והפעלתו. עוד נקבע כי ההתקנה לא תותנה בקבלת הסכמת בעלי הדירות האחרים אך תעשה בכפוף לתנאים המנויים בתיקון. </t>
  </si>
  <si>
    <t xml:space="preserve">הצעת חוק שירות המדינה (מינויים) (תיקון - איסור העסקת תומכי טרור בשירות המדינה), התשפ"ג-2023</t>
  </si>
  <si>
    <t xml:space="preserve"> (פ/3396/25)</t>
  </si>
  <si>
    <t xml:space="preserve">הצעת חוק איסור הונאה בכשרות (תיקון - מתן תעודת הכשר על ידי רב מקומי), התשפ"ג-2023</t>
  </si>
  <si>
    <t xml:space="preserve"> (פ/3395/25)</t>
  </si>
  <si>
    <t xml:space="preserve"> (פ/3394/25)</t>
  </si>
  <si>
    <t xml:space="preserve">הצעת חוק הבחירות לכנסת (תיקון - הארכת תקופת צינון), התשפ"ג-2023</t>
  </si>
  <si>
    <t xml:space="preserve"> (פ/3392/25)</t>
  </si>
  <si>
    <t xml:space="preserve"> (פ/3391/25)</t>
  </si>
  <si>
    <t xml:space="preserve">הצעת חוק לתיקון פקודת מס הכנסה (החזר בתשלום למעונות יום לאמהות), התשפ"ג-2023</t>
  </si>
  <si>
    <t xml:space="preserve"> (פ/3390/25)</t>
  </si>
  <si>
    <t xml:space="preserve"> (פ/3389/25)</t>
  </si>
  <si>
    <t xml:space="preserve">הצעת חוק הביטוח הלאומי (תיקון - היוון חלק מגמלת נפגע עבודה לשם תשלום למייצג של עובד זר), התשפ"ג-2023</t>
  </si>
  <si>
    <t xml:space="preserve"> (פ/3388/25)</t>
  </si>
  <si>
    <t xml:space="preserve">הצעת חוק לתיקון פקודת העיריות (אי-חיוב פעילות בשבת), התשפ"ג-2023</t>
  </si>
  <si>
    <t xml:space="preserve"> (פ/3387/25)</t>
  </si>
  <si>
    <t xml:space="preserve">הצעת חוק החומרים המסוכנים (תיקון - פרטי התקשרות למרכז רעלים), התשפ"ג-2023 </t>
  </si>
  <si>
    <t xml:space="preserve"> (פ/3386/25)</t>
  </si>
  <si>
    <t xml:space="preserve"> (פ/3385/25)</t>
  </si>
  <si>
    <t xml:space="preserve">הצעת חוק הגנה על זכויות הדורות הבאים, התשפ"ג-2023</t>
  </si>
  <si>
    <t xml:space="preserve"> (פ/3383/25)</t>
  </si>
  <si>
    <t xml:space="preserve">הצעת חוק העונשין (תיקון - מאסר עולם לאונס קטינים), התשפ"ג-2023</t>
  </si>
  <si>
    <t xml:space="preserve"> (פ/3382/25)</t>
  </si>
  <si>
    <t xml:space="preserve">הצעת חוק העונשין (תיקון - הגדרת פשע שנאה), התשפ"ג-2023</t>
  </si>
  <si>
    <t xml:space="preserve"> (פ/3379/25)</t>
  </si>
  <si>
    <t xml:space="preserve">הצעת חוק חופש מהתאגדות (הוראת שעה ותיקוני חקיקה), התשפ"ג-2023</t>
  </si>
  <si>
    <t xml:space="preserve"> (פ/3378/25)</t>
  </si>
  <si>
    <t xml:space="preserve">הצעת חוק התכנון והבנייה (תיקון - הוספת נציג הקבלנים במועצה הארצית), התשפ"ג-2023</t>
  </si>
  <si>
    <t xml:space="preserve"> (פ/3377/25)</t>
  </si>
  <si>
    <t xml:space="preserve">הצעת חוק סדר הדין הפלילי (סמכויות אכיפה - מעצרים) (תיקון - שחרור ממעצר באין הכרעת דין), התשפ"ג-2023</t>
  </si>
  <si>
    <t xml:space="preserve"> (פ/3376/25)</t>
  </si>
  <si>
    <t xml:space="preserve">הצעת חוק שירות המדינה (משמעת) (תיקון - סמכויות השר) ,התשפ"ג-2023</t>
  </si>
  <si>
    <t xml:space="preserve"> (פ/3375/25)</t>
  </si>
  <si>
    <t xml:space="preserve">הצעת חוק חינוך ממלכתי (תיקון - שלילת השתתפות בתקציב עקב הפליה), התשפ"ג-2023</t>
  </si>
  <si>
    <t xml:space="preserve"> (פ/3374/25)</t>
  </si>
  <si>
    <t xml:space="preserve">הצעת חוק סדר הדין הפלילי (סמכויות אכיפה - מעצרים) (תיקון - פיצוי בשל מעצר), התשפ"ג-2023</t>
  </si>
  <si>
    <t xml:space="preserve"> (פ/3373/25)</t>
  </si>
  <si>
    <t xml:space="preserve">הצעת חוק סדר הדין הפלילי (תיקון - הגשת ערעור), התשפ"ג-2023</t>
  </si>
  <si>
    <t xml:space="preserve"> (פ/3372/25)</t>
  </si>
  <si>
    <t xml:space="preserve">הצעת חוק לתיקון סדרי המינהל (החלטות והנמקות) (תיקון - חובת מתן תשובה במועד), התשפ"ג-2023</t>
  </si>
  <si>
    <t xml:space="preserve"> (פ/3371/25)</t>
  </si>
  <si>
    <t xml:space="preserve"> (פ/3370/25)</t>
  </si>
  <si>
    <t xml:space="preserve">הצעת חוק למניעת אלימות במשפחה (תיקון - פיקוח טכנולוגי להבטחת קיומו של צו הגנה, והערכת מסוכנות - הוראת שעה), התשפ"ג-2023</t>
  </si>
  <si>
    <t xml:space="preserve"> (פ/3368/25)</t>
  </si>
  <si>
    <t xml:space="preserve">הצעת חוק זכויות הסטודנט (תיקון - זכויות לסטודנטים הלומדים בחוץ לארץ), התשפ"ג-2023</t>
  </si>
  <si>
    <t xml:space="preserve"> (פ/3366/25)</t>
  </si>
  <si>
    <t xml:space="preserve">הצעת חוק העונשין (תיקון - החמרת ענישה בעבירת הפרת הוראות צו הגנה ובעבירת תקיפת בן זוג), התשפ"ג-2023</t>
  </si>
  <si>
    <t xml:space="preserve"> (פ/3365/25)</t>
  </si>
  <si>
    <t xml:space="preserve">הצעת חוק שוויון זכויות לאנשים עם מוגבלות (תיקון - קדימות בתור), התשפ"ג-2023</t>
  </si>
  <si>
    <t xml:space="preserve"> (פ/3364/25)</t>
  </si>
  <si>
    <t xml:space="preserve"> (פ/3362/25)</t>
  </si>
  <si>
    <t xml:space="preserve"> (פ/3361/25)</t>
  </si>
  <si>
    <t xml:space="preserve">הצעת חוק לתיקון פקודת המסים (גבייה) (תנאים למתן כתב הרשאה וצו עיקול), התשפ"ג-2023</t>
  </si>
  <si>
    <t xml:space="preserve"> (פ/3360/25)</t>
  </si>
  <si>
    <t xml:space="preserve"> (פ/3359/25)</t>
  </si>
  <si>
    <t xml:space="preserve">הצעת חוק המרכז למורשת יהדות תימן, התשפ"ג-2023</t>
  </si>
  <si>
    <t xml:space="preserve"> (פ/3358/25)</t>
  </si>
  <si>
    <t xml:space="preserve"> (פ/3357/25)</t>
  </si>
  <si>
    <t xml:space="preserve">הצעת חוק הבטחת הכנסה (תיקון - הגדלת מענק חימום), התשפ"ג-2023</t>
  </si>
  <si>
    <t xml:space="preserve"> (פ/3356/25)</t>
  </si>
  <si>
    <t xml:space="preserve">הצעת חוק בתי המשפט (תיקון מס' 106) (שופט עמית), התשפ"ג-2023</t>
  </si>
  <si>
    <t xml:space="preserve"> (מ/1621)</t>
  </si>
  <si>
    <t xml:space="preserve">חוק התקציב לשנת הכספים 2024, התשפ"ג-2023</t>
  </si>
  <si>
    <t xml:space="preserve"> (מ/1611)</t>
  </si>
  <si>
    <t xml:space="preserve">22.05.2023</t>
  </si>
  <si>
    <t xml:space="preserve">החוק קובע את הסכומים שהממשלה רשאית להוציא בשנת הכספים 2024.</t>
  </si>
  <si>
    <t xml:space="preserve">חוק התקציב לשנת הכספים 2023, התשפ"ג-2023</t>
  </si>
  <si>
    <t xml:space="preserve"> (מ/1610)</t>
  </si>
  <si>
    <t xml:space="preserve">החוק קובע את הסכומים שהממשלה רשאית להוציא בשנת הכספים 2023.</t>
  </si>
  <si>
    <t xml:space="preserve">חוק התוכנית הכלכלית (תיקוני חקיקה ליישום המדיניות הכלכלית לשנות התקציב 2023 ו-2024), התשפ"ג-2023</t>
  </si>
  <si>
    <t xml:space="preserve">החוק קובע שורה של תיקונים בחוקים שונים בהתאם ליעדי התקציב לשנות התקציב 2023 ו-2024, בין היתר בנושאים: גז טבעי, מערכת החינוך, בנקאות ואשראי, תחבורה ציבורית, התחדשות עירונית, חקלאות, תכנון ובניה.</t>
  </si>
  <si>
    <t xml:space="preserve">חוק הפחתת הגירעון והגבלת ההוצאה התקציבית (תיקון מס' 23 - הוראת שעה), התשפ"ג-2023 </t>
  </si>
  <si>
    <t xml:space="preserve">החוק מגדיל באופן חד-פעמי בשנים 2023 ו-2024 את סכום ההוצאה הממשלתית המותרת באופן שמשקף את האצת האינפלציה בשנת 2022, על ידי שינוי אופן ההצמדה לצורך חישוב סכום ההוצאה הממשלתית המותרת: בשנת 2023 שיעור ההצמדה יהיה ממוצע מדד המחירים לצרכן בשנת 2022, ובשנת 2024 שיעור ההצמדה יהיה ממוצע מדד המחירים לצרכן בשלוש השנים שקדמו לאותה שנה. כמו כן, בשל שינוי אופן ההצמדה האמור, בשנים 2026 ו-2027, נקבע כי ינוכה הרכיב שהתווסף לשנים 2023 ו-2024 כך שלא ייספר פעמיים וכדי לא להביא לסטייה משמעותית מתוואי גידול מגבלת ההוצאה הממשלתית. </t>
  </si>
  <si>
    <t xml:space="preserve">חוק ההתאמות הפיסקליות, התשפ"ג-2023</t>
  </si>
  <si>
    <t xml:space="preserve"> (מ/1614)</t>
  </si>
  <si>
    <t xml:space="preserve">החוק קובע הסדרים משלימים לחוק-יסוד: משק המדינה (תיקון מס' 13) בכל הנוגע להקצאת תקציב התאמות בנסיבות שבהן הונחה הצעת תקציב המדינה יותר משישה חודשים לפני תחילת שנת הכספים שאליה מתייחס חוק התקציב. החוק קובע את אופן השימוש בתקציב ההתאמות ושיעורו, אופן הגשת דו"ח הפרשים לעניין קיום או אי־קיום הפרש גירעון והפרש הוצאות בעקבות עדכון תחזיות שייעשה בסמוך לתחילת שנת הכספים, וכן הגשת תכנית מאזנת לכיסוי יתרת הפרשים כאמור, ככל וקיימים.  </t>
  </si>
  <si>
    <t xml:space="preserve">חוק-יסוד: משק המדינה (תיקון מס' 13)</t>
  </si>
  <si>
    <t xml:space="preserve"> (מ/1613)</t>
  </si>
  <si>
    <t xml:space="preserve">חוק היסוד קובע כי הממשלה תניח על שולחן הכנסת את הצעת חוק התקציב לא מוקדם משישה חודשים לפני תחילת שנת הכספים, למעט במצבים בהם התקיימו הנסיבות האמורות בסעיף 36א(ב) לחוק-יסוד: הכנסת (התפזרות הכנסת, הקמת ממשלה חדשה וקיום בחירות לכנסת אחרי המועד להגשת הצעת התקציב) ולא התקבל חוק תקציב לפני תחילת שנת הכספים. אם התקיימו הנסיבות האמורות, הממשלה רשאית להניח על שולחן הכנסת, יחד עם הצעת חוק התקציב לאותה שנה, גם הצעת חוק תקציב לשנת הכספים שלאחריה (אף אם מועד ההנחה מוקדם משישה חודשים לפני תחילתה של אותה שנת כספים (להלן – הצעת חוק תקציב מוקדם)). בשנה שבה הונחה הצעת חוק תקציב מוקדם, תחול הוראה מיוחדת, לפיה ייקבע בחוק התקציב לאותה שנה "תקציב התאמות", שישמש את הממשלה להתמודדות עם תרחישים המשפיעים על תקציב המדינה, אשר לא היו ידועים בעת הנחת הצעת חוק התקציב המוקדם על שולחן הכנסת. לפי המנגנון, בסמוך לתחילת שנת התקציב יתבצע עדכון תחזיות. במקרה שבו, בעקבות עדכון התחזיות, נוצר הפרש בין הגירעון הצפוי או ההוצאות הצפויות לבין התחזיות העדכניות, ייעשה שימוש בתקציב ההתאמות על מנת לכסות את ההפרש. במידה והדבר לא יביא לכיסוי ההפרש האמור, תידרש הממשלה להניח על שולחן הכנסת וועדת הכספים של הכנסת תוכנית מאזנת לכיסוי ההפרש, ולאחר מכן את אישורה כי בוצעו הפעולות לפי התוכנית המאזנת ולא נותר הפרש גירעון או הפרש הוצאות, והכל בלוחות זמנים קצובים.  במקרה שבו הממשלה לא הביאה תכנית מאזנת כאמור או לא בוצעו כל הפעולות לפי התוכנית המאזנת, ונותר הפרש גירעון או הפרש הוצאות, הממשלה תביא לאישור ועדת הכספים של הכנסת תוכנית להפחתת ההוצאה הממשלתית או להפחתת סעיפי ההוצאה (בהתאמה). במידה ולא אישרה ועדת הכספים של הכנסת את האמור, יופחתו סכומי ההוצאה בסעיפי התקציב בחוק התקציב, באופן שווה, בגובה הפרש הגירעון או הפרש ההוצאות שנותר, לשם כיסוי ההפרש. הוראות משלימות לחוק-יסוד זה נקבעו בחוק ההתאמות הפיסקליות, התשפ"ג–2023.</t>
  </si>
  <si>
    <t xml:space="preserve">פרק כ"ב (תכנון ובנייה) מתוך הצעת חוק התכנית הכלכלית (תיקוני חקיקה ליישום המדיניות הכלכלית לשנות התקציב 2023 ו-2024), התשפ"ג-2023</t>
  </si>
  <si>
    <t xml:space="preserve">17.05.2023</t>
  </si>
  <si>
    <t xml:space="preserve"> (פ/2726/25)</t>
  </si>
  <si>
    <t xml:space="preserve">הצעת חוק שירות חובה לכל, התשפ"ג-2023</t>
  </si>
  <si>
    <t xml:space="preserve"> (פ/2647/25)</t>
  </si>
  <si>
    <t xml:space="preserve"> (פ/2468/25)</t>
  </si>
  <si>
    <t xml:space="preserve">הצעת חוק הבטחת הכנסה (תיקון - זכויות נשים ששהו במקלט לנשים מוכות), התשפ"ג-2023</t>
  </si>
  <si>
    <t xml:space="preserve"> (פ/2396/25)</t>
  </si>
  <si>
    <t xml:space="preserve">הצעת חוק שמירת הניקיון (תיקון - איסור הנחת דברי פרסומת בתיבות דואר ופיצויים לדוגמה), התשפ"ג-2023</t>
  </si>
  <si>
    <t xml:space="preserve"> (פ/2108/25)</t>
  </si>
  <si>
    <t xml:space="preserve">הצעת חוק לתיקון פקודת העדה הדתית (המרה) (גיור על ידי רב עיר), התשפ"ג-2023</t>
  </si>
  <si>
    <t xml:space="preserve"> (פ/2055/25)</t>
  </si>
  <si>
    <t xml:space="preserve">הצעת חוק זאב ז'בוטינסקי (ציון זכרו ופועלו) (תיקון - הגדלת תקציב הפעילות ומימון המכון), התשפ"ג-2023</t>
  </si>
  <si>
    <t xml:space="preserve"> (פ/1369/25)</t>
  </si>
  <si>
    <t xml:space="preserve">הצעת חוק החברות (תיקון - פרסום דוחות כספיים של מונופול), התשפ"ג-2022</t>
  </si>
  <si>
    <t xml:space="preserve"> (פ/740/25)</t>
  </si>
  <si>
    <t xml:space="preserve">הצעת חוק שמירת הסביבה החופית (בחינה ועדכון של תוכניות), התשפ"ג-2022</t>
  </si>
  <si>
    <t xml:space="preserve"> (פ/624/25)</t>
  </si>
  <si>
    <t xml:space="preserve">הצעת חוק העונשין (תיקון - איסור הנפת דגל של ישות עוינת), התשפ"ג-2022</t>
  </si>
  <si>
    <t xml:space="preserve"> (פ/617/25)</t>
  </si>
  <si>
    <t xml:space="preserve">פרק י"ט (בריאות), רק סעיפים 75-73 (בעניין כפל ביטוחי בריאות) מתוך הצעת חוק התכנית הכלכלית (תיקוני חקיקה ליישום המדיניות הכלכלית לשנות התקציב 2023 ו-2024), התשפ"ג-2023</t>
  </si>
  <si>
    <t xml:space="preserve">16.05.2023</t>
  </si>
  <si>
    <t xml:space="preserve">הצעת חוק העונשין (תיקון - עבירה כלפי קשיש או חסר ישע), התשפ"ג- 2022</t>
  </si>
  <si>
    <t xml:space="preserve"> (פ/66/25)</t>
  </si>
  <si>
    <t xml:space="preserve">פרק כ' (רשויות מקומיות), 78, 79 מתוכו רק: 1, 2, 5, 6(א) עד (ג), 7, 25-23 (בעניין כספי הקרן להרחבת ההשקעה בתושב, הקצאתם ומקורות הקרן) מתוך הצעת חוק התכנית הכלכלית (תיקוני חקיקה ליישום המדיניות הכלכלית לשנות התקציב 2023 ו-2024), התשפ"ג-2023</t>
  </si>
  <si>
    <t xml:space="preserve">15.05.2023</t>
  </si>
  <si>
    <t xml:space="preserve">חוק העונשין (תיקון מס' 133 – הוראת שעה) (תיקון מס' 2), התשפ"ג-2023</t>
  </si>
  <si>
    <t xml:space="preserve"> (מ/1607)</t>
  </si>
  <si>
    <t xml:space="preserve">הוראת השעה הוארכה בשנתיים את תוקפה הקובעת כי תקופת המאסר המרבית שאותה יהיה ניתן לשאת בעבודות שירות, תהיה תשעה חודשי מאסר במקום שישה חודשי מאסר. כמו כן, נוסף מנגנון לקיצור תקופת עבודת השירות של עובד שירות הנושא עונש מאסר שבין שלושה חודשים לשישה חודשים.</t>
  </si>
  <si>
    <t xml:space="preserve">חוק מיסוי מקרקעין (שבח ורכישה) (תיקון מס' 99), התשפ"ג–2023 </t>
  </si>
  <si>
    <t xml:space="preserve"> (מ/1517)</t>
  </si>
  <si>
    <t xml:space="preserve">החוק מאריך את תחולת הוראת השעה לגבי ההטבה במיסוי מקרקעין לפרויקטים של תמ"א 38 ולגבי ההטבה במס ערך מוסף ליזמים בפרויקטים כאמור עד ליום 1 באוקטובר 2022. תחילתו של החוק ביום 1 בינואר 2022. </t>
  </si>
  <si>
    <t xml:space="preserve">הצעת חוק למניעת אלימות במשפחה (תיקון - ממונה על נושא האלימות במשפחה במקומות עבודה גדולים), התשפ"ג-2023</t>
  </si>
  <si>
    <t xml:space="preserve"> (פ/3355/25)</t>
  </si>
  <si>
    <t xml:space="preserve"> (פ/3354/25)</t>
  </si>
  <si>
    <t xml:space="preserve">הצעת חוק השיפוט הצבאי (תיקון - הארכת תחולת החוק על עבירות מין), התשפ"ג-2023</t>
  </si>
  <si>
    <t xml:space="preserve"> (פ/3353/25)</t>
  </si>
  <si>
    <t xml:space="preserve">הצעת חוק למניעת אלימות במשפחה (תיקון - פיקוח טכנולוגי להבטחת קיומו של צו הגנה והערכת מסוכנות - הוראת שעה), התשפ"ג-2023</t>
  </si>
  <si>
    <t xml:space="preserve"> (פ/3352/25)</t>
  </si>
  <si>
    <t xml:space="preserve">הצעת חוק לתיקון פקודת בריאות העם (הקמת בתי תפילה מוסלמיים בבתי חולים), התשפ"ג-2023</t>
  </si>
  <si>
    <t xml:space="preserve"> (פ/3351/25)</t>
  </si>
  <si>
    <t xml:space="preserve">הצעת חוק עבודת נשים (תיקון - תקופת לידה והורות לבנות זוג מאותו המין), התשפ"ג-2023</t>
  </si>
  <si>
    <t xml:space="preserve"> (פ/3350/25)</t>
  </si>
  <si>
    <t xml:space="preserve">הצעת חוק רישוי עסקים (תיקון - דרישת רישוי לאירועים דתיים וטקסים), התשפ"ג-2023</t>
  </si>
  <si>
    <t xml:space="preserve"> (פ/3348/25)</t>
  </si>
  <si>
    <t xml:space="preserve">הצעת חוק שירות ביטחון (תיקון - שוויון בגיוס ליחידות הטכנולוגיות), התשפ"ג-2023</t>
  </si>
  <si>
    <t xml:space="preserve"> (פ/3347/25)</t>
  </si>
  <si>
    <t xml:space="preserve"> (פ/3346/25)</t>
  </si>
  <si>
    <t xml:space="preserve">הצעת חוק מאבק בארגוני פשיעה (תיקון - החמרת הענישה כנגד ארגוני סחיטה ושחיתות), התשפ"ג- 2023</t>
  </si>
  <si>
    <t xml:space="preserve"> (פ/3345/25)</t>
  </si>
  <si>
    <t xml:space="preserve">הצעת חוק העדה הדרוזית, התשפ"ג-2023</t>
  </si>
  <si>
    <t xml:space="preserve"> (פ/3344/25)</t>
  </si>
  <si>
    <t xml:space="preserve">הצעת חוק העונשין (תיקון - עונש מזערי לעבירות ממניע גזענות או עוינות כלפי ציבור), התשפ"ג-2023</t>
  </si>
  <si>
    <t xml:space="preserve"> (פ/3342/25)</t>
  </si>
  <si>
    <t xml:space="preserve">הצעת חוק לשכת עורכי הדין (תיקון - קביעת אגרה מינימלית להגשת תלונה), התשפ"ג-2023</t>
  </si>
  <si>
    <t xml:space="preserve"> (פ/3341/25)</t>
  </si>
  <si>
    <t xml:space="preserve">הצעת חוק הביטוח הלאומי (תיקון - העלאת גיל הגיוס הנדרש לפטור מתשלום דמי ביטוח לאומי), התשפ"ג-2023</t>
  </si>
  <si>
    <t xml:space="preserve"> (פ/3340/25)</t>
  </si>
  <si>
    <t xml:space="preserve">הצעת חוק-יסוד: מעמד ההכרזה על הקמת מדינת ישראל</t>
  </si>
  <si>
    <t xml:space="preserve"> (פ/3339/25)</t>
  </si>
  <si>
    <t xml:space="preserve"> (פ/3338/25)</t>
  </si>
  <si>
    <t xml:space="preserve"> (פ/3337/25)</t>
  </si>
  <si>
    <t xml:space="preserve">הצעת חוק חינוך מיוחד (תיקון - חינוך מיוחד מגיל לידה), התשפ"ג-2023</t>
  </si>
  <si>
    <t xml:space="preserve"> (פ/3333/25)</t>
  </si>
  <si>
    <t xml:space="preserve"> (פ/3332/25)</t>
  </si>
  <si>
    <t xml:space="preserve">הצעת חוק שידורי טלוויזיה (כתוביות ושפת סימנים) (תיקון - הודעות חירום מונגשות), התשפ"ג-2023</t>
  </si>
  <si>
    <t xml:space="preserve"> (פ/3330/25)</t>
  </si>
  <si>
    <t xml:space="preserve">הצעת חוק שירות הביטחון הכללי (תיקון - סיוע בטיפול בפשיעה פלילית חמורה), התשפ"ג-2023</t>
  </si>
  <si>
    <t xml:space="preserve"> (פ/3328/25)</t>
  </si>
  <si>
    <t xml:space="preserve">הצעת חוק למניעת אלימות במשפחה (תיקון - פיקוח אלקטרוני על אדם שהוצא נגדו צו הגנה), התשפ"ג-2023</t>
  </si>
  <si>
    <t xml:space="preserve"> (פ/3327/25)</t>
  </si>
  <si>
    <t xml:space="preserve"> (פ/3325/25)</t>
  </si>
  <si>
    <t xml:space="preserve">הצעת חוק בתי קברות צבאיים (תיקון - חיילים זכאי חוק השבות), התשפ"ג-2023</t>
  </si>
  <si>
    <t xml:space="preserve"> (פ/3324/25)</t>
  </si>
  <si>
    <t xml:space="preserve">הצעת חוק זכויות הדייר בדיור הציבורי (תיקון - סיוע ריאלי בשכר דירה), התשפ"ג-2023</t>
  </si>
  <si>
    <t xml:space="preserve"> (פ/3322/25)</t>
  </si>
  <si>
    <t xml:space="preserve">הצעת חוק התכנון והבנייה (תיקון - שינוי חלק המקרקעין המותר להפקעה ללא פיצויים), התשפ"ג-2023</t>
  </si>
  <si>
    <t xml:space="preserve"> (פ/3321/25)</t>
  </si>
  <si>
    <t xml:space="preserve">הצעת חוק לתיקון פקודת התעבורה (פיצוי כספי בגין איחור אוטובוס), התשפ"ג-2023</t>
  </si>
  <si>
    <t xml:space="preserve"> (פ/3320/25)</t>
  </si>
  <si>
    <t xml:space="preserve">פרק ט' (מסים), למעט סעיפים 41-40 ו-47-45 מתוך הצעת חוק ההתייעלות הכלכלית (תיקוני חקיקה להשגת יעדי התקציב לשנות התקציב 2023 ו-2024), התשפ"ג-2023</t>
  </si>
  <si>
    <t xml:space="preserve">14.05.2023</t>
  </si>
  <si>
    <t xml:space="preserve">פרק כ' (רשויות מקומיות), רק הסעיפים הבאים שבסעיף 79: 4-1, 6(ד) עד (ח), 22-8, 26-24 (בעניין הקמת הקרן ומועצת הקרן להרחבת ההשקעה בתושב) מתוך הצעת חוק התכנית הכלכלית (תיקוני חקיקה ליישום המדיניות הכלכלית לשנות התקציב 2023 ו-2024), התשפ"ג-2023</t>
  </si>
  <si>
    <t xml:space="preserve">פרק ט"ז (הגברת התחרותיות בענף המזון והטואלטיקה) מתוך הצעת חוק התכנית הכלכלית (תיקוני חקיקה ליישום המדיניות הכלכלית לשנות התקציב 2023 ו-2024), התשפ"ג-2023</t>
  </si>
  <si>
    <t xml:space="preserve">11.05.2023</t>
  </si>
  <si>
    <t xml:space="preserve">פרק י"א (הפחתת רגולציה), רק סעיפים 48-46 (רישום בפנקסי מקרקעין) מתוך הצעת חוק התכנית הכלכלית (תיקוני חקיקה ליישום המדיניות הכלכלית לשנות התקציב 2023 ו-2024), התשפ"ג-2023</t>
  </si>
  <si>
    <t xml:space="preserve">פרק י"ב (אנרגיה), רק סעיף 49 (חוק התכנון והבנייה) מתוך הצעת חוק התכנית הכלכלית (תיקוני חקיקה ליישום המדיניות הכלכלית לשנות התקציב 2023 ו-2024), התשפ"ג-2023</t>
  </si>
  <si>
    <t xml:space="preserve">פרק כ"ד (קידום תשתיות לאומיות), רק הסעיפים הבאים בתוך סעיף 94 המוצע: 35-32, 47-46, 56, 62(1)(ה), (4), (11), (14) והתוספת השנייה מהצעת חוק התכנית הכלכלית (תיקוני חקיקה ... לשנות התקציב 2023 ו-2024), התשפ"ג-2023 [פוצלה לפי סעיף 84(ב) לתקנון הכנסת]</t>
  </si>
  <si>
    <t xml:space="preserve">פרק ה' (ביטוח לאומי), למעט סעיפים 15(3) עד 15(5), 17, 18 ו-20(ב) (בעניין חוק חדלות פירעון) מתוך הצעת חוק ההתייעלות הכלכלית (תיקוני חקיקה להשגת יעדי התקציב לשנות התקציב 2023 ו-2024), התשפ"ג-2023</t>
  </si>
  <si>
    <t xml:space="preserve">הצעת חוק הביטוח הלאומי (תיקון - כפל קצבאות), התשפ"ג-2023</t>
  </si>
  <si>
    <t xml:space="preserve"> (פ/1765/25)</t>
  </si>
  <si>
    <t xml:space="preserve"> (פ/1478/25)</t>
  </si>
  <si>
    <t xml:space="preserve">הצעת חוק הביטוח הלאומי (תיקון - כפל קצבאות), התשפ"ג-2022</t>
  </si>
  <si>
    <t xml:space="preserve"> (פ/574/25)</t>
  </si>
  <si>
    <t xml:space="preserve">פרק ח' (גמלאות וקצבת גישור), למעט סעיפים 30(4), 30(5), 31(א) (בעניין פנסיית גישור) מתוך הצעת חוק ההתייעלות הכלכלית (תיקוני חקיקה להשגת יעדי התקציב לשנות התקציב 2023 ו-2024), התשפ"ג-2023</t>
  </si>
  <si>
    <t xml:space="preserve">פרק ב' (הסדרת העיסוק בשירותי תשלום וייזום תשלום מתוך הצעת חוק התכנית הכלכלית (תיקוני חקיקה ליישום המדיניות הכלכלית לשנות התקציב 2023 ו-2024), התשפ"ג-2023</t>
  </si>
  <si>
    <t xml:space="preserve">פרק כ"א (חקלאות), רק סעיפים 88-87 (קביעת אורך חיי מדף בידי יצרן נאות וצמצום רגולציה לייבוא בשר) מתוך הצעת חוק התכנית הכלכלית (תיקוני חקיקה ליישום המדיניות הכלכלית לשנות התקציב 2023 ו-2024), התשפ"ג-2023</t>
  </si>
  <si>
    <t xml:space="preserve">פרק ח' (יבוא מוצרי מזון) מתוך הצעת חוק התכנית הכלכלית (תיקוני חקיקה ליישום המדיניות הכלכלית לשנות התקציב 2023 ו-2024), התשפ"ג-2023</t>
  </si>
  <si>
    <t xml:space="preserve">פרק כ"ד (קידום תשתיות לאומיות), למעט הסע' הבאים בתוך סע' 94 המוצע: 1 עד 30, 35-32, 47-46, 56, 62(1)(ה), (2), (4), (5), (6), (8), (11), (14), (15), (20), (21) והתוספת השנייה, מתוך הצעת חוק התכנית הכלכלית לשנות התקציב 2023 ו-2024</t>
  </si>
  <si>
    <t xml:space="preserve">10.05.2023</t>
  </si>
  <si>
    <t xml:space="preserve">פרק ד' (מיסוי בשוק הדיור), רק סעיפים 10-8 (התחדשות עירונית) מתוך הצעת חוק ההתייעלות הכלכלית (תיקוני חקיקה להשגת יעדי התקציב לשנות התקציב 2023 ו-2024), התשפ"ג-2023</t>
  </si>
  <si>
    <t xml:space="preserve">פרק ה' (ביטוח לאומי), רק סעיפים 15(3) עד 15(5), 18 ו-20(ב) (בעניין חוק חדלות פירעון) מתוך הצעת חוק ההתייעלות הכלכלית (תיקוני חקיקה להשגת יעדי התקציב לשנות התקציב 2023 ו-2024), התשפ"ג-2023</t>
  </si>
  <si>
    <t xml:space="preserve">פרק כ"ג (השכרה ארוכת טווח) מתוך הצעת חוק התכנית הכלכלית (תיקוני חקיקה ליישום המדיניות הכלכלית לשנות התקציב 2023 ו-2024), התשפ"ג-2023 [פוצלה לפי סעיף 84(ב) לתקנון הכנסת]</t>
  </si>
  <si>
    <t xml:space="preserve">פרק י"ח (ייעול מערכי האבטחה) מתוך הצעת חוק התכנית הכלכלית (תיקוני חקיקה ליישום המדיניות הכלכלית לשנות התקציב 2023 ו-2024), התשפ"ג-2023</t>
  </si>
  <si>
    <t xml:space="preserve">פרק ה' (גמישות ניהולית במערכת החינוך) מתוך הצעת חוק התכנית הכלכלית (תיקוני חקיקה ליישום המדיניות הכלכלית לשנות התקציב 2023 ו-2024), התשפ"ג-2023</t>
  </si>
  <si>
    <t xml:space="preserve">הצעת חוק הביטוח הלאומי (תיקון - הגדרת ילד נכה), התשפ"ג-2023</t>
  </si>
  <si>
    <t xml:space="preserve"> (פ/3127/25)</t>
  </si>
  <si>
    <t xml:space="preserve">הצעת חוק הביטוח הלאומי (תיקון - הגדרת ילד נכה), התשפ"ג-2023 </t>
  </si>
  <si>
    <t xml:space="preserve"> (פ/2992/25)</t>
  </si>
  <si>
    <t xml:space="preserve">הצעת חוק לתיקון פקודת מס הכנסה (נקודות זיכוי להורי חיילים), התשפ"ג-2023</t>
  </si>
  <si>
    <t xml:space="preserve"> (פ/2719/25)</t>
  </si>
  <si>
    <t xml:space="preserve"> (פ/2717/25)</t>
  </si>
  <si>
    <t xml:space="preserve">הצעת חוק לתיקון פקודת מס הכנסה (הטבות מס ליישובים), התשפ"ג-2023</t>
  </si>
  <si>
    <t xml:space="preserve"> (פ/2311/25)</t>
  </si>
  <si>
    <t xml:space="preserve">הצעת חוק לימוד חובה (תיקון - חינוך חינם לפעוטות ולילדים), התשפ"ג-2023</t>
  </si>
  <si>
    <t xml:space="preserve"> (פ/2189/25)</t>
  </si>
  <si>
    <t xml:space="preserve"> (פ/2081/25)</t>
  </si>
  <si>
    <t xml:space="preserve">הצעת חוק מוקד חירום רפואי טלפוני, התשפ"ג-2023</t>
  </si>
  <si>
    <t xml:space="preserve"> (פ/1973/25)</t>
  </si>
  <si>
    <t xml:space="preserve">הצעת חוק לימוד חובה (תיקון - חינוך חינם לגיל הרך), התשפ"ג-2023</t>
  </si>
  <si>
    <t xml:space="preserve"> (פ/1384/25)</t>
  </si>
  <si>
    <t xml:space="preserve">הצעת חוק לתיקון פקודת הדיג (איסור דיג מכמורת), התשפ"ג-2022</t>
  </si>
  <si>
    <t xml:space="preserve"> (פ/850/25)</t>
  </si>
  <si>
    <t xml:space="preserve">פרק ט"ו, למעט סע' 56(2)(א) ו-(2)(ב)(2) (העמקת התחדשות עירונית באזורי ביקוש), 56(3) ו-57 (חוק הרשות הממשלתית להתחדשות עירונית), 62-61 (פיצול דירות) מתוך הצ"ח התכנית הכלכלית (תיקוני חקיקה ליישום המדיניות הכלכלית לשנות התקציב 2023 ו-2024), התשפ"ג-2023</t>
  </si>
  <si>
    <t xml:space="preserve">09.05.2023</t>
  </si>
  <si>
    <t xml:space="preserve">פרק כ"א (חקלאות), רק סעיף 86 (חוק הגנת הצומח) מתוך הצעת חוק התכנית הכלכלית (תיקוני חקיקה ליישום המדיניות הכלכלית לשנות התקציב 2023 ו-2024), התשפ"ג-2023</t>
  </si>
  <si>
    <t xml:space="preserve">פרק ד' (מיסוי בשוק הדיור), למעט סעיפים 10-8 (התחדשות עירונית), 11(3), 12(ב), 12(ג) ו-13מתוך הצעת חוק ההתייעלות הכלכלית (תיקוני חקיקה להשגת יעדי התקציב לשנות התקציב 2023 ו-2024), התשפ"ג-2023</t>
  </si>
  <si>
    <t xml:space="preserve">פרק ז' (בנקאות ואשראי) רק סעיפים 26-25 (בעניין חוב אשראי לגיוס) מתוך הצעת חוק התכנית הכלכלית (תיקוני חקיקה ליישום המדיניות הכלכלית לשנות התקציב 2023 ו-2024), התשפ"ג-2023</t>
  </si>
  <si>
    <t xml:space="preserve">פרק ז' (בנקאות ואשראי), למעט סעיפים 26-25 מתוך הצעת חוק התכנית הכלכלית (תיקוני חקיקה ליישום המדיניות הכלכלית לשנות התקציב 2023 ו-2024), התשפ"ג-2023</t>
  </si>
  <si>
    <t xml:space="preserve">פרק ט' (מסים), רק סעיפים 47-45 מתוך הצעת חוק ההתייעלות הכלכלית (תיקוני חקיקה להשגת יעדי התקציב לשנות התקציב 2023 ו-2024), התשפ"ג-2023 [פוצלה לפי סעיף 84(ב) לתקנון]</t>
  </si>
  <si>
    <t xml:space="preserve">פרק ט' (תיווך בביטוח ובחיסכון פנסיוני), רק סעיף 36 (איסור על סירוב בלתי סביר להתקשורת) מתוך הצעת חוק התכנית הכלכלית (תיקוני חקיקה ליישום המדיניות הכלכלית לשנות התקציב 2023 ו-2024), התשפ"ג-2023</t>
  </si>
  <si>
    <t xml:space="preserve">פרק ח' (גמלאות וקצבת גישור), רק סעיפים 30(4), 30(5), 31(א) (בעניין פנסיית גישור) מתוך הצעת חוק ההתייעלות הכלכלית (תיקוני חקיקה להשגת יעדי התקציב לשנות התקציב 2023 ו-2024), התשפ"ג-2023</t>
  </si>
  <si>
    <t xml:space="preserve">פרק כ"ד (קידום תשתיות לאומיות), רק סעיפים 1 עד 30 בתוך סעיף 94 המוצע מתוך הצעת חוק התכנית הכלכלית (תיקוני חקיקה ליישום המדיניות הכלכלית לשנות התקציב 2023 ו-2024), התשפ"ג-2023</t>
  </si>
  <si>
    <t xml:space="preserve">הצעת חוק עבודת נשים (תיקון - שעות היעדרות מעבודה לאישה בהיריון בר-סיכון), התשפ"ג-2023</t>
  </si>
  <si>
    <t xml:space="preserve"> (פ/3319/25)</t>
  </si>
  <si>
    <t xml:space="preserve">הצעת חוק עבודת נשים (תיקון - תקופת לידה והורות להורה יחיד), התשפ"ג-2023 </t>
  </si>
  <si>
    <t xml:space="preserve"> (פ/3317/25)</t>
  </si>
  <si>
    <t xml:space="preserve">הצעת חוק שירות ישראלי, התשפ"ג-2023 </t>
  </si>
  <si>
    <t xml:space="preserve"> (פ/3316/25)</t>
  </si>
  <si>
    <t xml:space="preserve">הצעת חוק קבלת ילד של עובדת הוראה למעון יום והשתתפות בעלות שכר הלימוד, התשפ"ג-2023 </t>
  </si>
  <si>
    <t xml:space="preserve"> (פ/3315/25)</t>
  </si>
  <si>
    <t xml:space="preserve">הצעת חוק הביטוח הלאומי (תיקון - תשלום דמי אבטלה לנשים שיצאו לחופשה ללא תשלום לאחר לידה), התשפ"ג-2023</t>
  </si>
  <si>
    <t xml:space="preserve"> (פ/3314/25)</t>
  </si>
  <si>
    <t xml:space="preserve">הצעת חוק הגנת השכר (תיקון - הגבלת ניכוי דמי חבר ודמי טיפול מקצועי ארגוני), התשפ"ג-2023</t>
  </si>
  <si>
    <t xml:space="preserve"> (פ/3313/25)</t>
  </si>
  <si>
    <t xml:space="preserve">הצעת חוק הביטוח הלאומי (תיקון - תגמול למשרתים במילואים), התשפ"ג-2023</t>
  </si>
  <si>
    <t xml:space="preserve"> (פ/3312/25)</t>
  </si>
  <si>
    <t xml:space="preserve">הצעת חוק דמי מחלה (היעדרות בשל מחלת ילד) (תיקון - הורה ליותר מילד אחד), התשפ"ג-2023</t>
  </si>
  <si>
    <t xml:space="preserve"> (פ/3310/25)</t>
  </si>
  <si>
    <t xml:space="preserve">הצעת חוק הביטוח הלאומי (תיקון - שינוי המונח נכה), התשפ"ג-2023</t>
  </si>
  <si>
    <t xml:space="preserve"> (פ/3309/25)</t>
  </si>
  <si>
    <t xml:space="preserve">הצעת חוק ביטוח בריאות ממלכתי (תיקון - הרחבת הסדרי הבחירה), התשפ"ג-2023</t>
  </si>
  <si>
    <t xml:space="preserve"> (פ/3308/25)</t>
  </si>
  <si>
    <t xml:space="preserve">הצעת חוק לחילוט תקבולי עבירה בשווי בעבירת גניבה חקלאית ובעבירות הגורמות נזק לרכוש חקלאי, התשפ"ג-2023</t>
  </si>
  <si>
    <t xml:space="preserve"> (פ/3307/25)</t>
  </si>
  <si>
    <t xml:space="preserve">הצעת חוק למניעת הטרדה מינית (תיקון - החמרת הענישה על הטרדה מינית באמצעים טכנולוגיים - הפצת תוכן מיני של קטינים), התשפ"ג-2023</t>
  </si>
  <si>
    <t xml:space="preserve"> (פ/3305/25)</t>
  </si>
  <si>
    <t xml:space="preserve"> (פ/3304/25)</t>
  </si>
  <si>
    <t xml:space="preserve"> (פ/3303/25)</t>
  </si>
  <si>
    <t xml:space="preserve">הצעת חוק הפסיכולוגים (תיקון - איסור טיפולי המרה), התשפ"ג-2023</t>
  </si>
  <si>
    <t xml:space="preserve"> (פ/3302/25)</t>
  </si>
  <si>
    <t xml:space="preserve">הצעת חוק עמותות חוץ, התשפ"ג-2023</t>
  </si>
  <si>
    <t xml:space="preserve"> (פ/3301/25)</t>
  </si>
  <si>
    <t xml:space="preserve">הצעת חוק דיני הבחירות לרשויות המקומיות (תיקוני חקיקה), התשפ"ג-2023</t>
  </si>
  <si>
    <t xml:space="preserve"> (פ/3300/25)</t>
  </si>
  <si>
    <t xml:space="preserve">הצעת חוק שעות עבודה ומנוחה (תיקון - קיצור שבוע העבודה), התשפ"ג-2023</t>
  </si>
  <si>
    <t xml:space="preserve"> (פ/3299/25)</t>
  </si>
  <si>
    <t xml:space="preserve"> (פ/3298/25)</t>
  </si>
  <si>
    <t xml:space="preserve">הצעת חוק מיקוד גמלאות לאזרחים ותיקים (תיקוני חקיקה), התשפ"ג-2023</t>
  </si>
  <si>
    <t xml:space="preserve"> (פ/3297/25)</t>
  </si>
  <si>
    <t xml:space="preserve">הצעת חוק הביטוח הלאומי (תיקון - דמי מחלה לעובד עצמאי), התשפ"ג-2023</t>
  </si>
  <si>
    <t xml:space="preserve"> (פ/3296/25)</t>
  </si>
  <si>
    <t xml:space="preserve">הצעת חוק יישוב סכסוכי עבודה (תיקון - בוררות חובה בשירותים חיוניים), התשפ"ג-2023</t>
  </si>
  <si>
    <t xml:space="preserve"> (פ/3295/25)</t>
  </si>
  <si>
    <t xml:space="preserve"> (פ/3294/25)</t>
  </si>
  <si>
    <t xml:space="preserve">הצעת חוק האגודות העותומניות (רישום ופיקוח), התשפ"ג-2023</t>
  </si>
  <si>
    <t xml:space="preserve"> (פ/3293/25)</t>
  </si>
  <si>
    <t xml:space="preserve">הצעת חוק לימוד חובה (תיקון - הגבלת מספר התלמידים בכיתה בבית ספר יסודי), התשפ"ג-2023</t>
  </si>
  <si>
    <t xml:space="preserve"> (פ/3292/25)</t>
  </si>
  <si>
    <t xml:space="preserve">הצעת חוק המועצה להשכלה גבוהה (תיקון - העדפה בקבלת מועמדים מרשויות מוחלשות), התשפ"ג-2023</t>
  </si>
  <si>
    <t xml:space="preserve"> (פ/3291/25)</t>
  </si>
  <si>
    <t xml:space="preserve">הצעת חוק העונשין (תיקון - איסור הנפת דגל של מדינת אויב או של ארגון טרור או של הרשות הפלסטינית במרחב הציבורי), התשפ"ג-2023</t>
  </si>
  <si>
    <t xml:space="preserve"> (פ/3290/25)</t>
  </si>
  <si>
    <t xml:space="preserve"> (פ/3289/25)</t>
  </si>
  <si>
    <t xml:space="preserve">הצעת חוק שוויון ההזדמנויות בעבודה (תיקון - איסור הפליה על רקע זהות מגדרית), התשפ"ג-2023</t>
  </si>
  <si>
    <t xml:space="preserve"> (פ/3288/25)</t>
  </si>
  <si>
    <t xml:space="preserve">הצעת חוק המרכז הישראלי לקידום תרבות האדם (תיקון - הסדרת הפיקוח הפרלמנטרי על המרכז וביטול הפטור ממסים), התשפ"ג-2023</t>
  </si>
  <si>
    <t xml:space="preserve"> (פ/3287/25)</t>
  </si>
  <si>
    <t xml:space="preserve">הצעת חוק דמי מחלה (היעדרות בשל מחלת ילד) (תיקון - קביעת מספר ימי ההיעדרות לפי מספר ילדי העובד), התשפ"ג-2023</t>
  </si>
  <si>
    <t xml:space="preserve"> (פ/3286/25)</t>
  </si>
  <si>
    <t xml:space="preserve">הצעת חוק הביטוח הלאומי (תיקון - קביעת אחוזי נכות ללקויי שמיעה - דו-צידי וחד-צידי), התשפ"ג-2023 </t>
  </si>
  <si>
    <t xml:space="preserve"> (פ/3285/25)</t>
  </si>
  <si>
    <t xml:space="preserve">הצעת חוק הביטוח הלאומי (תיקון - מענק לידה אחיד מילד שני ואילך), התשפ"ג-2023</t>
  </si>
  <si>
    <t xml:space="preserve"> (פ/3284/25)</t>
  </si>
  <si>
    <t xml:space="preserve">הצעת חוק הביטוח הלאומי (תיקון - דמי לידה לבן הזוג בלידה שקטה), התשפ"ג-2023</t>
  </si>
  <si>
    <t xml:space="preserve"> (פ/3283/25)</t>
  </si>
  <si>
    <t xml:space="preserve">הצעת חוק דמי מחלה (היעדרות בשל מחלת ילד) (תיקון - היעדרות בשל אשפוז פג), התשפ"ג-2023</t>
  </si>
  <si>
    <t xml:space="preserve"> (פ/3282/25)</t>
  </si>
  <si>
    <t xml:space="preserve">פרק ד' (גז טבעי), למעט סעיף 17(1) (בעניין הארכת תוקף רישון נתג"ז) מתוך הצעת חוק התכנית הכלכלית (תיקוני חקיקה ליישום המדיניות הכלכלית לשנות התקציב 2023 ו-2024), התשפ"ג-2023</t>
  </si>
  <si>
    <t xml:space="preserve">08.05.2023</t>
  </si>
  <si>
    <t xml:space="preserve">פרק י"ב (אנרגיה), רק סעיפים 50(2) ו-53-52 (חוק משק החשמל) מתוך הצעת חוק התכנית הכלכלית (תיקוני חקיקה ליישום המדיניות הכלכלית לשנות התקציב 2023 ו-2024), התשפ"ג-2023 [פוצלה לפי סעיף 84(ב) לתקנון]</t>
  </si>
  <si>
    <t xml:space="preserve">הצעת חוק הקמת בית חולים בעיר סח'נין (תיקוני חקיקה), התשפ"ג-2023</t>
  </si>
  <si>
    <t xml:space="preserve"> (פ/2251/25)</t>
  </si>
  <si>
    <t xml:space="preserve">הצעת חוק הקמת בית חולים בעיר סח'נין (תיקוני חקיקה), התשפ"ג-2022</t>
  </si>
  <si>
    <t xml:space="preserve"> (פ/720/25)</t>
  </si>
  <si>
    <t xml:space="preserve">הצעת חוק הקמת בית חולים ביישוב ערבי (תיקוני חקיקה), התשפ"ג-2022</t>
  </si>
  <si>
    <t xml:space="preserve"> (פ/719/25)</t>
  </si>
  <si>
    <t xml:space="preserve">פרק י"א (הפחתת רגולציה), רק סעיפים 45-44 (ירושה) מתוך הצעת חוק התכנית הכלכלית (תיקוני חקיקה ליישום המדיניות הכלכלית לשנות התקציב 2023 ו-2024), התשפ"ג-2023</t>
  </si>
  <si>
    <t xml:space="preserve">פרק י"ב (אנרגיה), רק סעיף 50(1) (חוק משק החשמל) מתוך הצעת חוק התכנית הכלכלית (תיקוני חקיקה ליישום המדיניות הכלכלית לשנות התקציב 2023 ו-2024), התשפ"ג-2023</t>
  </si>
  <si>
    <t xml:space="preserve">פרק ג' (גבייה ממשלתית) מתוך הצעת חוק ההתייעלות הכלכלית (תיקוני חקיקה להשגת יעדי התקציב לשנות התקציב 2023 ו-2024), התשפ"ג-2023</t>
  </si>
  <si>
    <t xml:space="preserve">פרק כ"ו (תחילה) מתוך הצעת חוק התכנית הכלכלית (תיקוני חקיקה ליישום המדיניות הכלכלית לשנות התקציב 2023 ו-2024), התשפ"ג-2023</t>
  </si>
  <si>
    <t xml:space="preserve">07.05.2023</t>
  </si>
  <si>
    <t xml:space="preserve">פרק י"ג (ייעול השימוש בתשתיות תחבורה ציבורית) מתוך הצעת חוק התכנית הכלכלית (תיקוני חקיקה ליישום המדיניות הכלכלית לשנות התקציב 2023 ו-2024), התשפ"ג-2023</t>
  </si>
  <si>
    <t xml:space="preserve">פרק א' (מטרת החוק) מתוך הצעת חוק התכנית הכלכלית (תיקוני חקיקה ליישום המדיניות הכלכלית לשנות התקציב 2023 ו-2024), התשפ"ג-2023</t>
  </si>
  <si>
    <t xml:space="preserve">פרק י"א (תחילה) מתוך הצעת חוק ההתייעלות הכלכלית (תיקוני חקיקה להשגת יעדי התקציב לשנות התקציב 2023 ו-2024), התשפ"ג-2023</t>
  </si>
  <si>
    <t xml:space="preserve">פרק כ"ה (שונות) למעט סעיפים 96(2) ו-97 - תיקון חוק המים וחוק רישוי שירותים ומקצועות בענף הרכב מתוך הצעת חוק התכנית הכלכלית (תיקוני חקיקה ליישום המדיניות הכלכלית לשנות התקציב 2023 ו-2024), התשפ"ג-2023</t>
  </si>
  <si>
    <t xml:space="preserve">פרק א' (מטרת החוק) מתוך הצעת חוק ההתייעלות הכלכלית (תיקוני חקיקה להשגת יעדי התקציב לשנות התקציב 2023 ו-2024), התשפ"ג-2023</t>
  </si>
  <si>
    <t xml:space="preserve">פרק י' (צמצום השימוש במזומן) מתוך הצעת חוק ההתייעלות הכלכלית (תיקוני חקיקה להשגת יעדי התקציב לשנות התקציב 2023 ו-2024), התשפ"ג-2023</t>
  </si>
  <si>
    <t xml:space="preserve">04.05.2023</t>
  </si>
  <si>
    <t xml:space="preserve">הצעת חוק למניעת העסקה בתחום החינוך והטיפול של אדם שהורשע או שמואשם בתקיפה או בהתעללות בחסר ישע, התשפ"ג-2022</t>
  </si>
  <si>
    <t xml:space="preserve"> (פ/934/25)</t>
  </si>
  <si>
    <t xml:space="preserve">03.05.2023</t>
  </si>
  <si>
    <t xml:space="preserve">הצעת חוק הביטוח הלאומי (תיקון - דמי אבטלה לעצמאים), התשפ"ג-2023</t>
  </si>
  <si>
    <t xml:space="preserve"> (פ/2202/25)</t>
  </si>
  <si>
    <t xml:space="preserve"> (פ/1985/25)</t>
  </si>
  <si>
    <t xml:space="preserve"> (פ/1725/25)</t>
  </si>
  <si>
    <t xml:space="preserve"> (פ/1724/25)</t>
  </si>
  <si>
    <t xml:space="preserve">הצעת חוק הלוואות למיגון דירות באזורי קו העימות, התשפ''ג-2023</t>
  </si>
  <si>
    <t xml:space="preserve"> (פ/1133/25)</t>
  </si>
  <si>
    <t xml:space="preserve">הצעת חוק צירוף משפחות נפגעי טרור כצד להליך המשפטי (תיקוני חקיקה), התשפ"ג-2022</t>
  </si>
  <si>
    <t xml:space="preserve"> (פ/249/25)</t>
  </si>
  <si>
    <t xml:space="preserve">הצעת חוק העונשין (תיקון - מאסר עולם לאונס קטינים), התשפ"ג-2022</t>
  </si>
  <si>
    <t xml:space="preserve"> (פ/111/25)</t>
  </si>
  <si>
    <t xml:space="preserve">פרק ט' (תיווך בביטוח ובחיסכון פנסיוני), למעט סעיף 36 (בעניין איסור על סירוב בלתי סביר להתקשורת) מתוך הצעת חוק התכנית הכלכלית (תיקוני חקיקה ליישום המדיניות הכלכלית לשנות התקציב 2023 ו-2024), התשפ"ג-2023 [פוצלה לפי סעיף 84(ב) לתקנון]</t>
  </si>
  <si>
    <t xml:space="preserve">02.05.2023</t>
  </si>
  <si>
    <t xml:space="preserve">פרק י"ד (חסמי ייבוא) מתוך הצעת חוק התכנית הכלכלית (תיקוני חקיקה ליישום המדיניות הכלכלית לשנות התקציב 2023 ו-2024), התשפ"ג-2023</t>
  </si>
  <si>
    <t xml:space="preserve">הצעת חוק שירות ביטחון (תיקון - תקופת אי-כשרות ארעית), התשפ"ג-2023</t>
  </si>
  <si>
    <t xml:space="preserve"> (פ/3280/25)</t>
  </si>
  <si>
    <t xml:space="preserve">01.05.2023</t>
  </si>
  <si>
    <t xml:space="preserve">הצעת חוק הדיינים (תיקון - שינוי הרכב הוועדה למינוי דיינים), התשפ"ג-2023</t>
  </si>
  <si>
    <t xml:space="preserve"> (פ/3279/25)</t>
  </si>
  <si>
    <t xml:space="preserve">הצעת חוק-יסוד: השפיטה (תיקון - מינוי נשיא ומשנה לנשיא בית המשפט העליון)</t>
  </si>
  <si>
    <t xml:space="preserve"> (פ/3278/25)</t>
  </si>
  <si>
    <t xml:space="preserve">הצעת חוק הסכמים קיבוציים (תיקון - יציגות ארגון עובדים והגנה על הפרט), התשפ"ג-2023</t>
  </si>
  <si>
    <t xml:space="preserve"> (פ/3277/25)</t>
  </si>
  <si>
    <t xml:space="preserve">הצעת חוק ביטוח בריאות ממלכתי (תיקון - הרחבת פטור מתשלום בחדר מיון), התשפ"ג-2023</t>
  </si>
  <si>
    <t xml:space="preserve"> (פ/3276/25)</t>
  </si>
  <si>
    <t xml:space="preserve">הצעת חוק הביטוח הלאומי (תיקון - נכה שהגיע לגיל פרישה), התשפ"ג-2023</t>
  </si>
  <si>
    <t xml:space="preserve"> (פ/3275/25)</t>
  </si>
  <si>
    <t xml:space="preserve">הצעת חוק הביטוח הלאומי (תיקון - קיזוז הכנסות שאינן מעבודה או ממשלח יד מקצבת נכות), התשפ"ג-2023</t>
  </si>
  <si>
    <t xml:space="preserve"> (פ/3274/25)</t>
  </si>
  <si>
    <t xml:space="preserve">הצעת חוק ביטוח בריאות ממלכתי (תיקון - הפחתה בדמי ביטוח בריאות לתושבי הפריפריה), התשפ"ג-2023</t>
  </si>
  <si>
    <t xml:space="preserve"> (פ/3273/25)</t>
  </si>
  <si>
    <t xml:space="preserve"> (פ/3272/25)</t>
  </si>
  <si>
    <t xml:space="preserve"> (פ/3271/25)</t>
  </si>
  <si>
    <t xml:space="preserve">הצעת חוק הקרן לעידוד תעשייה נקייה, התשפ"ג-2023</t>
  </si>
  <si>
    <t xml:space="preserve"> (פ/3270/25)</t>
  </si>
  <si>
    <t xml:space="preserve">הצעת חוק הבלו על דלק (תיקון - הגבלת שיעור המס על הדלק), התשפ"ג-2023</t>
  </si>
  <si>
    <t xml:space="preserve"> (פ/3269/25)</t>
  </si>
  <si>
    <t xml:space="preserve">הצעת חוק לתיקון פקודת מס הכנסה (פטור ממס לגמלאים על תשלומי פנסיה), התשפ"ג-2023</t>
  </si>
  <si>
    <t xml:space="preserve"> (פ/3268/25)</t>
  </si>
  <si>
    <t xml:space="preserve">הצעת חוק להגברת האכיפה של דיני העבודה (תיקון - הפרות בטיחות בעבודה בתחום הבנייה), התשפ"ג-2023</t>
  </si>
  <si>
    <t xml:space="preserve"> (פ/3267/25)</t>
  </si>
  <si>
    <t xml:space="preserve">הצעת חוק משק החשמל (תיקון - פיקוח פרלמנטרי על תעריפי החשמל), התשפ"ג-2023</t>
  </si>
  <si>
    <t xml:space="preserve"> (פ/3266/25)</t>
  </si>
  <si>
    <t xml:space="preserve"> (פ/3265/25)</t>
  </si>
  <si>
    <t xml:space="preserve">הצעת חוק שכר מינימום (תיקון - שכר שווה לאנשים המתמודדים עם מוגבלות), התשפ"ג-2023</t>
  </si>
  <si>
    <t xml:space="preserve"> (פ/3264/25)</t>
  </si>
  <si>
    <t xml:space="preserve"> (פ/3263/25)</t>
  </si>
  <si>
    <t xml:space="preserve">הצעת חוק הלוואות לדיור (תיקון - הצמדת סכום ההלוואה למדד), התשפ"ג-2023</t>
  </si>
  <si>
    <t xml:space="preserve"> (פ/3262/25)</t>
  </si>
  <si>
    <t xml:space="preserve">הצעת חוק התכנון והבנייה (תיקון - ביצוע סקר מבנים מסוכנים), התשפ"ג-2023</t>
  </si>
  <si>
    <t xml:space="preserve"> (פ/3261/25)</t>
  </si>
  <si>
    <t xml:space="preserve">הצעת חוק דיני העבודה (תיקוני חקיקה), התשפ"ג-2023</t>
  </si>
  <si>
    <t xml:space="preserve"> (פ/3259/25)</t>
  </si>
  <si>
    <t xml:space="preserve">הצעת חוק הביטוח הלאומי (תיקון - פטור מתשלום דמי ביטוח לאומי עד גיל 21), התשפ"ג-2023</t>
  </si>
  <si>
    <t xml:space="preserve"> (פ/3258/25)</t>
  </si>
  <si>
    <t xml:space="preserve">הצעת חוק הביטוח הלאומי (תיקון - קצבת תלויים וקצבת אזרח ותיק), התשפ"ג-2023</t>
  </si>
  <si>
    <t xml:space="preserve"> (פ/3257/25)</t>
  </si>
  <si>
    <t xml:space="preserve">הצעת חוק הקמת חדר מיון בקריית שמונה, התשפ"ג-2023</t>
  </si>
  <si>
    <t xml:space="preserve"> (פ/3256/25)</t>
  </si>
  <si>
    <t xml:space="preserve">הצעת חוק הנגשת שירותי קבלת קהל הניתנים בגופי שלטון למיעוט לשוני גדול, התשפ"ג-2023</t>
  </si>
  <si>
    <t xml:space="preserve"> (פ/3255/25)</t>
  </si>
  <si>
    <t xml:space="preserve">הצעת חוק ברית הזוגיות האזרחית, התשפ"ג-2023</t>
  </si>
  <si>
    <t xml:space="preserve"> (פ/3254/25)</t>
  </si>
  <si>
    <t xml:space="preserve">הצעת חוק העונשין (תיקון - תקיפת נהגי אוטובוס בקווי תחבורה ציבורית), התשפ"ג-2023</t>
  </si>
  <si>
    <t xml:space="preserve"> (פ/3252/25)</t>
  </si>
  <si>
    <t xml:space="preserve"> (פ/3251/25)</t>
  </si>
  <si>
    <t xml:space="preserve">הצעת חוק ההוצאה לפועל (תיקון - החרגת עיקול רכב), התשפ"ג-2023</t>
  </si>
  <si>
    <t xml:space="preserve"> (פ/3250/25)</t>
  </si>
  <si>
    <t xml:space="preserve"> (פ/3249/25)</t>
  </si>
  <si>
    <t xml:space="preserve"> (פ/3247/25)</t>
  </si>
  <si>
    <t xml:space="preserve">הצעת חוק שיפוט בתי דין רבניים (נישואין וגירושין) (תיקון - דרישת הסכמה בכתב), התשפ"ג-2023</t>
  </si>
  <si>
    <t xml:space="preserve"> (פ/3245/25)</t>
  </si>
  <si>
    <t xml:space="preserve">הצעת חוק הגנת הצרכן (תיקון - פנייה מקדימה בעסקת מכר מרחוק), התשפ"ג-2023</t>
  </si>
  <si>
    <t xml:space="preserve"> (פ/3244/25)</t>
  </si>
  <si>
    <t xml:space="preserve">הצעת חוק לתיקון פקודת התעבורה (סימון שונה במקומות שבהם היתר החניה תלוי בשעות), התשפ"ג-2023</t>
  </si>
  <si>
    <t xml:space="preserve"> (פ/3243/25)</t>
  </si>
  <si>
    <t xml:space="preserve">הצעת חוק לימודי הכנה למבחנים פסיכומטריים לתלמידים, התשפ"ג-2023</t>
  </si>
  <si>
    <t xml:space="preserve"> (פ/3242/25)</t>
  </si>
  <si>
    <t xml:space="preserve">הצעת חוק הגנת הצרכן (תיקון - אחריות מנהל כללי ונושא משרה בשל הפרת הוראות החוק), התשפ"ג-2023</t>
  </si>
  <si>
    <t xml:space="preserve"> (פ/3241/25)</t>
  </si>
  <si>
    <t xml:space="preserve">הצעת חוק מפעל הזנה במוסדות חינוך על יסודיים לנוער בסיכון ולנוער נושר, התשפ''ג-2023</t>
  </si>
  <si>
    <t xml:space="preserve"> (פ/3240/25)</t>
  </si>
  <si>
    <t xml:space="preserve">הצעת חוק לתיקון פקודת התעבורה (זכות עיון בממצאי בחינה מעשית בנהיגה), התשפ"ג-2023</t>
  </si>
  <si>
    <t xml:space="preserve"> (פ/3239/25)</t>
  </si>
  <si>
    <t xml:space="preserve">הצעת חוק סייעות במוסדות חינוך, התשפ"ג-2023</t>
  </si>
  <si>
    <t xml:space="preserve"> (פ/3238/25)</t>
  </si>
  <si>
    <t xml:space="preserve">הצעת חוק שיפוט בתי דין רבניים (נישואין וגירושין) (תיקון - מינוי נציגות ציבור), התשפ"ג-2023</t>
  </si>
  <si>
    <t xml:space="preserve"> (פ/3237/25)</t>
  </si>
  <si>
    <t xml:space="preserve">הצעת חוק האזרחים הוותיקים (תיקון - הנחה בארנונה), התשפ"ג-2023</t>
  </si>
  <si>
    <t xml:space="preserve"> (פ/3236/25)</t>
  </si>
  <si>
    <t xml:space="preserve"> (פ/3235/25)</t>
  </si>
  <si>
    <t xml:space="preserve">הצעת חוק הגנת הצרכן (תיקון - משלוח חשבונית לצרכן בדרך מקוונת), התשפ"ג-2023</t>
  </si>
  <si>
    <t xml:space="preserve"> (פ/3234/25)</t>
  </si>
  <si>
    <t xml:space="preserve">הצעת חוק לתיקון פקודת התעבורה (הקמת מאגר מידע לריכוז דוחות חניה), התשפ"ג-2023</t>
  </si>
  <si>
    <t xml:space="preserve"> (פ/3233/25)</t>
  </si>
  <si>
    <t xml:space="preserve">הצעת חוק העונשין (תיקון - תקיפת נהג אוטובוס ציבורי), התשפ"ג-2023</t>
  </si>
  <si>
    <t xml:space="preserve"> (פ/3232/25)</t>
  </si>
  <si>
    <t xml:space="preserve">הצעת חוק הרשות הלאומית לתרבות והשפה המרוקאית יהודית, התשפ"ג-2023</t>
  </si>
  <si>
    <t xml:space="preserve"> (פ/3231/25)</t>
  </si>
  <si>
    <t xml:space="preserve">הצעת חוק הפיקוח על מעונות יום לפעוטות (תיקון - הסמכת מתנדבים וטכנאי מצלמות), התשפ"ג-2023</t>
  </si>
  <si>
    <t xml:space="preserve"> (פ/3229/25)</t>
  </si>
  <si>
    <t xml:space="preserve"> (פ/3228/25)</t>
  </si>
  <si>
    <t xml:space="preserve">הצעת חוק הפיקוח על מעונות יום לפעוטות (תיקון - החמרת ענישה), התשפ"ג-2023</t>
  </si>
  <si>
    <t xml:space="preserve"> (פ/3227/25)</t>
  </si>
  <si>
    <t xml:space="preserve">הצעת חוק הביטוח הלאומי (תיקון - ביטול מבחן ההכנסה לצורך קבלת גמלת סיעוד), התשפ"ג-2023</t>
  </si>
  <si>
    <t xml:space="preserve"> (פ/3225/25)</t>
  </si>
  <si>
    <t xml:space="preserve">הצעת חוק מס ערך מוסף (תיקון - פטור ממס במכירת תרופות מצילות חיים שאינן כלולות בסל הבריאות), התשפ"ג-2023</t>
  </si>
  <si>
    <t xml:space="preserve"> (פ/3224/25)</t>
  </si>
  <si>
    <t xml:space="preserve">הצעת חוק הטבות לניצולי שואה (תיקון - הטבות לניצולים שעלו לאחר שנת 1953), התשפ"ג-2023</t>
  </si>
  <si>
    <t xml:space="preserve"> (פ/3223/25)</t>
  </si>
  <si>
    <t xml:space="preserve">הצעת חוק מס רכוש וקרן פיצויים (תיקון - פיצוי בגין נזק פגעי טבע ופיצוי בגין נזקי שריפה), התשפ"ג-2023</t>
  </si>
  <si>
    <t xml:space="preserve"> (פ/3222/25)</t>
  </si>
  <si>
    <t xml:space="preserve">הצעת חוק לתיקון פקודת מס הכנסה (ניכוי ריבית על משכנתה), התשפ"ג-2023</t>
  </si>
  <si>
    <t xml:space="preserve"> (פ/3220/25)</t>
  </si>
  <si>
    <t xml:space="preserve">הצעת חוק צער בעלי חיים (הגנה על בעלי חיים) (תיקון - ענישה מזערית), התשפ"ג-2023</t>
  </si>
  <si>
    <t xml:space="preserve"> (פ/3219/25)</t>
  </si>
  <si>
    <t xml:space="preserve">הצעת חוק הסדרת העיסוק במקצועות הבריאות (תיקון - הסדרת העיסוק בניתוח התנהגות), התשפ"ג-2023</t>
  </si>
  <si>
    <t xml:space="preserve"> (פ/3218/25)</t>
  </si>
  <si>
    <t xml:space="preserve">הצעת חוק להגדלת שיעור ההשתתפות בכוח העבודה ולצמצום פערים חברתיים (מענק עבודה) (תיקון - זכאות להטבות נלוות), התשפ"ג-2023</t>
  </si>
  <si>
    <t xml:space="preserve"> (פ/3217/25)</t>
  </si>
  <si>
    <t xml:space="preserve">הצעת חוק הביטוח הלאומי (תיקון - ביטול הפחתה של גמלת סיעוד למי שמעסיק עובד זר), התשפ"ג-2023</t>
  </si>
  <si>
    <t xml:space="preserve"> (פ/3216/25)</t>
  </si>
  <si>
    <t xml:space="preserve">הצעת חוק הביטוח הלאומי (תיקון - הוראות מיוחדות לעניין דמי אבטלה וכפל קצבאות) (הוראת שעה), התשפ"ג-2023</t>
  </si>
  <si>
    <t xml:space="preserve"> (פ/3215/25)</t>
  </si>
  <si>
    <t xml:space="preserve"> (פ/3214/25)</t>
  </si>
  <si>
    <t xml:space="preserve">הצעת חוק הרשויות המקומיות (יועץ לקידום מעמד אנשים עם מוגבלות), התשפ"ג-2023</t>
  </si>
  <si>
    <t xml:space="preserve"> (פ/3213/25)</t>
  </si>
  <si>
    <t xml:space="preserve">הצעת חוק הכנסת (תיקון - מספר חברי הכנסת הדרוש להתפלגות סיעה), התשפ"ג-2023</t>
  </si>
  <si>
    <t xml:space="preserve"> (פ/3212/25)</t>
  </si>
  <si>
    <t xml:space="preserve"> (פ/3211/25)</t>
  </si>
  <si>
    <t xml:space="preserve"> (פ/3210/25)</t>
  </si>
  <si>
    <t xml:space="preserve">הצעת חוק איסור הפליה במוצרים, בשירותים ובכניסה למקומות בידור ולמקומות ציבוריים (תיקון - איסור הפליה בדיור), התשפ"ג-2023</t>
  </si>
  <si>
    <t xml:space="preserve"> (פ/3209/25)</t>
  </si>
  <si>
    <t xml:space="preserve"> (פ/3208/25)</t>
  </si>
  <si>
    <t xml:space="preserve">הצעת חוק הבטחת הכנסה (תיקון - גמלה לתלמיד), התשפ"ג-2023</t>
  </si>
  <si>
    <t xml:space="preserve"> (פ/3207/25)</t>
  </si>
  <si>
    <t xml:space="preserve">הצעת חוק הבטחת הכנסה (תיקון - הגדלת הסכום להשתכרות בנוסף לקצבה), התשפ"ג-2023</t>
  </si>
  <si>
    <t xml:space="preserve"> (פ/3205/25)</t>
  </si>
  <si>
    <t xml:space="preserve">הצעת חוק לתיקון פקודת התעבורה (חובת רישום מונה קילומטרים), התשפ"ג-2023</t>
  </si>
  <si>
    <t xml:space="preserve"> (פ/3204/25)</t>
  </si>
  <si>
    <t xml:space="preserve">הצעת חוק סיוע למשפחות ברוכות ילדים (תיקוני חקיקה), התשפ"ג-2023</t>
  </si>
  <si>
    <t xml:space="preserve"> (פ/3203/25)</t>
  </si>
  <si>
    <t xml:space="preserve">הצעת חוק הגנת הצרכן (תיקון - איסור הפליית מחירים בשל מגדר), התשפ"ג-2023 </t>
  </si>
  <si>
    <t xml:space="preserve"> (פ/3202/25)</t>
  </si>
  <si>
    <t xml:space="preserve"> (פ/3201/25)</t>
  </si>
  <si>
    <t xml:space="preserve">הצעת חוק הבנקאות (שירות ללקוח) (תיקון - חובת הצבת מכשיר בנק ממוכן), התשפ"ג-2023</t>
  </si>
  <si>
    <t xml:space="preserve"> (פ/3199/25)</t>
  </si>
  <si>
    <t xml:space="preserve"> (פ/3197/25)</t>
  </si>
  <si>
    <t xml:space="preserve">הצעת חוק איסור פרסום גזעני, הסתה לגזענות ורישום גזעני במסמכי תאגיד, התשפ"ג-2023</t>
  </si>
  <si>
    <t xml:space="preserve"> (פ/3196/25)</t>
  </si>
  <si>
    <t xml:space="preserve">הצעת חוק הבנקאות (שירות ללקוח) (תיקון - מסירת מידע על עמלות וריביות), התשפ"ג-2023</t>
  </si>
  <si>
    <t xml:space="preserve"> (פ/3195/25)</t>
  </si>
  <si>
    <t xml:space="preserve">הצעת חוק איסור הכחשת השואה (תיקון - איסור הבעת אהדה לשלטון הנאצי או הזדהות עמו ואיסור שימוש בסמלים נאציים), התשפ"ג-2023</t>
  </si>
  <si>
    <t xml:space="preserve"> (פ/3194/25)</t>
  </si>
  <si>
    <t xml:space="preserve">הצעת חוק שיקים ללא כיסוי (תיקון - קביעת סכום מינימום להגבלת חשבון בנק והגבלת לקוח), התשפ"ג-2023</t>
  </si>
  <si>
    <t xml:space="preserve"> (פ/3193/25)</t>
  </si>
  <si>
    <t xml:space="preserve">הצעת חוק הבנקאות (שירות ללקוח) (תיקון - ריבית על כספי פיקדונות), התשפ"ג-2023</t>
  </si>
  <si>
    <t xml:space="preserve"> (פ/3192/25)</t>
  </si>
  <si>
    <t xml:space="preserve">הצעת חוק הכשרות המשפטית והאפוטרופסות (תיקון - שלילת אפוטרופסות מהורה שהורשע ברצח או בנסיון לרצח), התשפ"ג-2023</t>
  </si>
  <si>
    <t xml:space="preserve"> (פ/3191/25)</t>
  </si>
  <si>
    <t xml:space="preserve"> (פ/3190/25)</t>
  </si>
  <si>
    <t xml:space="preserve">הצעת חוק פריסת תשלום חוב ללא תוספת ריבית או אגרה, התשפ"ג-2023</t>
  </si>
  <si>
    <t xml:space="preserve"> (פ/3189/25)</t>
  </si>
  <si>
    <t xml:space="preserve"> (פ/3188/25)</t>
  </si>
  <si>
    <t xml:space="preserve"> (פ/3187/25)</t>
  </si>
  <si>
    <t xml:space="preserve">הצעת חוק-יסוד: הכנסת (תיקון - מניעת בחירת מועמד שהורשע ברצח או ניסיון רצח כחלק ממעשה טרור)</t>
  </si>
  <si>
    <t xml:space="preserve"> (פ/3186/25)</t>
  </si>
  <si>
    <t xml:space="preserve">הצעת חוק אימוץ ילדים (תיקון - אימוץ על ידי בני הזוג), התשפ"ג-2023</t>
  </si>
  <si>
    <t xml:space="preserve"> (פ/3184/25)</t>
  </si>
  <si>
    <t xml:space="preserve">הצעת חוק הגנת הצרכן (תיקון - קביעת סכום מרבי לחיוב חשבון), התשפ"ג-2023</t>
  </si>
  <si>
    <t xml:space="preserve"> (פ/3183/25)</t>
  </si>
  <si>
    <t xml:space="preserve">הצעת חוק להנצחת זכרם של הרב אברהם שפירא והרב מרדכי אליהו, התשפ"ג-2023</t>
  </si>
  <si>
    <t xml:space="preserve"> (פ/3182/25)</t>
  </si>
  <si>
    <t xml:space="preserve"> (פ/3181/25)</t>
  </si>
  <si>
    <t xml:space="preserve">הצעת חוק המרכז לגביית קנסות, אגרות והוצאות (תיקון - גביית תשלום בעד חוב שטרם חלף המועד לתשלומו), התשפ"ג-2023</t>
  </si>
  <si>
    <t xml:space="preserve"> (פ/3179/25)</t>
  </si>
  <si>
    <t xml:space="preserve">הצעת חוק להארכת מועד לקבלת דברי דואר (הוראת שעה), התשפ"ג-2023</t>
  </si>
  <si>
    <t xml:space="preserve"> (פ/3178/25)</t>
  </si>
  <si>
    <t xml:space="preserve">הצעת חוק ארוחה יומית לתלמיד (תיקון - הרחבת תחולת החוק), התשפ"ג-2023</t>
  </si>
  <si>
    <t xml:space="preserve"> (פ/3176/25)</t>
  </si>
  <si>
    <t xml:space="preserve">הצעת חוק ציוד רפואי (תיקון מס' 2 והוראת שעה), התשפ"ג-2023</t>
  </si>
  <si>
    <t xml:space="preserve"> (מ/1602)</t>
  </si>
  <si>
    <t xml:space="preserve">חוק הגדלת נקודות זיכוי להורים במס הכנסה והגדלת מענק עבודה (הוראת שעה) (תיקון), התשפ"ג-2023</t>
  </si>
  <si>
    <t xml:space="preserve"> (מ/1604)</t>
  </si>
  <si>
    <t xml:space="preserve">19.04.2023</t>
  </si>
  <si>
    <t xml:space="preserve">החוק מאריך את תקופת הוראת השעה המעניקה נקודת זיכוי אחת נוספת לכל הורה בעד ילדיו שמלאו להם שש שנים לפחות אך טרם מלאו להם שלוש עשרה שנים בשנת 2022.</t>
  </si>
  <si>
    <t xml:space="preserve">חוק להסדרת אירוע הילולת רבי שמעון בר יוחאי בהר מירון (הוראת שעה), התשפ"ג-2023</t>
  </si>
  <si>
    <t xml:space="preserve"> (מ/1617)</t>
  </si>
  <si>
    <t xml:space="preserve">02.04.2023</t>
  </si>
  <si>
    <t xml:space="preserve">חוק הסדרת אירוע הילולת רבי שמעון בר יוחאי בהר מירון (הוראת שעה), התשפ"ג–2023 אושר בקריאה שניה ושלישית ביום 2/4/2023.  החוק קובע הגבלה שתחול ביחס למספר השוהים במתחם מירון י בכל רגע נתון בזמן ההילולה,– אותה יקבע השר לירושלים ומסורת ישראל בצו ייעודי לענייו זה. עוד קובע החוק להגביל את השהייה במתחם מירון בהחזקת היתר שהייה, הניתן לרכישה באמצעות מנגנון של כרטיסי נסיעה, שלא תינתן הגעה למירון אלא באמצעותם בלבד. בנוסף, החוק אוסר על הדלקה במתחם מירון שלא במסגרת אירוע הדלקה אחד המהווה את אירוע ההדלקה המרכזי או במסגרת קיומם של אירועים נוספים: אירוע ההדלקה המרכזי  יתקיים בכפוף לאישורים של גורמי משטרה, ביטחון, כבאות ומהנדס רשוי. כמו כן, החוק מגביל קיום של אירועים נוספים במתחם מירון בזמן ההילולה, אלא אם כן ניתן היתר מהשר ובכפוף גם לאישורי הגורמים שצוינו. נקבע כי בקשות להיתר קיום אירועים אלו יוגשו עד לתאריך כ"ט בניסן התשפ"ג (20 באפריל 2023), והשר יפרסם את ההיתרים שניתנו עד ליום ט"ז באייר התשפ"ג (7 במאי 2023). עוד קובע החוק כי מוטלת אחריות על הממונה על ההילולה לספירת השוהים במתחם מירון בכל רגע נתון בזמן ההילולה, וכי אם מספר זה עולה על המספר המרבי שנקבע בצו השר, יש להביא זאת לידיעת גורם משטרתי שנקבע לכך. כמו כן, אם הובא לידיעת גורם משטרתי כי מספר המשתתפים עולה על המספר שהותר, בסמכותו להורות על הפסקת ההדלקה, הוצאת אמצעי עזר, מניעת כניסה של אדם או רכב למתחם מירון, הוצאת אנשים מהמתחם וכן העמדה לדין והטלת קנס של מי ששוהה במתחם או עורך אירוע הדלקה ללא היתר. לבסוף, נקבע, על דרך ההחרגה מחוק התכנון והבנייה, לאפשר שימושים ועבודות זמניים המבוצעים במתחם מירון לצרכי ההילולה, מהתקופה שבין ה-10 לאפריל ועד ל-24 במאי 2023.  </t>
  </si>
  <si>
    <t xml:space="preserve">הצעת חוק זכויות הסטודנט (תיקון – הרחבת זכויות הסטודנט), התשפ"ג–2023</t>
  </si>
  <si>
    <t xml:space="preserve"> (פ/2109/25)</t>
  </si>
  <si>
    <t xml:space="preserve">הצעת חוק התכנון והבנייה (תיקון - ייצוג הולם לאוכלוסייה החרדית במוסדות התכנון), התשפ"ג-2022</t>
  </si>
  <si>
    <t xml:space="preserve"> (פ/533/25)</t>
  </si>
  <si>
    <t xml:space="preserve">חוק סמכויות לאיסוף ואבחון של נתוני נוסעים הנכנסים לישראל או היוצאים ממנה, התשפ"ג-2023 </t>
  </si>
  <si>
    <t xml:space="preserve"> (מ/1581)</t>
  </si>
  <si>
    <t xml:space="preserve">29.03.2023</t>
  </si>
  <si>
    <t xml:space="preserve">החוק מסדיר את הקמתו של מרכז לאומי לאבחון נתוני נוסעים, אשר יקים וינהל מאגר מידע של נתוני הנוסעים והצוות בטיסות המופעלות אל ישראל וממנה. במסגרת זאת, יהיה רשאי ראש המרכז לדרוש מחברת תעופה למסור את נתוני הנוסעים ולהקים ממשק אלקטרוני קבוע בכדי לאפשר הזרמה קבועה ורציפה של המידע, ומידע זה יימסר בשלושה מועדים קבועים לכל טיסה. במסגרת המידע שיימסר ייכללו נתוני API (Advanced Passenger Information), כגון שם הנוסע, תאריך לידה, מין, לאום, מספר דרכון ושם המדינה שהנפיקה את הדרכון, וכן נתוני PNR (Passenger Name Record), כגון מספר טלפון נייד, כתובת דואר אלקטרוני, אמצעי התשלום, תאריכי הנסיעה, מסלול הנסיעה ונתוני הכבודה. ניתן יהיה להשתמש במידע למטרות של מניעה וסיכול טרור ופשיעה חמורה, אבטחת התעופה האזרחית, מאבק בהגירה בלתי חוקית והגנה על בריאות הציבור, והגופים שיהיו רשאים לקבל גישה למאגר יהיו השב"כ, המוסד, משטרת ישראל, רשות המיסים, רשות האוכלוסין וההגירה, משרד הבריאות ומשרד התחבורה. עוד מוצע להטיל על חברות התעופה חובת יידוע הנוסעים בדבר העברת המידע. בנוסף, נקבעו מנגנונים שנועדו לצמצם את הפגיעה בפרטיות, כגון חובת מינוי ממונה על הגנת הפרטיות במרכז, שמינויו ותנאי כשירותו ייקבעו בעצה אחת עם ראש הרשות להגנת הפרטיות במשרד המשפטים, ושעליו להכין תכנית עבודה שנתית ולהגיש דו"חות שנתיים על קיום הוראות הגנת הפרטיות במרכז. </t>
  </si>
  <si>
    <t xml:space="preserve">חוק הנכים (תגמולים ושיקום) (תיקון מס' 31), התשפ"ג-2023 </t>
  </si>
  <si>
    <t xml:space="preserve">החוק קובע כי נכי צה"ל וכן נפגעי פעולות איבה הזכאים לתגמול חודשי, זכאים להשתתפות המדינה בדמי ביטוח חיים, ביטוח בריאות וביטוח סיעוד בסכום שיקבע שר הביטחון או שר העבודה, לפי העניין, באישור ועדת העבודה והרווחה של הכנסת. כמו כן, החוק קובע כי קצין התגמולים או פקיד תביעות, לפי העניין, ינכו מהתגמול של נכה או נפגע איבה דמי חברות בארגון היציג, תשלומים לקרן לעזרה הדדית של הארגון היציג ודמי השתתפות בביטוח חיים הדדי ובביטוח סיעודי הדדי שנערכו באמצעות הארגון היציג – עד לסכום מירבי שיקבע שר הביטחון או שר העבודה, לפי העניין, באישור ועדת העבודה והרווחה. קצין התגמולים ינכה כאמור מתגמולו של נכה צה"ל רק לאחר שהודיע לו בכתב על זכותו להגיש התנגדות לניכוי, ואם הנכה שהוחל לנכות לו לראשונה, הגיש התנגדות תוך 30 ימים מום ההודעה, יושב לו סכום הניכוי אם נוכה. עוד נקבעו הוראות המסמיכות לנכות מתגמולו של נכה  צה"ל או של נפגע איבה, לפי בקשה מפורשת בכתב, הלוואות שניטלו מהארגון היציג ונקבעה מגבלה על שיעור הגבייה מהתגמול. ההגבלה כאמור תחול על הלוואות שניטלו לאחר ה-15 במאי 23. נוסף על כך, נקבעה הוראה המאפשרת לנכות מתגמולו של נכה צה"ל דמי חברות במיתקן חברה וספורט של ארגון נכי צה"ל, אם ביקש זאת בכתב. נוסף על כך נקבע כי האגף או המוסד לביטוח לאומי, לפי העניין, יעבירו לארגון היציג הרלוונטי, מדי חודש דיווח על כל אחד מהניכויים מהתגמול החודשי כאמור. </t>
  </si>
  <si>
    <t xml:space="preserve">הצעת חוק שירות המדינה (משמעת) (תיקון - חובת פיטורין של תומכי טרור), התשפ"ג-2023</t>
  </si>
  <si>
    <t xml:space="preserve"> (פ/3173/25)</t>
  </si>
  <si>
    <t xml:space="preserve">הצעת חוק התכנון והבנייה (תיקון - הגבלת תקופת ההפקעה לייעוד ציבורי), התשפ"ג-2023</t>
  </si>
  <si>
    <t xml:space="preserve"> (פ/3170/25)</t>
  </si>
  <si>
    <t xml:space="preserve">הצעת חוק להקפאת כספים ששילמה הרשות הפלסטינית בזיקה לטרור מהכספים המועברים אליה מממשלת ישראל (תיקון - חילוט הכספים וניהולם), התשפ"ג-2023</t>
  </si>
  <si>
    <t xml:space="preserve"> (פ/3169/25)</t>
  </si>
  <si>
    <t xml:space="preserve">הצעת חוק ביטוח בריאות ממלכתי (תיקון - החזר עבור פינוי באמבולנס), התשפ"ג-2023</t>
  </si>
  <si>
    <t xml:space="preserve"> (פ/3166/25)</t>
  </si>
  <si>
    <t xml:space="preserve">הצעת חוק המאבק בטרור (תיקון - החמרה בעונשם של עבריינם המועדים לעבירות טרור), התשפ"ג-2023</t>
  </si>
  <si>
    <t xml:space="preserve"> (פ/3165/25)</t>
  </si>
  <si>
    <t xml:space="preserve">הצעת חוק הנגשת שירותי קבלת קהל הניתנים בגופי שלטון לשפות נוספות, התשפ"ג-2023</t>
  </si>
  <si>
    <t xml:space="preserve"> (פ/3164/25)</t>
  </si>
  <si>
    <t xml:space="preserve">הצעת חוק חובת פרסום מידע על תלונות הציבור ודוח ביקורת פנימית (תיקוני חקיקה), התשפ"ג-2023</t>
  </si>
  <si>
    <t xml:space="preserve"> (פ/3163/25)</t>
  </si>
  <si>
    <t xml:space="preserve">הצעת חוק העונשין (תיקון - החמרת ענישה בגין אי-חובת דיווח), התשפ"ג-2023</t>
  </si>
  <si>
    <t xml:space="preserve"> (פ/3162/25)</t>
  </si>
  <si>
    <t xml:space="preserve"> (פ/3161/25)</t>
  </si>
  <si>
    <t xml:space="preserve">הצעת חוק לתיקון פקודת בתי הסוהר (תנאי אסיר ביטחוני בבתי הסוהר), התשפ"ג-2023</t>
  </si>
  <si>
    <t xml:space="preserve"> (פ/3160/25)</t>
  </si>
  <si>
    <t xml:space="preserve">הצעת חוק החלת ריבונות על מעלה אדומים, התשפ"ג-2023</t>
  </si>
  <si>
    <t xml:space="preserve"> (פ/3158/25)</t>
  </si>
  <si>
    <t xml:space="preserve">הצעת חוק החלת הריבונות של מדינת ישראל בחבלי יהודה והשומרון, התשפ"ג-2023</t>
  </si>
  <si>
    <t xml:space="preserve"> (פ/3156/25)</t>
  </si>
  <si>
    <t xml:space="preserve">הצעת חוק לתיקון פקודת סדרי השלטון והמשפט (חקיקה באמצעות צו), התשפ"ג-2023</t>
  </si>
  <si>
    <t xml:space="preserve"> (פ/3155/25)</t>
  </si>
  <si>
    <t xml:space="preserve"> (פ/3154/25)</t>
  </si>
  <si>
    <t xml:space="preserve"> (פ/3152/25)</t>
  </si>
  <si>
    <t xml:space="preserve">הצעת חוק העונשין (תיקון - הגדרת גזענות), התשפ"ג-2023</t>
  </si>
  <si>
    <t xml:space="preserve"> (פ/3151/25)</t>
  </si>
  <si>
    <t xml:space="preserve">הצעת חוק למניעת אלימות במשפחה (פיקוח טכנולוגי להבטחת קיומו של צו הגנה והערכת מסוכנות - הוראת שעה), התשפ"ג-2023</t>
  </si>
  <si>
    <t xml:space="preserve"> (פ/3150/25)</t>
  </si>
  <si>
    <t xml:space="preserve">הצעת חוק שירות המדינה (מינויים) (תיקון - ייצוג הולם לעולים חדשים), התשפ"ג-2023</t>
  </si>
  <si>
    <t xml:space="preserve"> (פ/3149/25)</t>
  </si>
  <si>
    <t xml:space="preserve">הצעת חוק הביטוח הלאומי (תיקון - דמי ביטוח מופחתים לסטודנטים במוסד להשכלה בחוץ לארץ), התשפ"ג-2023</t>
  </si>
  <si>
    <t xml:space="preserve"> (פ/3148/25)</t>
  </si>
  <si>
    <t xml:space="preserve">הצעת חוק לתיקון פקודת הסמים המסוכנים (שידול לייבוא או ייצוא חומר הנחשב לסם בחוץ לארץ), התשפ"ג-2023</t>
  </si>
  <si>
    <t xml:space="preserve"> (פ/3146/25)</t>
  </si>
  <si>
    <t xml:space="preserve"> (פ/3144/25)</t>
  </si>
  <si>
    <t xml:space="preserve">הצעת חוק המפלגות (תיקון - חובת קיום בחירות מקדימות), התשפ"ג-2023</t>
  </si>
  <si>
    <t xml:space="preserve"> (פ/3143/25)</t>
  </si>
  <si>
    <t xml:space="preserve"> (פ/3142/25)</t>
  </si>
  <si>
    <t xml:space="preserve">הצעת חוק צער בעלי חיים (הגנה על בעלי חיים) (תיקון - חובת היתר לייצוא בעל חיים), התשפ"ג-2023</t>
  </si>
  <si>
    <t xml:space="preserve"> (פ/3141/25)</t>
  </si>
  <si>
    <t xml:space="preserve">הצעת חוק חינוך מיוחד (תיקון - שפת הלימוד במוסד לחינוך מיוחד), התשפ"ג-2023</t>
  </si>
  <si>
    <t xml:space="preserve"> (פ/3140/25)</t>
  </si>
  <si>
    <t xml:space="preserve">הצעת חוק העמותות (תיקון - מימון טרור כעילת פירוק), התשפ"ג-2023</t>
  </si>
  <si>
    <t xml:space="preserve"> (פ/3139/25)</t>
  </si>
  <si>
    <t xml:space="preserve">הצעת חוק הפיקוח על מעונות יום לפעוטות (תיקון - כשירותם של מחנכים-מטפלים), התשפ"ג-2023</t>
  </si>
  <si>
    <t xml:space="preserve"> (פ/3138/25)</t>
  </si>
  <si>
    <t xml:space="preserve">הצעת חוק בתי המשפט (תיקון - דוח גיוון וייצוג), התשפ"ג-2023</t>
  </si>
  <si>
    <t xml:space="preserve"> (פ/3137/25)</t>
  </si>
  <si>
    <t xml:space="preserve">הצעת חוק ביטוח בריאות ממלכתי (תיקון - מחלה נדירה), התשפ"ג-2023</t>
  </si>
  <si>
    <t xml:space="preserve"> (פ/3133/25)</t>
  </si>
  <si>
    <t xml:space="preserve">הצעת חוק ההסגרה (תיקון - סייג להסגרת אזרח תושב ישראל), התשפ"ג-2023</t>
  </si>
  <si>
    <t xml:space="preserve"> (פ/3132/25)</t>
  </si>
  <si>
    <t xml:space="preserve">הצעת חוק הביטוח הלאומי (תיקון - השוואת קצבת אזרח ותיק לשכר הממוצע במשק), התשפ"ג-2023</t>
  </si>
  <si>
    <t xml:space="preserve"> (פ/3131/25)</t>
  </si>
  <si>
    <t xml:space="preserve">הצעת חוק רישוי סוכני אונייה, התשפ"ג-2023 </t>
  </si>
  <si>
    <t xml:space="preserve"> (פ/3130/25)</t>
  </si>
  <si>
    <t xml:space="preserve">הצעת חוק שלילת זכויות לראש ממשלה לשעבר שכיהן תקופה קצרה, התשפ"ג-2023</t>
  </si>
  <si>
    <t xml:space="preserve"> (פ/3129/25)</t>
  </si>
  <si>
    <t xml:space="preserve">הצעת חוק הביטוח הלאומי (תיקון - שיעור ההטבה לפי הסכם בדבר גמלת ניידות), התשפ"ג-2023</t>
  </si>
  <si>
    <t xml:space="preserve"> (פ/3128/25)</t>
  </si>
  <si>
    <t xml:space="preserve">הצעת חוק טיפול ארוך טווח בעבירות מין חמורות, התשפ"ג-2023</t>
  </si>
  <si>
    <t xml:space="preserve"> (פ/3125/25)</t>
  </si>
  <si>
    <t xml:space="preserve">הצעת חוק ביטוח בריאות ממלכתי (תיקון - מימון הסעה לבית חולים), התשפ"ג-2023</t>
  </si>
  <si>
    <t xml:space="preserve"> (פ/3124/25)</t>
  </si>
  <si>
    <t xml:space="preserve"> (פ/3123/25)</t>
  </si>
  <si>
    <t xml:space="preserve">הצעת חוק הגנת הצרכן (תיקון - שינוי פרטים בכרטיס טיסה או בכרטיס לשיט), התשפ"ג-2023</t>
  </si>
  <si>
    <t xml:space="preserve"> (פ/3122/25)</t>
  </si>
  <si>
    <t xml:space="preserve"> (פ/3121/25)</t>
  </si>
  <si>
    <t xml:space="preserve">הצעת חוק לפיקוח על ייצור הצמח ושיווקו (תיקון - חובת סימון ארץ הייצור של הצמחים), התשפ"ג-2023</t>
  </si>
  <si>
    <t xml:space="preserve"> (פ/3120/25)</t>
  </si>
  <si>
    <t xml:space="preserve"> (פ/3119/25)</t>
  </si>
  <si>
    <t xml:space="preserve"> (פ/3117/25)</t>
  </si>
  <si>
    <t xml:space="preserve">הצעת חוק חובת המכרזים (תיקון - עידוד העסקת עובדים מאוכלוסיות ייחודיות), התשפ"ג-2023</t>
  </si>
  <si>
    <t xml:space="preserve"> (פ/3116/25)</t>
  </si>
  <si>
    <t xml:space="preserve"> (פ/3115/25)</t>
  </si>
  <si>
    <t xml:space="preserve">הצעת חוק מעונות יום לפעוטות (תנאים להשתתפות המדינה בעלות שכר הלימוד), התשפ"ג-2023</t>
  </si>
  <si>
    <t xml:space="preserve"> (פ/3114/25)</t>
  </si>
  <si>
    <t xml:space="preserve">הצעת חוק לימוד חובה (תיקון - הוספת סייעת בגני ילדים), התשפ"ג-2023</t>
  </si>
  <si>
    <t xml:space="preserve"> (פ/3113/25)</t>
  </si>
  <si>
    <t xml:space="preserve"> (פ/3112/25)</t>
  </si>
  <si>
    <t xml:space="preserve"> (פ/3111/25)</t>
  </si>
  <si>
    <t xml:space="preserve">הצעת חוק לתיקון פקודת התעבורה (חניית נשים בהריון והורה לתינוק), התשפ"ג-2023</t>
  </si>
  <si>
    <t xml:space="preserve"> (פ/3110/25)</t>
  </si>
  <si>
    <t xml:space="preserve">הצעת חוק הביטוח הלאומי (תיקון - מענק לכיסוי הוצאות בלידת בית), התשפ"ג-2023</t>
  </si>
  <si>
    <t xml:space="preserve"> (פ/3109/25)</t>
  </si>
  <si>
    <t xml:space="preserve">הצעת חוק המאבק בטרור (תיקון - סיווג טרור ואכיפה משולבת), התשפ"ג-2023</t>
  </si>
  <si>
    <t xml:space="preserve"> (פ/3108/25)</t>
  </si>
  <si>
    <t xml:space="preserve">הצעת חוק הבטחת הכנסה (תיקון - זכאות לגמלה למי שמצוי בהכשרה מקצועית), התשפ"ג-2023</t>
  </si>
  <si>
    <t xml:space="preserve"> (פ/3107/25)</t>
  </si>
  <si>
    <t xml:space="preserve">הצעת חוק האזרחים הוותיקים (תיקון - לחצן מצוקה לקשיש), התשפ"ג-2023</t>
  </si>
  <si>
    <t xml:space="preserve"> (פ/3106/25)</t>
  </si>
  <si>
    <t xml:space="preserve">הצעת חוק הביטוח הלאומי (תיקון - הגדלת סכום קצבאות הילדים), התשפ"ג-2023</t>
  </si>
  <si>
    <t xml:space="preserve"> (פ/3105/25)</t>
  </si>
  <si>
    <t xml:space="preserve">הצעת חוק גוש אריאל, התשפ"ג-2023</t>
  </si>
  <si>
    <t xml:space="preserve"> (פ/3104/25)</t>
  </si>
  <si>
    <t xml:space="preserve">הצעת חוק העונשין (תיקון - החמרת ענישה בשל תקיפת צוות רפואי), התשפ''ג-2023</t>
  </si>
  <si>
    <t xml:space="preserve"> (פ/3103/25)</t>
  </si>
  <si>
    <t xml:space="preserve"> (פ/3102/25)</t>
  </si>
  <si>
    <t xml:space="preserve"> (פ/3101/25)</t>
  </si>
  <si>
    <t xml:space="preserve">הצעת חוק העונשין (תיקון - החמרת ענישה בעבירות אלימות), התשפ"ג-2023</t>
  </si>
  <si>
    <t xml:space="preserve"> (פ/3100/25)</t>
  </si>
  <si>
    <t xml:space="preserve">הצעת חוק שירותי רווחה (זכויות נשים ששהו במקלט לנשים מוכות) (תיקון - העלאת סכום מענק ההסתגלות ושינוי מועד תשלומו), התשפ"ג-2023</t>
  </si>
  <si>
    <t xml:space="preserve"> (פ/3099/25)</t>
  </si>
  <si>
    <t xml:space="preserve">הצעת חוק בתי המשפט (תיקון - התמודדות עם עינויי דין), התשפ"ג-2023</t>
  </si>
  <si>
    <t xml:space="preserve"> (פ/3098/25)</t>
  </si>
  <si>
    <t xml:space="preserve">הצעת חוק ביטוח בריאות ממלכתי (תיקון - הגבלת סכום ההשתתפות העצמית בתכשיר מרשם), התשפ"ג-2023</t>
  </si>
  <si>
    <t xml:space="preserve"> (פ/3097/25)</t>
  </si>
  <si>
    <t xml:space="preserve">הצעת חוק זכויות הסטודנט (תיקון - פעילות ציבורית), התשפ"ג-2023</t>
  </si>
  <si>
    <t xml:space="preserve"> (פ/3096/25)</t>
  </si>
  <si>
    <t xml:space="preserve"> (פ/3093/25)</t>
  </si>
  <si>
    <t xml:space="preserve">הצעת חוק שיווי זכויות האישה (תיקון - הרחבת חובת הייצוג ההולם של נשים בגופים ציבוריים), התשפ"ג-2023</t>
  </si>
  <si>
    <t xml:space="preserve"> (פ/3092/25)</t>
  </si>
  <si>
    <t xml:space="preserve">הצעת חוק כביש אגרה (כביש ארצי לישראל) (תיקון - החזר לנוסעים בשל האטה משמעותית), התשפ"ג-2023</t>
  </si>
  <si>
    <t xml:space="preserve"> (פ/3091/25)</t>
  </si>
  <si>
    <t xml:space="preserve">הצעת חוק לפיטורין והשעיה של עובד הוראה שנפתח נגדו הליך פלילי בעבירת מין או אלימות חמורה (תיקוני חקיקה), התשפ"ג-2023</t>
  </si>
  <si>
    <t xml:space="preserve"> (פ/3090/25)</t>
  </si>
  <si>
    <t xml:space="preserve"> (פ/3089/25)</t>
  </si>
  <si>
    <t xml:space="preserve"> (פ/3087/25)</t>
  </si>
  <si>
    <t xml:space="preserve"> (פ/3086/25)</t>
  </si>
  <si>
    <t xml:space="preserve">הצעת חוק לימוד חובה (תיקון - חינוך חינם מגיל שנתיים), התשפ"ג-2023</t>
  </si>
  <si>
    <t xml:space="preserve"> (פ/3085/25)</t>
  </si>
  <si>
    <t xml:space="preserve">הצעת חוק הביטוח הלאומי (תיקון - עבודה בחינוך וסיוע להוראה או בטיפול בילדים כעבודה מועדפת), התשפ"ג-2023</t>
  </si>
  <si>
    <t xml:space="preserve"> (פ/3083/25)</t>
  </si>
  <si>
    <t xml:space="preserve">הצעת חוק הביטוח הלאומי (תיקון - תשלום תוספת לגמלת אזרח ותיק לנכה שהכנסתו נמוכה משכר המינימום), התשפ"ג-2023</t>
  </si>
  <si>
    <t xml:space="preserve"> (פ/3082/25)</t>
  </si>
  <si>
    <t xml:space="preserve">הצעת חוק עובדים זרים (תיקון - גביית פיצוי נזיקי מכספי פיקדון), התשפ"ג-2023</t>
  </si>
  <si>
    <t xml:space="preserve"> (פ/3081/25)</t>
  </si>
  <si>
    <t xml:space="preserve">הצעת חוק התאמת אופן ההעסקה של מטפלות במשפחתונים המפוקחים על ידי משרד העבודה, התשפ"ג-2023</t>
  </si>
  <si>
    <t xml:space="preserve"> (פ/3080/25)</t>
  </si>
  <si>
    <t xml:space="preserve">הצעת חוק עבודת נשים (תיקון - תקופת לידה והורות לבן זוג של יולדת), התשפ"ג-2023</t>
  </si>
  <si>
    <t xml:space="preserve"> (פ/3078/25)</t>
  </si>
  <si>
    <t xml:space="preserve">הצעת חוק לאיסור מתן היתר שהייה בישראל לעבריין בנייה בשטחי c, התשפ"ג-2023</t>
  </si>
  <si>
    <t xml:space="preserve"> (פ/3077/25)</t>
  </si>
  <si>
    <t xml:space="preserve"> (פ/3076/25)</t>
  </si>
  <si>
    <t xml:space="preserve">הצעת חוק זכויות הסטודנט (תיקון - הרחבת זכויות הסטודנט), התשפ"ג-2023</t>
  </si>
  <si>
    <t xml:space="preserve"> (פ/3075/25)</t>
  </si>
  <si>
    <t xml:space="preserve">הצעת חוק לעידוד השקעות הון (תיקון - הטבות לחברת התחדשות עירונית בפריפריה), התשפ"ג-2023</t>
  </si>
  <si>
    <t xml:space="preserve"> (פ/3073/25)</t>
  </si>
  <si>
    <t xml:space="preserve">הצעת חוק עורכי דין מיוחדים, התשפ"ג-2023</t>
  </si>
  <si>
    <t xml:space="preserve"> (פ/3070/25)</t>
  </si>
  <si>
    <t xml:space="preserve">הצעת חוק הביטוח הלאומי (תיקון - הקלות בניידות), התשפ"ג-2023</t>
  </si>
  <si>
    <t xml:space="preserve"> (פ/3068/25)</t>
  </si>
  <si>
    <t xml:space="preserve">הצעת חוק מערך החוץ וההסברה, התשפ"ג-2023</t>
  </si>
  <si>
    <t xml:space="preserve"> (פ/3065/25)</t>
  </si>
  <si>
    <t xml:space="preserve">הצעת חוק לתיקון פקודת מס הכנסה (שינוי הקריטריונים ליישוב מוטב), התשפ"ג-2023</t>
  </si>
  <si>
    <t xml:space="preserve"> (פ/3064/25)</t>
  </si>
  <si>
    <t xml:space="preserve">הצעת חוק שעות עבודה ומנוחה (תיקון - סמכויות שרים להתרת עבודות בשבת), התשפ"ג-2023</t>
  </si>
  <si>
    <t xml:space="preserve"> (פ/3063/25)</t>
  </si>
  <si>
    <t xml:space="preserve"> (פ/3062/25)</t>
  </si>
  <si>
    <t xml:space="preserve"> (פ/3060/25)</t>
  </si>
  <si>
    <t xml:space="preserve">הצעת חוק ההתגוננות האזרחית (תיקון - אפשרות לקבלת פטור מבניית מקלט בהרחבת בית), התשפ"ג-2023</t>
  </si>
  <si>
    <t xml:space="preserve"> (פ/3059/25)</t>
  </si>
  <si>
    <t xml:space="preserve">הצעת חוק לייעול האכיפה והפיקוח העירוניים ברשויות המקומיות (הוראת שעה) (תיקון - סמכויות לשמירה על הסדר הציבורי), התשפ"ג-2023</t>
  </si>
  <si>
    <t xml:space="preserve"> (פ/3057/25)</t>
  </si>
  <si>
    <t xml:space="preserve">הצעת חוק המועצה להשכלה גבוהה (תיקון - ביטול חובת דרישות מבחני כניסה וציון פסיכומטרי), התשפ"ג-2023</t>
  </si>
  <si>
    <t xml:space="preserve"> (פ/3056/25)</t>
  </si>
  <si>
    <t xml:space="preserve">הצעת חוק העונשין (תיקון - הגנת בית מגורים, נכס, בית עסק ומשק חקלאי), התשפ"ג-2023</t>
  </si>
  <si>
    <t xml:space="preserve"> (פ/3055/25)</t>
  </si>
  <si>
    <t xml:space="preserve">הצעת חוק ביטול המינהל האזרחי, התשפ"ג-2023</t>
  </si>
  <si>
    <t xml:space="preserve"> (פ/3054/25)</t>
  </si>
  <si>
    <t xml:space="preserve">הצעת חוק משפחות חיילים שנספו במערכה (תגמולים ושיקום) (תיקון - הכרה בארוסות חיילים שנספו במערכה), התשפ"ג-2023</t>
  </si>
  <si>
    <t xml:space="preserve"> (פ/3053/25)</t>
  </si>
  <si>
    <t xml:space="preserve">הצעת חוק השיפוט הצבאי (תיקון - וידוא הריגה), התשפ"ג-2023</t>
  </si>
  <si>
    <t xml:space="preserve"> (פ/3052/25)</t>
  </si>
  <si>
    <t xml:space="preserve">הצעת חוק השיפוט הצבאי (תיקון - קביעת ערובה חלף מעצר), התשפ"ג-2023</t>
  </si>
  <si>
    <t xml:space="preserve"> (פ/3051/25)</t>
  </si>
  <si>
    <t xml:space="preserve"> (פ/3050/25)</t>
  </si>
  <si>
    <t xml:space="preserve">חוק סדר הדין הפלילי (סמכויות אכיפה – חיפוש בגוף ונטילת אמצעי זיהוי) (תיקון מס' 8), התשפ"ג-2023</t>
  </si>
  <si>
    <t xml:space="preserve"> (מ/1598)</t>
  </si>
  <si>
    <t xml:space="preserve">27.03.2023</t>
  </si>
  <si>
    <t xml:space="preserve">חוק סדר הדין הפלילי (סמכויות אכיפה – חיפוש בגוף ונטילת אמצעי זיהוי) (תיקון מס' 8), התשפ"ג-2023, נדון בקריאה השנייה והשלישית ביום ו' בניסן התשפ"ג (28 במרץ 2023). החוק מעגן הסדרים שנועדו ליישם הסכמים שנחתמו במסגרת המשא ומתן בין ישראל לבין ארצות הברית על הצטרפות ישראל לתוכנית הפטור מוויזה: ההסכם להגברת שיתוף הפעולה במאבק בפשיעה חמורה וטרור (הסכם PCSC), שנחתם בין ממשלת ישראל וממשלת ארצות הברית, ו המזכר בדבר שיתוף פעולה בנושא חיזוק ושמירה על ביטחון הגבולות (מזכר ה־ EBSA) שנחתם בין המשרד לביטחון הפנים לבין המשרד לביטחון המולדת בארצות הברית. זאת, באופן שיאפשר לרשויות אכיפת החוק ורשויות העוסקות במאבק בטרור בארצות הברית גישה למאגר טביעות האצבע של משטרת ישראל.  החוק קובע את סמכותה של המשטרה למסור את המידע לפי ההסכם והמזכר. בהצעה מעוגן ההליך, לפיו הגופים המוכרים לפי ההסכם או המזכר יוכלו להזין למערכת מחשב ייעודית נתוני זיהוי שהופקו מטביעות אצבעות, לשם השוואתם לנתוני זיהוי המצויים במאגר משטרת ישראל, ובמקרה של התאמה, משטרת ישראל תוכל להעביר להן פרטי זיהוי, את טביעת האצבע עצמה וכן מידע מהמרשם הפלילי. הזנת נתונים לשם השוואה, תיעשה למטרות מניעה, גילוי או חקירה של פשיעה חמורה לרבות טרור; כאשר ישנו חשד כלפי אדם מסוים, מניעה גילוי או חקירה של מעשה המהווה עבירה שבשלה אדם אינו זכאי להיכנס לארצות הברית או להגר אליה או מועמד להרחקה ממנה; לשם הקלת הליך הבירור לגבי אדם המבקש להיכנס לארצות הברית או לקבל זכויות בקשר להגירה.  </t>
  </si>
  <si>
    <t xml:space="preserve">חוק לתיקון פקודת הרופאים (מס' 15), התשפ"ג-2023</t>
  </si>
  <si>
    <t xml:space="preserve"> (מ/1500)</t>
  </si>
  <si>
    <t xml:space="preserve">חוק זה מאפשר למנכ"ל משרד הבריאות להתיר גם לעוזרים מסוימים, כגון  פראמדיקים או פלבוטומיסטים, לבצע פעולות רפואיות בבית החולה וזאת בכפוף לתנאים שייקבעו בתקנות באישור ועדת הבריאות של הכנסת.</t>
  </si>
  <si>
    <t xml:space="preserve">חוק זכויות החולה (תיקון מס' 13), התשפ"ג–2023</t>
  </si>
  <si>
    <t xml:space="preserve"> (פ/138/25)</t>
  </si>
  <si>
    <t xml:space="preserve"> (כ/948)</t>
  </si>
  <si>
    <t xml:space="preserve">החוק מסמיך את מנהלי בתי החולים לקבוע הוראות בדבר איסור או הגבלה של הכנסת חמץ למבנה בית החולים, כולו או חלקו, הנדרשות לשם שמירת כשרות בחג הפסח עבור המאושפזים. קביעת ההוראות תעשה לאחר שהמנהל שקל חלופות אחרות ובהתחשב בזכויות המטופלים ובצורכיהם. המנהל רשאי להתחשב בין היתר בצורכי המלווים של המטופלים והעובדים. בנוסף, החוק קובע כי ההוראות יפורסמו באופן קבוע באתר האינטרנט של בית החולים ואם אין אתר כזה – באתר משרד הבריאות, ובבית החולים יוצבו שלטים בדבר ההוראות. מנהל בית החולים יהיה רשאי להסמיך עובד לשם יידוע על ההוראות. בחוק הובהר כי הוראות  הסדר זה  אינן גורעות מהוראות כל דין הנוגע לכשרות המזון.</t>
  </si>
  <si>
    <t xml:space="preserve"> (פ/3047/25)</t>
  </si>
  <si>
    <t xml:space="preserve">הצעת חוק התמודדות עם תופעת נטילת דמי חסות, התשפ"ג-2023</t>
  </si>
  <si>
    <t xml:space="preserve"> (פ/3046/25)</t>
  </si>
  <si>
    <t xml:space="preserve">הצעת חוק הפיקוח על שירותים פיננסיים (ביטוח) (תיקון - מוסד ליישוב סכסוכים), התשפ"ג-2023</t>
  </si>
  <si>
    <t xml:space="preserve"> (פ/3045/25)</t>
  </si>
  <si>
    <t xml:space="preserve"> (פ/3044/25)</t>
  </si>
  <si>
    <t xml:space="preserve"> (פ/3043/25)</t>
  </si>
  <si>
    <t xml:space="preserve"> (פ/3042/25)</t>
  </si>
  <si>
    <t xml:space="preserve">הצעת חוק הביטוח הלאומי (תיקון - עבודה באבטחה כעבודה מועדפת), התשפ"ג-2023</t>
  </si>
  <si>
    <t xml:space="preserve"> (פ/3037/25)</t>
  </si>
  <si>
    <t xml:space="preserve"> (פ/3036/25)</t>
  </si>
  <si>
    <t xml:space="preserve">הצעת חוק קרן קיימת לישראל (תחולת דיני המס והוראת שעה) (תיקון - היטל מימון פיתוח על מקרקעי קרן קיימת לישראל), התשפ"ג-2023</t>
  </si>
  <si>
    <t xml:space="preserve"> (פ/3035/25)</t>
  </si>
  <si>
    <t xml:space="preserve">הצעת חוק לשינוי סדרי עדיפויות לאומיים (תיקוני חקיקה להשגת יעדי התקציב לשנים 2013 ו-2014) (תיקון - ביטול השיעור הנוסף), התשפ"ג-2023</t>
  </si>
  <si>
    <t xml:space="preserve"> (פ/3034/25)</t>
  </si>
  <si>
    <t xml:space="preserve">הצעת חוק עבודת נשים (תיקון - שעות היעדרות מעבודה לאישה בהריון בר-סיכון), התשפ"ג-2023</t>
  </si>
  <si>
    <t xml:space="preserve"> (פ/3033/25)</t>
  </si>
  <si>
    <t xml:space="preserve">הצעת חוק ביטוח בריאות ממלכתי (תיקון - החזר דמי נסיעות עבור חולה סיעודי וחולה שנפטר), התשפ"ג-2023</t>
  </si>
  <si>
    <t xml:space="preserve"> (פ/3032/25)</t>
  </si>
  <si>
    <t xml:space="preserve">הצעת חוק הביטוח הלאומי (תיקון - דמי אבטלה למתמחים), התשפ"ג-2023</t>
  </si>
  <si>
    <t xml:space="preserve"> (פ/3031/25)</t>
  </si>
  <si>
    <t xml:space="preserve">הצעת חוק התכנון והבנייה (תיקון - שיעור היטל השבחה), התשפ"ג-2023</t>
  </si>
  <si>
    <t xml:space="preserve"> (פ/3030/25)</t>
  </si>
  <si>
    <t xml:space="preserve">הצעת חוק לתיקון פקודת בריאות העם (מכרז להצבת מכונות מזון אוטומטיות), התשפ"ג-2023</t>
  </si>
  <si>
    <t xml:space="preserve"> (פ/3029/25)</t>
  </si>
  <si>
    <t xml:space="preserve">הצעת חוק מעונות יום שיקומיים (תיקון - הקדמת גיל הזכאות), התשפ"ג-2023</t>
  </si>
  <si>
    <t xml:space="preserve"> (פ/3028/25)</t>
  </si>
  <si>
    <t xml:space="preserve">הצעת חוק הגנת השכר (תיקון - פנקס שכר, תלוש שכר וגליון אלקטרוני), התשפ"ג-2023</t>
  </si>
  <si>
    <t xml:space="preserve"> (פ/3027/25)</t>
  </si>
  <si>
    <t xml:space="preserve"> (פ/3026/25)</t>
  </si>
  <si>
    <t xml:space="preserve">הצעת חוק לתיקון פקודת מסי העירייה ומסי הממשלה (פטורין) (פטור מארנונה לישיבת הסדר ולמכינה קדם צבאית), התשפ"ג-2023</t>
  </si>
  <si>
    <t xml:space="preserve"> (פ/3025/25)</t>
  </si>
  <si>
    <t xml:space="preserve"> (פ/3023/25)</t>
  </si>
  <si>
    <t xml:space="preserve"> (פ/3022/25)</t>
  </si>
  <si>
    <t xml:space="preserve"> (פ/3021/25)</t>
  </si>
  <si>
    <t xml:space="preserve"> (פ/3020/25)</t>
  </si>
  <si>
    <t xml:space="preserve"> (פ/3019/25)</t>
  </si>
  <si>
    <t xml:space="preserve"> (פ/3017/25)</t>
  </si>
  <si>
    <t xml:space="preserve">הצעת חוק הביטוח הלאומי (תיקון - ערעור על החלטת ועדה לעררים), התשפ"ג-2023</t>
  </si>
  <si>
    <t xml:space="preserve"> (פ/3015/25)</t>
  </si>
  <si>
    <t xml:space="preserve"> (פ/3014/25)</t>
  </si>
  <si>
    <t xml:space="preserve"> (פ/3013/25)</t>
  </si>
  <si>
    <t xml:space="preserve"> (פ/3012/25)</t>
  </si>
  <si>
    <t xml:space="preserve"> (פ/3011/25)</t>
  </si>
  <si>
    <t xml:space="preserve">הצעת חוק זכויות הסטודנט (תיקון - תמיכה בסטודנטים שהם הורים), התשפ"ג-2023</t>
  </si>
  <si>
    <t xml:space="preserve"> (פ/3010/25)</t>
  </si>
  <si>
    <t xml:space="preserve">הצעת חוק הביטוח הלאומי (תיקון - טיפול בפעוטות במעונות יום כעבודה מועדפת), התשפ"ג-2023</t>
  </si>
  <si>
    <t xml:space="preserve"> (פ/3009/25)</t>
  </si>
  <si>
    <t xml:space="preserve">הצעת חוק יסודות התקציב (תיקון - תמיכת משרדי ממשלה במוסדות ציבור), התשפ"ג-2023</t>
  </si>
  <si>
    <t xml:space="preserve"> (פ/3008/25)</t>
  </si>
  <si>
    <t xml:space="preserve">הצעת חוק הפיקוח על שירותים פיננסיים (קופות גמל) (תיקון - הרחבת הגדרת פנסיה תקציבית), התשפ"ג-2023</t>
  </si>
  <si>
    <t xml:space="preserve"> (פ/3007/25)</t>
  </si>
  <si>
    <t xml:space="preserve"> (פ/3006/25)</t>
  </si>
  <si>
    <t xml:space="preserve">הצעת חוק המועצה להשכלה גבוהה (תיקון - הקמת מוסדות להשכלה גבוהה בפריפריה), התשפ"ג-2023</t>
  </si>
  <si>
    <t xml:space="preserve"> (פ/3005/25)</t>
  </si>
  <si>
    <t xml:space="preserve"> (פ/3004/25)</t>
  </si>
  <si>
    <t xml:space="preserve">הצעת חוק דמי מחלה (היעדרות בשל מחלת ילד) (תיקון - מחלת תינוק), התשפ"ג-2023</t>
  </si>
  <si>
    <t xml:space="preserve"> (פ/3002/25)</t>
  </si>
  <si>
    <t xml:space="preserve"> (פ/3001/25)</t>
  </si>
  <si>
    <t xml:space="preserve"> (פ/3000/25)</t>
  </si>
  <si>
    <t xml:space="preserve"> (פ/2999/25)</t>
  </si>
  <si>
    <t xml:space="preserve"> (פ/2998/25)</t>
  </si>
  <si>
    <t xml:space="preserve">הצעת חוק ביטוח בריאות ממלכתי (תיקון - פנייה לנציב קבילות הציבור), התשפ"ג-2023 </t>
  </si>
  <si>
    <t xml:space="preserve"> (פ/2997/25)</t>
  </si>
  <si>
    <t xml:space="preserve"> (פ/2995/25)</t>
  </si>
  <si>
    <t xml:space="preserve"> (פ/2993/25)</t>
  </si>
  <si>
    <t xml:space="preserve">הצעת חוק שלילת זכויות למעורב בטרור ולבני משפחתו (תיקוני חקיקה), התשפ"ג-2023</t>
  </si>
  <si>
    <t xml:space="preserve"> (פ/2990/25)</t>
  </si>
  <si>
    <t xml:space="preserve">הצעת חוק מגן דוד אדום (תיקון - פינוי לבית חולים כללי הקרוב בתשלום קבוע), התשפ"ג-2023</t>
  </si>
  <si>
    <t xml:space="preserve"> (פ/2989/25)</t>
  </si>
  <si>
    <t xml:space="preserve">הצעת חוק להכרה, לחקר האמת, להנצחה ולפיצוי של נפגעי פרשת ילדי תימן, המזרח והבלקן, התשפ"ג-2023</t>
  </si>
  <si>
    <t xml:space="preserve"> (פ/2988/25)</t>
  </si>
  <si>
    <t xml:space="preserve">הצעת חוק עוסק זעיר, התשפ"ג-2023</t>
  </si>
  <si>
    <t xml:space="preserve"> (פ/2987/25)</t>
  </si>
  <si>
    <t xml:space="preserve">הצעת חוק יום אבל במות קרוב מדרגה שנייה, התשפ"ג-2023</t>
  </si>
  <si>
    <t xml:space="preserve"> (פ/2986/25)</t>
  </si>
  <si>
    <t xml:space="preserve">הצעת חוק לתיקון פקודת המכס (ביטול חיוב בעד בדיקת טובין), התשפ"ג-2023</t>
  </si>
  <si>
    <t xml:space="preserve"> (פ/2985/25)</t>
  </si>
  <si>
    <t xml:space="preserve"> (פ/2984/25)</t>
  </si>
  <si>
    <t xml:space="preserve">הצעת חוק מגן דוד אדום (תיקון - הענקת שירותי רפואה מרחוק), התשפ"ג-2023</t>
  </si>
  <si>
    <t xml:space="preserve"> (פ/2983/25)</t>
  </si>
  <si>
    <t xml:space="preserve"> (פ/2982/25)</t>
  </si>
  <si>
    <t xml:space="preserve"> (פ/2981/25)</t>
  </si>
  <si>
    <t xml:space="preserve">הצעת חוק היטלי סחר ואמצעי הגנה (תיקון - אי פתיחת חקירה בשל יבוא בהיצף בשוק מונופוליסטי או ריכוזי), התשפ"ג-2023</t>
  </si>
  <si>
    <t xml:space="preserve"> (פ/2980/25)</t>
  </si>
  <si>
    <t xml:space="preserve"> (פ/2979/25)</t>
  </si>
  <si>
    <t xml:space="preserve"> (פ/2978/25)</t>
  </si>
  <si>
    <t xml:space="preserve"> (פ/2977/25)</t>
  </si>
  <si>
    <t xml:space="preserve">הצעת חוק בינוי ופינוי של אזורי שיקום (כפר שלם), התשפ"ג-2023</t>
  </si>
  <si>
    <t xml:space="preserve"> (פ/2976/25)</t>
  </si>
  <si>
    <t xml:space="preserve"> (פ/2974/25)</t>
  </si>
  <si>
    <t xml:space="preserve">הצעת חוק כלי הירייה (תיקון - דמויי כלי ירייה), התשפ"ג-2023</t>
  </si>
  <si>
    <t xml:space="preserve"> (פ/2973/25)</t>
  </si>
  <si>
    <t xml:space="preserve"> (פ/2972/25)</t>
  </si>
  <si>
    <t xml:space="preserve"> (פ/2971/25)</t>
  </si>
  <si>
    <t xml:space="preserve"> (פ/2969/25)</t>
  </si>
  <si>
    <t xml:space="preserve"> (פ/2968/25)</t>
  </si>
  <si>
    <t xml:space="preserve">הצעת חוק פיקוח על מחירים, שיווק וסבסוד של מזון ללא גלוטן, התשפ"ג -2023</t>
  </si>
  <si>
    <t xml:space="preserve"> (פ/2966/25)</t>
  </si>
  <si>
    <t xml:space="preserve">הצעת חוק לתיקון פקודת הראיות (עדות עובד במשרת אמון), התשפ"ג-2023</t>
  </si>
  <si>
    <t xml:space="preserve"> (פ/2965/25)</t>
  </si>
  <si>
    <t xml:space="preserve">הצעת חוק ארגוני עזר רפואיים הפועלים בתחום רפואת חירום דחופה טרום אשפוזית, התשפ"ג-2023</t>
  </si>
  <si>
    <t xml:space="preserve"> (פ/2962/25)</t>
  </si>
  <si>
    <t xml:space="preserve">הצעת חוק הרשות הלאומית לתרבות הארמית, התשפ"ג-2023</t>
  </si>
  <si>
    <t xml:space="preserve"> (פ/2961/25)</t>
  </si>
  <si>
    <t xml:space="preserve"> (פ/2960/25)</t>
  </si>
  <si>
    <t xml:space="preserve">הצעת חוק הדגל, הסמל והמנון המדינה (תיקון - הצבת דגל המדינה בבתי ספר), התשפ"ג-2023</t>
  </si>
  <si>
    <t xml:space="preserve"> (פ/2958/25)</t>
  </si>
  <si>
    <t xml:space="preserve">הצעת חוק חינוך ממלכתי (תיקון - חובת לימודי היסטוריה ומורשת ישראל בבית ספר יסודי), התשפ"ג-2023</t>
  </si>
  <si>
    <t xml:space="preserve"> (פ/2957/25)</t>
  </si>
  <si>
    <t xml:space="preserve"> (פ/2956/25)</t>
  </si>
  <si>
    <t xml:space="preserve"> (פ/2955/25)</t>
  </si>
  <si>
    <t xml:space="preserve">הצעת חוק מס ערך מוסף (תיקון - פטור ממס בגין תרומות לבתי חולים בפריפריה), התשפ"ג-2023</t>
  </si>
  <si>
    <t xml:space="preserve"> (פ/2953/25)</t>
  </si>
  <si>
    <t xml:space="preserve"> (פ/2952/25)</t>
  </si>
  <si>
    <t xml:space="preserve">הצעת חוק הגנת הצרכן (תיקון - הגבלות על מכירה מיוחדת), התשפ"ג-2023</t>
  </si>
  <si>
    <t xml:space="preserve"> (פ/2951/25)</t>
  </si>
  <si>
    <t xml:space="preserve">הצעת חוק הגנת הצרכן (תיקון - סימון תאריך ייצור ומועד תפוגה עברי), התשפ"ג-2023</t>
  </si>
  <si>
    <t xml:space="preserve"> (פ/2950/25)</t>
  </si>
  <si>
    <t xml:space="preserve">הצעת חוק לתיקון פקודת מס הכנסה (הגדלת זיכוי מס על תרומה לבתי חולים בפריפריה), התשפ"ג-2023</t>
  </si>
  <si>
    <t xml:space="preserve"> (פ/2949/25)</t>
  </si>
  <si>
    <t xml:space="preserve">הצעת חוק לתיקון פקודת התעבורה (חניית נשים בהריון והורה לתינוק), התשפ"ג-2023 </t>
  </si>
  <si>
    <t xml:space="preserve"> (פ/2947/25)</t>
  </si>
  <si>
    <t xml:space="preserve">הצעת חוק העונשין (תיקון - סחיטת דמי חסות), התשפ"ג-2023</t>
  </si>
  <si>
    <t xml:space="preserve"> (פ/2946/25)</t>
  </si>
  <si>
    <t xml:space="preserve"> (פ/2945/25)</t>
  </si>
  <si>
    <t xml:space="preserve"> (פ/2944/25)</t>
  </si>
  <si>
    <t xml:space="preserve"> (פ/2943/25)</t>
  </si>
  <si>
    <t xml:space="preserve">הצעת חוק איסור הפליה במוצרים, בשירותים ובכניסה למקומות בידור ולמקומות ציבוריים (תיקון - איסור הפליה בשל הובלת עגלת ילדים), התשפ"ג-2023</t>
  </si>
  <si>
    <t xml:space="preserve"> (פ/2942/25)</t>
  </si>
  <si>
    <t xml:space="preserve">הצעת חוק התחרות הכלכלית (תיקון - ביטול הפטור לענף החקלאות), התשפ"ג-2023</t>
  </si>
  <si>
    <t xml:space="preserve"> (פ/2941/25)</t>
  </si>
  <si>
    <t xml:space="preserve">הצעת חוק הגנת הצרכן (תיקון - חובת פרסום שם יצרן ודגם מוצר), התשפ"ג-2023</t>
  </si>
  <si>
    <t xml:space="preserve"> (פ/2940/25)</t>
  </si>
  <si>
    <t xml:space="preserve">הצעת חוק ההתייעלות הכלכלית (תיקוני חקיקה להשגת יעדי התקציב לשנות התקציב 2017 ו-2018) (תיקון - הקצאת סכום לרשויות המקומיות הסמוכות לנמל התעופה בן-גוריון), התשפ"ג-2023</t>
  </si>
  <si>
    <t xml:space="preserve"> (פ/2939/25)</t>
  </si>
  <si>
    <t xml:space="preserve">הצעת חוק איסור הבעת אהדה לשלטון הנאצי או הזדהות עמו (תיקוני חקיקה), התשפ"ג-2023</t>
  </si>
  <si>
    <t xml:space="preserve"> (פ/2937/25)</t>
  </si>
  <si>
    <t xml:space="preserve"> (פ/2935/25)</t>
  </si>
  <si>
    <t xml:space="preserve"> (פ/2934/25)</t>
  </si>
  <si>
    <t xml:space="preserve">הצעת חוק למניעת העסקה של עובד הוראה התומך בטרור, התשפ"ג-2023</t>
  </si>
  <si>
    <t xml:space="preserve"> (פ/2931/25)</t>
  </si>
  <si>
    <t xml:space="preserve">הצעת חוק פיקוח על בתי ספר (תיקון - איסור התחזות לגננת), התשפ"ג-2023</t>
  </si>
  <si>
    <t xml:space="preserve"> (פ/2930/25)</t>
  </si>
  <si>
    <t xml:space="preserve">הצעת חוק משק החשמל (תיקון - ועדה מיוחדת), התשפ''ג-2023</t>
  </si>
  <si>
    <t xml:space="preserve"> (פ/2929/25)</t>
  </si>
  <si>
    <t xml:space="preserve">הצעת חוק לתיקון פקודת מס הכנסה (זיכוי בעד תרומת מזון), התשפ"ג-2023</t>
  </si>
  <si>
    <t xml:space="preserve"> (פ/2928/25)</t>
  </si>
  <si>
    <t xml:space="preserve"> (פ/2926/25)</t>
  </si>
  <si>
    <t xml:space="preserve">הצעת חוק לתיקון פקודת מס הכנסה (הצמדה למדד של תקרת המס בקרן השתלמות לשכירים), התשפ"ג-2023</t>
  </si>
  <si>
    <t xml:space="preserve"> (פ/2925/25)</t>
  </si>
  <si>
    <t xml:space="preserve">הצעת חוק תאגידי מים וביוב (תיקון - ביטול סמכויות גבייה ואכיפה מיוחדות), התשפ"ג-2023</t>
  </si>
  <si>
    <t xml:space="preserve"> (פ/2924/25)</t>
  </si>
  <si>
    <t xml:space="preserve">הצעת חוק חובת המכרזים (תיקון - עידוד עסקים קטנים ובינוניים באזור פריפריה במכרז), התשפ"ג-2023</t>
  </si>
  <si>
    <t xml:space="preserve"> (פ/2923/25)</t>
  </si>
  <si>
    <t xml:space="preserve"> (פ/2922/25)</t>
  </si>
  <si>
    <t xml:space="preserve">הצעת חוק הבנקאות (שירות ללקוח) (תיקון - חובת הצבת מכשיר אוטומטי למשיכת והפקדת מזומנים ושיקים), התשפ"ג-2023</t>
  </si>
  <si>
    <t xml:space="preserve"> (פ/2921/25)</t>
  </si>
  <si>
    <t xml:space="preserve">הצעת חוק מועצת הצמחים (ייצור ושיווק) (תיקון - ביטול מועצת הצמחים), התשפ"ג-2023</t>
  </si>
  <si>
    <t xml:space="preserve"> (פ/2920/25)</t>
  </si>
  <si>
    <t xml:space="preserve">הצעת חוק הפרטת גלי צה"ל, התשפ"ג-2023</t>
  </si>
  <si>
    <t xml:space="preserve"> (פ/2919/25)</t>
  </si>
  <si>
    <t xml:space="preserve"> (פ/2918/25)</t>
  </si>
  <si>
    <t xml:space="preserve">הצעת חוק נתוני אשראי (תיקון - תקופת החזקת מידע במאגר), התשפ"ג-2023</t>
  </si>
  <si>
    <t xml:space="preserve"> (פ/2917/25)</t>
  </si>
  <si>
    <t xml:space="preserve"> (פ/2916/25)</t>
  </si>
  <si>
    <t xml:space="preserve">הצעת חוק המועצה להשכלה גבוהה (תיקון - איסור הגבלת גיל בהרשמה למוסד להשכלה גבוהה), התשפ"ג-2023</t>
  </si>
  <si>
    <t xml:space="preserve"> (פ/2915/25)</t>
  </si>
  <si>
    <t xml:space="preserve">הצעת חוק לתיקון פקודת התעבורה (ריבית פיגורים בגין אי-תשלום קנס על עבירת חניה), התשפ"ג-2023</t>
  </si>
  <si>
    <t xml:space="preserve"> (פ/2914/25)</t>
  </si>
  <si>
    <t xml:space="preserve">הצעת חוק להגדלת שיעור ההשתתפות בכוח העבודה ולצמצום פערים חברתיים (מענק עבודה) (תיקון - הורדת גיל הזכאות), התשפ"ג-2023</t>
  </si>
  <si>
    <t xml:space="preserve"> (פ/2913/25)</t>
  </si>
  <si>
    <t xml:space="preserve">הצעת חוק הגנת הצרכן (תיקון - תשלום על פי צריכה בעסקה מתמשכת), התשפ"ג-2023</t>
  </si>
  <si>
    <t xml:space="preserve"> (פ/2912/25)</t>
  </si>
  <si>
    <t xml:space="preserve">הצעת חוק מתן שירות של קבלת קהל במשרדי הממשלה בשעות אחר הצהריים, התשפ"ג-2023</t>
  </si>
  <si>
    <t xml:space="preserve"> (פ/2911/25)</t>
  </si>
  <si>
    <t xml:space="preserve">הצעת חוק שירות הציבור (מתנות) (תיקון - תרומה למימון הליך משפטי או טיפול רפואי וחובת דיווח), התשפ"ג-2023</t>
  </si>
  <si>
    <t xml:space="preserve"> (פ/2303/25)</t>
  </si>
  <si>
    <t xml:space="preserve">26.03.2023</t>
  </si>
  <si>
    <t xml:space="preserve">הצעת חוק מס ערך מוסף (תיקון מס' 60) (פטור ממס במכירת תרופות שאינן כלולות בסל הבריאות), התשפ"ג-2023</t>
  </si>
  <si>
    <t xml:space="preserve"> (פ/1458/25)</t>
  </si>
  <si>
    <t xml:space="preserve">22.03.2023</t>
  </si>
  <si>
    <t xml:space="preserve">חוק־יסוד: הממשלה (תיקון מס' 12)</t>
  </si>
  <si>
    <t xml:space="preserve"> (פ/2560/25)</t>
  </si>
  <si>
    <t xml:space="preserve"> (כ/952)</t>
  </si>
  <si>
    <t xml:space="preserve">בחוק נקבע שנבצרות זמנית של ראש הממשלה למלא את תפקידו תהיה בשל אי מסוגלות פיזית או נפשית בלבד ותיקבע על ידי ראש הממשלה בהודעה לממשלה וליושב ראש הכנסת ובאישור ועדת הכנסת ברוב של 2/3 מחבריה. בנוסף, גם הממשלה תהיה רשאית להחליט ברוב של 3/4 מחבריה כי נבצר מראש הממשלה זמנית למלא את תפקידו בשל אי מסוגלות פיזית או נפשית; במקרה מעין זה הממשלה תכונס על ידי ראש הממשלה לבקשת 3/5 מחברי הממשלה ועל ראש הממשלה יהיה לכנס את הממשלה בתוך שלושה ימים ממועד הגשת הבקשה או במועד מאוחר יותר אם התבקש לכך בבקשה. אם ישיבת הממשלה לא כונסה בתוך שלושה ימים יכנס מזכיר הממשלה את הממשלה באופן מיידי וממלא מקום ראש הממשלה ינהל את הישיבה. החלטת הממשלה במקרה זה תעמוד בתוקפה שלושה ימים ותובא לאישור ועדת הכנסת ברוב של 2/3 מחבריה, ואם החלטת הממשלה ניתנה מטעמי בריאות, תהיה החלטת ועדת הכנסת גם על יסוד חוות דעת רפואית וועדת הכנסת תהיה רשאית לקבוע שהנבצרות תמשך לא יותר משבעה ימים מיום החלטת הממשלה; כן נקבע שאם ראש הממשלה לא יגיש חוות דעת רפואית בהתאם לכללים שקבעה ועדת הכנסת יראו אותו כאילו הודיע על נבצרותו. הארכת תקופת הנבצרות במקרה שוועדת הכנסת אישרה את החלטת הממשלה או במקרה שראש הממשלה לא הגיש  חוות דעת רפואית טעונה החלטה של הכנסת, לפי הצעת ועדת הכנסת, שהתקבלה ברוב של שמונים חברי הכנסת לתקופה שלא תימשך יותר מ-21 ימים בכל פעם, ובלבד שסך התקופות לא יעלה על 100 ימים כקבוע בסעיף 16(ב) לחוק-יסוד: הממשלה. עוד נקבע שסיום נבצרותו הזמנית של ראש הממשלה, אם זו נקבעה על ידי הממשלה ואושרה על ידי ועדת הכנסת וכן הארכת תקופת הנבצרות, תיעשה בהחלטה של ועדת הכנסת ואם נקבעה הנבצרות מטעמי בריאות - על יסוד חוות דעת רפואית. לבסוף, נקבע כי הוראות בדבר כינוס הכנסת או הוועדות בזמן פגרה לא יחולו לעניין זה. </t>
  </si>
  <si>
    <t xml:space="preserve">הצעת חוק למניעת אלימות במשפחה (פיקוח טכנולוגי להבטחת קיומו של צו הגנה, והערכת מסוכנות - הוראת שעה), התשפ"ג-2023</t>
  </si>
  <si>
    <t xml:space="preserve"> (פ/2283/25)</t>
  </si>
  <si>
    <t xml:space="preserve">הצעת חוק למניעת אלימות במשפחה (פיקוח טכנולוגי להבטחת קיומו של צו הגנה והערכת מסוכנות - הוראת שעה), התשפ"ג-2023 </t>
  </si>
  <si>
    <t xml:space="preserve"> (פ/1749/25)</t>
  </si>
  <si>
    <t xml:space="preserve"> (פ/1297/25)</t>
  </si>
  <si>
    <t xml:space="preserve"> (פ/1239/25)</t>
  </si>
  <si>
    <t xml:space="preserve">הצעת חוק התמודדות עם תופעת נטילת דמי חסות, התשפ"ג-2022</t>
  </si>
  <si>
    <t xml:space="preserve"> (פ/721/25)</t>
  </si>
  <si>
    <t xml:space="preserve">הצעת חוק למניעת אלימות במשפחה (פיקוח טכנולוגי להבטחת קיומו של צו הגנה, והערכת מסוכנות - הוראת שעה), התשפ"ג-2022</t>
  </si>
  <si>
    <t xml:space="preserve"> (פ/191/25)</t>
  </si>
  <si>
    <t xml:space="preserve"> (פ/188/25)</t>
  </si>
  <si>
    <t xml:space="preserve">חוק יישום תוכנית ההתנתקות (תיקון מס' 7), התשפ"ג-2023</t>
  </si>
  <si>
    <t xml:space="preserve"> (פ/69/25)</t>
  </si>
  <si>
    <t xml:space="preserve"> (כ/951)</t>
  </si>
  <si>
    <t xml:space="preserve">20.03.2023</t>
  </si>
  <si>
    <t xml:space="preserve">חוק יישום תכנית ההתנתקות (תיקון מס' 7), התשפ"ג–2023 אושר בקריאה שניה ושלישית ביום 21/03/2023.  החוק קובע כי הסעיפים בחוק יישום ההתנתקות, התשס"ה–2005, העוסקים בהגבלת כניסה ושהייה לשטח המפונה בצפון השומרון וכן במניעת הכנסת מיטלטלין על ידי ישראלים – יבטולו. כמו כן, נקבע כי הסעיף בחוק המבטל זכויות במקרקעין של ישראליים בצפון השומרון לא יחול על זכויות עתידיות שיתגבשו באזור זה, החל ממועד פרסום החוק. לבסוף, שם החוק שונה כך שייקרא "חוק ההתנתקות והפיצויים לנפגעיה". </t>
  </si>
  <si>
    <t xml:space="preserve">חוק חדלות פירעון ושיקום כלכלי (תיקון מס' 4 – הוראת שעה – נגיף הקורונה החדש) (תיקון), התשפ"ג-2023</t>
  </si>
  <si>
    <t xml:space="preserve"> (מ/1601)</t>
  </si>
  <si>
    <t xml:space="preserve">הוארכה בשנה הוראת השעה המאפשרת לחייבים המעוניינים לגבש הסדר חוב עם הנושים לקבל עיכוב הליכים בזמן המשא ומתן על ההסדר. </t>
  </si>
  <si>
    <t xml:space="preserve">הצעת חוק העונשין (תיקון - הסדר חילוט לרכושו של סוחר נשק), התשפ"ג-2023</t>
  </si>
  <si>
    <t xml:space="preserve"> (פ/1905/25)</t>
  </si>
  <si>
    <t xml:space="preserve">הצעת חוק לעידוד השקעות הון (תיקון - תחומי אזורי פיתוח א'), התשפ"ג-2023</t>
  </si>
  <si>
    <t xml:space="preserve"> (פ/2909/25)</t>
  </si>
  <si>
    <t xml:space="preserve">הצעת חוק שירות ביטחון (תיקון - חובת פוקד לקרוא להתייצבות לשירות ביטחון), התשפ"ג-2023</t>
  </si>
  <si>
    <t xml:space="preserve"> (פ/2907/25)</t>
  </si>
  <si>
    <t xml:space="preserve">הצעת חוק הכשרות המשפטית והאפוטרופסות (תיקון - ביטול חזקת הגיל הרך), התשפ"ג-2023</t>
  </si>
  <si>
    <t xml:space="preserve"> (פ/2906/25)</t>
  </si>
  <si>
    <t xml:space="preserve">הצעת חוק התוכנית הכלכלית (תיקוני חקיקה ליישום המדיניות הכלכלית לשנות התקציב 2021 ו-2022) (תיקון - ביטול הרפורמה בכשרות), התשפ"ג-2023</t>
  </si>
  <si>
    <t xml:space="preserve"> (פ/2905/25)</t>
  </si>
  <si>
    <t xml:space="preserve">הצעת חוק-יסוד: כינון חוקה בישראל</t>
  </si>
  <si>
    <t xml:space="preserve"> (פ/2904/25)</t>
  </si>
  <si>
    <t xml:space="preserve">הצעת חוק לתיקון פקודת העיריות (ייצוג הולם בשמות מקומות ציבוריים), התשפ"ג-2023</t>
  </si>
  <si>
    <t xml:space="preserve"> (פ/2903/25)</t>
  </si>
  <si>
    <t xml:space="preserve">הצעת חוק הרשויות המקומיות (ריבית והפרשי הצמדה על תשלומי חובה) (תיקון - הפחתת אחוז הריבית ברשויות המקומיות), התשפ"ג-2023</t>
  </si>
  <si>
    <t xml:space="preserve"> (פ/2902/25)</t>
  </si>
  <si>
    <t xml:space="preserve"> (פ/2901/25)</t>
  </si>
  <si>
    <t xml:space="preserve">הצעת חוק לתיקון פקודת המשטרה (הרכב המחלקה לחקירות שוטרים), התשפ"ג-2023</t>
  </si>
  <si>
    <t xml:space="preserve"> (פ/2900/25)</t>
  </si>
  <si>
    <t xml:space="preserve">הצעת חוק הרשות הלאומית למניעת התאבדויות, התשפ"ג-2023</t>
  </si>
  <si>
    <t xml:space="preserve"> (פ/2899/25)</t>
  </si>
  <si>
    <t xml:space="preserve">הצעת חוק הביטוח הלאומי (תיקון - העלאת דמי האבטלה למי שטרם מלאו לו 28 שנים ויש עמו ילד), התשפ"ג-2023</t>
  </si>
  <si>
    <t xml:space="preserve"> (פ/2898/25)</t>
  </si>
  <si>
    <t xml:space="preserve">הצעת חוק תשלומים לחיילים בשירות סדיר (הגנה על תשלומים) (תיקון - הגנה על תשלומים לעולה חדש), התשפ"ג-2023</t>
  </si>
  <si>
    <t xml:space="preserve"> (פ/2897/25)</t>
  </si>
  <si>
    <t xml:space="preserve">הצעת חוק לתיקון פקודת העיריות (בניין שניזוק או נהרס), התשפ"ג-2023</t>
  </si>
  <si>
    <t xml:space="preserve"> (פ/2896/25)</t>
  </si>
  <si>
    <t xml:space="preserve">הצעת חוק הביטוח הלאומי (תיקון - תשלום דמי אבטלה לנשים שיצאו לחופשה ללא תשלום לאחר לידה מסיבות מוצדקות), התשפ"ג-2023</t>
  </si>
  <si>
    <t xml:space="preserve"> (פ/2895/25)</t>
  </si>
  <si>
    <t xml:space="preserve">הצעת חוק האזרחים הוותיקים (תיקון - חניה חינם לאזרח ותיק שמלאו לו 75 שנים), התשפ"ג-2023</t>
  </si>
  <si>
    <t xml:space="preserve"> (פ/2894/25)</t>
  </si>
  <si>
    <t xml:space="preserve">הצעת חוק הביטוח הלאומי (תיקון - דמי פגיעה לעובד עצמאי), התשפ"ג-2023</t>
  </si>
  <si>
    <t xml:space="preserve"> (פ/2893/25)</t>
  </si>
  <si>
    <t xml:space="preserve"> (פ/2892/25)</t>
  </si>
  <si>
    <t xml:space="preserve">הצעת חוק סל הקליטה (תיקון - הבטחת קיום), התשפ"ג-2023</t>
  </si>
  <si>
    <t xml:space="preserve"> (פ/2891/25)</t>
  </si>
  <si>
    <t xml:space="preserve">הצעת חוק הביטוח הלאומי (תיקון - זכאות לדמי אבטלה מגיל 19), התשפ"ג-2023</t>
  </si>
  <si>
    <t xml:space="preserve"> (פ/2890/25)</t>
  </si>
  <si>
    <t xml:space="preserve"> (פ/2889/25)</t>
  </si>
  <si>
    <t xml:space="preserve"> (פ/2888/25)</t>
  </si>
  <si>
    <t xml:space="preserve"> (פ/2887/25)</t>
  </si>
  <si>
    <t xml:space="preserve">הצעת חוק לתיקון פקודת המשטרה (מינוי חשב המשטרה), התשפ"ג-2023</t>
  </si>
  <si>
    <t xml:space="preserve"> (פ/2886/25)</t>
  </si>
  <si>
    <t xml:space="preserve"> (פ/2884/25)</t>
  </si>
  <si>
    <t xml:space="preserve">הצעת חוק הביטוח הלאומי (תיקון - מימון סייעת לילדים שאינם יכולים לשהות במעון), התשפ"ג-2023</t>
  </si>
  <si>
    <t xml:space="preserve"> (פ/2882/25)</t>
  </si>
  <si>
    <t xml:space="preserve">הצעת חוק חופשה שנתית (תיקון - ימי חופשה להורים שילדם נפטר), התשפ"ג-2023</t>
  </si>
  <si>
    <t xml:space="preserve"> (פ/2880/25)</t>
  </si>
  <si>
    <t xml:space="preserve">הצעת חוק זכויות החולה (תיקון - הזכות למינוי מתורגמן רפואי), התשפ"ג-2023</t>
  </si>
  <si>
    <t xml:space="preserve"> (פ/2879/25)</t>
  </si>
  <si>
    <t xml:space="preserve">הצעת חוק למניעת מפגעים (תיקון - הגבלת שימוש בזיקוקין די-נור באזורי מגורים), התשפ"ג-2023</t>
  </si>
  <si>
    <t xml:space="preserve"> (פ/2878/25)</t>
  </si>
  <si>
    <t xml:space="preserve">הצעת חוק-יסוד: בית משפט לחוקה</t>
  </si>
  <si>
    <t xml:space="preserve"> (פ/2877/25)</t>
  </si>
  <si>
    <t xml:space="preserve"> (פ/2876/25)</t>
  </si>
  <si>
    <t xml:space="preserve">הצעת חוק הספורט (תיקון - ייצוג הולם לאוכלוסייה הערבית), התשפ"ג-2023</t>
  </si>
  <si>
    <t xml:space="preserve"> (פ/2875/25)</t>
  </si>
  <si>
    <t xml:space="preserve">הצעת חוק איסור קבלת תרומות ממדינות אויב או מדינות תומכות טרור, התשפ"ג-2023</t>
  </si>
  <si>
    <t xml:space="preserve"> (פ/2874/25)</t>
  </si>
  <si>
    <t xml:space="preserve"> (פ/2873/25)</t>
  </si>
  <si>
    <t xml:space="preserve">הצעת חוק זכות ייצוג לקטין המתנגד לאשפוז פסיכיאטרי (תיקוני חקיקה), התשפ"ג-2023</t>
  </si>
  <si>
    <t xml:space="preserve"> (פ/2872/25)</t>
  </si>
  <si>
    <t xml:space="preserve"> (פ/2870/25)</t>
  </si>
  <si>
    <t xml:space="preserve">הצעת חוק החולה הנוטה למות (תיקון - העדפות טיפוליות), התשפ"ג-2023</t>
  </si>
  <si>
    <t xml:space="preserve"> (פ/2869/25)</t>
  </si>
  <si>
    <t xml:space="preserve"> (פ/2868/25)</t>
  </si>
  <si>
    <t xml:space="preserve"> (פ/2866/25)</t>
  </si>
  <si>
    <t xml:space="preserve"> (פ/2865/25)</t>
  </si>
  <si>
    <t xml:space="preserve">הצעת חוק זכויות נפגעי עבירה (תיקון - חובת בית המשפט לשמוע נפגעי עבירה כולל נפגעי מעשי טרור), התשפ"ג-2023</t>
  </si>
  <si>
    <t xml:space="preserve"> (פ/2864/25)</t>
  </si>
  <si>
    <t xml:space="preserve"> (פ/2863/25)</t>
  </si>
  <si>
    <t xml:space="preserve"> (פ/2862/25)</t>
  </si>
  <si>
    <t xml:space="preserve">הצעת חוק שכר מינימום (תיקון - שכר אחיד לעובד צעיר), התשפ"ג-2023</t>
  </si>
  <si>
    <t xml:space="preserve"> (פ/2861/25)</t>
  </si>
  <si>
    <t xml:space="preserve">הצעת חוק שוויון זכויות לאנשים עם מוגבלות (תיקון - פטור מתשלום בעד כניסת מלווה בעבור כניסה למקום שאין בו מתקנים מתאימים ובעבור תחבורה ציבורית), התשפ"ג-2023</t>
  </si>
  <si>
    <t xml:space="preserve"> (פ/2860/25)</t>
  </si>
  <si>
    <t xml:space="preserve">הצעת חוק השוואת תנאי שכר לקבוצות שאסור להפלותן (תיקוני חקיקה), התשפ"ג-2023</t>
  </si>
  <si>
    <t xml:space="preserve"> (פ/2859/25)</t>
  </si>
  <si>
    <t xml:space="preserve">הצעת חוק זכויות ושירותים לילדים ולבני נוער עם קשיים נפשיים, התשפ"ג-2023</t>
  </si>
  <si>
    <t xml:space="preserve"> (פ/2858/25)</t>
  </si>
  <si>
    <t xml:space="preserve"> (פ/2857/25)</t>
  </si>
  <si>
    <t xml:space="preserve"> (פ/2856/25)</t>
  </si>
  <si>
    <t xml:space="preserve">הצעת חוק הנוער (טיפול והשגחה) (תיקון - טיפול בבריחה ממשמורת), התשפ"ג-2023</t>
  </si>
  <si>
    <t xml:space="preserve"> (פ/2855/25)</t>
  </si>
  <si>
    <t xml:space="preserve">הצעת חוק דמי הבראה, התשפ"ג-2023</t>
  </si>
  <si>
    <t xml:space="preserve"> (פ/2854/25)</t>
  </si>
  <si>
    <t xml:space="preserve"> (פ/2853/25)</t>
  </si>
  <si>
    <t xml:space="preserve">הצעת חוק סדר הדין הפלילי (סמכויות אכיפה - מעצרים) (תיקון - החמרת תנאי שחרור בערובה), התשפ"ג-2023</t>
  </si>
  <si>
    <t xml:space="preserve"> (פ/2851/25)</t>
  </si>
  <si>
    <t xml:space="preserve">הצעת חוק סדר הדין הפלילי (תיקון - מועד תשלום הקנס), התשפ"ג-2023</t>
  </si>
  <si>
    <t xml:space="preserve"> (פ/2850/25)</t>
  </si>
  <si>
    <t xml:space="preserve">הצעת חוק החברות הממשלתיות (תיקון - ייצוג הולם בתאגידים ממשלתיים וגופים סטטוטוריים), התשפ"ג-2023</t>
  </si>
  <si>
    <t xml:space="preserve"> (פ/2849/25)</t>
  </si>
  <si>
    <t xml:space="preserve">הצעת חוק העונשין (תיקון - ביטול עבירת השוטטות), התשפ"ג-2023</t>
  </si>
  <si>
    <t xml:space="preserve"> (פ/2848/25)</t>
  </si>
  <si>
    <t xml:space="preserve"> (פ/2847/25)</t>
  </si>
  <si>
    <t xml:space="preserve"> (פ/2846/25)</t>
  </si>
  <si>
    <t xml:space="preserve"> (פ/2845/25)</t>
  </si>
  <si>
    <t xml:space="preserve">הצעת חוק חסינות חברי הכנסת, זכויותיהם וחובותיהם (תיקון - חסינות בפני דין פלילי), התשפ"ג-2023</t>
  </si>
  <si>
    <t xml:space="preserve"> (פ/2844/25)</t>
  </si>
  <si>
    <t xml:space="preserve">הצעת חוק עידוד מעורבות סטודנטים בפעילות חברתית וקהילתית (תיקון - הקלות למשרתי מילואים), התשפ"ג-2023</t>
  </si>
  <si>
    <t xml:space="preserve"> (פ/2843/25)</t>
  </si>
  <si>
    <t xml:space="preserve"> (פ/2842/25)</t>
  </si>
  <si>
    <t xml:space="preserve">הצעת חוק הביטוח הלאומי (תיקון - העלאת קצבת אזרח ותיק), התשפ"ג-2023</t>
  </si>
  <si>
    <t xml:space="preserve"> (פ/2841/25)</t>
  </si>
  <si>
    <t xml:space="preserve">הצעת חוק הביטוח הלאומי (תיקון - הוראות לעניין עקרת בית), התשפ"ג-2023</t>
  </si>
  <si>
    <t xml:space="preserve"> (פ/2840/25)</t>
  </si>
  <si>
    <t xml:space="preserve">הצעת חוק חינוך ממלכתי (תיקון - חובת לימוד עברית וערבית במוסדות חינוך תיכוניים), התשפ"ג-2023</t>
  </si>
  <si>
    <t xml:space="preserve"> (פ/2839/25)</t>
  </si>
  <si>
    <t xml:space="preserve"> (פ/2838/25)</t>
  </si>
  <si>
    <t xml:space="preserve"> (פ/2837/25)</t>
  </si>
  <si>
    <t xml:space="preserve">הצעת חוק להגבלת שכר טרחת כונסי נכסים (תיקוני חקיקה), התשפ"ג-2023</t>
  </si>
  <si>
    <t xml:space="preserve"> (פ/2836/25)</t>
  </si>
  <si>
    <t xml:space="preserve"> (פ/2835/25)</t>
  </si>
  <si>
    <t xml:space="preserve">הצעת חוק ההוצאה לפועל (תיקון - הגבלת סכום עיקול בידי צד שלישי שהוא תאגיד בנקאי), התשפ"ג-2023</t>
  </si>
  <si>
    <t xml:space="preserve"> (פ/2834/25)</t>
  </si>
  <si>
    <t xml:space="preserve"> (פ/2833/25)</t>
  </si>
  <si>
    <t xml:space="preserve"> (פ/2832/25)</t>
  </si>
  <si>
    <t xml:space="preserve"> (פ/2831/25)</t>
  </si>
  <si>
    <t xml:space="preserve"> (פ/2830/25)</t>
  </si>
  <si>
    <t xml:space="preserve">הצעת חוק שוויון ההזדמנויות בעבודה (תיקון - עצמאות נציבות שוויון הזדמנויות בעבודה), התשפ"ג-2023</t>
  </si>
  <si>
    <t xml:space="preserve"> (פ/2829/25)</t>
  </si>
  <si>
    <t xml:space="preserve">הצעת חוק דמי מחלה עבור מלווה בן משפחה לבדיקה רפואית (תיקוני חקיקה), התשפ"ג-2023</t>
  </si>
  <si>
    <t xml:space="preserve"> (פ/2828/25)</t>
  </si>
  <si>
    <t xml:space="preserve">הצעת חוק חניה לנכים (תיקון - תג נכה אישי), התשפ"ג-2023</t>
  </si>
  <si>
    <t xml:space="preserve"> (פ/2827/25)</t>
  </si>
  <si>
    <t xml:space="preserve">הצעת חוק לעידוד השקעות הון (תיקון - עידוד חברות ממשלתיות הפועלות בסביבה בין-לאומית תחרותית), התשפ"ג-2023</t>
  </si>
  <si>
    <t xml:space="preserve"> (פ/2826/25)</t>
  </si>
  <si>
    <t xml:space="preserve">הצעת חוק לתיקון פקודת מס הכנסה (משיכה מקרן השתלמות) (הוראת שעה), התשפ"ג-2023</t>
  </si>
  <si>
    <t xml:space="preserve"> (פ/2825/25)</t>
  </si>
  <si>
    <t xml:space="preserve">הצעת חוק זכויות נפגעי עבירה (תיקון - הקמת נציבות זכויות נפגעי עבירה), התשפ"ג-2023</t>
  </si>
  <si>
    <t xml:space="preserve"> (פ/2824/25)</t>
  </si>
  <si>
    <t xml:space="preserve"> (פ/2823/25)</t>
  </si>
  <si>
    <t xml:space="preserve"> (פ/2822/25)</t>
  </si>
  <si>
    <t xml:space="preserve"> (פ/2821/25)</t>
  </si>
  <si>
    <t xml:space="preserve"> (פ/2820/25)</t>
  </si>
  <si>
    <t xml:space="preserve">הצעת חוק מס ערך מוסף (תיקון - פטור ממס ממכירת תרופות מאריכות חיים שאינן כלולות בסל הבריאות), התשפ"ג-2023</t>
  </si>
  <si>
    <t xml:space="preserve"> (פ/2816/25)</t>
  </si>
  <si>
    <t xml:space="preserve">הצעת חוק ליישוב תחת איום מיידי (הוראת שעה), התשפ"ג-2023</t>
  </si>
  <si>
    <t xml:space="preserve"> (פ/2815/25)</t>
  </si>
  <si>
    <t xml:space="preserve">הצעת חוק עבודת נשים (תיקון - היעדרות עקב לידה של בת זוג), התשפ"ג-2023</t>
  </si>
  <si>
    <t xml:space="preserve"> (פ/2814/25)</t>
  </si>
  <si>
    <t xml:space="preserve">הצעת חוק המאבק בכלי הנשק הבלתי חוקיים (תיקוני חקיקה) (הוראת שעה), התשפ"ג-2023</t>
  </si>
  <si>
    <t xml:space="preserve"> (פ/2394/25)</t>
  </si>
  <si>
    <t xml:space="preserve">15.03.2023</t>
  </si>
  <si>
    <t xml:space="preserve">הצעת חוק-יסוד: הממשלה (תיקון – תקופת כהונה מרבית בתפקיד ראש הממשלה)</t>
  </si>
  <si>
    <t xml:space="preserve"> (פ/2517/25)</t>
  </si>
  <si>
    <t xml:space="preserve">הצעת חוק הרשות לפיתוח הפריפריה החברתית, התשפ"ג-2023 </t>
  </si>
  <si>
    <t xml:space="preserve"> (פ/2449/25)</t>
  </si>
  <si>
    <t xml:space="preserve">הצעת חוק חינוך ממלכתי (תיקון – שלילת השתתפות בתקציב עקב הפליה), התשפ"ג–2023</t>
  </si>
  <si>
    <t xml:space="preserve"> (פ/2428/25)</t>
  </si>
  <si>
    <t xml:space="preserve"> (פ/2144/25)</t>
  </si>
  <si>
    <t xml:space="preserve"> (פ/2011/25)</t>
  </si>
  <si>
    <t xml:space="preserve"> (פ/1842/25)</t>
  </si>
  <si>
    <t xml:space="preserve">הצעת חוק בטיחות בתעסוקה ובריאות תעסוקתית, התשפ"ג-2023</t>
  </si>
  <si>
    <t xml:space="preserve"> (פ/1796/25)</t>
  </si>
  <si>
    <t xml:space="preserve"> (פ/1733/25)</t>
  </si>
  <si>
    <t xml:space="preserve"> (פ/1545/25)</t>
  </si>
  <si>
    <t xml:space="preserve">הצעת חוק שלילת תקצוב מוסדות חינוך המפלים תלמידים ברישום אליהם (תיקוני חקיקה), התשפ"ג-2023</t>
  </si>
  <si>
    <t xml:space="preserve"> (פ/1517/25)</t>
  </si>
  <si>
    <t xml:space="preserve">הצעת חוק העונשין (תיקון - חילוט בעבירות החזקת נשק בלתי חוקי ללא אישום או הרשעה), התשפ"ג-2023</t>
  </si>
  <si>
    <t xml:space="preserve"> (פ/1174/25)</t>
  </si>
  <si>
    <t xml:space="preserve"> (פ/315/25)</t>
  </si>
  <si>
    <t xml:space="preserve">החלק שפוצל מהצעת חוק לתיקון פקודת המשטרה (מס' 39) (סמכויות), התשפ"ג-2022 - סעיפים </t>
  </si>
  <si>
    <t xml:space="preserve"> (פ/80/25)</t>
  </si>
  <si>
    <t xml:space="preserve"> (כ/943)</t>
  </si>
  <si>
    <t xml:space="preserve">הוועדה המיוחדת לדיון בהצעת חוק לתיקון פקודת המשטרה (סמכויות), התשפ"ג-2022 (פ/80/25)</t>
  </si>
  <si>
    <t xml:space="preserve">14.03.2023</t>
  </si>
  <si>
    <t xml:space="preserve"> (פ/1852/25)</t>
  </si>
  <si>
    <t xml:space="preserve">13.03.2023</t>
  </si>
  <si>
    <t xml:space="preserve">הצעת חוק דמי מחלה (היעדרות בשל מחלת ילד) (תיקון - היעדרות בשל אשפוז פג), התשפ"ג-2022</t>
  </si>
  <si>
    <t xml:space="preserve"> (פ/816/25)</t>
  </si>
  <si>
    <t xml:space="preserve">הצעת חוק ההוצאה לפועל (תיקון - ביטול האפשרות לצוות על עיכוב יציאה מהארץ בגין חוב כספי נמוך), התשפ"ג-2023</t>
  </si>
  <si>
    <t xml:space="preserve"> (פ/1557/25)</t>
  </si>
  <si>
    <t xml:space="preserve">הצעת חוק עובדים זרים (תיקון - שימוש בכספים שלא הוצאו על ידי עובדים זרים ומסתננים), התשפ''ג-2022</t>
  </si>
  <si>
    <t xml:space="preserve"> (פ/748/25)</t>
  </si>
  <si>
    <t xml:space="preserve">הצעת חוק הספריה הלאומית (תיקון - הגברת הפיקוח הציבורי בספריה הלאומית), התשפ"ג-2023</t>
  </si>
  <si>
    <t xml:space="preserve"> (פ/2812/25)</t>
  </si>
  <si>
    <t xml:space="preserve">הצעת חוק שכר נושאי משרה ברשויות השלטון, התשפ"ג-2023</t>
  </si>
  <si>
    <t xml:space="preserve"> (פ/2811/25)</t>
  </si>
  <si>
    <t xml:space="preserve">הצעת חוק-יסוד: שכר נושאי משרה ברשויות השלטון (תיקוני חקיקה)</t>
  </si>
  <si>
    <t xml:space="preserve"> (פ/2810/25)</t>
  </si>
  <si>
    <t xml:space="preserve">הצעת חוק הקמת ועדת חקירה ממלכתית לפרשת מסמך הרפז, התשפ"ג-2023</t>
  </si>
  <si>
    <t xml:space="preserve"> (פ/2809/25)</t>
  </si>
  <si>
    <t xml:space="preserve">הצעת חוק המפלגות (תיקון - הגבלת מימון של נבחרי ציבור), התשפ"ג-2023</t>
  </si>
  <si>
    <t xml:space="preserve"> (פ/2808/25)</t>
  </si>
  <si>
    <t xml:space="preserve">הצעת חוק הקמת ועדת חקירה ממלכתית לפרשת המימד החמישי, התשפ"ג-2023</t>
  </si>
  <si>
    <t xml:space="preserve"> (פ/2807/25)</t>
  </si>
  <si>
    <t xml:space="preserve">הצעת חוק-יסוד: הממשלה (תיקון - מקום מושבו של ראש הממשלה)</t>
  </si>
  <si>
    <t xml:space="preserve"> (פ/2806/25)</t>
  </si>
  <si>
    <t xml:space="preserve">הצעת חוק טובות הנאה לראש ממשלה או ראש ממשלה חלופי שחדל לכהן, התשפ"ג-2023</t>
  </si>
  <si>
    <t xml:space="preserve"> (פ/2805/25)</t>
  </si>
  <si>
    <t xml:space="preserve">הצעת חוק בתי המשפט (תיקון - צווי איסור פרסום), התשפ"ג-2023</t>
  </si>
  <si>
    <t xml:space="preserve"> (פ/2804/25)</t>
  </si>
  <si>
    <t xml:space="preserve">הצעת חוק שירות המדינה (מינויים) (תיקון - מינוי יועצים משפטיים של משרדים, היועץ המשפטי לממשלה ופרקליט מדינה), התשפ"ג-2023</t>
  </si>
  <si>
    <t xml:space="preserve"> (פ/2803/25)</t>
  </si>
  <si>
    <t xml:space="preserve">הצעת חוק העונשין (תיקון - ביטול עבירת מרמה והפרת אמונים), התשפ"ג-2023</t>
  </si>
  <si>
    <t xml:space="preserve"> (פ/2802/25)</t>
  </si>
  <si>
    <t xml:space="preserve">הצעת חוק-יסוד: הממשלה (תיקון - איסור חקירה פלילית נגד ראש הממשלה במהלך תקופת כהונתו)</t>
  </si>
  <si>
    <t xml:space="preserve"> (פ/2801/25)</t>
  </si>
  <si>
    <t xml:space="preserve"> (פ/2799/25)</t>
  </si>
  <si>
    <t xml:space="preserve"> (פ/2798/25)</t>
  </si>
  <si>
    <t xml:space="preserve"> (פ/2797/25)</t>
  </si>
  <si>
    <t xml:space="preserve">הצעת חוק דמי מחלה (היעדרות בשל מחלת ילד) (תיקון - היעדרות בשל אשפוז ילד), התשפ"ג-2023</t>
  </si>
  <si>
    <t xml:space="preserve"> (פ/2796/25)</t>
  </si>
  <si>
    <t xml:space="preserve">הצעת חוק הביטוח הלאומי (תיקון - התפטרות הורה על מנת לטפל בילדו), התשפ"ג-2023</t>
  </si>
  <si>
    <t xml:space="preserve"> (פ/2794/25)</t>
  </si>
  <si>
    <t xml:space="preserve"> (פ/2792/25)</t>
  </si>
  <si>
    <t xml:space="preserve">הצעת חוק הביטוח הלאומי (תיקון - השוואת קצבת אזרח ותיק לשכר המינימום), התשפ"ג-2023</t>
  </si>
  <si>
    <t xml:space="preserve"> (פ/2791/25)</t>
  </si>
  <si>
    <t xml:space="preserve"> (פ/2790/25)</t>
  </si>
  <si>
    <t xml:space="preserve">הצעת חוק החברות הממשלתיות (תיקון - ביטול מעורבות רשות החברות הממשלתיות במינוי דירקטורים), התשפ"ג-2023</t>
  </si>
  <si>
    <t xml:space="preserve"> (פ/2786/25)</t>
  </si>
  <si>
    <t xml:space="preserve">הצעת חוק התכנון והבנייה (תיקון - ייצוג הולם לאוכלוסייה הערבית במוסדות התכנון), התשפ"ג-2023</t>
  </si>
  <si>
    <t xml:space="preserve"> (פ/2784/25)</t>
  </si>
  <si>
    <t xml:space="preserve"> (פ/2783/25)</t>
  </si>
  <si>
    <t xml:space="preserve">הצעת חוק העונשין (תיקון - איסור הנפת דגל של רשות עוינת), התשפ"ג-2023</t>
  </si>
  <si>
    <t xml:space="preserve"> (פ/2782/25)</t>
  </si>
  <si>
    <t xml:space="preserve"> (פ/2781/25)</t>
  </si>
  <si>
    <t xml:space="preserve">הצעת חוק ההוצאה לפועל (תיקון - הקפאת ריבית פיגורים בימי שביתה), התשפ"ג-2023</t>
  </si>
  <si>
    <t xml:space="preserve"> (פ/2780/25)</t>
  </si>
  <si>
    <t xml:space="preserve">הצעת חוק לתיקון פקודת מס הכנסה (הטבות במס במועצות אזוריות בעלות רוב מוטב), התשפ"ג-2023 </t>
  </si>
  <si>
    <t xml:space="preserve"> (פ/2778/25)</t>
  </si>
  <si>
    <t xml:space="preserve">הצעת חוק העונשין (תיקון - הפחתת ריבית פיגורים בשל אי-תשלום קנס), התשפ"ג-2023</t>
  </si>
  <si>
    <t xml:space="preserve"> (פ/2777/25)</t>
  </si>
  <si>
    <t xml:space="preserve">הצעת חוק מס הכנסה (פטור ממס על הכנסה מהשכרת דירת מגורים) (תיקון - ניכוי דמי שכירות ששולמו בעד דירת מגורים), התשפ"ג-2023</t>
  </si>
  <si>
    <t xml:space="preserve"> (פ/2776/25)</t>
  </si>
  <si>
    <t xml:space="preserve">הצעת חוק הפחתת תוספות פיגור שנוספו על קנסות הנגבים בידי המרכז לגביית קנסות, אגרות והוצאות (הוראת שעה), התשפ"ג-2023</t>
  </si>
  <si>
    <t xml:space="preserve"> (פ/2775/25)</t>
  </si>
  <si>
    <t xml:space="preserve"> (פ/2774/25)</t>
  </si>
  <si>
    <t xml:space="preserve">הצעת חוק לתיקון פקודת מסי העירייה ומסי הממשלה (פטורין) (פטור מארנונה למעון), התשפ"ג-2023</t>
  </si>
  <si>
    <t xml:space="preserve"> (פ/2773/25)</t>
  </si>
  <si>
    <t xml:space="preserve">הצעת חוק מיסוי מקרקעין (שבח ורכישה) (תיקון - דירה שאינה בבעלותם המשותפת של בני זוג), התשפ"ג-2023</t>
  </si>
  <si>
    <t xml:space="preserve"> (פ/2772/25)</t>
  </si>
  <si>
    <t xml:space="preserve">הצעת חוק לתיקון פקודת הבנקאות (תקופת צינון למפקח על הבנקים), התשפ"ג-2023</t>
  </si>
  <si>
    <t xml:space="preserve"> (פ/2771/25)</t>
  </si>
  <si>
    <t xml:space="preserve">הצעת חוק לתיקון פקודת מס הכנסה (נקודות זיכוי למשפחות אומנה), התשפ"ג-2023</t>
  </si>
  <si>
    <t xml:space="preserve"> (פ/2770/25)</t>
  </si>
  <si>
    <t xml:space="preserve">הצעת חוק לתיקון פקודת מס הכנסה (זיכוי בעד לימודי תואר ראשון), התשפ"ג-2023</t>
  </si>
  <si>
    <t xml:space="preserve"> (פ/2769/25)</t>
  </si>
  <si>
    <t xml:space="preserve">הצעת חוק העונשין (תיקון - חסימת כבישים), התשפ"ג-2023</t>
  </si>
  <si>
    <t xml:space="preserve"> (פ/2768/25)</t>
  </si>
  <si>
    <t xml:space="preserve">הצעת חוק הרשויות המקומיות (פטור חיילים, נפגעי מלחמה ושוטרים מארנונה) (תיקון - הארכת תקופת פטור מארנונה לחיילים בודדים), התשפ"ג-2023</t>
  </si>
  <si>
    <t xml:space="preserve"> (פ/2767/25)</t>
  </si>
  <si>
    <t xml:space="preserve">הצעת חוק ביטול עונש המוות (תיקוני חקיקה), התשפ"ג-2023</t>
  </si>
  <si>
    <t xml:space="preserve"> (פ/2766/25)</t>
  </si>
  <si>
    <t xml:space="preserve">הצעת חוק מס להפחתת גודש התנועה באזור גוש דן (תיקון - ביטול החוק), התשפ"ג-2023</t>
  </si>
  <si>
    <t xml:space="preserve"> (פ/2765/25)</t>
  </si>
  <si>
    <t xml:space="preserve">הצעת חוק העונשין (תיקון - קביעת עונשים מזעריים לעבירות מין), התשפ"ג-2023</t>
  </si>
  <si>
    <t xml:space="preserve"> (פ/2764/25)</t>
  </si>
  <si>
    <t xml:space="preserve">הצעת חוק הסדרים במשק המדינה (תיקוני חקיקה להשגת יעדי התקציב) (תיקון - חובת הענקת הנחה בארנונה לאדם בעל מוגבלות), התשפ"ג-2023</t>
  </si>
  <si>
    <t xml:space="preserve"> (פ/2763/25)</t>
  </si>
  <si>
    <t xml:space="preserve">הצעת חוק לעידוד השקעות בשכירות ארוכת טווח (תיקוני חקיקה), התשפ"ג-2023</t>
  </si>
  <si>
    <t xml:space="preserve"> (פ/2762/25)</t>
  </si>
  <si>
    <t xml:space="preserve">הצעת חוק-יסוד: השפיטה (תיקון מס' 4) (ביקורת שיפוטית בעניין תוקפו של חוק)</t>
  </si>
  <si>
    <t xml:space="preserve"> (כ/949)</t>
  </si>
  <si>
    <t xml:space="preserve">הצעת חוק יישום תוכנית ההתנתקות (תיקון - ביטול סעיפי הפינוי), התשפ"ג-2023</t>
  </si>
  <si>
    <t xml:space="preserve"> (פ/1570/25)</t>
  </si>
  <si>
    <t xml:space="preserve">09.03.2023</t>
  </si>
  <si>
    <t xml:space="preserve">הצעת חוק פיצויי פיטורים (תיקון - התפטרות בשל השתתפות במכינה קדם צבאית), התשפ"ג-2023</t>
  </si>
  <si>
    <t xml:space="preserve"> (פ/2759/25)</t>
  </si>
  <si>
    <t xml:space="preserve">06.03.2023</t>
  </si>
  <si>
    <t xml:space="preserve">הצעת חוק סיוע לצעירים חסרי עורף משפחתי, התשפ"ג-2023</t>
  </si>
  <si>
    <t xml:space="preserve"> (פ/2758/25)</t>
  </si>
  <si>
    <t xml:space="preserve"> (פ/2757/25)</t>
  </si>
  <si>
    <t xml:space="preserve"> (פ/2756/25)</t>
  </si>
  <si>
    <t xml:space="preserve"> (פ/2755/25)</t>
  </si>
  <si>
    <t xml:space="preserve"> (פ/2752/25)</t>
  </si>
  <si>
    <t xml:space="preserve">הצעת חוק שירותי הדת היהודיים (תיקון - ביטול המועצות הדתיות), התשפ"ג-2023</t>
  </si>
  <si>
    <t xml:space="preserve"> (פ/2751/25)</t>
  </si>
  <si>
    <t xml:space="preserve">הצעת חוק לקידום התחרות ולצמצום הריכוזיות (תיקון - קביעת תאגיד שאינו מדווח או שותפות כחברת שכבה), התשפ"ג-2023</t>
  </si>
  <si>
    <t xml:space="preserve"> (פ/2750/25)</t>
  </si>
  <si>
    <t xml:space="preserve"> (פ/2749/25)</t>
  </si>
  <si>
    <t xml:space="preserve">הצעת חוק יישום הסכם הביניים בדבר הגדה המערבית ורצועת עזה (הגבלת פעילות) (תיקון - עונשין על קיום פעילות וחובות דיווח לכנסת), התשפ"ג-2023</t>
  </si>
  <si>
    <t xml:space="preserve"> (פ/2748/25)</t>
  </si>
  <si>
    <t xml:space="preserve">הצעת חוק הביטוח הלאומי (תיקון - הגבלת קצבאות הילדים), התשפ"ג-2023</t>
  </si>
  <si>
    <t xml:space="preserve"> (פ/2747/25)</t>
  </si>
  <si>
    <t xml:space="preserve">הצעת חוק הצבת מכשירי החייאה במקומות ציבוריים (תיקון - צעדים ליישום מיטבי של החוק), התשפ"ג-2023</t>
  </si>
  <si>
    <t xml:space="preserve"> (פ/2746/25)</t>
  </si>
  <si>
    <t xml:space="preserve">הצעת חוק ניירות ערך (תיקון - קנס מוגדל בגין הרצת מניות), התשפ"ג-2023</t>
  </si>
  <si>
    <t xml:space="preserve"> (פ/2745/25)</t>
  </si>
  <si>
    <t xml:space="preserve">הצעת חוק ביטוח בריאות ממלכתי (תיקון - החזר הוצאות עבור נסיעה באמבולנס), התשפ"ג-2023</t>
  </si>
  <si>
    <t xml:space="preserve"> (פ/2744/25)</t>
  </si>
  <si>
    <t xml:space="preserve"> (פ/2743/25)</t>
  </si>
  <si>
    <t xml:space="preserve"> (פ/2742/25)</t>
  </si>
  <si>
    <t xml:space="preserve"> (פ/2741/25)</t>
  </si>
  <si>
    <t xml:space="preserve">הצעת חוק לימודי בטיחות בדרכים בבתי ספר, התשפ"ג-2023</t>
  </si>
  <si>
    <t xml:space="preserve"> (פ/2740/25)</t>
  </si>
  <si>
    <t xml:space="preserve">הצעת חוק לימוד חובה (תיקון - חובת לימודי ליבה), התשפ"ג-2023</t>
  </si>
  <si>
    <t xml:space="preserve"> (פ/2739/25)</t>
  </si>
  <si>
    <t xml:space="preserve">הצעת חוק גנים לאומיים, שמורות טבע, אתרים לאומיים ואתרי הנצחה (תיקון - מניעת שוד והרס אתרי מורשת והעצמת תשתיות במדבר יהודה, ביהודה והשומרון ובקעת הירדן), התשפ"ג-2023</t>
  </si>
  <si>
    <t xml:space="preserve"> (פ/2738/25)</t>
  </si>
  <si>
    <t xml:space="preserve"> (פ/2737/25)</t>
  </si>
  <si>
    <t xml:space="preserve">הצעת חוק שריון איסור הפליה על רקע נטייה מינית או זהות מגדרית (תיקוני חקיקה), התשפ"ג-2023</t>
  </si>
  <si>
    <t xml:space="preserve"> (פ/2736/25)</t>
  </si>
  <si>
    <t xml:space="preserve">הצעת חוק המלחמה בפדופיליה (מאגר מידע), התשפ"ג-2023</t>
  </si>
  <si>
    <t xml:space="preserve"> (פ/2734/25)</t>
  </si>
  <si>
    <t xml:space="preserve">הצעת חוק המועצה להשכלה גבוהה (תיקון - שכר לימוד לסטודנטים יהודים זכאי חוק השבות), התשפ"ג-2023</t>
  </si>
  <si>
    <t xml:space="preserve"> (פ/2733/25)</t>
  </si>
  <si>
    <t xml:space="preserve"> (פ/2732/25)</t>
  </si>
  <si>
    <t xml:space="preserve">הצעת חוק ביטוח בריאות ממלכתי (תיקון - העברת תיק רפואי במעבר בין קופות), התשפ"ג-2023</t>
  </si>
  <si>
    <t xml:space="preserve"> (פ/2731/25)</t>
  </si>
  <si>
    <t xml:space="preserve">הצעת חוק הסדרת מקומות רחצה (תיקון – קביעת מקומות לרחצה נפרדת), התשפ"ג–2023</t>
  </si>
  <si>
    <t xml:space="preserve"> (פ/2730/25)</t>
  </si>
  <si>
    <t xml:space="preserve">הצעת חוק שירותי הדת היהודיים (תיקון - סכום ההשתתפות בהוצאות התקציב של מועצה דתית), התשפ"ג-2023</t>
  </si>
  <si>
    <t xml:space="preserve"> (פ/2728/25)</t>
  </si>
  <si>
    <t xml:space="preserve">הצעת חוק להגדלת שיעור ההשתתפות בכוח העבודה ולצמצום פערים חברתיים (מענק עבודה) (תיקון - זכות במקרקעין בקבוצת רכישה), התשפ"ג-2023 </t>
  </si>
  <si>
    <t xml:space="preserve"> (פ/2725/25)</t>
  </si>
  <si>
    <t xml:space="preserve">הצעת חוק הפיקוח על מעונות יום לפעוטות (תיקון - העברת האחריות למשרד החינוך), התשפ"ג-2023</t>
  </si>
  <si>
    <t xml:space="preserve"> (פ/2724/25)</t>
  </si>
  <si>
    <t xml:space="preserve"> (פ/2723/25)</t>
  </si>
  <si>
    <t xml:space="preserve">הצעת חוק זכויות נפגעי עבירה (תיקון - חובת יידוע נפגעי עבירה בדבר זכויותיהם), התשפ"ג-2023</t>
  </si>
  <si>
    <t xml:space="preserve"> (פ/2722/25)</t>
  </si>
  <si>
    <t xml:space="preserve">הצעת חוק לתיקון סדרי המינהל (החלטות והנמקות) (תיקון - קיצור זמן המענה בפניות ציבור), התשפ"ג-2023</t>
  </si>
  <si>
    <t xml:space="preserve"> (פ/2721/25)</t>
  </si>
  <si>
    <t xml:space="preserve"> (פ/2720/25)</t>
  </si>
  <si>
    <t xml:space="preserve"> (פ/2715/25)</t>
  </si>
  <si>
    <t xml:space="preserve"> (פ/2713/25)</t>
  </si>
  <si>
    <t xml:space="preserve">הצעת חוק הרשות לפיתוח הנגב (תיקון מס' 4) (תיקון - ביטול החוק), התשפ"ג-2023</t>
  </si>
  <si>
    <t xml:space="preserve"> (פ/2712/25)</t>
  </si>
  <si>
    <t xml:space="preserve"> (פ/2711/25)</t>
  </si>
  <si>
    <t xml:space="preserve">הצעת חוק נכסי נפקדים (תיקון - החזרת נכסים לנפקד שהפך לאזרח), התשפ"ג-2023</t>
  </si>
  <si>
    <t xml:space="preserve"> (פ/2710/25)</t>
  </si>
  <si>
    <t xml:space="preserve"> (פ/2709/25)</t>
  </si>
  <si>
    <t xml:space="preserve"> (פ/2707/25)</t>
  </si>
  <si>
    <t xml:space="preserve">הצעת חוק לתיקון פקודת מסי העירייה ומסי הממשלה (פטורין) (פטור מארנונה למכללה טכנולוגית מוכרת), התשפ"ג-2023</t>
  </si>
  <si>
    <t xml:space="preserve"> (פ/2706/25)</t>
  </si>
  <si>
    <t xml:space="preserve">הצעת חוק לעידוד השקעות הון (תיקון - ביטול מסלול הטבות המס), התשפ"ג-2023</t>
  </si>
  <si>
    <t xml:space="preserve"> (פ/2704/25)</t>
  </si>
  <si>
    <t xml:space="preserve">הצעת חוק התכנון והבנייה (תיקון - התקנת תשתית לעמדת טעינה לרכב חשמלי), התשפ"ג-2023</t>
  </si>
  <si>
    <t xml:space="preserve"> (פ/2703/25)</t>
  </si>
  <si>
    <t xml:space="preserve"> (פ/2702/25)</t>
  </si>
  <si>
    <t xml:space="preserve">הצעת חוק לתיקון פקודת המסים (גבייה) (פיצוי עקב טעות), התשפ"ג-2023</t>
  </si>
  <si>
    <t xml:space="preserve"> (פ/2701/25)</t>
  </si>
  <si>
    <t xml:space="preserve"> (פ/2700/25)</t>
  </si>
  <si>
    <t xml:space="preserve"> (פ/2699/25)</t>
  </si>
  <si>
    <t xml:space="preserve"> (פ/2698/25)</t>
  </si>
  <si>
    <t xml:space="preserve"> (פ/2697/25)</t>
  </si>
  <si>
    <t xml:space="preserve">הצעת חוק הגבלת ייבוא צאן לישראל, התשפ''ג-2023</t>
  </si>
  <si>
    <t xml:space="preserve"> (פ/2696/25)</t>
  </si>
  <si>
    <t xml:space="preserve">הצעת חוק לתיקון פקודת מס הכנסה (ניכוי הוצאות בשל ארוחה עסקית לעצמאים), התשפ"ג-2023</t>
  </si>
  <si>
    <t xml:space="preserve"> (פ/2695/25)</t>
  </si>
  <si>
    <t xml:space="preserve">הצעת חוק חינוך ממלכתי (תיקון - הטמעת עקרונות מגילת העצמאות בתוכנית הלימודים), התשפ"ג-2023</t>
  </si>
  <si>
    <t xml:space="preserve"> (פ/2694/25)</t>
  </si>
  <si>
    <t xml:space="preserve"> (פ/2693/25)</t>
  </si>
  <si>
    <t xml:space="preserve">הצעת חוק שעות עבודה ומנוחה (תיקון - הגבלת שעות העסקה של מתמחה ברפואה), התשפ"ג-2023</t>
  </si>
  <si>
    <t xml:space="preserve"> (פ/2692/25)</t>
  </si>
  <si>
    <t xml:space="preserve">הצעת חוק לעידוד הנקה ושמירה על אופן הזנת תינוקות, התשפ"ג-2023</t>
  </si>
  <si>
    <t xml:space="preserve"> (פ/2691/25)</t>
  </si>
  <si>
    <t xml:space="preserve">הצעת חוק עידוד תרומות מזון (תיקון - הצלת מזון), התשפ"ג-2023</t>
  </si>
  <si>
    <t xml:space="preserve"> (פ/2690/25)</t>
  </si>
  <si>
    <t xml:space="preserve"> (פ/2689/25)</t>
  </si>
  <si>
    <t xml:space="preserve">הצעת חוק הסדרת העיסוק בייצוג דוגמנים, התשפ"ג-2023</t>
  </si>
  <si>
    <t xml:space="preserve"> (פ/2688/25)</t>
  </si>
  <si>
    <t xml:space="preserve">הצעת חוק שירות המדינה (גמלאות) (תיקון - ביטול שלילת גמלאות מאלמנים שנישאו), התשפ"ג-2023</t>
  </si>
  <si>
    <t xml:space="preserve"> (פ/2687/25)</t>
  </si>
  <si>
    <t xml:space="preserve">הצעת חוק המזונות (הבטחת תשלום) (תיקון - סכום שלא יובא בחשבון במבחן ההכנסה), התשפ"ג-2023</t>
  </si>
  <si>
    <t xml:space="preserve"> (פ/2686/25)</t>
  </si>
  <si>
    <t xml:space="preserve"> (פ/2685/25)</t>
  </si>
  <si>
    <t xml:space="preserve"> (פ/2684/25)</t>
  </si>
  <si>
    <t xml:space="preserve">הצעת חוק מענק יובל לעובדי הוראה עולים, התשפ"ג-2023</t>
  </si>
  <si>
    <t xml:space="preserve"> (פ/2683/25)</t>
  </si>
  <si>
    <t xml:space="preserve"> (פ/2682/25)</t>
  </si>
  <si>
    <t xml:space="preserve">הצעת חוק הרשות לפיתוח הפריפריה החברתית, התשפ"ג-2023</t>
  </si>
  <si>
    <t xml:space="preserve"> (פ/2681/25)</t>
  </si>
  <si>
    <t xml:space="preserve"> (פ/2680/25)</t>
  </si>
  <si>
    <t xml:space="preserve"> (פ/2679/25)</t>
  </si>
  <si>
    <t xml:space="preserve"> (פ/2678/25)</t>
  </si>
  <si>
    <t xml:space="preserve"> (פ/2677/25)</t>
  </si>
  <si>
    <t xml:space="preserve">הצעת חוק לתיקון פקודת מס הכנסה (ניכוי תשלומים לעצמאים), התשפ"ג-2023</t>
  </si>
  <si>
    <t xml:space="preserve"> (פ/2676/25)</t>
  </si>
  <si>
    <t xml:space="preserve"> (פ/2675/25)</t>
  </si>
  <si>
    <t xml:space="preserve">הצעת חוק משק החשמל (תיקון - גביית תשלומים), התשפ"ג-2023</t>
  </si>
  <si>
    <t xml:space="preserve"> (פ/2674/25)</t>
  </si>
  <si>
    <t xml:space="preserve">הצעת חוק שיעור ריבית פיגורים מקסימלי (תיקוני חקיקה), התשפ"ג-2023</t>
  </si>
  <si>
    <t xml:space="preserve"> (פ/2673/25)</t>
  </si>
  <si>
    <t xml:space="preserve">הצעת חוק חינוך ממלכתי (תיקון - ביטול השתתפות רשות מקומית בתקציבי מוסדות חינוך מוכרים לא רשמיים), התשפ"ג-2023</t>
  </si>
  <si>
    <t xml:space="preserve"> (פ/2672/25)</t>
  </si>
  <si>
    <t xml:space="preserve"> (פ/2670/25)</t>
  </si>
  <si>
    <t xml:space="preserve">הצעת חוק העונשין (תיקון - תקיפת איש כוחות הביטחון וההצלה), התשפ"ג-2023</t>
  </si>
  <si>
    <t xml:space="preserve"> (פ/2669/25)</t>
  </si>
  <si>
    <t xml:space="preserve"> (פ/2668/25)</t>
  </si>
  <si>
    <t xml:space="preserve">הצעת חוק העונשין (תיקון - עונש מינימום למצית נכס ציבורי) (הוראת שעה), התשפ"ג-2023</t>
  </si>
  <si>
    <t xml:space="preserve"> (פ/2667/25)</t>
  </si>
  <si>
    <t xml:space="preserve">הצעת חוק לתיקון פקודת העיריות (קיצור תקופת הפטור מתשלום ארנונה לבניין שנהרס או ניזוק), התשפ"ג-2022</t>
  </si>
  <si>
    <t xml:space="preserve"> (פ/695/25)</t>
  </si>
  <si>
    <t xml:space="preserve">הצעת חוק השכירות והשאילה (תיקון - הגבלה על העלאת דמי השכירות), התשפ"ג-2022</t>
  </si>
  <si>
    <t xml:space="preserve"> (פ/13/25)</t>
  </si>
  <si>
    <t xml:space="preserve">הצעת חוק זכויות החולה (תיקון - קביעת הוראות לעניין הכנסת חפצים ודברי מאכל למוסד רפואי), התשפ"ג-2023</t>
  </si>
  <si>
    <t xml:space="preserve"> (פ/1888/25)</t>
  </si>
  <si>
    <t xml:space="preserve">01.03.2023</t>
  </si>
  <si>
    <t xml:space="preserve">הצעת חוק זכויות החולה (תיקון - הכנסת מזון למוסדות רפואיים בחג הפסח), התשפ"ג-2023</t>
  </si>
  <si>
    <t xml:space="preserve"> (פ/1793/25)</t>
  </si>
  <si>
    <t xml:space="preserve">הצעת חוק חג המצות (איסורי חמץ) (תיקון - איסור הצגת חמץ בפסח בבתי חולים), התשפ"ג-2022</t>
  </si>
  <si>
    <t xml:space="preserve"> (פ/398/25)</t>
  </si>
  <si>
    <t xml:space="preserve"> (פ/397/25)</t>
  </si>
  <si>
    <t xml:space="preserve">הצעת חוק-יסוד: ההתגברות (תיקוני חקיקה) </t>
  </si>
  <si>
    <t xml:space="preserve"> (פ/87/25)</t>
  </si>
  <si>
    <t xml:space="preserve">חוק תכנון משק החלב (תיקון מס' 5), התשפ"ג-2023</t>
  </si>
  <si>
    <t xml:space="preserve"> (מ/1599)</t>
  </si>
  <si>
    <t xml:space="preserve">27.02.2023</t>
  </si>
  <si>
    <t xml:space="preserve">חוק תכנון משק החלב התשע"א-2011 (להלן – החוק העיקרי) מסמיך את שרי האוצר והחקלאות ופיתוח הכפר (להלן – השרים) לקבוע בצו פיקוח לפי חוק פיקוח על מחירי מצרכים ושירותים, מחירים מזעריים שעל מחלבה לשלם ליצרן בעד חלב בקר במכסה (מחיר המטרה). לצד זאת נקבעה בחוק העיקרי הוראת מעבר, לפיה בתקופת המעבר, המחירים המזעריים ייקבעו בהתאם למנגנון עדכון מחירים שיקבעו השרים בתקנות באישור ועדת הכלכלה. בחוק זה הוארכה תקופת המעבר עד ליום 31.12.2025. בנוסף, הוסמכו השרים לקבוע בתקנות הוראות שיאפשרו להוריד את מחיר המטרה וזאת הן על ידי קביעה כי בחישוב עלויות הייצור השנתיות (שעל בסיסן נקבע מחיר המטרה) יכללו רק הרפתות היעילות יותר והן על ידי הפחתה במחירי המטרה הרבעוניים, למשך שנה.</t>
  </si>
  <si>
    <t xml:space="preserve">הצעת חוק פיצויים בעד נזק עקב אסון טבע, התשפ"ג-2023</t>
  </si>
  <si>
    <t xml:space="preserve"> (פ/2665/25)</t>
  </si>
  <si>
    <t xml:space="preserve">הצעת חוק מרשם שמות מתחם בישראל, התשפ"ג-2023</t>
  </si>
  <si>
    <t xml:space="preserve"> (פ/2664/25)</t>
  </si>
  <si>
    <t xml:space="preserve"> (פ/2663/25)</t>
  </si>
  <si>
    <t xml:space="preserve">הצעת חוק להגבלה לאחר סיום כהונה של שר התקשורת, התשפ"ג-2023</t>
  </si>
  <si>
    <t xml:space="preserve"> (פ/2662/25)</t>
  </si>
  <si>
    <t xml:space="preserve"> (פ/2661/25)</t>
  </si>
  <si>
    <t xml:space="preserve">הצעת חוק לתיקון פקודת מס הכנסה (ניכוי הוצאות כיבוד בפגישה מחוץ למקום העיסוק), התשפ"ג-2023</t>
  </si>
  <si>
    <t xml:space="preserve"> (פ/2660/25)</t>
  </si>
  <si>
    <t xml:space="preserve">הצעת חוק העונשין (תיקון - עונשי מינימום בעבירות נשק), התשפ"ג-2023</t>
  </si>
  <si>
    <t xml:space="preserve"> (פ/2658/25)</t>
  </si>
  <si>
    <t xml:space="preserve">הצעת חוק לתיקון פקודת המסים (גבייה) (ביטול החוק), התשפ"ג–2023</t>
  </si>
  <si>
    <t xml:space="preserve"> (פ/2657/25)</t>
  </si>
  <si>
    <t xml:space="preserve">הצעת חוק תאגידי מים וביוב (תיקון - חישוב תעריף דמי הקמה), התשפ"ג-2023</t>
  </si>
  <si>
    <t xml:space="preserve"> (פ/2656/25)</t>
  </si>
  <si>
    <t xml:space="preserve"> (פ/2655/25)</t>
  </si>
  <si>
    <t xml:space="preserve">הצעת חוק העונשין (תיקון - החמרת ענישה על העלבת עובד ציבור), התשפ''ג-2023</t>
  </si>
  <si>
    <t xml:space="preserve"> (פ/2654/25)</t>
  </si>
  <si>
    <t xml:space="preserve"> (פ/2653/25)</t>
  </si>
  <si>
    <t xml:space="preserve">הצעת חוק הסכמים קיבוציים (תיקון - סייג לגביית דמי חבר ודמי טיפול מקצועי-ארגוני בארגון עובדים), התשפ"ג-2023</t>
  </si>
  <si>
    <t xml:space="preserve"> (פ/2652/25)</t>
  </si>
  <si>
    <t xml:space="preserve">הצעת חוק שכר מינימום (תיקון - עוולה נזיקית וקובלנה), התשפ"ג-2023</t>
  </si>
  <si>
    <t xml:space="preserve"> (פ/2651/25)</t>
  </si>
  <si>
    <t xml:space="preserve">הצעת חוק העונשין (תיקון - החמרת ענישה בפשיעה חקלאית) (הוראת שעה), התשפ"ג-2023</t>
  </si>
  <si>
    <t xml:space="preserve"> (פ/2650/25)</t>
  </si>
  <si>
    <t xml:space="preserve"> (פ/2649/25)</t>
  </si>
  <si>
    <t xml:space="preserve">הצעת חוק לתיקון פקודת מס הכנסה (פטור ממס על מלגה לחוקר), התשפ"ג-2023</t>
  </si>
  <si>
    <t xml:space="preserve"> (פ/2648/25)</t>
  </si>
  <si>
    <t xml:space="preserve">הצעת חוק ירושלים רבתי, התשפ"ג-2023</t>
  </si>
  <si>
    <t xml:space="preserve"> (פ/2645/25)</t>
  </si>
  <si>
    <t xml:space="preserve">הצעת חוק הביטוח הלאומי (תיקון - שלילת קצבאות ממחבלים), התשפ"ג-2023</t>
  </si>
  <si>
    <t xml:space="preserve"> (פ/2642/25)</t>
  </si>
  <si>
    <t xml:space="preserve">הצעת חוק שוויון זכויות לאנשים עם מוגבלות (תיקון - חובת נגישות באוטובוסים בין-עירוניים), התשפ"ג-2023</t>
  </si>
  <si>
    <t xml:space="preserve"> (פ/2641/25)</t>
  </si>
  <si>
    <t xml:space="preserve"> (פ/2640/25)</t>
  </si>
  <si>
    <t xml:space="preserve">הצעת חוק דמי מחלה (תיקון - יתרה שלילית של ימי מחלה), התשפ"ג-2023</t>
  </si>
  <si>
    <t xml:space="preserve"> (פ/2638/25)</t>
  </si>
  <si>
    <t xml:space="preserve">הצעת חוק לתיקון פקודת מס הכנסה (הפקדות לקרן השתלמות לעצמאי), התשפ"ג-2023</t>
  </si>
  <si>
    <t xml:space="preserve"> (פ/2636/25)</t>
  </si>
  <si>
    <t xml:space="preserve">הצעת חוק ביטוח בריאות ממלכתי (תיקון - תוספת שנתית קבועה לסל שירותי הבריאות לצורך הוספת תרופות, מכשור וטכנולוגיות רפואיות חדשות), התשפ"ג-2023</t>
  </si>
  <si>
    <t xml:space="preserve"> (פ/2635/25)</t>
  </si>
  <si>
    <t xml:space="preserve"> (פ/2634/25)</t>
  </si>
  <si>
    <t xml:space="preserve">הצעת חוק הפנסיה (מועד תחילת הביטוח הפנסיוני), התשפ"ג-2023</t>
  </si>
  <si>
    <t xml:space="preserve"> (פ/2633/25)</t>
  </si>
  <si>
    <t xml:space="preserve">הצעת חוק סיוע למשפחות שבראשן הורה עצמאי (תיקון - הרחבת תחולה), התשפ"ג-2023</t>
  </si>
  <si>
    <t xml:space="preserve"> (פ/2632/25)</t>
  </si>
  <si>
    <t xml:space="preserve">הצעת חוק המכר (דירות) (תיקון - הסדרת בנייה במסגרת קבוצות רכישה), התשפ"ג-2023</t>
  </si>
  <si>
    <t xml:space="preserve"> (פ/2631/25)</t>
  </si>
  <si>
    <t xml:space="preserve"> (פ/2630/25)</t>
  </si>
  <si>
    <t xml:space="preserve">הצעת חוק לתיקון פקודת העיריות (חובת גילוי מסמכי תאגיד עירוני), התשפ"ג-2023</t>
  </si>
  <si>
    <t xml:space="preserve"> (פ/2629/25)</t>
  </si>
  <si>
    <t xml:space="preserve">הצעת חוק הגנת הצרכן (תיקון - סימון תוצרת חקלאית שאינה ארוזה מראש), התשפ"ג-2023</t>
  </si>
  <si>
    <t xml:space="preserve"> (פ/2627/25)</t>
  </si>
  <si>
    <t xml:space="preserve"> (פ/2626/25)</t>
  </si>
  <si>
    <t xml:space="preserve">הצעת חוק השידור הציבורי הישראלי (תיקון - חברה ציבורית), התשפ"ג-2023</t>
  </si>
  <si>
    <t xml:space="preserve"> (פ/2625/25)</t>
  </si>
  <si>
    <t xml:space="preserve">הצעת חוק למניעת מפגעים (תיקון - עידוד הפחתת שימוש בזיקוקי די-נור), התשפ"ג-2023</t>
  </si>
  <si>
    <t xml:space="preserve"> (פ/2624/25)</t>
  </si>
  <si>
    <t xml:space="preserve">הצעת חוק-יסוד: מבקר המדינה (תיקון - כשירות מועמדים לכהונה כמבקר המדינה) </t>
  </si>
  <si>
    <t xml:space="preserve"> (פ/2623/25)</t>
  </si>
  <si>
    <t xml:space="preserve">הצעת חוק מרכזי חירום ושליטה ביישובים סמוכי גבול, התשפ"ג-2023</t>
  </si>
  <si>
    <t xml:space="preserve"> (פ/2622/25)</t>
  </si>
  <si>
    <t xml:space="preserve">הצעת חוק קליטת חיילים משוחררים (תיקון - זכאות לתומכי לחימה מקרן "ממדים ללימודים"), התשפ"ג-2023</t>
  </si>
  <si>
    <t xml:space="preserve"> (פ/2621/25)</t>
  </si>
  <si>
    <t xml:space="preserve">הצעת חוק עסקאות במקרקעין (קיום מצוות שמיטה) (תיקון - החלת החוק על יהודה והשומרון), התשפ"ג-2023</t>
  </si>
  <si>
    <t xml:space="preserve"> (פ/2620/25)</t>
  </si>
  <si>
    <t xml:space="preserve"> (פ/2619/25)</t>
  </si>
  <si>
    <t xml:space="preserve"> (פ/2618/25)</t>
  </si>
  <si>
    <t xml:space="preserve">הצעת חוק העונשין (תיקון - החזרת הסעיף הסוציאלי כעילה להפסקת הריון), התשפ"ג-2023</t>
  </si>
  <si>
    <t xml:space="preserve"> (פ/2616/25)</t>
  </si>
  <si>
    <t xml:space="preserve"> (פ/2615/25)</t>
  </si>
  <si>
    <t xml:space="preserve"> (פ/2614/25)</t>
  </si>
  <si>
    <t xml:space="preserve"> (פ/2613/25)</t>
  </si>
  <si>
    <t xml:space="preserve">הצעת חוק מס ערך מוסף (תיקון - שיעור מס מופחת על מוצרי מזון בסיסיים), התשפ"ג-2023</t>
  </si>
  <si>
    <t xml:space="preserve"> (פ/2612/25)</t>
  </si>
  <si>
    <t xml:space="preserve"> (פ/2611/25)</t>
  </si>
  <si>
    <t xml:space="preserve">הצעת חוק מימון מפלגות (תיקון - שלילת מימון ממפלגה שקוראת להטלת חרם על מדינת ישראל), התשפ"ג-2023</t>
  </si>
  <si>
    <t xml:space="preserve"> (פ/2610/25)</t>
  </si>
  <si>
    <t xml:space="preserve"> (פ/2608/25)</t>
  </si>
  <si>
    <t xml:space="preserve">הצעת חוק אבטחה במוסדות חינוך, התשפ"ג-2023</t>
  </si>
  <si>
    <t xml:space="preserve"> (פ/2607/25)</t>
  </si>
  <si>
    <t xml:space="preserve">הצעת חוק למניעת העסקה בתחום החינוך והטיפול של אדם שהורשע או שמואשם בתקיפה או בהתעללות בחסר ישע, התשפ"ג-2023</t>
  </si>
  <si>
    <t xml:space="preserve"> (פ/2606/25)</t>
  </si>
  <si>
    <t xml:space="preserve">הצעת חוק המועצה להשכלה גבוהה (תיקון - עידוד הנגשה להשכלה גבוהה), התשפ"ג-2023</t>
  </si>
  <si>
    <t xml:space="preserve"> (פ/2605/25)</t>
  </si>
  <si>
    <t xml:space="preserve">הצעת חוק איסור הכחשת השואה (תיקון - איסור הבעת אהדה לשלטון הנאצי או הזדהות עימו ואיסור שימוש בסמלים נאציים), התשפ"ג-2023</t>
  </si>
  <si>
    <t xml:space="preserve"> (פ/2604/25)</t>
  </si>
  <si>
    <t xml:space="preserve">הצעת חוק הפיקוח על שירותים פיננסיים (קופות גמל) (תיקון - הגבלת דמי ניהול לעמית שסיים את עבודתו), התשפ"ג-2023</t>
  </si>
  <si>
    <t xml:space="preserve"> (פ/2603/25)</t>
  </si>
  <si>
    <t xml:space="preserve">הצעת חוק הביטוח הלאומי (תיקון - מועד לתביעת גמלת כסף והתקופה שבעדה שולמה), התשפ"ג-2023</t>
  </si>
  <si>
    <t xml:space="preserve"> (פ/2602/25)</t>
  </si>
  <si>
    <t xml:space="preserve"> (פ/2599/25)</t>
  </si>
  <si>
    <t xml:space="preserve">הצעת חוק השיפוט הצבאי (תיקון - עתירות אסיר), התשפ"ג-2023</t>
  </si>
  <si>
    <t xml:space="preserve"> (פ/2598/25)</t>
  </si>
  <si>
    <t xml:space="preserve">הצעת חוק מס רכוש וקרן פיצויים (תיקון - פיצוי בגין נזק עקב אסון טבע), התשפ"ג-2023</t>
  </si>
  <si>
    <t xml:space="preserve"> (פ/2597/25)</t>
  </si>
  <si>
    <t xml:space="preserve">הצעת חוק הגנת הצרכן (תיקון - הנגשת הודעת תשלום לצרכנים שאינם דוברי עברית), התשפ"ג-2023</t>
  </si>
  <si>
    <t xml:space="preserve"> (פ/2596/25)</t>
  </si>
  <si>
    <t xml:space="preserve">הצעת חוק נציבות תלונות אסירים, התשפ"ג-2023</t>
  </si>
  <si>
    <t xml:space="preserve"> (פ/2595/25)</t>
  </si>
  <si>
    <t xml:space="preserve"> (פ/2594/25)</t>
  </si>
  <si>
    <t xml:space="preserve"> (פ/2593/25)</t>
  </si>
  <si>
    <t xml:space="preserve">הצעת חוק טוס כחול לבן, התשפ"ג-2023</t>
  </si>
  <si>
    <t xml:space="preserve"> (פ/2591/25)</t>
  </si>
  <si>
    <t xml:space="preserve">הצעת חוק העבירות המינהליות (תיקון - הפחתת תוספת הפיגור על אי-תשלום קנס), התשפ"ג-2023</t>
  </si>
  <si>
    <t xml:space="preserve"> (פ/2590/25)</t>
  </si>
  <si>
    <t xml:space="preserve">הצעת חוק להגבלת כהונת ראש רשות מקומית (תיקוני חקיקה), התשפ"ג-2023</t>
  </si>
  <si>
    <t xml:space="preserve"> (פ/2589/25)</t>
  </si>
  <si>
    <t xml:space="preserve"> (פ/2588/25)</t>
  </si>
  <si>
    <t xml:space="preserve">הצעת חוק ביטוח בריאות ממלכתי (תיקון - אשפוז בית), התשפ"ג-2023</t>
  </si>
  <si>
    <t xml:space="preserve"> (פ/2587/25)</t>
  </si>
  <si>
    <t xml:space="preserve">הצעת חוק החברות (תיקון - פרסום דוחות כספיים של מונופול), התשפ''ג-2023</t>
  </si>
  <si>
    <t xml:space="preserve"> (פ/2586/25)</t>
  </si>
  <si>
    <t xml:space="preserve"> (פ/2585/25)</t>
  </si>
  <si>
    <t xml:space="preserve">הצעת חוק לתיקון פקודת העיריות (שינוי מועד תשלום הארנונה), התשפ"ג-2023</t>
  </si>
  <si>
    <t xml:space="preserve"> (פ/2584/25)</t>
  </si>
  <si>
    <t xml:space="preserve"> (פ/2583/25)</t>
  </si>
  <si>
    <t xml:space="preserve"> (פ/2582/25)</t>
  </si>
  <si>
    <t xml:space="preserve">הצעת חוק האזנת סתר (תיקון - האזנה בשל חשד להתעללות), התשפ"ג-2023 </t>
  </si>
  <si>
    <t xml:space="preserve"> (פ/2581/25)</t>
  </si>
  <si>
    <t xml:space="preserve">הצעת חוק לתיקון פקודת הרוקחים (הכשרת עוזרי רוקח), התשפ"ג-2023</t>
  </si>
  <si>
    <t xml:space="preserve"> (פ/2580/25)</t>
  </si>
  <si>
    <t xml:space="preserve"> (פ/2579/25)</t>
  </si>
  <si>
    <t xml:space="preserve"> (פ/2578/25)</t>
  </si>
  <si>
    <t xml:space="preserve">הצעת חוק חובת המכרזים (תיקון - העדפת תוצרת מקומית), התשפ"ג-2023</t>
  </si>
  <si>
    <t xml:space="preserve"> (פ/2577/25)</t>
  </si>
  <si>
    <t xml:space="preserve">הצעת חוק ההוצאה לפועל (תיקון - קביעת תעריף מקסימלי לשכר טרחת עורך דין), התשפ"ג-2023</t>
  </si>
  <si>
    <t xml:space="preserve"> (פ/2576/25)</t>
  </si>
  <si>
    <t xml:space="preserve"> (פ/2575/25)</t>
  </si>
  <si>
    <t xml:space="preserve">הצעת חוק לתיקון פקודת מס הכנסה (תלוש שכר לעצמאי), התשפ"ג-2023</t>
  </si>
  <si>
    <t xml:space="preserve"> (פ/2574/25)</t>
  </si>
  <si>
    <t xml:space="preserve">הצעת חוק מטרופולין ירושלים, התשפ"ג-2023</t>
  </si>
  <si>
    <t xml:space="preserve"> (פ/2573/25)</t>
  </si>
  <si>
    <t xml:space="preserve">הצעת חוק לתיקון פקודת מס הכנסה (נקודת זיכוי לאפוטרופוס), התשפ"ג-2023</t>
  </si>
  <si>
    <t xml:space="preserve"> (פ/2572/25)</t>
  </si>
  <si>
    <t xml:space="preserve">הצעת חוק שירות הקבע בצבא הגנה לישראל (גמלאות) (תיקון - גמלה לאלמנה שנישאה מחדש), התשפ"ג-2023</t>
  </si>
  <si>
    <t xml:space="preserve"> (פ/2571/25)</t>
  </si>
  <si>
    <t xml:space="preserve"> (פ/2570/25)</t>
  </si>
  <si>
    <t xml:space="preserve"> (פ/2567/25)</t>
  </si>
  <si>
    <t xml:space="preserve"> (פ/2566/25)</t>
  </si>
  <si>
    <t xml:space="preserve"> (פ/2565/25)</t>
  </si>
  <si>
    <t xml:space="preserve"> (פ/2564/25)</t>
  </si>
  <si>
    <t xml:space="preserve">הצעת חוק שעות עבודה ומנוחה (תיקון - שבוע עבודה בן חמישה ימים וקביעת יום ראשון כיום חופשי), התשפ"ג-2023</t>
  </si>
  <si>
    <t xml:space="preserve"> (פ/2563/25)</t>
  </si>
  <si>
    <t xml:space="preserve">הצעת חוק התכנון והבנייה (תיקון - ייצוג הולם לאוכלוסייה הערבית במועצה הארצית לתכנון ולבנייה), התשפ"ג-2023</t>
  </si>
  <si>
    <t xml:space="preserve"> (פ/2562/25)</t>
  </si>
  <si>
    <t xml:space="preserve">הצעת חוק רכבת תחתית (מטרו) (תיקון), התשפ"א-2021</t>
  </si>
  <si>
    <t xml:space="preserve"> (מ/1446)</t>
  </si>
  <si>
    <t xml:space="preserve">26.02.2023</t>
  </si>
  <si>
    <t xml:space="preserve">הצעת חוק אימוץ ילדים (תיקון - כשירות המאמץ), התשפ"ג-2022</t>
  </si>
  <si>
    <t xml:space="preserve"> (פ/629/25)</t>
  </si>
  <si>
    <t xml:space="preserve">22.02.2023</t>
  </si>
  <si>
    <t xml:space="preserve">חוק הרשות השנייה לטלוויזיה ורדיו (תיקון מס' 48), התשפ"ג-2023</t>
  </si>
  <si>
    <t xml:space="preserve"> (מ/1596)</t>
  </si>
  <si>
    <t xml:space="preserve">20.02.2023</t>
  </si>
  <si>
    <t xml:space="preserve">התיקון מאריך בשנה וחצי את תוקפה של הוראת מעבר שנקבעה בתיקון מס' 44 לחוק הרשות השנייה לטלוויזיה ולרדיו, התש"ן–1990 (להלן – תיקון 44), שהתקבל בכנסת בשנת 2018. בתיקון 44 נקבעו שורה של הקלות רגולטוריות לערוצים זעירים ולערוצים זעירים ייעודיים, שהם ערוצים בעלי היקף הכנסה מצומצם שנועדו לתת מענה לקהלים ולנושאים ספציפיים שלא מקבלים ייצוג הולם בערוצי התקשורת המרכזיים. ערוצים אלו היו בפיקוח של המועצה לשידורי כבלים ולשידורי לוויין, ועברו בתיקון 44 לפיקוח הרשות השנייה לטלוויזיה ולרדיו, ומשמעות המעבר היא שאותם ערוצים זכו להקלות משמעותיות במחויבויות החלות עליהם. מדובר בערוץ בשפה הערבית ("הלא TV"), בערוץ בשפה הרוסית (ערוץ 9), בערוץ 24 ובערוץ 14. נוסף על ההקלות שנקבעו בתיקון 44, נקבעה גם הוראת מעבר לתקופה של חמש שנים, עד ליום ד' באדר התשפ"ג (25.2.2023), שעניינה מתן הקלות נוספות וזמניות לערוצים האמורים, במטרה לאפשר את המשך קיומם נוכח היקף הכנסתם המצומצם. ההקלות הזמניות שנקבעו בהוראת המעבר, ותוקפן מוארך בשנה וחצי לפי התיקון, הן פטור מתשלום דמי רישיון שנתיים;  חובה של חברות הכבלים והלוויין (כיום הוט ויס) להעביר במסגרת שידוריהם את שידורי הערוצים ופטור מתשלום עבור שידור כאמור;  פטור מחובת הפקדת בטוחות מעבר לערבויות קיימות;  וכן החרגתם של ערוצים אלה מהוראות מסוימות בחוק לעניין מתן רישיון מבקש רישיון שהפר את ההוראות לפי חוק הרשות השנייה, לעניין הגבלות על בעלויות צולבות של שידורי רדיו או טלוויזיה בנסיבות מסוימות וכן לעניין האיסור על החזקת אמצעי שליטה על ידי בעלים יחיד.  </t>
  </si>
  <si>
    <t xml:space="preserve">חוק שירות ביטחון (הוראת שעה) (הצבת יוצאי צבא בשירות בתי הסוהר) (תיקון מס' 10), התשפ"ג–2023</t>
  </si>
  <si>
    <t xml:space="preserve"> (מ/1597)</t>
  </si>
  <si>
    <t xml:space="preserve">חוק שירות ביטחון (הוראת שעה) (הצבת יוצאי צבא בשירות בתי הסוהר) (תיקון מס' 10), התשפ"ג-2023 אושר בקריאה השנייה והשלישית ביום 21/02/2023.  החוק מאריך בחצי שנה נוספת, עד ה-15/08/2023 את הוראת השעה אשר מסדירה את הצבתם ואת שירותם של חיילים בבתי סוהר ובאגפים בהם מוחזקים אסירים ביטחוניים. </t>
  </si>
  <si>
    <t xml:space="preserve">חוק הכניסה לישראל (תיקון מס' 36), התשפ"ג-2023</t>
  </si>
  <si>
    <t xml:space="preserve"> (מ/1513)</t>
  </si>
  <si>
    <t xml:space="preserve">נקבע כי אחראי על כלי הסעה, העתיד להגיע לישראל או לצאת ממנה, יעביר לרשות האוכלוסין וההגירה את הפרטים המופיעים במסמכי הנסיעה של האנשים העומדים להגיע לישראל או לצאת ממנה על אותו כלי הסעה, את מועד הגעתם לישראל, נקודת מוצאם או מועד יציאתם מישראל ויעדם.  עוד נקבע כי במקרה שיימצא בבדיקות המקדימות כי אדם לא מורשה להיכנס לישראל או לצאת ממנה, רשאי קצין ביקורת הגבולות להעביר הודעה על כך לאחראי על כלי ההסעה, ובהינתן לו הודעה כאמור, יהיה עליו להימנע מלהובילו לישראל או ממנה, לפי העניין, אלא אם מדובר בכניסה לישראל של אזרח, תושב או אדם בעל אשרת חוזר בתוקף. כמו כן, נקבע כי המידע יישמר בידי רשות האוכלוסין וההגירה למשך 90 ימים ובסופם יימחק. במהלך תקופה זו, רשאית רשות האוכלוסין להעביר את המידע לגורמים המנויים בתוספת הראשונה לחוק. רשות האוכלוסין ומי שהעבירה לו מידע לפי חוק זה רשאים שלא למחוק מידע לגבי אדם מסוים למטרות אכיפת החוק או ניהול הליכים שהמדינה צד להם.</t>
  </si>
  <si>
    <t xml:space="preserve">הצעת חוק הרשויות המקומיות (התאמת תקציב הרווחה), התשפ"ג-2023</t>
  </si>
  <si>
    <t xml:space="preserve"> (פ/2557/25)</t>
  </si>
  <si>
    <t xml:space="preserve"> (פ/2556/25)</t>
  </si>
  <si>
    <t xml:space="preserve"> (פ/2555/25)</t>
  </si>
  <si>
    <t xml:space="preserve">הצעת חוק הסדרת העיסוק במקצועות הבריאות (תיקון - מתן תעודה במקצועות הבריאות לבעלי הכשרה מקצועית) (הוראת שעה), התשפ"ג-2023</t>
  </si>
  <si>
    <t xml:space="preserve"> (פ/2554/25)</t>
  </si>
  <si>
    <t xml:space="preserve">הצעת חוק הכשרות לאנשי מקצוע בנושא זיהוי ודיווח על התעללות בקטין או בחסר ישע, התשפ"ג-2023</t>
  </si>
  <si>
    <t xml:space="preserve"> (פ/2553/25)</t>
  </si>
  <si>
    <t xml:space="preserve"> (פ/2552/25)</t>
  </si>
  <si>
    <t xml:space="preserve">הצעת חוק גיל פרישה (תיקון - ביטול גיל פרישת חובה), התשפ"ג-2023</t>
  </si>
  <si>
    <t xml:space="preserve"> (פ/2551/25)</t>
  </si>
  <si>
    <t xml:space="preserve"> (פ/2550/25)</t>
  </si>
  <si>
    <t xml:space="preserve"> (פ/2549/25)</t>
  </si>
  <si>
    <t xml:space="preserve"> (פ/2546/25)</t>
  </si>
  <si>
    <t xml:space="preserve"> (פ/2545/25)</t>
  </si>
  <si>
    <t xml:space="preserve">הצעת חוק לתיקון דיני הרשויות המקומיות (ביטול סמכות שר הפנים לעניין חוקי עזר בדבר פתיחתם וסגירתם של עסקים בימי מנוחה), התשפ"ג-2023</t>
  </si>
  <si>
    <t xml:space="preserve"> (פ/2544/25)</t>
  </si>
  <si>
    <t xml:space="preserve">הצעת חוק חיזוק מעמד חברי המועצה מקרב סיעות האופוזיציה (תיקוני חקיקה), התשפ"ג-2023</t>
  </si>
  <si>
    <t xml:space="preserve"> (פ/2543/25)</t>
  </si>
  <si>
    <t xml:space="preserve"> (פ/2542/25)</t>
  </si>
  <si>
    <t xml:space="preserve"> (פ/2541/25)</t>
  </si>
  <si>
    <t xml:space="preserve">הצעת חוק שירותי הדת היהודיים (תיקון - משך כהונת רב עיר), התשפ"ג-2023</t>
  </si>
  <si>
    <t xml:space="preserve"> (פ/2539/25)</t>
  </si>
  <si>
    <t xml:space="preserve">הצעת חוק הביטוח הלאומי (תיקון - השוואת קצבת נכות לשכר המינימום), התשפ"ג-2023</t>
  </si>
  <si>
    <t xml:space="preserve"> (פ/2538/25)</t>
  </si>
  <si>
    <t xml:space="preserve"> (פ/2537/25)</t>
  </si>
  <si>
    <t xml:space="preserve">הצעת חוק הביטוח הלאומי (תיקון - חיסכון מוקדם לגיל פרישה), התשפ"ג-2023</t>
  </si>
  <si>
    <t xml:space="preserve"> (פ/2536/25)</t>
  </si>
  <si>
    <t xml:space="preserve">הצעת חוק המתווכים במקרקעין (תיקון - הגבלת דמי תיווך), התשפ"ג-2023</t>
  </si>
  <si>
    <t xml:space="preserve"> (פ/2535/25)</t>
  </si>
  <si>
    <t xml:space="preserve">הצעת חוק המקרקעין (תיקון - קביעת מנגנון נוסף לתשלומי ועד), התשפ"ג-2023</t>
  </si>
  <si>
    <t xml:space="preserve"> (פ/2534/25)</t>
  </si>
  <si>
    <t xml:space="preserve">הצעת חוק שכר מינימום (תיקון - העלאת שכר המינימום), התשפ"ג-2023</t>
  </si>
  <si>
    <t xml:space="preserve"> (פ/2533/25)</t>
  </si>
  <si>
    <t xml:space="preserve">הצעת חוק הקמת יישוב עירוני חדש, התשפ"ג-2023</t>
  </si>
  <si>
    <t xml:space="preserve"> (פ/2532/25)</t>
  </si>
  <si>
    <t xml:space="preserve">הצעת חוק שוויון זכויות לאנשים עם מוגבלות (תיקון - נגישות להורה ולתלמיד במוסד חינוך), התשפ"ג-2023</t>
  </si>
  <si>
    <t xml:space="preserve"> (פ/2531/25)</t>
  </si>
  <si>
    <t xml:space="preserve">הצעת חוק העסקת עובדים על ידי קבלני כוח אדם (תיקון - מגבלות ברישוי קבלני כוח אדם), התשפ"ג-2023</t>
  </si>
  <si>
    <t xml:space="preserve"> (פ/2530/25)</t>
  </si>
  <si>
    <t xml:space="preserve"> (פ/2529/25)</t>
  </si>
  <si>
    <t xml:space="preserve"> (פ/2528/25)</t>
  </si>
  <si>
    <t xml:space="preserve"> (פ/2527/25)</t>
  </si>
  <si>
    <t xml:space="preserve">הצעת חוק טיפול בחולי נפש (תיקון - החלת הוראות על בגיר שסובל מאנורקסיה נרבוזה), התשפ"ג-2023</t>
  </si>
  <si>
    <t xml:space="preserve"> (פ/2525/25)</t>
  </si>
  <si>
    <t xml:space="preserve"> (פ/2524/25)</t>
  </si>
  <si>
    <t xml:space="preserve">הצעת חוק יישום תוכנית ההתנתקות (תיקון - ביטול סעיפי הפינוי ושינוי שם החוק), התשפ"ג-2023</t>
  </si>
  <si>
    <t xml:space="preserve"> (פ/2523/25)</t>
  </si>
  <si>
    <t xml:space="preserve">הצעת חוק להרחבת הזכאות לדמי מחלה בהיעדרות בשל מחלת בני משפחה (תיקוני חקיקה), התשפ"ג-2023</t>
  </si>
  <si>
    <t xml:space="preserve"> (פ/2522/25)</t>
  </si>
  <si>
    <t xml:space="preserve">הצעת חוק הפקדות וזכויות סוציאליות לעצמאים (תיקוני חקיקה), התשפ"ג-2023</t>
  </si>
  <si>
    <t xml:space="preserve"> (פ/2521/25)</t>
  </si>
  <si>
    <t xml:space="preserve"> (פ/2520/25)</t>
  </si>
  <si>
    <t xml:space="preserve"> (פ/2518/25)</t>
  </si>
  <si>
    <t xml:space="preserve">הצעת חוק זכויות נפגעי עבירה (תיקון - זכויות בהליך בפני שופט מגשר), התשפ"ג-2023</t>
  </si>
  <si>
    <t xml:space="preserve"> (פ/2516/25)</t>
  </si>
  <si>
    <t xml:space="preserve">הצעת חוק בתי קברות צבאיים (תיקון - קבורה לסוהרים בבתי קברות צבאיים), התשפ"ג-2023</t>
  </si>
  <si>
    <t xml:space="preserve"> (פ/2515/25)</t>
  </si>
  <si>
    <t xml:space="preserve"> (פ/2514/25)</t>
  </si>
  <si>
    <t xml:space="preserve">הצעת חוק לקביעת מעמדם של בני זוג שבאו בהסכם הזוגיות, התשפ"ג-2023</t>
  </si>
  <si>
    <t xml:space="preserve"> (פ/2513/25)</t>
  </si>
  <si>
    <t xml:space="preserve">הצעת חוק הביטוח הלאומי (תיקון - תשלום תוספת לגמלת אזרח ותיק לנכה שהכנסתו נמוכה משכר המינימום), התשפ"ג-2023 </t>
  </si>
  <si>
    <t xml:space="preserve"> (פ/2512/25)</t>
  </si>
  <si>
    <t xml:space="preserve">הצעת חוק הביטוח הלאומי (תיקון - דמי ביטוח מופחתים למעסיק קולט עלייה), התשפ"ג-2023</t>
  </si>
  <si>
    <t xml:space="preserve"> (פ/2511/25)</t>
  </si>
  <si>
    <t xml:space="preserve">הצעת חוק עבודת נשים (תיקון - הגנה לעובדת העוברת טיפולי פוריות), התשפ"ג-2023</t>
  </si>
  <si>
    <t xml:space="preserve"> (פ/2510/25)</t>
  </si>
  <si>
    <t xml:space="preserve"> (פ/2509/25)</t>
  </si>
  <si>
    <t xml:space="preserve"> (פ/2507/25)</t>
  </si>
  <si>
    <t xml:space="preserve">הצעת חוק התחרות הכלכלית (תיקון - איסור פגיעה ביבוא מקביל או ביבוא אישי) (הוראת שעה), התשפ"ג-2023</t>
  </si>
  <si>
    <t xml:space="preserve"> (פ/2506/25)</t>
  </si>
  <si>
    <t xml:space="preserve">הצעת חוק לתיקון פקודת העיריות (חלוקת הכנסות ממתחם הגורם למפגעים סביבתיים בין רשויות מקומיות), התשפ"ג-2023 </t>
  </si>
  <si>
    <t xml:space="preserve"> (פ/2505/25)</t>
  </si>
  <si>
    <t xml:space="preserve">הצעת חוק תוכנית למניעת אלימות מינית וקידום מיניות בריאה, התשפ"ג-2023</t>
  </si>
  <si>
    <t xml:space="preserve"> (פ/2504/25)</t>
  </si>
  <si>
    <t xml:space="preserve"> (פ/2503/25)</t>
  </si>
  <si>
    <t xml:space="preserve">הצעת חוק סדר הדין הפלילי (סמכויות אכיפה - חיפוש בגוף ונטילת אמצעי זיהוי) (תיקון - בדיקה לגילוי נגיף HIV), התשפ"ג-2023</t>
  </si>
  <si>
    <t xml:space="preserve"> (פ/2502/25)</t>
  </si>
  <si>
    <t xml:space="preserve">הצעת חוק צער בעלי חיים (הגנה על בעלי חיים) (תיקון - איסור ניצול בעלי חיים למטרות הימורים), התשפ"ג-2023</t>
  </si>
  <si>
    <t xml:space="preserve"> (פ/2501/25)</t>
  </si>
  <si>
    <t xml:space="preserve">הצעת חוק הפיקוח על מעונות יום לפעוטות (תיקון - הרחבת הפיקוח על מעונות יום), התשפ"ג-2023</t>
  </si>
  <si>
    <t xml:space="preserve"> (פ/2500/25)</t>
  </si>
  <si>
    <t xml:space="preserve">הצעת חוק לתיקון פקודת מס הכנסה (הפחתת מס רווחי הון), התשפ"ג-2023</t>
  </si>
  <si>
    <t xml:space="preserve"> (פ/2499/25)</t>
  </si>
  <si>
    <t xml:space="preserve">הצעת חוק שיפוט בתי דין רבניים (נישואין וגירושין) (תיקון - איסור ביטול גיור), התשפ"ג-2023</t>
  </si>
  <si>
    <t xml:space="preserve"> (פ/2498/25)</t>
  </si>
  <si>
    <t xml:space="preserve">הצעת חוק חינוך ממלכתי (תיקון - איסור נשיאת דברים במוסד חינוך למורשע בעבירות טרור ובבגידה), התשפ"ג-2023</t>
  </si>
  <si>
    <t xml:space="preserve"> (פ/2497/25)</t>
  </si>
  <si>
    <t xml:space="preserve">הצעת חוק העונשין (תיקון - עבירות מין בנסיבות של יחסי מטופלת ורופא נשים), התשפ"ג-2023</t>
  </si>
  <si>
    <t xml:space="preserve"> (פ/2496/25)</t>
  </si>
  <si>
    <t xml:space="preserve">הצעת חוק ניירות ערך (תיקון - בורסה ייעודית), התשפ"ג-2023</t>
  </si>
  <si>
    <t xml:space="preserve"> (פ/2495/25)</t>
  </si>
  <si>
    <t xml:space="preserve">הצעת חוק להסדרת מינויים בשירות החוץ, התשפ"ג-2023</t>
  </si>
  <si>
    <t xml:space="preserve"> (פ/2494/25)</t>
  </si>
  <si>
    <t xml:space="preserve">הצעת חוק הסדרת שוק הכשרות בישראל, התשפ"ג-2023</t>
  </si>
  <si>
    <t xml:space="preserve"> (פ/2493/25)</t>
  </si>
  <si>
    <t xml:space="preserve">הצעת חוק זכויות הדייר בדיור הציבורי (תיקון - זכאות לאימהות יחידניות המקבלות מזונות ילדים), התשפ"ג-2023</t>
  </si>
  <si>
    <t xml:space="preserve"> (פ/2492/25)</t>
  </si>
  <si>
    <t xml:space="preserve">הצעת חוק למניעת השתלטות תושבי הרשות הפלסטינית על שטחי c, התשפ"ג-2023</t>
  </si>
  <si>
    <t xml:space="preserve"> (פ/2491/25)</t>
  </si>
  <si>
    <t xml:space="preserve"> (פ/2490/25)</t>
  </si>
  <si>
    <t xml:space="preserve">הצעת חוק רכזי ביטחון שוטף צבאיים, התשפ"ג-2023</t>
  </si>
  <si>
    <t xml:space="preserve"> (פ/2489/25)</t>
  </si>
  <si>
    <t xml:space="preserve"> (פ/2488/25)</t>
  </si>
  <si>
    <t xml:space="preserve"> (פ/2487/25)</t>
  </si>
  <si>
    <t xml:space="preserve">הצעת חוק שיפוט בתי דין רבניים (נישואין וגירושין) (תיקון - ביטול כריכה), התשפ"ג-2023</t>
  </si>
  <si>
    <t xml:space="preserve"> (פ/2486/25)</t>
  </si>
  <si>
    <t xml:space="preserve"> (פ/2485/25)</t>
  </si>
  <si>
    <t xml:space="preserve"> (פ/2484/25)</t>
  </si>
  <si>
    <t xml:space="preserve">הצעת חוק-יסוד: אוצרות הטבע ומשאבי סביבה</t>
  </si>
  <si>
    <t xml:space="preserve"> (פ/2483/25)</t>
  </si>
  <si>
    <t xml:space="preserve">הצעת חוק חיבור בתים בהתיישבות הצעירה לחשמל, התשפ"ג-2023</t>
  </si>
  <si>
    <t xml:space="preserve"> (פ/2482/25)</t>
  </si>
  <si>
    <t xml:space="preserve">הצעת חוק העונשין (תיקון - עבירות מין על ידי בן משפחה פונקציונאלי), התשפ"ג-2023</t>
  </si>
  <si>
    <t xml:space="preserve"> (פ/2479/25)</t>
  </si>
  <si>
    <t xml:space="preserve">הצעת חוק לעידוד מחקר, פיתוח וחדשנות טכנולוגית בתעשייה (תיקון - תקציב הרשות הלאומית לחדשנות טכנולוגית), התשפ"ג-2023</t>
  </si>
  <si>
    <t xml:space="preserve"> (פ/2478/25)</t>
  </si>
  <si>
    <t xml:space="preserve">הצעת חוק להגנה על האגן הצפוני של ים המלח, התשפ"ג-2023</t>
  </si>
  <si>
    <t xml:space="preserve"> (פ/2477/25)</t>
  </si>
  <si>
    <t xml:space="preserve">הצעת חוק חובת ניהול ופרסום פרוטוקול של ועדות מייעצות (תיקוני חקיקה), התשפ"ג-2023</t>
  </si>
  <si>
    <t xml:space="preserve"> (פ/2474/25)</t>
  </si>
  <si>
    <t xml:space="preserve"> (פ/2473/25)</t>
  </si>
  <si>
    <t xml:space="preserve">הצעת חוק זכויות, שירותים והתאמות בחינוך לילדים עם צרכים מיוחדים, התשפ"ג-2023</t>
  </si>
  <si>
    <t xml:space="preserve"> (פ/2471/25)</t>
  </si>
  <si>
    <t xml:space="preserve">הצעת חוק זכויות נפגעי עבירה (תיקון - הרחבת זכויות נפגעי עבירות מין למידע על הליכים משפטיים), התשפ"ג-2023</t>
  </si>
  <si>
    <t xml:space="preserve"> (פ/2470/25)</t>
  </si>
  <si>
    <t xml:space="preserve">הצעת חוק למניעת תשדירי פרסומת פוגעניים (תיקוני חקיקה), התשפ"ג-2023</t>
  </si>
  <si>
    <t xml:space="preserve"> (פ/2469/25)</t>
  </si>
  <si>
    <t xml:space="preserve"> (פ/2467/25)</t>
  </si>
  <si>
    <t xml:space="preserve"> (פ/2466/25)</t>
  </si>
  <si>
    <t xml:space="preserve">הצעת חוק הגנת הצרכן (תיקון - פריסת תשלומים בעסקה מתמשכת), התשפ"ג-2023</t>
  </si>
  <si>
    <t xml:space="preserve"> (פ/2465/25)</t>
  </si>
  <si>
    <t xml:space="preserve">הצעת חוק שיווי זכויות האישה (תיקון - ייצוג הולם לנשים בוועדות ציבוריות ברשויות המקומיות), התשפ"ג-2023</t>
  </si>
  <si>
    <t xml:space="preserve"> (פ/2464/25)</t>
  </si>
  <si>
    <t xml:space="preserve">הצעת חוק המועצה להשכלה גבוהה (תיקון - ביטול דרישת מבחני כניסה וציון פסיכומטרי), התשפ"ג-2023</t>
  </si>
  <si>
    <t xml:space="preserve"> (פ/2463/25)</t>
  </si>
  <si>
    <t xml:space="preserve">הצעת חוק להסדרת ההימורים החוקיים בישראל, התשפ"ג-2023</t>
  </si>
  <si>
    <t xml:space="preserve"> (פ/2462/25)</t>
  </si>
  <si>
    <t xml:space="preserve">הצעת חוק התאמת טפסים ציבוריים (פרטי הורים), התשפ"ג-2023</t>
  </si>
  <si>
    <t xml:space="preserve"> (פ/2461/25)</t>
  </si>
  <si>
    <t xml:space="preserve">הצעת חוק משפחות חיילים שנספו במערכה (תגמולים ושיקום) (תיקון - הגדרת אלמן ושכול), התשפ"ג-2023</t>
  </si>
  <si>
    <t xml:space="preserve"> (פ/2460/25)</t>
  </si>
  <si>
    <t xml:space="preserve">הצעת חוק סדר הדין הפלילי (תיקון - התיישנות בעבירות מין שנעשו במסגרת יחסי תלות או מרות), התשפ"ג-2023</t>
  </si>
  <si>
    <t xml:space="preserve"> (פ/2459/25)</t>
  </si>
  <si>
    <t xml:space="preserve">הצעת חוק בתי המשפט (תיקון - תובענת תושב אזור עימות), התשפ"ג-2023</t>
  </si>
  <si>
    <t xml:space="preserve"> (פ/2458/25)</t>
  </si>
  <si>
    <t xml:space="preserve"> (פ/2457/25)</t>
  </si>
  <si>
    <t xml:space="preserve"> (פ/2454/25)</t>
  </si>
  <si>
    <t xml:space="preserve">הצעת חוק יום חינוך ארוך ולימודי העשרה (תיקון - תחולת החוק), התשפ"ג-2023</t>
  </si>
  <si>
    <t xml:space="preserve"> (פ/2452/25)</t>
  </si>
  <si>
    <t xml:space="preserve">הצעת חוק חינוך ממלכתי (תיקון - איסור פעילות שיש בה שנאה בשל נטייה מינית, גזענות והדרת נשים במוסדות חינוך רשמיים), התשפ"ג-2023</t>
  </si>
  <si>
    <t xml:space="preserve"> (פ/2451/25)</t>
  </si>
  <si>
    <t xml:space="preserve">הצעת חוק להגנת חיית הבר (תיקון - איסור מכירת פרוות), התשפ"ג-2023</t>
  </si>
  <si>
    <t xml:space="preserve"> (פ/2448/25)</t>
  </si>
  <si>
    <t xml:space="preserve">הצעת חוק כביש אגרה (כביש ארצי לישראל) (תיקון - פטור מאגרה בשל האטה ממהירות הנסיעה המותרת), התשפ"ג-2023</t>
  </si>
  <si>
    <t xml:space="preserve"> (פ/2447/25)</t>
  </si>
  <si>
    <t xml:space="preserve">הצעת חוק מעמדן של ההסתדרות הציונית העולמית ושל הסוכנות היהודית לארץ-ישראל (תיקון - ניהול והקצאת מקרקעין באזור יהודה והשומרון על ידי החטיבה להתיישבות), התשפ"ג-2023</t>
  </si>
  <si>
    <t xml:space="preserve"> (פ/2446/25)</t>
  </si>
  <si>
    <t xml:space="preserve"> (פ/2445/25)</t>
  </si>
  <si>
    <t xml:space="preserve">הצעת חוק לימודי יסוד במערכת החינוך, התשפ"ג-2023</t>
  </si>
  <si>
    <t xml:space="preserve"> (פ/2444/25)</t>
  </si>
  <si>
    <t xml:space="preserve"> (פ/2443/25)</t>
  </si>
  <si>
    <t xml:space="preserve">הצעת חוק המועצה להשכלה גבוהה (תיקון - איסור פעילות פוגענית), התשפ"ג-2023</t>
  </si>
  <si>
    <t xml:space="preserve"> (פ/2442/25)</t>
  </si>
  <si>
    <t xml:space="preserve"> (פ/2440/25)</t>
  </si>
  <si>
    <t xml:space="preserve">הצעת חוק לתיקון פקודת העיריות (הסדרת מבנים לתנועות נוער), התשפ"ג-2023</t>
  </si>
  <si>
    <t xml:space="preserve"> (פ/2439/25)</t>
  </si>
  <si>
    <t xml:space="preserve">הצעת חוק חוזה הביטוח (תיקון - הארכת תקופת ההתיישנות לביטוח חיים), התשפ"ג-2023</t>
  </si>
  <si>
    <t xml:space="preserve"> (פ/2438/25)</t>
  </si>
  <si>
    <t xml:space="preserve">הצעת חוק למניעת הטרדה מינית (תיקון - דין התפטרות עקב הטרדה מינית או התנכלות כפיטורין), התשפ"ג-2023</t>
  </si>
  <si>
    <t xml:space="preserve"> (פ/2436/25)</t>
  </si>
  <si>
    <t xml:space="preserve"> (פ/2435/25)</t>
  </si>
  <si>
    <t xml:space="preserve">הצעת חוק המכינות הקדם-צבאיות (תיקון - שלילת הכרה ממכינות המעודדות סירוב פקודה והסתה), התשפ"ג-2023</t>
  </si>
  <si>
    <t xml:space="preserve"> (פ/2434/25)</t>
  </si>
  <si>
    <t xml:space="preserve"> (פ/2433/25)</t>
  </si>
  <si>
    <t xml:space="preserve">הצעת חוק קליטת חיילים משוחררים (תיקון - הטבות לחיילים בודדים), התשפ"ג-2023</t>
  </si>
  <si>
    <t xml:space="preserve"> (פ/2432/25)</t>
  </si>
  <si>
    <t xml:space="preserve">הצעת חוק הסיוע המשפטי (תיקון - סיוע משפטי לנפגעי אלימות במשפחה), התשפ"ג-2023</t>
  </si>
  <si>
    <t xml:space="preserve"> (פ/2431/25)</t>
  </si>
  <si>
    <t xml:space="preserve">הצעת חוק הדיור הציבורי (פתרונות דיור עבור ממתינים לדיור ציבורי), התשפ"ג-2023</t>
  </si>
  <si>
    <t xml:space="preserve"> (פ/2430/25)</t>
  </si>
  <si>
    <t xml:space="preserve">הצעת חוק למניעת הטרדה מינית (תיקון - הטלת חובות לשם מניעת הטרדה מינית במוסד חינוך), התשפ"ג-2023</t>
  </si>
  <si>
    <t xml:space="preserve"> (פ/2429/25)</t>
  </si>
  <si>
    <t xml:space="preserve"> (פ/2427/25)</t>
  </si>
  <si>
    <t xml:space="preserve">הצעת חוק הגנת הצרכן (תיקון - הגבלת גביית עמלה בעסקת מכר מרחוק שעניינה רכישת כרטיס למופע), התשפ"ג-2023</t>
  </si>
  <si>
    <t xml:space="preserve"> (פ/2426/25)</t>
  </si>
  <si>
    <t xml:space="preserve">הצעת חוק הגנת הצרכן (תיקון - מענה אנושי חינם ללקוחות חברות התעופה), התשפ"ג-2023</t>
  </si>
  <si>
    <t xml:space="preserve"> (פ/2425/25)</t>
  </si>
  <si>
    <t xml:space="preserve"> (פ/2424/25)</t>
  </si>
  <si>
    <t xml:space="preserve">הצעת חוק הביטוח הלאומי (תיקון - אבטחה במוסד רפואי כעבודה מועדפת), התשפ"ג-2023</t>
  </si>
  <si>
    <t xml:space="preserve"> (פ/2423/25)</t>
  </si>
  <si>
    <t xml:space="preserve">הצעת חוק איסור הונאה בכשרות (תיקון - פיקוח על מחירי תעודת הכשר), התשפ"ג-2023</t>
  </si>
  <si>
    <t xml:space="preserve"> (פ/2422/25)</t>
  </si>
  <si>
    <t xml:space="preserve"> (פ/2420/25)</t>
  </si>
  <si>
    <t xml:space="preserve">הצעת חוק הגנת הצרכן (תיקון - החלת חובת הודעה על סיום עסקה מתמשכת על תאגידים בנקאיים ופיננסיים), התשפ"ג-2023</t>
  </si>
  <si>
    <t xml:space="preserve"> (פ/2419/25)</t>
  </si>
  <si>
    <t xml:space="preserve">הצעת חוק ההוצאה לפועל (תיקון - ריבית ודמי פיגורים), התשפ"ג-2023</t>
  </si>
  <si>
    <t xml:space="preserve"> (פ/2418/25)</t>
  </si>
  <si>
    <t xml:space="preserve">הצעת חוק העונשין (תיקון - קביעת עונש מינימום לעבירות יידוי אבנים), התשפ"ג-2022</t>
  </si>
  <si>
    <t xml:space="preserve"> (פ/51/25)</t>
  </si>
  <si>
    <t xml:space="preserve">15.02.2023</t>
  </si>
  <si>
    <t xml:space="preserve">חוק שירות ביטחון (תיקון מס' 7 והוראת שעה) (שירות במשטרה ושירות מוכר) (תיקון מס' 18), התשפ"ג–2023</t>
  </si>
  <si>
    <t xml:space="preserve">14.02.2023</t>
  </si>
  <si>
    <t xml:space="preserve">חוק שירות ביטחון (תיקון מס' 7 והוראת שעה) (שירות במשטרה ושירות מוכר) (תיקון מס' 18), התשפ"ג-2023 אושר בקריאה השנייה והשלישית ביום כ"ג בשבט התשפ"ג (14 בפברואר 2023). החוק האריך בשלוש שנים את הוראת השעה המאפשרת להציב חיילים במשטרת ישראל עד ליום י"א בטבת התשפ"ו (31 בדצמבר 2025). </t>
  </si>
  <si>
    <t xml:space="preserve">חוק סמכויות מיוחדות להתמודדות עם נגיף הקורונה החדש (הוראת שעה) (תיקון מס' 12), התשפ"ג-2023</t>
  </si>
  <si>
    <t xml:space="preserve"> (מ/1593)</t>
  </si>
  <si>
    <t xml:space="preserve">13.02.2023</t>
  </si>
  <si>
    <t xml:space="preserve">נקבע כי תקופת תוקפו של חוק סמכויות מיוחדות להתמודדות עם נגיף הקורונה תוארך עד ליום 15 בפברואר 2024, כדי להבטיח קיומה של תשתית חוקית, במקרה שיתממש חשש מהתפרצות של תת זן חדש וכדי להגן מפני כניסתו של תת זן כאמור, ואולם בוטלו חלקים נרחבים בחוק שאינם נדרשים במצב הנוכחי והנראה לעין  כגון  הסמכויות לקבוע בתקנות הגבלות לעניין פעילות במרחב הפרטי והציבורי, פתיחת עסקים, אירועים, מוסדות רווחה וחינוך, דרישה ל"תו ירוק" והסמכויות להכריז על  אזור מוגבל או אזור תיירות מיוחד. כמו בוטלה סמכות הממשלה להכריז על מצב חירום. נותרה בחוק סמכות לממשלה להכריז על מצב בריאותי מיוחד שבו תהיה מוסמכת להכריז על הפעלת פיקוח טכנולוגי לגבי כל מי שחייב בבידוד או  להתקין, באישור פרלמנטרי שיינתן מראש למעט במקרי דחיפות, תקנות בעניינים מצומצמים הממוקדים בשערי הכניסה לישראל ובהם לקבוע הגבלות אלה בלבד: 1. חובת בדיקות לנכנסים לישראל ומניעת כניסה ממי שנמצא חיובי לנגיף; 2. חובת מפעיל כלי טיס או כלי שיט הנושאים נוסעים לישראל או ממנה לדרוש הצגת תוצאה שלילית בבדיקה כתנאי לעלייתם לכלי התחבורה, וחובת הנוסעים להציגה; 3. חובת נוסע למסור מידע שיאפשר יצירת קשר עמו אם התעורר חשש להדבקה בנגיף או למטרת חקירה אפידמיולוגית וחובת מפעיל של כלי תחבורה שהנסיעה בו נעשית בתיאום או בהזמנה מראש, לשמור פרטים אלה ולמוסרם לשם עריכת חקירה אפידמיולוגית.  ההוראות בעניין הפיקוח, האכיפה והדיווח שבחוק הותאמו להגבלות המצומצמות שניתן יהיה להטיל לפיו. </t>
  </si>
  <si>
    <t xml:space="preserve">חוק לפינוי שדות מוקשים ושטחי נפלים (תיקון מס' 2), התשפ"ג-2023</t>
  </si>
  <si>
    <t xml:space="preserve"> (מ/1590)</t>
  </si>
  <si>
    <t xml:space="preserve">חוק לפינוי שדות מוקשים ושטחי נפלים (תיקון מס' 2), התשפ"ג-2023 אושר בקריאה השנייה והשלישית ביום כ"ג בשבט התשפ"ג (14 בפברואר 2023). החוק כלל שורה של תיקונים בחוק לפינוי שדות מוקשים ושטחי נפלים. בין היתר: * הוראת השעה המסמיכה את הרשות לפינוי מוקשים לפנות שטחי נפלים לבקשת יזם על חשבונו הפכה להוראת קבע. בנוסף, הפכו להוראות קבע ההוראות המסמיכות אותה לפנות מוקשים נגד טנקים, לפנות שדה מוקשים על בסיס סקר ולפנות שטחי נפלים באופן זמני. * לצד ההסדר הכללי המסדיר פינוי מוקשים על חשבון המדינה, נוספה אפשרות לפנות שדות מוקשים לבקשת יזם ועל חשבונו. * בוטל הצורך באישור המפקד הצבאי (הרמטכ"ל או אלוף הפיקוד הרלוונטי) לפתיחתו של שדה מוקשים או שטח נפלים שפונה ובצד זאת בוטלה החובה שהוטלה על צה"ל להסיר את הגדרות שהקיפו אותו, ופעולה זו תבוצע כחלק מהליך הפינוי. * בוטל הצורך בהוצאת צו סגירה של הרמטכ"ל לשטח נפלים בטרם ניתן יהיה להתחיל בפינויו. * בוטל הפטור שניתן לעובדי הרשות לפינוי מוקשים ולצה"ל מאחריות פלילית במקרה של פגיעה ממוקש או מנפל לאחר שחרור השטח. * נוספה הבהרה בדבר אחריות המדינה לנזקים שייגרמו לאדם שייפגע ממוקש או מנפל בשטח שפונה. * הורחבה הסמכות לפנות מוקשים ונפלים בים ללא מגבלת עומק. * נוספו נציגים של משרדי האוצר והאנרגיה לוועדה המייעצת הפועלת ליד הרשות. * הוטלה על שר הביטחון חובה לצרף את חוות הדעת של הוועדה המייעצת לדיווח שלו לממשלה על התוכנית הלאומית לפינוי מוקשים שאישר.</t>
  </si>
  <si>
    <t xml:space="preserve">חוק לייעול האכיפה והפיקוח העירוניים ברשויות המקומיות (הוראת שעה) (תיקון מס' 9), התשפ"ג-2023 </t>
  </si>
  <si>
    <t xml:space="preserve">חוק לייעול האכיפה והפיקוח העירוניים ברשויות המקומיות (הוראת שעה) (תיקון מס' 9) אושר בקריאה השנייה והשלישית ביום כ"ג בשבט התשפ"ג (14 בפברואר 2023). החוק מאריך את הוראת השעה המסדירה את מערך השיטור העירוני ברשויות המקומיות עד ליום י"א בתמוז התשפ"ג (30 ביוני 2023).</t>
  </si>
  <si>
    <t xml:space="preserve"> (פ/2416/25)</t>
  </si>
  <si>
    <t xml:space="preserve"> (פ/2414/25)</t>
  </si>
  <si>
    <t xml:space="preserve"> (פ/2413/25)</t>
  </si>
  <si>
    <t xml:space="preserve">הצעת חוק הבטחת הכנסה (תיקון - גמלה להורה עצמאי), התשפ"ג-2023</t>
  </si>
  <si>
    <t xml:space="preserve"> (פ/2411/25)</t>
  </si>
  <si>
    <t xml:space="preserve">הצעת חוק הביטוח הלאומי (תיקון - קצבת נכות לעולים), התשפ"ג-2023</t>
  </si>
  <si>
    <t xml:space="preserve"> (פ/2410/25)</t>
  </si>
  <si>
    <t xml:space="preserve"> (פ/2409/25)</t>
  </si>
  <si>
    <t xml:space="preserve">הצעת חוק הסדרי עבודה גמישים, התשפ"ג-2023</t>
  </si>
  <si>
    <t xml:space="preserve"> (פ/2408/25)</t>
  </si>
  <si>
    <t xml:space="preserve"> (פ/2407/25)</t>
  </si>
  <si>
    <t xml:space="preserve"> (פ/2406/25)</t>
  </si>
  <si>
    <t xml:space="preserve"> (פ/2404/25)</t>
  </si>
  <si>
    <t xml:space="preserve"> (פ/2403/25)</t>
  </si>
  <si>
    <t xml:space="preserve">הצעת חוק לתיקון פקודת סדר הדין הפלילי (מעצר וחיפוש) (סמכות חיפוש בלא צו) (הוראת שעה), התשפ"ג-2023</t>
  </si>
  <si>
    <t xml:space="preserve"> (פ/2402/25)</t>
  </si>
  <si>
    <t xml:space="preserve">הצעת חוק למניעת הטרדה מינית (תיקון - פגיעה בפרטיות בעלת אופי מיני), התשפ"ג-2023</t>
  </si>
  <si>
    <t xml:space="preserve"> (פ/2401/25)</t>
  </si>
  <si>
    <t xml:space="preserve">הצעת חוק העונשין (תיקון - איסור תיעוד של חיילי צה"ל), התשפ"ג-2023</t>
  </si>
  <si>
    <t xml:space="preserve"> (פ/2400/25)</t>
  </si>
  <si>
    <t xml:space="preserve">הצעת חוק שירות המדינה (מינויים) (תיקון - מינוי סגני מנהלים כלליים), התשפ"ג-2023</t>
  </si>
  <si>
    <t xml:space="preserve"> (פ/2399/25)</t>
  </si>
  <si>
    <t xml:space="preserve"> (פ/2398/25)</t>
  </si>
  <si>
    <t xml:space="preserve"> (פ/2397/25)</t>
  </si>
  <si>
    <t xml:space="preserve">הצעת חוק הלוואות לדיור (תיקון - מענק מיוחד לרכישת דירת מגורים מזכה באזור עדיפות לאומית), התשפ"ג-2023</t>
  </si>
  <si>
    <t xml:space="preserve"> (פ/2395/25)</t>
  </si>
  <si>
    <t xml:space="preserve"> (פ/2393/25)</t>
  </si>
  <si>
    <t xml:space="preserve">הצעת חוק השמירה על המקומות הקדושים (תיקון - הבטחת פלורליזם דתי), התשפ"ג-2023</t>
  </si>
  <si>
    <t xml:space="preserve"> (פ/2391/25)</t>
  </si>
  <si>
    <t xml:space="preserve">הצעת חוק שיקום שכונות דרום תל אביב (תמריצים לפיזור גיאוגרפי של מסתננים) (הוראת שעה), התשפ"ג-2023</t>
  </si>
  <si>
    <t xml:space="preserve"> (פ/2390/25)</t>
  </si>
  <si>
    <t xml:space="preserve"> (פ/2388/25)</t>
  </si>
  <si>
    <t xml:space="preserve"> (פ/2387/25)</t>
  </si>
  <si>
    <t xml:space="preserve">הצעת חוק הנחות בתעריפי מים וחשמל לבתי תפילה (תיקוני חקיקה) (הוראת שעה), התשפ"ג-2023</t>
  </si>
  <si>
    <t xml:space="preserve"> (פ/2386/25)</t>
  </si>
  <si>
    <t xml:space="preserve">הצעת חוק התכנון והבנייה (תיקון מס' 117 - הוראת שעה) (תיקון - הארכת הוראת השעה), התשפ"ג-2023</t>
  </si>
  <si>
    <t xml:space="preserve"> (פ/2385/25)</t>
  </si>
  <si>
    <t xml:space="preserve">הצעת חוק התכנון והבנייה (תיקון - חובת שידור והקלטת ישיבות, ניהול פרוטוקול ופרסומו), התשפ"ג-2023</t>
  </si>
  <si>
    <t xml:space="preserve"> (פ/2384/25)</t>
  </si>
  <si>
    <t xml:space="preserve"> (פ/2383/25)</t>
  </si>
  <si>
    <t xml:space="preserve">הצעת חוק איסור לשון הרע (תיקון - השתייכות חברתית), התשפ"ג-2023</t>
  </si>
  <si>
    <t xml:space="preserve"> (פ/2382/25)</t>
  </si>
  <si>
    <t xml:space="preserve"> (פ/2381/25)</t>
  </si>
  <si>
    <t xml:space="preserve"> (פ/2380/25)</t>
  </si>
  <si>
    <t xml:space="preserve">הצעת חוק הערבות (תיקון - ביטול החוק), התשפ"ג-2023</t>
  </si>
  <si>
    <t xml:space="preserve"> (פ/2379/25)</t>
  </si>
  <si>
    <t xml:space="preserve">הצעת חוק סל הקליטה (תיקון - עדכון סל הקליטה), התשפ"ג-2023</t>
  </si>
  <si>
    <t xml:space="preserve"> (פ/2378/25)</t>
  </si>
  <si>
    <t xml:space="preserve">הצעת חוק העונשין (תיקון - עבירות מין במשפחה), התשפ"ג-2023</t>
  </si>
  <si>
    <t xml:space="preserve"> (פ/2377/25)</t>
  </si>
  <si>
    <t xml:space="preserve">הצעת חוק לתיקון פקודת מס הכנסה (שינוי מדרגות המס), התשפ"ג-2023</t>
  </si>
  <si>
    <t xml:space="preserve"> (פ/2372/25)</t>
  </si>
  <si>
    <t xml:space="preserve">הצעת חוק יסודות התקציב (תיקון - אישור הוועדה המשותפת לתקציב הביטחון להחלטות הממשלה להצטיידות או התעצמות), התשפ"ג-2023</t>
  </si>
  <si>
    <t xml:space="preserve"> (פ/2371/25)</t>
  </si>
  <si>
    <t xml:space="preserve"> (פ/2370/25)</t>
  </si>
  <si>
    <t xml:space="preserve"> (פ/2369/25)</t>
  </si>
  <si>
    <t xml:space="preserve">הצעת חוק הסדרים במשק המדינה (תיקוני חקיקה להשגת יעדי התקציב) (תיקון - זכאות להנחה בארנונה בגין ילד נכה נוסף), התשפ"ג-2023</t>
  </si>
  <si>
    <t xml:space="preserve"> (פ/2367/25)</t>
  </si>
  <si>
    <t xml:space="preserve">הצעת חוק הספורט (תיקון - צירוף נציג אוהדים להנהלת קבוצת כדורגל), התשפ"ג-2023</t>
  </si>
  <si>
    <t xml:space="preserve"> (פ/2366/25)</t>
  </si>
  <si>
    <t xml:space="preserve">הצעת חוק הרשויות המקומיות (יועצת לענייני מעמד האשה) (תיקון - תקציב ייעודי וייחוד הכהונה), התשפ"ג-2023</t>
  </si>
  <si>
    <t xml:space="preserve"> (פ/2365/25)</t>
  </si>
  <si>
    <t xml:space="preserve"> (פ/2364/25)</t>
  </si>
  <si>
    <t xml:space="preserve"> (פ/2363/25)</t>
  </si>
  <si>
    <t xml:space="preserve">הצעת חוק הסדרת מעמדם של פליטים ומבקשי מקלט, התשפ"ג-2023</t>
  </si>
  <si>
    <t xml:space="preserve"> (פ/2362/25)</t>
  </si>
  <si>
    <t xml:space="preserve">הצעת חוק-יסוד: הכנסת (תיקון - הגבלה על התפזרות הכנסת)</t>
  </si>
  <si>
    <t xml:space="preserve"> (פ/2360/25)</t>
  </si>
  <si>
    <t xml:space="preserve">הצעת חוק איות שמות רחובות, דרכים ומקומות ציבוריים (תיקוני חקיקה), התשפ"ג-2023</t>
  </si>
  <si>
    <t xml:space="preserve"> (פ/2358/25)</t>
  </si>
  <si>
    <t xml:space="preserve"> (פ/2357/25)</t>
  </si>
  <si>
    <t xml:space="preserve"> (פ/2356/25)</t>
  </si>
  <si>
    <t xml:space="preserve">הצעת חוק התרבות והאומנות (תיקון - הקצאת תקציב שנתי לתרבות ולאומנות), התשפ"ג-2023</t>
  </si>
  <si>
    <t xml:space="preserve"> (פ/2355/25)</t>
  </si>
  <si>
    <t xml:space="preserve">הצעת חוק הרבנות הראשית לישראל (תיקון - ביטול החוק), התשפ"ג-2023</t>
  </si>
  <si>
    <t xml:space="preserve"> (פ/2354/25)</t>
  </si>
  <si>
    <t xml:space="preserve">הצעת חוק העסקת עובדי הוראה, התשפ"ג-2023</t>
  </si>
  <si>
    <t xml:space="preserve"> (פ/2353/25)</t>
  </si>
  <si>
    <t xml:space="preserve">הצעת חוק ברל כצנלסון (ציון זכרו ופועלו), התשפ"ג-2023</t>
  </si>
  <si>
    <t xml:space="preserve"> (פ/2352/25)</t>
  </si>
  <si>
    <t xml:space="preserve">הצעת חוק חסינות חיילי צה"ל בארועים מבצעיים, התשפ"ג-2023</t>
  </si>
  <si>
    <t xml:space="preserve"> (פ/2351/25)</t>
  </si>
  <si>
    <t xml:space="preserve">הצעת חוק לתיקון פקודת התעבורה (מרכז שירות ארצי לעניין כרטיס רב-קו), התשפ"ג-2023</t>
  </si>
  <si>
    <t xml:space="preserve"> (פ/2350/25)</t>
  </si>
  <si>
    <t xml:space="preserve"> (פ/2349/25)</t>
  </si>
  <si>
    <t xml:space="preserve"> (פ/2348/25)</t>
  </si>
  <si>
    <t xml:space="preserve">הצעת חוק הביטוח הלאומי (תיקון - עקר בית), התשפ"ג-2023</t>
  </si>
  <si>
    <t xml:space="preserve"> (פ/2347/25)</t>
  </si>
  <si>
    <t xml:space="preserve">הצעת חוק לתיקון פקודת התעבורה (קביעת קנס בגין גביית יתר של שכר הסעה במונית), התשפ"ג-2023</t>
  </si>
  <si>
    <t xml:space="preserve"> (פ/2345/25)</t>
  </si>
  <si>
    <t xml:space="preserve"> (פ/2344/25)</t>
  </si>
  <si>
    <t xml:space="preserve"> (פ/2342/25)</t>
  </si>
  <si>
    <t xml:space="preserve"> (פ/2341/25)</t>
  </si>
  <si>
    <t xml:space="preserve"> (פ/2339/25)</t>
  </si>
  <si>
    <t xml:space="preserve">הצעת חוק הלוואה מותנית ללימוד נהיגה, התשפ"ג-2023</t>
  </si>
  <si>
    <t xml:space="preserve"> (פ/2338/25)</t>
  </si>
  <si>
    <t xml:space="preserve"> (פ/2337/25)</t>
  </si>
  <si>
    <t xml:space="preserve">הצעת חוק מס ערך מוסף (תיקון - עוסק פטור חדש), התשפ"ג-2023</t>
  </si>
  <si>
    <t xml:space="preserve"> (פ/2335/25)</t>
  </si>
  <si>
    <t xml:space="preserve">הצעת חוק לתיקון פקודת מס הכנסה (משיכה מקרן השתלמות לאחר לידה או אימוץ), התשפ"ג-2023</t>
  </si>
  <si>
    <t xml:space="preserve"> (פ/2334/25)</t>
  </si>
  <si>
    <t xml:space="preserve"> (פ/2332/25)</t>
  </si>
  <si>
    <t xml:space="preserve"> (פ/2331/25)</t>
  </si>
  <si>
    <t xml:space="preserve">הצעת חוק לאי-מתן הטבות מס למוסד המקיים הפליה (תיקוני חקיקה), התשפ"ג-2023</t>
  </si>
  <si>
    <t xml:space="preserve"> (פ/2330/25)</t>
  </si>
  <si>
    <t xml:space="preserve">הצעת חוק לתיקון פקודת מס הכנסה (מיסוי תרומה מישות מדינית זרה), התשפ"ג-2023</t>
  </si>
  <si>
    <t xml:space="preserve"> (פ/2329/25)</t>
  </si>
  <si>
    <t xml:space="preserve">הצעת חוק להגבלת העברת השליטה בתאגידים מרכזיים לגופים זרים, התשפ"ג-2023</t>
  </si>
  <si>
    <t xml:space="preserve"> (פ/2328/25)</t>
  </si>
  <si>
    <t xml:space="preserve"> (פ/2327/25)</t>
  </si>
  <si>
    <t xml:space="preserve">הצעת חוק העונשין (תיקון - חלופת מאסר לנשים הרות ואמהות), התשפ"ג-2023</t>
  </si>
  <si>
    <t xml:space="preserve"> (פ/2326/25)</t>
  </si>
  <si>
    <t xml:space="preserve"> (פ/2325/25)</t>
  </si>
  <si>
    <t xml:space="preserve">הצעת חוק העונשין (תיקון - הסתה לגזענות), התשפ"ג-2023</t>
  </si>
  <si>
    <t xml:space="preserve"> (פ/2324/25)</t>
  </si>
  <si>
    <t xml:space="preserve"> (פ/2323/25)</t>
  </si>
  <si>
    <t xml:space="preserve">הצעת חוק הכניסה לישראל (תיקון - הארכת רישיון לישיבת ביקור לעובד זר המועסק במתן טיפול סיעודי), התשפ"ג-2023</t>
  </si>
  <si>
    <t xml:space="preserve"> (פ/2322/25)</t>
  </si>
  <si>
    <t xml:space="preserve"> (פ/2321/25)</t>
  </si>
  <si>
    <t xml:space="preserve">הצעת חוק העונשין (תיקון - הארכת התיישנות בעבירות מין שבוצעו במסגרת הנישואין), התשפ"ג-2023</t>
  </si>
  <si>
    <t xml:space="preserve"> (פ/2320/25)</t>
  </si>
  <si>
    <t xml:space="preserve">הצעת חוק העונשין (תיקון - איסור הצבת מכונות משחק של מפעל הפיס), התשפ"ג-2023</t>
  </si>
  <si>
    <t xml:space="preserve"> (פ/2319/25)</t>
  </si>
  <si>
    <t xml:space="preserve"> (פ/2318/25)</t>
  </si>
  <si>
    <t xml:space="preserve"> (פ/2316/25)</t>
  </si>
  <si>
    <t xml:space="preserve"> (פ/2315/25)</t>
  </si>
  <si>
    <t xml:space="preserve">חוק המרכז לגביית קנסות, אגרות והוצאות (תיקון מס' 19 והוראת שעה) (תיקון), התשפ"ג-2023</t>
  </si>
  <si>
    <t xml:space="preserve"> (מ/1591)</t>
  </si>
  <si>
    <t xml:space="preserve">08.02.2023</t>
  </si>
  <si>
    <t xml:space="preserve">הוראת השעה המסמיכה את שר המשפטים לאשר למרכז לגביית קנסות לגבות קנסות עבור רשות מקומית הוארכה בארבע שנים. כמו כן, הוענקה לשר המשפטים סמכות להאריך בצו, בהסכמת ועדת החוקה, חוק ומשפט את תקופת הוראת השעה בשנתיים נוספות.</t>
  </si>
  <si>
    <t xml:space="preserve">חוק לתיקון פקודת מס הכנסה (מס' 263), התשפ"ג-2023</t>
  </si>
  <si>
    <t xml:space="preserve"> (מ/1594)</t>
  </si>
  <si>
    <t xml:space="preserve">נקבע כי סעיף 141(א) לפקודת מס הכנסה (חובת דיווח של חלפני כספים למנהל על ביצוע פעולה בסכום של 50,000 ש"ח ומעלה) יוסדר כהוראת קבע. בהתאם, עוגן סעיף 195ב(ב) לפקודת מס הכנסה (הטלת עיצום כספי על חלפני כספים שהפרו את חובת הדיווח) הקבוע גם כן כהוראת שעה והוסדר כהוראת קבע.</t>
  </si>
  <si>
    <t xml:space="preserve">חוק לתיקון פקודת בתי הסוהר (מס' 61 והוראת שעה), התשפ"ג-2023</t>
  </si>
  <si>
    <t xml:space="preserve"> (מ/1595)</t>
  </si>
  <si>
    <t xml:space="preserve">חוק לתיקון פקודת בתי הסוהר (מס' 61 והוראת שעה), התשפ"ג-2023 אושר בקריאה השנייה והשלישית ביום י"ז בשבט התשפ"ג (8 בפברואר 2023). החוק מאריך את הוראת השעה הקובעת תקופות שחרור מינהלי מורחבות, עד ליום י"ג באב התשפ"ג (31 ביולי 2023).  בנוסף, נקבע כי במהלך תקופה זו יעמוד תקן הכליאה, שהוא מספר הכלואים שאם עוברים אותו ניתן להתחיל בשחרורים מינהליים, יעמוד על 14,500. עוד נקבע בחוק כי נציב בתי הסוהר יהיה רשאי לעכב ב-24 שעות את שחרורו המנהלי של אסיר שהורשע בעבירת מין או אלימות לשם מתן הודעה לנפגע העבירה. לבסוף, החוק הבהיר גם כי כל הבחנה שיש בחוק ביחס לאסירים ששוחררו על תנאי בידי ועדות השחרורים תחול גם לעניין חיילים שמרצים את עונשים בבתי הסוהר של שירות בתי הסוהר, ושוחררו בידי הוועדות לעיון בעונש לפי חוק השיפוט הצבאי. </t>
  </si>
  <si>
    <t xml:space="preserve">חוק ההוצאה לפועל (נגיף הקורונה החדש – תיקון מס' 68 והוראת שעה) (תיקון מס' 2), התשפ"ג-2023</t>
  </si>
  <si>
    <t xml:space="preserve"> (מ/1592)</t>
  </si>
  <si>
    <t xml:space="preserve">נקבעה הוראת קבע המסמיכה את רשמי ההוצאה לפועל לאחד את תיקי החייב בעת מתן צו תשלומים בתיק. בנוסף, בוטל הסעיף המאפשר הוצאת תיק ממסלול מקוצר זאת מכיוון שאין הצדקה להוצאת התיק בתקופה שבה חייב משלם את חובו בהסדר תשלומים במסגרת איחוד תיקים.</t>
  </si>
  <si>
    <t xml:space="preserve">חוק לעניין ועדות הכנסת (תיקוני חקיקה והוראת שעה), התשפ"ג-2023</t>
  </si>
  <si>
    <t xml:space="preserve"> (כ/945)</t>
  </si>
  <si>
    <t xml:space="preserve">07.02.2023</t>
  </si>
  <si>
    <t xml:space="preserve">החוק בא להשלים את תיקון תקנון הכנסת מיום 1.2.2023 שבו הוקמו שלוש ועדות קבועות חדשות: הוועדה לביטחון לאומי, ועדת הבריאות והוועדה למיזמים ציבוריים, ונקבעו שינויים בתחומי ענייניהן של ועדות קבועות אחרות. החוק מתקן בהתאם לכך הוראות בחוקים שונים המעניקות סמכויות ותפקידים לוועדות מסוימות וליושבי הראש שלהן, בעיקר בנוגע לאישור חקיקת משנה ולקבלת דיווחים. </t>
  </si>
  <si>
    <t xml:space="preserve"> (פ/2310/25)</t>
  </si>
  <si>
    <t xml:space="preserve">06.02.2023</t>
  </si>
  <si>
    <t xml:space="preserve"> (פ/2309/25)</t>
  </si>
  <si>
    <t xml:space="preserve">הצעת חוק הביטוח הלאומי (תיקון - הארכת תקופת הזכאות לדמי אבטלה לשכיר שהפך לעצמאי ועסקו נסגר), התשפ"ג-2023</t>
  </si>
  <si>
    <t xml:space="preserve"> (פ/2308/25)</t>
  </si>
  <si>
    <t xml:space="preserve">הצעת חוק הביטוח הלאומי (תיקון - השוואת קצבת נכות לשכר מינימום), התשפ"ג-2023</t>
  </si>
  <si>
    <t xml:space="preserve"> (פ/2307/25)</t>
  </si>
  <si>
    <t xml:space="preserve"> (פ/2306/25)</t>
  </si>
  <si>
    <t xml:space="preserve"> (פ/2305/25)</t>
  </si>
  <si>
    <t xml:space="preserve">הצעת חוק יום ציון לאומי לתרומתה ולפועלה של העדה הדרוזית (תיקון - עיגון מעמדה של העדה הדרוזית כשוות זכויות במדינת ישראל), התשפ"ג-2023</t>
  </si>
  <si>
    <t xml:space="preserve"> (פ/2304/25)</t>
  </si>
  <si>
    <t xml:space="preserve">הצעת חוק העונשין (תיקון - חיוב אוצר המדינה בהוצאות הגנה ובפיצוי על מאסר או מעצר בשל זיכוי או אישום שבוטל), התשפ"ג-2023</t>
  </si>
  <si>
    <t xml:space="preserve"> (פ/2302/25)</t>
  </si>
  <si>
    <t xml:space="preserve"> (פ/2301/25)</t>
  </si>
  <si>
    <t xml:space="preserve"> (פ/2300/25)</t>
  </si>
  <si>
    <t xml:space="preserve"> (פ/2299/25)</t>
  </si>
  <si>
    <t xml:space="preserve"> (פ/2298/25)</t>
  </si>
  <si>
    <t xml:space="preserve"> (פ/2297/25)</t>
  </si>
  <si>
    <t xml:space="preserve"> (פ/2296/25)</t>
  </si>
  <si>
    <t xml:space="preserve"> (פ/2295/25)</t>
  </si>
  <si>
    <t xml:space="preserve"> (פ/2294/25)</t>
  </si>
  <si>
    <t xml:space="preserve">הצעת חוק שכר מינימום (תיקון - תוספת שלא תובא בחשבון בשכר המינימום), התשפ"ג-2023</t>
  </si>
  <si>
    <t xml:space="preserve"> (פ/2293/25)</t>
  </si>
  <si>
    <t xml:space="preserve">הצעת חוק הביטוח הלאומי (תיקון - הכרה בפגיעה מינית בעבודה כפגיעה בעבודה), התשפ"ג-2023</t>
  </si>
  <si>
    <t xml:space="preserve"> (פ/2292/25)</t>
  </si>
  <si>
    <t xml:space="preserve">הצעת חוק האזרחים הוותיקים (תיקון - הקמת קרן למימון תרופות לאזרחים ותיקים מעוטי יכולת), התשפ"ג-2023</t>
  </si>
  <si>
    <t xml:space="preserve"> (פ/2290/25)</t>
  </si>
  <si>
    <t xml:space="preserve">הצעת חוק הביטוח הלאומי (תיקון - הרחבת הזכאות למענק פטירה), התשפ"ג-2023</t>
  </si>
  <si>
    <t xml:space="preserve"> (פ/2289/25)</t>
  </si>
  <si>
    <t xml:space="preserve">הצעת חוק סיוע לקטינים נפגעי עבירות מין או אלימות (תיקון - טיפול נפשי לילדים נפגעי אלימות במשפחה), התשפ"ג-2023</t>
  </si>
  <si>
    <t xml:space="preserve"> (פ/2288/25)</t>
  </si>
  <si>
    <t xml:space="preserve">הצעת חוק הבטחת הכנסה (תיקון - הצמדת הגמלה בגיל פרישה לשכר הממוצע במשק), התשפ"ג-2023</t>
  </si>
  <si>
    <t xml:space="preserve"> (פ/2287/25)</t>
  </si>
  <si>
    <t xml:space="preserve">הצעת חוק הביטוח הלאומי (תיקון - דמי אבטלה לעובד שפוטר לאחר שהגיע לגיל פרישה), התשפ"ג-2023</t>
  </si>
  <si>
    <t xml:space="preserve"> (פ/2286/25)</t>
  </si>
  <si>
    <t xml:space="preserve"> (פ/2285/25)</t>
  </si>
  <si>
    <t xml:space="preserve">הצעת חוק הגנת השכר (תיקון - צירוף פירוט שעות חודשי לתלוש השכר), התשפ"ג-2023</t>
  </si>
  <si>
    <t xml:space="preserve"> (פ/2284/25)</t>
  </si>
  <si>
    <t xml:space="preserve">הצעת חוק דמי מחלה (תיקון - הצהרת מחלה), התשפ"ג-2023</t>
  </si>
  <si>
    <t xml:space="preserve"> (פ/2282/25)</t>
  </si>
  <si>
    <t xml:space="preserve">הצעת חוק תומכות חינוך במוסדות חינוך, התשפ"ג-2023</t>
  </si>
  <si>
    <t xml:space="preserve"> (פ/2281/25)</t>
  </si>
  <si>
    <t xml:space="preserve"> (פ/2280/25)</t>
  </si>
  <si>
    <t xml:space="preserve">הצעת חוק היערכות אזרחית למצבי חירום, התשפ"ג-2023</t>
  </si>
  <si>
    <t xml:space="preserve"> (פ/2279/25)</t>
  </si>
  <si>
    <t xml:space="preserve"> (פ/2278/25)</t>
  </si>
  <si>
    <t xml:space="preserve"> (פ/2277/25)</t>
  </si>
  <si>
    <t xml:space="preserve"> (פ/2276/25)</t>
  </si>
  <si>
    <t xml:space="preserve">הצעת חוק הגנה על עובדים (חשיפת עבירות ופגיעה בטוהר המידות או במינהל התקין) (תיקון - הגדלת סכום הפיצוי שאינו תלוי בנזק ושינוי נטל ההוכחה), התשפ"ג-2023</t>
  </si>
  <si>
    <t xml:space="preserve"> (פ/2275/25)</t>
  </si>
  <si>
    <t xml:space="preserve">הצעת חוק הביטוח הלאומי (תיקון - הארכת תקופת הזכאות לדמי אבטלה לצעירים), התשפ"ג-2023</t>
  </si>
  <si>
    <t xml:space="preserve"> (פ/2274/25)</t>
  </si>
  <si>
    <t xml:space="preserve"> (פ/2273/25)</t>
  </si>
  <si>
    <t xml:space="preserve">הצעת חוק איסור שימוש ברכב במימון ציבורי לחבר כנסת, שר וסגן שר ביום המנוחה השבועי ובחג, התשפ"ג-2023</t>
  </si>
  <si>
    <t xml:space="preserve"> (פ/2272/25)</t>
  </si>
  <si>
    <t xml:space="preserve">הצעת חוק המים (תיקון - הוספת נציג ציבור לעניין איכות הסביבה למועצת רשות המים), התשפ"ג-2023</t>
  </si>
  <si>
    <t xml:space="preserve"> (פ/2271/25)</t>
  </si>
  <si>
    <t xml:space="preserve">הצעת חוק שירותי הדת היהודיים (מועצות דתיות - בחירות), התשפ"ג-2023</t>
  </si>
  <si>
    <t xml:space="preserve"> (פ/2270/25)</t>
  </si>
  <si>
    <t xml:space="preserve"> (פ/2269/25)</t>
  </si>
  <si>
    <t xml:space="preserve"> (פ/2267/25)</t>
  </si>
  <si>
    <t xml:space="preserve"> (פ/2266/25)</t>
  </si>
  <si>
    <t xml:space="preserve">הצעת חוק לימוד חובה (תיקון - חינוך חינם לפעוטות), התשפ"ג-2023</t>
  </si>
  <si>
    <t xml:space="preserve"> (פ/2264/25)</t>
  </si>
  <si>
    <t xml:space="preserve">הצעת חוק המועצה להשכלה גבוהה (תיקון - הגבלת שיתוף פעולה בין מוסד אקדמי לבין ארגון הפועל נגד מדינת ישראל), התשפ"ג-2023</t>
  </si>
  <si>
    <t xml:space="preserve"> (פ/2263/25)</t>
  </si>
  <si>
    <t xml:space="preserve"> (פ/2262/25)</t>
  </si>
  <si>
    <t xml:space="preserve">הצעת חוק העונשין (תיקון - עונש מינימום וקנס על החזקת נשק בלתי חוקי), התשפ"ג-2023</t>
  </si>
  <si>
    <t xml:space="preserve"> (פ/2261/25)</t>
  </si>
  <si>
    <t xml:space="preserve"> (פ/2260/25)</t>
  </si>
  <si>
    <t xml:space="preserve">הצעת חוק הדיינים (תיקון - כשירות מנהל בתי הדין הרבניים), התשפ"ג-2023</t>
  </si>
  <si>
    <t xml:space="preserve"> (פ/2259/25)</t>
  </si>
  <si>
    <t xml:space="preserve">הצעת חוק שיווי זכויות האישה (תיקון - ייצוג הולם לנשים בכנסים במימון ציבורי), התשפ"ג-2023</t>
  </si>
  <si>
    <t xml:space="preserve"> (פ/2258/25)</t>
  </si>
  <si>
    <t xml:space="preserve"> (פ/2257/25)</t>
  </si>
  <si>
    <t xml:space="preserve">הצעת חוק למניעת פגיעה במדינת ישראל באמצעות חרם (תיקון - פיצוי בעלי עסקים), התשפ"ג-2023</t>
  </si>
  <si>
    <t xml:space="preserve"> (פ/2256/25)</t>
  </si>
  <si>
    <t xml:space="preserve">הצעת חוק הגנה על הציבור מפני ביצוע עבירות מין (תיקון - מתן טיפול שיקום מונע ללא הרשעה), התשפ"ג-2023</t>
  </si>
  <si>
    <t xml:space="preserve"> (פ/2255/25)</t>
  </si>
  <si>
    <t xml:space="preserve">הצעת חוק לקידום דיור בר השגה, התשפ"ג-2023</t>
  </si>
  <si>
    <t xml:space="preserve"> (פ/2254/25)</t>
  </si>
  <si>
    <t xml:space="preserve">הצעת חוק החברות (תיקון - איסור חברות בדירקטוריון של בנק ושל חברה ציבורית נוספת), התשפ"ג-2023</t>
  </si>
  <si>
    <t xml:space="preserve"> (פ/2253/25)</t>
  </si>
  <si>
    <t xml:space="preserve"> (פ/2252/25)</t>
  </si>
  <si>
    <t xml:space="preserve"> (פ/2250/25)</t>
  </si>
  <si>
    <t xml:space="preserve">הצעת חוק זכויות נפגעי עבירה (תיקון - מרכזי טיפול ייעודיים לנפגעות ונפגעי עבירות מין בגירים), התשפ"ג-2023</t>
  </si>
  <si>
    <t xml:space="preserve"> (פ/2249/25)</t>
  </si>
  <si>
    <t xml:space="preserve">הצעת חוק הביטוח הלאומי (תיקון - גמלת סיעוד למבוטח הנמצא במוסד סיעודי), התשפ"ג-2023</t>
  </si>
  <si>
    <t xml:space="preserve"> (פ/2248/25)</t>
  </si>
  <si>
    <t xml:space="preserve">הצעת חוק צירוף משפחות נפגעי טרור כצד להליך המשפטי (תיקוני חקיקה), התשפ"ג-2023</t>
  </si>
  <si>
    <t xml:space="preserve"> (פ/2245/25)</t>
  </si>
  <si>
    <t xml:space="preserve">הצעת חוק ההוצאה לפועל (תיקון - הגבלת עיקול מיטלטליו של קשיש), התשפ"ג-2023</t>
  </si>
  <si>
    <t xml:space="preserve"> (פ/2244/25)</t>
  </si>
  <si>
    <t xml:space="preserve">הצעת חוק החברות (תיקון - ייצוג הולם של נשים בדירקטוריונים של חברות ציבוריות), התשפ"ג-2023</t>
  </si>
  <si>
    <t xml:space="preserve"> (פ/2243/25)</t>
  </si>
  <si>
    <t xml:space="preserve"> (פ/2242/25)</t>
  </si>
  <si>
    <t xml:space="preserve">הצעת חוק החזר דמי נסיעה במונית לבית החולים (תיקוני חקיקה), התשפ"ג-2023</t>
  </si>
  <si>
    <t xml:space="preserve"> (פ/2241/25)</t>
  </si>
  <si>
    <t xml:space="preserve"> (פ/2240/25)</t>
  </si>
  <si>
    <t xml:space="preserve"> (פ/2239/25)</t>
  </si>
  <si>
    <t xml:space="preserve">הצעת חוק לתיקון פקודת התעבורה (ביטול מופע אור ירוק ברמזור פנייה ימינה בעת הופעת אור ירוק ברמזור להולכי רגל), התשפ"ג-2023</t>
  </si>
  <si>
    <t xml:space="preserve"> (פ/2236/25)</t>
  </si>
  <si>
    <t xml:space="preserve"> (פ/2235/25)</t>
  </si>
  <si>
    <t xml:space="preserve">הצעת חוק הממשלה (תיקון - ועדת שרים לענייני חקיקה), התשפ"ג-2023</t>
  </si>
  <si>
    <t xml:space="preserve"> (פ/2234/25)</t>
  </si>
  <si>
    <t xml:space="preserve"> (פ/2233/25)</t>
  </si>
  <si>
    <t xml:space="preserve"> (פ/2232/25)</t>
  </si>
  <si>
    <t xml:space="preserve">הצעת חוק הבחירות לכנסת (תיקון - עדכון כתובת לצורכי בחירות), התשפ"ג-2023</t>
  </si>
  <si>
    <t xml:space="preserve"> (פ/2231/25)</t>
  </si>
  <si>
    <t xml:space="preserve">הצעת חוק הבחירות לכנסת (תיקון - ביטול עקרון הריתוק לקלפי), התשפ"ג-2023</t>
  </si>
  <si>
    <t xml:space="preserve"> (פ/2230/25)</t>
  </si>
  <si>
    <t xml:space="preserve"> (פ/2229/25)</t>
  </si>
  <si>
    <t xml:space="preserve">הצעת חוק החברות (תיקון - הגבלת כהונת דירקטור לשלוש חברות), התשפ"ג-2023</t>
  </si>
  <si>
    <t xml:space="preserve"> (פ/2228/25)</t>
  </si>
  <si>
    <t xml:space="preserve"> (פ/2226/25)</t>
  </si>
  <si>
    <t xml:space="preserve">הצעת חוק ההוצאה לפועל (תיקון - מסלול מקוצר חובה), התשפ"ג-2023</t>
  </si>
  <si>
    <t xml:space="preserve"> (פ/2225/25)</t>
  </si>
  <si>
    <t xml:space="preserve"> (פ/2224/25)</t>
  </si>
  <si>
    <t xml:space="preserve"> (פ/2223/25)</t>
  </si>
  <si>
    <t xml:space="preserve">הצעת חוק הגבלת תקופת עסקה בעניין הגרלות או הימורים, התשפ"ג-2023</t>
  </si>
  <si>
    <t xml:space="preserve"> (פ/2222/25)</t>
  </si>
  <si>
    <t xml:space="preserve">הצעת חוק ביטוח בריאות ממלכתי (תיקון - החזר אגרת נסיעה באמבולנס), התשפ"ג-2023</t>
  </si>
  <si>
    <t xml:space="preserve"> (פ/2221/25)</t>
  </si>
  <si>
    <t xml:space="preserve">הצעת חוק הכשרות המשפטית והאפוטרופסות (תיקון - תשלום שכר והוצאות של אפוטרופוס מאוצר המדינה), התשפ"ג-2023</t>
  </si>
  <si>
    <t xml:space="preserve"> (פ/2220/25)</t>
  </si>
  <si>
    <t xml:space="preserve"> (פ/2219/25)</t>
  </si>
  <si>
    <t xml:space="preserve">הצעת חוק הגישור, התשפ"ג-2023</t>
  </si>
  <si>
    <t xml:space="preserve"> (פ/2218/25)</t>
  </si>
  <si>
    <t xml:space="preserve">הצעת חוק אימוץ ילדים (תיקון - הוספת סמכות בנושא דתו של המאומץ), התשפ"ג-2023</t>
  </si>
  <si>
    <t xml:space="preserve"> (פ/2216/25)</t>
  </si>
  <si>
    <t xml:space="preserve">הצעת חוק האזרחים הוותיקים (תיקון - סבסוד מלא של נסיעות בתחבורה ציבורית לניצולי שואה ולאסירי ציון), התשפ"ג-2023</t>
  </si>
  <si>
    <t xml:space="preserve"> (פ/2215/25)</t>
  </si>
  <si>
    <t xml:space="preserve">הצעת חוק בית המשפט לענייני משפחה (תיקון - פטור מתשלום אגרה למקבלי הבטחת הכנסה), התשפ"ג-2023</t>
  </si>
  <si>
    <t xml:space="preserve"> (פ/2214/25)</t>
  </si>
  <si>
    <t xml:space="preserve">הצעת חוק שירות המדינה (מינויים) (תיקון - מינוי יועצים משפטיים של משרדים), התשפ"ג-2023</t>
  </si>
  <si>
    <t xml:space="preserve"> (פ/2212/25)</t>
  </si>
  <si>
    <t xml:space="preserve">הצעת חוק הביטוח הלאומי (תיקון - העלאת קצבת הילדים), התשפ"ג-2023</t>
  </si>
  <si>
    <t xml:space="preserve"> (פ/2211/25)</t>
  </si>
  <si>
    <t xml:space="preserve">הצעת חוק בית המשפט לענייני משפחה (תיקון - מימון ניהול ההליך המשפטי), התשפ"ג-2023</t>
  </si>
  <si>
    <t xml:space="preserve"> (פ/2210/25)</t>
  </si>
  <si>
    <t xml:space="preserve">הצעת חוק הבטחת הכנסה (תיקון - הגדלת שווי רכב המאפשר זכאות לגמלה), התשפ"ג-2023</t>
  </si>
  <si>
    <t xml:space="preserve"> (פ/2209/25)</t>
  </si>
  <si>
    <t xml:space="preserve"> (פ/2208/25)</t>
  </si>
  <si>
    <t xml:space="preserve">הצעת חוק התניית יום שבתון בהצבעה בבחירות (תיקוני חקיקה), התשפ"ג-2023</t>
  </si>
  <si>
    <t xml:space="preserve"> (פ/2207/25)</t>
  </si>
  <si>
    <t xml:space="preserve">הצעת חוק איסור הפליה בשל מין, נטיה מינית או זהות מגדרית (תיקוני חקיקה), התשפ"ג-2023</t>
  </si>
  <si>
    <t xml:space="preserve"> (פ/2206/25)</t>
  </si>
  <si>
    <t xml:space="preserve"> (פ/2205/25)</t>
  </si>
  <si>
    <t xml:space="preserve">הצעת חוק הביטוח הלאומי (תיקון - ביטול מבחן הכנסה לצורך קביעת זכאות ניצול שואה לגמלת סיעוד), התשפ"ג-2023</t>
  </si>
  <si>
    <t xml:space="preserve"> (פ/2204/25)</t>
  </si>
  <si>
    <t xml:space="preserve">הצעת חוק הביטוח הלאומי (תיקון - תוספת לקצבה של מי שמעסיק עובד בענף הסיעוד), התשפ"ג-2023</t>
  </si>
  <si>
    <t xml:space="preserve"> (פ/2203/25)</t>
  </si>
  <si>
    <t xml:space="preserve">הצעת חוק החברות (תיקון - פרסום דוחות כספיים של מונופול), התשפ"ג-2023</t>
  </si>
  <si>
    <t xml:space="preserve"> (פ/2201/25)</t>
  </si>
  <si>
    <t xml:space="preserve">הצעת חוק הביטוח הלאומי (תיקון - ביטוח זכויות עצמאי שעיקר הכנסתו מעסק בהליכי חדלות פירעון), התשפ"ג-2023</t>
  </si>
  <si>
    <t xml:space="preserve"> (פ/2200/25)</t>
  </si>
  <si>
    <t xml:space="preserve">הצעת חוק המשתתף החופשי, התשפ"ג-2023</t>
  </si>
  <si>
    <t xml:space="preserve"> (פ/2199/25)</t>
  </si>
  <si>
    <t xml:space="preserve"> (פ/2197/25)</t>
  </si>
  <si>
    <t xml:space="preserve">הצעת חוק דמי מחלה (היעדרות בשל מחלת נכד), התשפ"ג-2023</t>
  </si>
  <si>
    <t xml:space="preserve"> (פ/2196/25)</t>
  </si>
  <si>
    <t xml:space="preserve"> (פ/2193/25)</t>
  </si>
  <si>
    <t xml:space="preserve">הצעת חוק סמכות ואחריות הורית (משמורת), התשפ"ג-2023</t>
  </si>
  <si>
    <t xml:space="preserve"> (פ/2192/25)</t>
  </si>
  <si>
    <t xml:space="preserve"> (פ/2191/25)</t>
  </si>
  <si>
    <t xml:space="preserve">הצעת חוק הכשרות לאנשי מקצוע בתחום החינוך בנושא מגדר ונטייה מינית, התשפ"ג-2023</t>
  </si>
  <si>
    <t xml:space="preserve"> (פ/2190/25)</t>
  </si>
  <si>
    <t xml:space="preserve">הצעת חוק ההתגוננות האזרחית (תיקון - הקמת תשתית חיבור לרשת אינטרנט אלחוטית במקלטים שביישובי קו העימות), התשפ"ג-2023</t>
  </si>
  <si>
    <t xml:space="preserve"> (פ/2188/25)</t>
  </si>
  <si>
    <t xml:space="preserve"> (פ/2187/25)</t>
  </si>
  <si>
    <t xml:space="preserve"> (פ/2186/25)</t>
  </si>
  <si>
    <t xml:space="preserve"> (פ/2185/25)</t>
  </si>
  <si>
    <t xml:space="preserve">הצעת חוק משק החשמל (תיקון - איסור ניתוק חשמל), התשפ"ג-2023</t>
  </si>
  <si>
    <t xml:space="preserve"> (פ/2184/25)</t>
  </si>
  <si>
    <t xml:space="preserve"> (פ/2183/25)</t>
  </si>
  <si>
    <t xml:space="preserve">הצעת חוק הביטוח הלאומי (תיקון - קצבת שאירים למי שמנהל משק בית משותף), התשפ"ג-2023</t>
  </si>
  <si>
    <t xml:space="preserve"> (פ/2182/25)</t>
  </si>
  <si>
    <t xml:space="preserve"> (פ/2181/25)</t>
  </si>
  <si>
    <t xml:space="preserve">הצעת חוק טיפול בחולי נפש (תיקון - בחירת מקום אשפוז), התשפ"ג-2023</t>
  </si>
  <si>
    <t xml:space="preserve"> (פ/2180/25)</t>
  </si>
  <si>
    <t xml:space="preserve">הצעת חוק הגנת הצרכן (תיקון - פיצויים בלא הוכחת נזק בשל חריגה מזמני המתנה במוקד שירות טלפוני), התשפ"ג-2023</t>
  </si>
  <si>
    <t xml:space="preserve"> (פ/2179/25)</t>
  </si>
  <si>
    <t xml:space="preserve"> (פ/2178/25)</t>
  </si>
  <si>
    <t xml:space="preserve"> (פ/2177/25)</t>
  </si>
  <si>
    <t xml:space="preserve">הצעת חוק חובת דיווח שנתי על מצב הטבע והמגוון הביולוגי בישראל, התשפ"ג-2023</t>
  </si>
  <si>
    <t xml:space="preserve"> (פ/2176/25)</t>
  </si>
  <si>
    <t xml:space="preserve">הצעת חוק הסדרת מקומות רחצה (תיקון - קביעת מקומות לרחצה נפרדת), התשפ"ג-2023</t>
  </si>
  <si>
    <t xml:space="preserve"> (פ/2175/25)</t>
  </si>
  <si>
    <t xml:space="preserve">הצעת חוק הביטוח הלאומי (תיקון - זכאות לדמי לידה לחיילות בשירות קבע), התשפ"ג-2023</t>
  </si>
  <si>
    <t xml:space="preserve"> (פ/2174/25)</t>
  </si>
  <si>
    <t xml:space="preserve"> (פ/2173/25)</t>
  </si>
  <si>
    <t xml:space="preserve">הצעת חוק הביטוח הלאומי (תיקון - דמי מחלה לעובד עצמאי), התשפ"ב-2023</t>
  </si>
  <si>
    <t xml:space="preserve"> (פ/2172/25)</t>
  </si>
  <si>
    <t xml:space="preserve">הצעת חוק שירותי הדת היהודיים (תיקון - הנחה ברכישת קבר זוגי), התשפ"ג-2023</t>
  </si>
  <si>
    <t xml:space="preserve"> (פ/2171/25)</t>
  </si>
  <si>
    <t xml:space="preserve">הצעת חוק שירות המילואים (תיקון - קביעת נקודות זיכוי), התשפ"ג-2023</t>
  </si>
  <si>
    <t xml:space="preserve"> (פ/2170/25)</t>
  </si>
  <si>
    <t xml:space="preserve">הצעת חוק הבטחת הכנסה (תיקון - מסגרת שיקומית מזנות), התשפ"ג-2023</t>
  </si>
  <si>
    <t xml:space="preserve"> (פ/2169/25)</t>
  </si>
  <si>
    <t xml:space="preserve"> (פ/2168/25)</t>
  </si>
  <si>
    <t xml:space="preserve"> (פ/2167/25)</t>
  </si>
  <si>
    <t xml:space="preserve"> (פ/2166/25)</t>
  </si>
  <si>
    <t xml:space="preserve">הצעת חוק להגדלת שיעור ההשתתפות בכוח העבודה ולצמצום פערים חברתיים (מענק עבודה) (תיקון - גיל הזכאות), התשפ"ג-2023</t>
  </si>
  <si>
    <t xml:space="preserve"> (פ/2164/25)</t>
  </si>
  <si>
    <t xml:space="preserve">הצעת חוק הגנה על בריאות הציבור (מזון) (תיקון - הגבלת השימוש בחומצות שומן טראנס), התשפ"ג-2023</t>
  </si>
  <si>
    <t xml:space="preserve"> (פ/2163/25)</t>
  </si>
  <si>
    <t xml:space="preserve">הצעת חוק רשות מקרקעי ישראל (תיקון - העדפת בני המקום בשיווק קרקעות), התשפ"ג-2023</t>
  </si>
  <si>
    <t xml:space="preserve"> (פ/2162/25)</t>
  </si>
  <si>
    <t xml:space="preserve">הצעת חוק לתיקון בריאות העם (הוספת מכשור רפואי לפריפריה), התשפ"ג-2023</t>
  </si>
  <si>
    <t xml:space="preserve"> (פ/2161/25)</t>
  </si>
  <si>
    <t xml:space="preserve">הצעת חוק מרשם האוכלוסין (תיקון - רישום הורה נוסף), התשפ"ג-2023</t>
  </si>
  <si>
    <t xml:space="preserve"> (פ/2160/25)</t>
  </si>
  <si>
    <t xml:space="preserve">הצעת חוק הביטוח הלאומי (תיקון - ביטול מבחני התלות לקבלת גמלת סיעוד לאזרח שמלאו לו 80 שנים), התשפ"ג-2023</t>
  </si>
  <si>
    <t xml:space="preserve"> (פ/2159/25)</t>
  </si>
  <si>
    <t xml:space="preserve">הצעת חוק צירוף משפחות נפגעי טרור כצד להליך המשפטי (תיקוני חקיקה), התשפ"ג-2023 </t>
  </si>
  <si>
    <t xml:space="preserve"> (פ/2158/25)</t>
  </si>
  <si>
    <t xml:space="preserve">30.01.2023</t>
  </si>
  <si>
    <t xml:space="preserve">הצעת חוק העונשין (תיקון מס' 140 - הוראת שעה) (תיקון - הארכת תוקף והגדלת עונש המינימום), התשפ"ג-2023</t>
  </si>
  <si>
    <t xml:space="preserve"> (פ/2157/25)</t>
  </si>
  <si>
    <t xml:space="preserve">הצעת חוק הסדרת העיסוק במקצועות הבריאות (תיקון - הסדרת העיסוק במקצועות הבריאות עוזר רופא ודימותנות רפואית), התשפ"ג-2023</t>
  </si>
  <si>
    <t xml:space="preserve"> (פ/2155/25)</t>
  </si>
  <si>
    <t xml:space="preserve">הצעת חוק הסדרים במשק המדינה (תיקוני חקיקה להשגת יעדי התקציב) (תיקון - פטור מארנונה למגורים), התשפ"ג-2023</t>
  </si>
  <si>
    <t xml:space="preserve"> (פ/2154/25)</t>
  </si>
  <si>
    <t xml:space="preserve">הצעת חוק בתי דין רבניים (קיום פסקי דין של גירושין) (תיקון - סמכות בית המשפט לענייני משפחה), התשפ"ג-2023</t>
  </si>
  <si>
    <t xml:space="preserve"> (פ/2153/25)</t>
  </si>
  <si>
    <t xml:space="preserve"> (פ/2151/25)</t>
  </si>
  <si>
    <t xml:space="preserve"> (פ/2150/25)</t>
  </si>
  <si>
    <t xml:space="preserve"> (פ/2149/25)</t>
  </si>
  <si>
    <t xml:space="preserve">הצעת חוק האפוטרופוס הכללי (תיקון - הקמת מאגר מידע לעניין כספים ללא דורש), התשפ"ג-2023</t>
  </si>
  <si>
    <t xml:space="preserve"> (פ/2148/25)</t>
  </si>
  <si>
    <t xml:space="preserve">הצעת חוק שמירת הסביבה החופית (בחינה ועדכון של תכניות), התשפ"ג-2023</t>
  </si>
  <si>
    <t xml:space="preserve"> (פ/2147/25)</t>
  </si>
  <si>
    <t xml:space="preserve"> (פ/2145/25)</t>
  </si>
  <si>
    <t xml:space="preserve">הצעת חוק המקרקעין (חיזוק בתים משותפים מפני רעידות אדמה) (תיקון - פינוי קשישים), התשפ"ג-2023</t>
  </si>
  <si>
    <t xml:space="preserve"> (פ/2143/25)</t>
  </si>
  <si>
    <t xml:space="preserve">הצעת חוק השוואת תשלומים לחיילים בודדים ילידי ישראל וחיילים בודדים שנולדו מחוץ לישראל, התשפ"ג-2023</t>
  </si>
  <si>
    <t xml:space="preserve"> (פ/2142/25)</t>
  </si>
  <si>
    <t xml:space="preserve">הצעת חוק הסדרת מקומות רחצה (תיקון - ייעוד זמנים לרחצה נפרדת באתרי טבע), התשפ"ג-2023</t>
  </si>
  <si>
    <t xml:space="preserve"> (פ/2140/25)</t>
  </si>
  <si>
    <t xml:space="preserve">הצעת חוק חינוך ממלכתי (תיקון – מעמד החינוך הממלכתי המשלב), התשפ"ג–2023</t>
  </si>
  <si>
    <t xml:space="preserve"> (פ/2139/25)</t>
  </si>
  <si>
    <t xml:space="preserve">הצעת חוק למניעת העסקה של עברייני מין במוסדות מסוימים (תיקון - הגדרת עבירת מין), התשפ"ג-2023</t>
  </si>
  <si>
    <t xml:space="preserve"> (פ/2138/25)</t>
  </si>
  <si>
    <t xml:space="preserve">הצעת חוק עבודת נשים (תיקון - זכאות להשתתפות בעלות מעון יום בתקופת הלידה וההורות), התשפ"ג-2023</t>
  </si>
  <si>
    <t xml:space="preserve"> (פ/2137/25)</t>
  </si>
  <si>
    <t xml:space="preserve">הצעת חוק בתי המשפט (תיקון - הרכב מלא בדיון בתיקי בג"ץ), התשפ"ג-2023</t>
  </si>
  <si>
    <t xml:space="preserve"> (פ/2136/25)</t>
  </si>
  <si>
    <t xml:space="preserve">הצעת חוק עבודת נשים (תיקון - הארכת תקופת לידה והורות בתשלום), התשפ"ג-2023</t>
  </si>
  <si>
    <t xml:space="preserve"> (פ/2134/25)</t>
  </si>
  <si>
    <t xml:space="preserve">הצעת חוק הגבלת פעולות אנשי דת בלתי מורשים בצבא הגנה לישראל ובמשטרת ישראל, התשפ"ג-2023</t>
  </si>
  <si>
    <t xml:space="preserve"> (פ/2133/25)</t>
  </si>
  <si>
    <t xml:space="preserve"> (פ/2132/25)</t>
  </si>
  <si>
    <t xml:space="preserve">הצעת חוק אימוץ ילדים (תיקון - כשירות המאמץ), התשפ"ג-2023</t>
  </si>
  <si>
    <t xml:space="preserve"> (פ/2131/25)</t>
  </si>
  <si>
    <t xml:space="preserve"> (פ/2129/25)</t>
  </si>
  <si>
    <t xml:space="preserve">הצעת חוק לתיקון פקודת הרופאים (ביצוע פעולות בבית החולה), התשפ"ג-2023</t>
  </si>
  <si>
    <t xml:space="preserve"> (פ/2128/25)</t>
  </si>
  <si>
    <t xml:space="preserve">הצעת חוק זכויות הדייר בדיור הציבורי (תיקון - הארכת תוקף זכאות לדירה ציבורית), התשפ"ג-2023</t>
  </si>
  <si>
    <t xml:space="preserve"> (פ/2126/25)</t>
  </si>
  <si>
    <t xml:space="preserve">הצעת חוק הנישואין ופירוקם, התשפ"ג-2023</t>
  </si>
  <si>
    <t xml:space="preserve"> (פ/2125/25)</t>
  </si>
  <si>
    <t xml:space="preserve"> (פ/2124/25)</t>
  </si>
  <si>
    <t xml:space="preserve">הצעת חוק שירותי הדת היהודיים (תיקון - פיזור מועצה דתית בידי מועצת הרשות המקומית), התשפ"ג-2023</t>
  </si>
  <si>
    <t xml:space="preserve"> (פ/2123/25)</t>
  </si>
  <si>
    <t xml:space="preserve">הצעת חוק חינוך מיוחד (תיקון - הרחבה לגבי מוסדות שאינם מוכרים), התשפ"ג-2023</t>
  </si>
  <si>
    <t xml:space="preserve"> (פ/2122/25)</t>
  </si>
  <si>
    <t xml:space="preserve"> (פ/2121/25)</t>
  </si>
  <si>
    <t xml:space="preserve"> (פ/2120/25)</t>
  </si>
  <si>
    <t xml:space="preserve">הצעת חוק הגנת השכר (תיקון - מתכונת אחידה לפנקס שכר ותלוש שכר), התשפ"ג-2023</t>
  </si>
  <si>
    <t xml:space="preserve"> (פ/2119/25)</t>
  </si>
  <si>
    <t xml:space="preserve"> (פ/2118/25)</t>
  </si>
  <si>
    <t xml:space="preserve">הצעת חוק שימוש חוזר במים אפורים, התשפ"ג-2023</t>
  </si>
  <si>
    <t xml:space="preserve"> (פ/2117/25)</t>
  </si>
  <si>
    <t xml:space="preserve"> (פ/2116/25)</t>
  </si>
  <si>
    <t xml:space="preserve">הצעת חוק החזקת תכשיר אפינפרין במוסדות חינוך ובמקומות ציבוריים (תיקון - החזקת תכשיר אפינפרין בבית אוכל), התשפ"ג-2023</t>
  </si>
  <si>
    <t xml:space="preserve"> (פ/2115/25)</t>
  </si>
  <si>
    <t xml:space="preserve">הצעת חוק הרבנות הראשית לישראל (תיקון - סייג לבחירה או למינוי לתפקיד רב ראשי לישראל או לחבר מועצה), התשפ"ג-2023</t>
  </si>
  <si>
    <t xml:space="preserve"> (פ/2114/25)</t>
  </si>
  <si>
    <t xml:space="preserve">הצעת חוק הגנת הצרכן (תיקון - מגבלות על חיוב חשבון של צרכן בתשלומים), התשפ"ג-2023</t>
  </si>
  <si>
    <t xml:space="preserve"> (פ/2113/25)</t>
  </si>
  <si>
    <t xml:space="preserve"> (פ/2112/25)</t>
  </si>
  <si>
    <t xml:space="preserve"> (פ/2111/25)</t>
  </si>
  <si>
    <t xml:space="preserve">הצעת חוק ביטוח בריאות ממלכתי (תיקון - מחלה יתומה), התשפ"ג-2023</t>
  </si>
  <si>
    <t xml:space="preserve"> (פ/2110/25)</t>
  </si>
  <si>
    <t xml:space="preserve">הצעת חוק-יסוד: השפיטה (תיקון - משפט חוזר אזרחי)</t>
  </si>
  <si>
    <t xml:space="preserve"> (פ/2106/25)</t>
  </si>
  <si>
    <t xml:space="preserve">הצעת חוק החזר הוצאות כספיות בגין עריכת נישואין אזרחיים בחוץ לארץ למי שאינם רשאים להינשא על פי הדין הדתי, התשפ"ג-2023</t>
  </si>
  <si>
    <t xml:space="preserve"> (פ/2104/25)</t>
  </si>
  <si>
    <t xml:space="preserve">הצעת חוק סדר הדין הפלילי (חקירת חשודים) (תיקון - יידוע זכויות חשודים), התשפ"ג-2023</t>
  </si>
  <si>
    <t xml:space="preserve"> (פ/2102/25)</t>
  </si>
  <si>
    <t xml:space="preserve">הצעת חוק שוויון זכויות לאנשים עם מוגבלות (תיקון - הרחבת הזכאות למתן שירות בלא המתנה בתור), התשפ"ג-2023</t>
  </si>
  <si>
    <t xml:space="preserve"> (פ/2101/25)</t>
  </si>
  <si>
    <t xml:space="preserve">הצעת חוק מניעת עבירות מין בקטינים (תיקוני חקיקה), התשפ"ג-2023</t>
  </si>
  <si>
    <t xml:space="preserve"> (פ/2100/25)</t>
  </si>
  <si>
    <t xml:space="preserve"> (פ/2099/25)</t>
  </si>
  <si>
    <t xml:space="preserve"> (פ/2098/25)</t>
  </si>
  <si>
    <t xml:space="preserve">הצעת חוק הבנקאות (שירות ללקוח) (תיקון - מרווח שיעורי הריבית), התשפ"ג-2023</t>
  </si>
  <si>
    <t xml:space="preserve"> (פ/2097/25)</t>
  </si>
  <si>
    <t xml:space="preserve"> (פ/2096/25)</t>
  </si>
  <si>
    <t xml:space="preserve">הצעת חוק הסניגוריה הציבורית (תיקון - פיקוח על החזקה בבידוד או על החזקה באיפול תקשורתי), התשפ"ג-2023</t>
  </si>
  <si>
    <t xml:space="preserve"> (פ/2095/25)</t>
  </si>
  <si>
    <t xml:space="preserve"> (פ/2094/25)</t>
  </si>
  <si>
    <t xml:space="preserve">הצעת חוק שוויון ההזדמנויות בעבודה (תיקון - איסור הפליה מחמת מצב כלכלי), התשפ"ג-2023</t>
  </si>
  <si>
    <t xml:space="preserve"> (פ/2093/25)</t>
  </si>
  <si>
    <t xml:space="preserve">הצעת חוק למניעת עיגון מנישואין, התשפ"ג-2023</t>
  </si>
  <si>
    <t xml:space="preserve"> (פ/2092/25)</t>
  </si>
  <si>
    <t xml:space="preserve">הצעת חוק-יסוד: נשיא המדינה (תיקון - איסור מועמדות וכהונה לנאשם או מורשע בפלילים)</t>
  </si>
  <si>
    <t xml:space="preserve"> (פ/2091/25)</t>
  </si>
  <si>
    <t xml:space="preserve"> (פ/2090/25)</t>
  </si>
  <si>
    <t xml:space="preserve">הצעת חוק ההוצאה לפועל (תיקון - שכר עורך דין), התשפ"ג-2023</t>
  </si>
  <si>
    <t xml:space="preserve"> (פ/2089/25)</t>
  </si>
  <si>
    <t xml:space="preserve">הצעת חוק לתיקון פקודת התעבורה (חניה במקום ציבורי למשתמשים בעגלת ילדים), התשפ"ג-2023</t>
  </si>
  <si>
    <t xml:space="preserve"> (פ/2087/25)</t>
  </si>
  <si>
    <t xml:space="preserve"> (פ/2086/25)</t>
  </si>
  <si>
    <t xml:space="preserve"> (פ/2084/25)</t>
  </si>
  <si>
    <t xml:space="preserve">הצעת חוק למניעת אלימות כלכלית בין בני זוג ובני משפחה, התשפ"ג-2023</t>
  </si>
  <si>
    <t xml:space="preserve"> (פ/2083/25)</t>
  </si>
  <si>
    <t xml:space="preserve">הצעת חוק העונשין (תיקון - החריגים לעבירת ריבוי נישואין), התשפ"ג-2023</t>
  </si>
  <si>
    <t xml:space="preserve"> (פ/2082/25)</t>
  </si>
  <si>
    <t xml:space="preserve">הצעת חוק האזרחים הוותיקים (תיקון - חניה חינם לאזרח ותיק שמלאו לו 70 שנים), התשפ"ג-2023</t>
  </si>
  <si>
    <t xml:space="preserve"> (פ/2080/25)</t>
  </si>
  <si>
    <t xml:space="preserve">הצעת חוק להקמת קרן למוצרי מזון בריא, התשפ''ג-2023</t>
  </si>
  <si>
    <t xml:space="preserve"> (פ/2079/25)</t>
  </si>
  <si>
    <t xml:space="preserve"> (פ/2078/25)</t>
  </si>
  <si>
    <t xml:space="preserve"> (פ/2077/25)</t>
  </si>
  <si>
    <t xml:space="preserve">הצעת חוק שירות הציבור (הגבלות לאחר פרישה) (תיקון - תקופת צינון לנושאי משרה בכירה בשירות הציבור), התשפ"ג-2023</t>
  </si>
  <si>
    <t xml:space="preserve"> (פ/2076/25)</t>
  </si>
  <si>
    <t xml:space="preserve">הצעת חוק הבנקאות (שירות ללקוח) (תיקון - קיצור משך זמן לביטול שעבוד), התשפ"ג-2023</t>
  </si>
  <si>
    <t xml:space="preserve"> (פ/2074/25)</t>
  </si>
  <si>
    <t xml:space="preserve"> (פ/2073/25)</t>
  </si>
  <si>
    <t xml:space="preserve">הצעת חוק המכר (דירות) (תיקון - הגבלת הסכום הנקוב במפרט בשל שינוי מיקומו של פריט בדירה חדשה), התשפ"ג-2023</t>
  </si>
  <si>
    <t xml:space="preserve"> (פ/2071/25)</t>
  </si>
  <si>
    <t xml:space="preserve"> (פ/2070/25)</t>
  </si>
  <si>
    <t xml:space="preserve"> (פ/2068/25)</t>
  </si>
  <si>
    <t xml:space="preserve">הצעת חוק שיפוט בתי דין רבניים (נישואין וגירושין) (תיקון - קציבת זמן לכריכת ענייני ממון ומשמורת), התשפ"ג-2023</t>
  </si>
  <si>
    <t xml:space="preserve"> (פ/2067/25)</t>
  </si>
  <si>
    <t xml:space="preserve"> (פ/2065/25)</t>
  </si>
  <si>
    <t xml:space="preserve">הצעת חוק איסור הפליה במוצרים, בשירותים ובכניסה למקומות בידור ולמקומות ציבוריים (תיקון - איסור בקשה לשינוי בהסדר במתן השירות), התשפ"ג-2023</t>
  </si>
  <si>
    <t xml:space="preserve"> (פ/2064/25)</t>
  </si>
  <si>
    <t xml:space="preserve">הצעת חוק איסור פרסום הפליה (תיקוני חקיקה), התשפ"ג-2023</t>
  </si>
  <si>
    <t xml:space="preserve"> (פ/2063/25)</t>
  </si>
  <si>
    <t xml:space="preserve">הצעת חוק לתיקון פקודת התעבורה (שירות טלפוני לדיווח ולקבלת תלונות על עבירות תעבורה או נהיגה מסוכנת של נהג אוטובוס), התשפ"ג-2023</t>
  </si>
  <si>
    <t xml:space="preserve"> (פ/2062/25)</t>
  </si>
  <si>
    <t xml:space="preserve">הצעת חוק הרבנות הראשית לישראל (תיקון - ייצוג הציבור באסיפה הבוחרת), התשפ"ג-2023</t>
  </si>
  <si>
    <t xml:space="preserve"> (פ/2061/25)</t>
  </si>
  <si>
    <t xml:space="preserve">הצעת חוק לתיקון פקודת התעבורה (פיצוי למתלונן), התשפ"ג-2023</t>
  </si>
  <si>
    <t xml:space="preserve"> (פ/2060/25)</t>
  </si>
  <si>
    <t xml:space="preserve"> (פ/2059/25)</t>
  </si>
  <si>
    <t xml:space="preserve">הצעת חוק סמכות ואחריות הורית (מזונות), התשפ"ג-2023</t>
  </si>
  <si>
    <t xml:space="preserve"> (פ/2058/25)</t>
  </si>
  <si>
    <t xml:space="preserve"> (פ/2057/25)</t>
  </si>
  <si>
    <t xml:space="preserve">הצעת חוק הגנת הצרכן (תיקון - תאריך ייצור ומועד תפוגה בגודל גופן קריא), התשפ"ג-2023</t>
  </si>
  <si>
    <t xml:space="preserve"> (פ/2056/25)</t>
  </si>
  <si>
    <t xml:space="preserve"> (פ/2054/25)</t>
  </si>
  <si>
    <t xml:space="preserve">הצעת חוק הצבת מכשירי החייאה במקומות ציבוריים (תיקון - בדיקות תקינות שנתיות ותיעודן), התשפ"ג-2023</t>
  </si>
  <si>
    <t xml:space="preserve"> (פ/2053/25)</t>
  </si>
  <si>
    <t xml:space="preserve"> (פ/2052/25)</t>
  </si>
  <si>
    <t xml:space="preserve">הצעת חוק העונשין (תיקון - החמרת ענישה על תקיפת קטין או חסר ישע), התשפ"ג-2023</t>
  </si>
  <si>
    <t xml:space="preserve"> (פ/2050/25)</t>
  </si>
  <si>
    <t xml:space="preserve">הצעת חוק השכירות והשאילה (תיקון - הגבלה על העלאת דמי השכירות), התשפ"ג-2023</t>
  </si>
  <si>
    <t xml:space="preserve"> (פ/2049/25)</t>
  </si>
  <si>
    <t xml:space="preserve">הצעת חוק שוויון זכויות לאנשים עם מוגבלות (תיקון - הכשרה מתאימה לממונה תעסוקה), התשפ"ג-2023</t>
  </si>
  <si>
    <t xml:space="preserve"> (פ/2048/25)</t>
  </si>
  <si>
    <t xml:space="preserve">הצעת חוק הביטוח הלאומי (תיקון - ביטוח זכויות בהליכי חדלות פירעון לעובד עצמאי שעיקר הכנסתו ממקור אחד), התשפ"ג-2023</t>
  </si>
  <si>
    <t xml:space="preserve"> (פ/2047/25)</t>
  </si>
  <si>
    <t xml:space="preserve">הצעת חוק חובת מיגון לנכים, קשישים, דיירי הדיור הציבורי ולמתגוררים ביישובי קו העימות בעוטף עזה, התשפ"ג-2023</t>
  </si>
  <si>
    <t xml:space="preserve"> (פ/2046/25)</t>
  </si>
  <si>
    <t xml:space="preserve">הצעת חוק תגמול נושאי משרה בחברות ציבוריות, התשפ"ג-2023</t>
  </si>
  <si>
    <t xml:space="preserve"> (פ/2045/25)</t>
  </si>
  <si>
    <t xml:space="preserve">הצעת חוק דמי נסיעה לסטודנטים בתחבורה ציבורית (תיקוני חקיקה), התשפ"ג-2023</t>
  </si>
  <si>
    <t xml:space="preserve"> (פ/2044/25)</t>
  </si>
  <si>
    <t xml:space="preserve">הצעת חוק לתיקון פקודת התעבורה (הסדר ארצי אחיד לעניין גרירת רכב), התשפ"ג-2023</t>
  </si>
  <si>
    <t xml:space="preserve"> (פ/2043/25)</t>
  </si>
  <si>
    <t xml:space="preserve">הצעת חוק המים (תיקון - הנחות לאוכלוסיות זכאיות), התשפ"ג-2023</t>
  </si>
  <si>
    <t xml:space="preserve"> (פ/2042/25)</t>
  </si>
  <si>
    <t xml:space="preserve">הצעת חוק הגנת הצרכן (תיקון - חובת גילוי הוזלה במחיר בעסקה מתמשכת), התשפ"ג-2023</t>
  </si>
  <si>
    <t xml:space="preserve"> (פ/2039/25)</t>
  </si>
  <si>
    <t xml:space="preserve"> (פ/2038/25)</t>
  </si>
  <si>
    <t xml:space="preserve">הצעת חוק חוזה העבודה (הסדרי עבודה מרחוק), התשפ"ג-2023</t>
  </si>
  <si>
    <t xml:space="preserve"> (פ/2037/25)</t>
  </si>
  <si>
    <t xml:space="preserve">הצעת חוק דמי מחלה (תיקון - קרן ימי מחלה), התשפ"ג-2023</t>
  </si>
  <si>
    <t xml:space="preserve"> (פ/2036/25)</t>
  </si>
  <si>
    <t xml:space="preserve"> (פ/2035/25)</t>
  </si>
  <si>
    <t xml:space="preserve">הצעת חוק לתיקון פקודת הסטטיסטיקה (סטטיסטיקה לפי מגדר), התשפ"ג-2023</t>
  </si>
  <si>
    <t xml:space="preserve"> (פ/2034/25)</t>
  </si>
  <si>
    <t xml:space="preserve">הצעת חוק שוויון זכויות לאנשים עם מוגבלות (תיקון - בירור תלונות ופיקוח על שמירת זכויות של אנשים עם מוגבלות במסגרות מגורים), התשפ"ג-2023</t>
  </si>
  <si>
    <t xml:space="preserve"> (פ/2033/25)</t>
  </si>
  <si>
    <t xml:space="preserve">הצעת חוק למניעת אלימות במשפחה (תיקון - דיון במעמד צד אחד באלימות נפשית), התשפ"ג-2023</t>
  </si>
  <si>
    <t xml:space="preserve"> (פ/2032/25)</t>
  </si>
  <si>
    <t xml:space="preserve">הצעת חוק הקמת מאגר מידע דיגיטלי בנושא הכשרות מקצועיות, התשפ"ג-2023</t>
  </si>
  <si>
    <t xml:space="preserve"> (פ/2031/25)</t>
  </si>
  <si>
    <t xml:space="preserve">הצעת חוק הגנת הצרכן (תיקון - חובת סימון נפח האריזה וקביעת הנפח בשימוש), התשפ"ג-2023</t>
  </si>
  <si>
    <t xml:space="preserve"> (פ/2030/25)</t>
  </si>
  <si>
    <t xml:space="preserve">הצעת חוק הכשרות לאנשי מקצוע בתחום הבריאות בנושא מגדר ונטייה מינית, התשפ"ג-2023</t>
  </si>
  <si>
    <t xml:space="preserve"> (פ/2028/25)</t>
  </si>
  <si>
    <t xml:space="preserve"> (פ/2027/25)</t>
  </si>
  <si>
    <t xml:space="preserve">הצעת חוק המרכז לגביית קנסות, אגרות והוצאות (תיקון - גביית חובות עבור רשות המים הארצית), התשפ"ג-2023</t>
  </si>
  <si>
    <t xml:space="preserve"> (פ/2026/25)</t>
  </si>
  <si>
    <t xml:space="preserve">הצעת חוק לתיקון פקודת התעבורה (פטור מתשלום דמי חניה לרכב של כונן רפואת חירום עם ציוד), התשפ"ג-2023</t>
  </si>
  <si>
    <t xml:space="preserve"> (פ/2025/25)</t>
  </si>
  <si>
    <t xml:space="preserve">הצעת חוק אימוץ ילדים (תיקון - אימוץ על ידי הורה יחיד), התשפ״ג-2023</t>
  </si>
  <si>
    <t xml:space="preserve"> (פ/2023/25)</t>
  </si>
  <si>
    <t xml:space="preserve">הצעת חוק הגנת הצרכן (תיקון - הארכת תקופת האחריות), התשפ"ג-2023</t>
  </si>
  <si>
    <t xml:space="preserve"> (פ/2022/25)</t>
  </si>
  <si>
    <t xml:space="preserve">הצעת חוק העונשין (תיקון - מרמה והפרת אמונים), התשפ"ג-2023</t>
  </si>
  <si>
    <t xml:space="preserve"> (פ/2021/25)</t>
  </si>
  <si>
    <t xml:space="preserve"> (פ/2020/25)</t>
  </si>
  <si>
    <t xml:space="preserve">הצעת חוק זכויות החולה (תיקון - הסדר חניה למאושפזים בבית חולים ולמבקריהם), התשפ"ג-2023</t>
  </si>
  <si>
    <t xml:space="preserve"> (פ/2019/25)</t>
  </si>
  <si>
    <t xml:space="preserve"> (פ/2017/25)</t>
  </si>
  <si>
    <t xml:space="preserve">הצעת חוק התקנת מצלמות לשם הגנה על פעוטות במעונות יום לפעוטות (תיקון - זכות ההורים לצפות בצילומים), התשפ"ג-2023</t>
  </si>
  <si>
    <t xml:space="preserve"> (פ/2016/25)</t>
  </si>
  <si>
    <t xml:space="preserve">הצעת חוק לתיקון פקודת העיריות (חובות וזכויות חברי מועצה), התשפ''ג-2023</t>
  </si>
  <si>
    <t xml:space="preserve"> (פ/2015/25)</t>
  </si>
  <si>
    <t xml:space="preserve">הצעת חוק חסינות חברי הכנסת, זכויותיהם וחובותיהם (תיקון - חיפוש בחומר מחשב וסמכות יושב ראש הכנסת), התשפ"ג-2023</t>
  </si>
  <si>
    <t xml:space="preserve"> (פ/2014/25)</t>
  </si>
  <si>
    <t xml:space="preserve"> (פ/2012/25)</t>
  </si>
  <si>
    <t xml:space="preserve">הצעת חוק התכנון והבנייה (תיקון - גני ילדים ומעונות יום), התשפ"ג-2023</t>
  </si>
  <si>
    <t xml:space="preserve"> (פ/2010/25)</t>
  </si>
  <si>
    <t xml:space="preserve"> (פ/2009/25)</t>
  </si>
  <si>
    <t xml:space="preserve"> (פ/2008/25)</t>
  </si>
  <si>
    <t xml:space="preserve"> (פ/2007/25)</t>
  </si>
  <si>
    <t xml:space="preserve">הצעת חוק-יסוד: הכנסת (תיקון - ביטול הדרישה לוויתור על אזרחות זרה)</t>
  </si>
  <si>
    <t xml:space="preserve"> (פ/2006/25)</t>
  </si>
  <si>
    <t xml:space="preserve"> (פ/2005/25)</t>
  </si>
  <si>
    <t xml:space="preserve">הצעת חוק חופש המידע (תיקון - מידע על נגישות), התשפ"ג-2023</t>
  </si>
  <si>
    <t xml:space="preserve"> (פ/2004/25)</t>
  </si>
  <si>
    <t xml:space="preserve">הצעת חוק הביטוח הלאומי (תיקון - העלאת דמי האבטלה למי שטרם מלאו לו 28 שנים ויש עמו ילד), התשפ"ג-2023 </t>
  </si>
  <si>
    <t xml:space="preserve"> (פ/2003/25)</t>
  </si>
  <si>
    <t xml:space="preserve"> (פ/2002/25)</t>
  </si>
  <si>
    <t xml:space="preserve"> (פ/2001/25)</t>
  </si>
  <si>
    <t xml:space="preserve"> (פ/1999/25)</t>
  </si>
  <si>
    <t xml:space="preserve">הצעת חוק ביטוח בריאות ממלכתי (תיקון - ביטול הגבלת זכותו של תושב גלמוד ששהה מחוץ לישראל), התשפ"ג-2023</t>
  </si>
  <si>
    <t xml:space="preserve"> (פ/1998/25)</t>
  </si>
  <si>
    <t xml:space="preserve"> (פ/1997/25)</t>
  </si>
  <si>
    <t xml:space="preserve">הצעת חוק סיוע בקידום תעסוקתי למשפחות של עובדים מעוטי הכנסה, התשפ"ג-2023</t>
  </si>
  <si>
    <t xml:space="preserve"> (פ/1996/25)</t>
  </si>
  <si>
    <t xml:space="preserve"> (פ/1995/25)</t>
  </si>
  <si>
    <t xml:space="preserve"> (פ/1994/25)</t>
  </si>
  <si>
    <t xml:space="preserve"> (פ/1993/25)</t>
  </si>
  <si>
    <t xml:space="preserve">הצעת חוק סינון אתרים פוגעניים במקומות ציבוריים, התשפ"ג-2023</t>
  </si>
  <si>
    <t xml:space="preserve"> (פ/1992/25)</t>
  </si>
  <si>
    <t xml:space="preserve">הצעת חוק הצמדת תשלומים לחיילים בודדים למדד המחירים לצרכן, התשפ"ג-2023</t>
  </si>
  <si>
    <t xml:space="preserve"> (פ/1991/25)</t>
  </si>
  <si>
    <t xml:space="preserve">הצעת חוק למניעת כפייה מינית, התשפ"ג-2023</t>
  </si>
  <si>
    <t xml:space="preserve"> (פ/1990/25)</t>
  </si>
  <si>
    <t xml:space="preserve"> (פ/1989/25)</t>
  </si>
  <si>
    <t xml:space="preserve">הצעת חוק-יסוד: השפיטה (תיקון - מינוי שופטים לבית המשפט העליון וקציבת כהונתם)</t>
  </si>
  <si>
    <t xml:space="preserve"> (פ/1988/25)</t>
  </si>
  <si>
    <t xml:space="preserve">הצעת חוק למניעת התעמרות בעבודה, התשפ"ג-2023</t>
  </si>
  <si>
    <t xml:space="preserve"> (פ/1987/25)</t>
  </si>
  <si>
    <t xml:space="preserve">הצעת חוק זכויות נפגעי עבירה (תיקון - החלת זכויות בדין האזרחי), התשפ"ג-2023</t>
  </si>
  <si>
    <t xml:space="preserve"> (פ/1984/25)</t>
  </si>
  <si>
    <t xml:space="preserve"> (פ/1983/25)</t>
  </si>
  <si>
    <t xml:space="preserve"> (פ/1982/25)</t>
  </si>
  <si>
    <t xml:space="preserve">הצעת חוק הביטוח הלאומי (תיקון - הכפלת קצבת הילדים בחודשי החגים), התשפ"ג-2023</t>
  </si>
  <si>
    <t xml:space="preserve"> (פ/1981/25)</t>
  </si>
  <si>
    <t xml:space="preserve">הצעת חוק ארוחת בוקר במוסדות חינוך, התשפ"ג-2023</t>
  </si>
  <si>
    <t xml:space="preserve"> (פ/1980/25)</t>
  </si>
  <si>
    <t xml:space="preserve"> (פ/1979/25)</t>
  </si>
  <si>
    <t xml:space="preserve">הצעת חוק הודעה לעובד ולמועמד לעבודה (תנאי עבודה והליכי מיון וקבלה לעבודה) (תיקון - הגברת השקיפות בעניין הפרשות לפנסיה), התשפ"ג-2023</t>
  </si>
  <si>
    <t xml:space="preserve"> (פ/1978/25)</t>
  </si>
  <si>
    <t xml:space="preserve"> (פ/1977/25)</t>
  </si>
  <si>
    <t xml:space="preserve"> (פ/1976/25)</t>
  </si>
  <si>
    <t xml:space="preserve"> (פ/1974/25)</t>
  </si>
  <si>
    <t xml:space="preserve">הצעת חוק הפסיכולוגים (תיקון - פסיכולוג שהורשע בעבירת מין), התשפ"ג-2023</t>
  </si>
  <si>
    <t xml:space="preserve"> (פ/1972/25)</t>
  </si>
  <si>
    <t xml:space="preserve"> (פ/1971/25)</t>
  </si>
  <si>
    <t xml:space="preserve"> (פ/1970/25)</t>
  </si>
  <si>
    <t xml:space="preserve">הצעת חוק הרשתות החברתיות, התשפ"ג-2023</t>
  </si>
  <si>
    <t xml:space="preserve"> (פ/1969/25)</t>
  </si>
  <si>
    <t xml:space="preserve">הצעת חוק בחינת חלופות מדיניות לא-צבאיות (תיקוני חקיקה), התשפ"ג-2023</t>
  </si>
  <si>
    <t xml:space="preserve"> (פ/1968/25)</t>
  </si>
  <si>
    <t xml:space="preserve">הצעת חוק לשיפור השירות במגזר הציבורי, התשפ"ג-2023</t>
  </si>
  <si>
    <t xml:space="preserve"> (פ/1967/25)</t>
  </si>
  <si>
    <t xml:space="preserve">הצעת חוק משפחות חיילים שנספו במערכה (תגמולים ושיקום) (תיקון - תשלום לבן זוגו של שכול שנפטר), התשפ"ג-2023</t>
  </si>
  <si>
    <t xml:space="preserve"> (פ/1966/25)</t>
  </si>
  <si>
    <t xml:space="preserve">הצעת חוק גיל פרישה (תיקון - שינוי גיל הפרישה לעובדים בענף הבניין), התשפ"ג-2023</t>
  </si>
  <si>
    <t xml:space="preserve"> (פ/1965/25)</t>
  </si>
  <si>
    <t xml:space="preserve">הצעת חוק שוויון ההזדמנויות בעבודה (תיקון - ייצוג הולם לאוכלוסייה הערבית), התשפ"ג-2023</t>
  </si>
  <si>
    <t xml:space="preserve"> (פ/1964/25)</t>
  </si>
  <si>
    <t xml:space="preserve">הצעת חוק הביטוח הלאומי (תיקון - חישוב דמי לידה לפי שנה שקדמה ליום הקובע), התשפ"ג-2023</t>
  </si>
  <si>
    <t xml:space="preserve"> (פ/1963/25)</t>
  </si>
  <si>
    <t xml:space="preserve"> (פ/1962/25)</t>
  </si>
  <si>
    <t xml:space="preserve">הצעת חוק-יסוד: הדגל, הסמל והמנון המדינה</t>
  </si>
  <si>
    <t xml:space="preserve"> (פ/1961/25)</t>
  </si>
  <si>
    <t xml:space="preserve"> (פ/1960/25)</t>
  </si>
  <si>
    <t xml:space="preserve"> (פ/1959/25)</t>
  </si>
  <si>
    <t xml:space="preserve">הצעת חוק צער בעלי חיים (הגנה על בעלי חיים) (תיקון - איסור משלוחים חיים לשחיטה), התשפ"ג-2023</t>
  </si>
  <si>
    <t xml:space="preserve"> (פ/1958/25)</t>
  </si>
  <si>
    <t xml:space="preserve">הצעת חוק הביטוח הלאומי (תיקון - אי-שלילת זכאות לגמלת סיעוד מקשיש לאחר פטירת בן הזוג), התשפ"ג-2023</t>
  </si>
  <si>
    <t xml:space="preserve"> (פ/1957/25)</t>
  </si>
  <si>
    <t xml:space="preserve"> (פ/1955/25)</t>
  </si>
  <si>
    <t xml:space="preserve">הצעת חוק פיצוי עסקים קטנים בשל אירועי איבה מתמשכים או מצב חירום כלכלי, התשפ"ג-2023</t>
  </si>
  <si>
    <t xml:space="preserve"> (פ/1954/25)</t>
  </si>
  <si>
    <t xml:space="preserve">הצעת חוק לתיקון פקודת מס הכנסה (ניכוי תשלומים לביטוח בריאות לעצמאים), התשפ"ג-2023 </t>
  </si>
  <si>
    <t xml:space="preserve"> (פ/1953/25)</t>
  </si>
  <si>
    <t xml:space="preserve">הצעת חוק הביטוח הלאומי (תיקון - בדיקת תלות בידי רופא מומחה למבוטח שמלאו לו 75 שנים), התשפ"ג-2023</t>
  </si>
  <si>
    <t xml:space="preserve"> (פ/1952/25)</t>
  </si>
  <si>
    <t xml:space="preserve">הצעת חוק התוכנית הכלכלית (תיקוני חקיקה ליישום המדיניות הכלכלית לשנות התקציב 2021 ו-2022) (תיקון - דחיית יישום רפורמת הכשרות וביטול הוראת שעה), התשפ"ג-2023</t>
  </si>
  <si>
    <t xml:space="preserve"> (פ/1947/25)</t>
  </si>
  <si>
    <t xml:space="preserve">הצעת חוק הגנת הצרכן (תיקון - סיכום פנייה), התשפ"ג-2023</t>
  </si>
  <si>
    <t xml:space="preserve"> (פ/1946/25)</t>
  </si>
  <si>
    <t xml:space="preserve"> (פ/1945/25)</t>
  </si>
  <si>
    <t xml:space="preserve">הצעת חוק ביטוח בריאות ממלכתי (תיקון - החזר דמי נסיעות והסעות לטיפולי אונקולוגיה ודיאליזה), התשפ"ג-2023</t>
  </si>
  <si>
    <t xml:space="preserve"> (פ/1944/25)</t>
  </si>
  <si>
    <t xml:space="preserve"> (פ/1943/25)</t>
  </si>
  <si>
    <t xml:space="preserve"> (פ/1942/25)</t>
  </si>
  <si>
    <t xml:space="preserve">הצעת חוק התכנון והבנייה (תיקון מס' 116) (תיקון - ביטול החוק), התשפ"ג-2023</t>
  </si>
  <si>
    <t xml:space="preserve"> (פ/1941/25)</t>
  </si>
  <si>
    <t xml:space="preserve">הצעת חוק הביטוח הלאומי (תיקון - גמלה בשל דיכאון לאחר לידה), התשפ"ג-2023</t>
  </si>
  <si>
    <t xml:space="preserve"> (פ/1940/25)</t>
  </si>
  <si>
    <t xml:space="preserve">חוק להארכת תוקפן של תקנות שעת חירום (יהודה והשומרון – שיפוט בעבירות ועזרה משפטית), התשפ"ג-2023</t>
  </si>
  <si>
    <t xml:space="preserve"> (מ/1589)</t>
  </si>
  <si>
    <t xml:space="preserve">24.01.2023</t>
  </si>
  <si>
    <t xml:space="preserve">חוק להארכת תוקפן של תקנות שעת חירום (יהודה והשומרון – שיפוט בעבירות ועזרה משפטית), התשפ"ג-2023 התקבל בקריאה השנייה ובקריאה השלישית ביום ב' בשבט תשפ"ג (24 בינואר 2023).  החוק האריך בחמש שנים, עד ה-15 בפברואר 2028, את תוקפן של תקנות שעת חירום (יהודה והשומרון – שיפוט בעבירות ועזרה משפטית), התשכ"ז-1967. התקנות עוסקות ביחסי הגומלין המשפטיים בין ישראל לבין אזור יהודה והשומרון, לרבות הסדרת החיים והסמכויות לגבי ישראלים המתגוררים בו (דוגמת: הקניית סמכות לבתי המשפט בישראל לדון, לפי הדין הישראלי, בעניינו של ישראלי שביצע עבירות פליליות באזור; קביעת סמכויות שיטור לשוטרי משטרת ישראל לפעול ביחס לעבירות פליליות שבתי משפט בישראל או בתי משפט צבאיים באזור מוסמכים לדון בהן; הרחבת סמכויותיהם של מי שהוקנו להם בישראל סמכויות בענייני מיסים, הוצאה לפועל, אגודות שיתופיות, עמותות ועוד, להפעיל את סמכויותיהם גם באזור), והעזרה המשפטית בין ישראל לרשות הפלסטינית. </t>
  </si>
  <si>
    <t xml:space="preserve">חוק-יסוד: הכנסת (תיקון מס' 52)</t>
  </si>
  <si>
    <t xml:space="preserve"> (כ/944)</t>
  </si>
  <si>
    <t xml:space="preserve">23.01.2023</t>
  </si>
  <si>
    <t xml:space="preserve">הורחב ההסדר המאפשר לחבר הכנסת המעוניין בכך להפסיק זמנית את כהונתו בכנסת כל עוד הוא מכהן במשרת שר או סגן שר, כך שהדבר יתאפשר גם לחברי הכנסת הנמנים עם סיעות קטנות שבהן שלושה חברים או פחות, ובסיעות גדולות, המונות לפחות 18 חברים, יתאפשר ליותר חברי הכנסת לפעול על פי ההסדר. </t>
  </si>
  <si>
    <t xml:space="preserve">הצעת חוק בתי המשפט (תיקון - הוועדה לבחירת שופטים), התשפ"ג-2023</t>
  </si>
  <si>
    <t xml:space="preserve"> (פ/1938/25)</t>
  </si>
  <si>
    <t xml:space="preserve">הצעת חוק-יסוד: השפיטה (תיקון - רפורמה במשפט)</t>
  </si>
  <si>
    <t xml:space="preserve"> (פ/1937/25)</t>
  </si>
  <si>
    <t xml:space="preserve">הצעת חוק הרשות הלאומית לאיחוד העם, התשפ"ג-2023</t>
  </si>
  <si>
    <t xml:space="preserve"> (פ/1936/25)</t>
  </si>
  <si>
    <t xml:space="preserve">הצעת חוק שכר מינימום (תיקון - העלאת שכר המינימום ועדכונו לפי פריון העבודה), התשפ"ג-2023</t>
  </si>
  <si>
    <t xml:space="preserve"> (פ/1935/25)</t>
  </si>
  <si>
    <t xml:space="preserve">הצעת חוק רשת ביטחון לעצמאים - הפקדות וזכויות סוציאליות (תיקוני חקיקה), התשפ"ג-2023</t>
  </si>
  <si>
    <t xml:space="preserve"> (פ/1934/25)</t>
  </si>
  <si>
    <t xml:space="preserve">הצעת חוק שירות ביטחון (תיקון - שילוב תלמידי ישיבות), התשפ"ג-2023</t>
  </si>
  <si>
    <t xml:space="preserve"> (פ/1933/25)</t>
  </si>
  <si>
    <t xml:space="preserve"> (פ/1932/25)</t>
  </si>
  <si>
    <t xml:space="preserve"> (פ/1931/25)</t>
  </si>
  <si>
    <t xml:space="preserve"> (פ/1930/25)</t>
  </si>
  <si>
    <t xml:space="preserve">הצעת חוק לתיקון פקודת מס הכנסה (סמכות ועדת הכספים באישור מוסד ציבורי לעניין הטבות מס), התשפ"ג-2023</t>
  </si>
  <si>
    <t xml:space="preserve"> (פ/1929/25)</t>
  </si>
  <si>
    <t xml:space="preserve"> (פ/1927/25)</t>
  </si>
  <si>
    <t xml:space="preserve"> (פ/1926/25)</t>
  </si>
  <si>
    <t xml:space="preserve"> (פ/1925/25)</t>
  </si>
  <si>
    <t xml:space="preserve"> (פ/1924/25)</t>
  </si>
  <si>
    <t xml:space="preserve">הצעת חוק הביטוח הלאומי (תיקון - הגדלת קצבת הנכות), התשפ"ג-2023</t>
  </si>
  <si>
    <t xml:space="preserve"> (פ/1923/25)</t>
  </si>
  <si>
    <t xml:space="preserve">הצעת חוק להגדלת שיעור ההשתתפות בכוח העבודה ולצמצום פערים חברתיים (מענק עבודה) (תיקון - פטור מהשבת מענקים להתמודדות עם השלכות נגיף הקורונה), התשפ"ג-2023</t>
  </si>
  <si>
    <t xml:space="preserve"> (פ/1922/25)</t>
  </si>
  <si>
    <t xml:space="preserve">הצעת חוק לתיקון פקודת מס הכנסה (הכרה בניכוי הפקדות לביטוח סיעודי), התשפ"ג-2023</t>
  </si>
  <si>
    <t xml:space="preserve"> (פ/1921/25)</t>
  </si>
  <si>
    <t xml:space="preserve"> (פ/1920/25)</t>
  </si>
  <si>
    <t xml:space="preserve">הצעת חוק האזרחות והכניסה לישראל (הוראת שעה) (תיקון - היתר לגבי בני זוג), התשפ"ג-2023</t>
  </si>
  <si>
    <t xml:space="preserve"> (פ/1919/25)</t>
  </si>
  <si>
    <t xml:space="preserve"> (פ/1918/25)</t>
  </si>
  <si>
    <t xml:space="preserve"> (פ/1917/25)</t>
  </si>
  <si>
    <t xml:space="preserve">הצעת חוק הגנת הצרכן (תיקון - איסור גביית עמלה בהרשאה לחיוב חשבון בהוראת קבע), התשפ"ג-2023</t>
  </si>
  <si>
    <t xml:space="preserve"> (פ/1916/25)</t>
  </si>
  <si>
    <t xml:space="preserve"> (פ/1915/25)</t>
  </si>
  <si>
    <t xml:space="preserve">הצעת חוק חופשה שנתית (תיקון - ימים שאינם נמנים בימי חופשה), התשפ"ג-2023 </t>
  </si>
  <si>
    <t xml:space="preserve"> (פ/1914/25)</t>
  </si>
  <si>
    <t xml:space="preserve">הצעת חוק ביטוח בריאות ממלכתי (תיקון - העברת שירותי הגמילה לאחריות קופות החולים וטיפול בהתמכרויות), התשפ"ג-2023</t>
  </si>
  <si>
    <t xml:space="preserve"> (פ/1913/25)</t>
  </si>
  <si>
    <t xml:space="preserve"> (פ/1912/25)</t>
  </si>
  <si>
    <t xml:space="preserve"> (פ/1911/25)</t>
  </si>
  <si>
    <t xml:space="preserve">הצעת חוק איסור הפליה ברישוי מחמת מצב בריאותי (תיקוני חקיקה), התשפ"ג-2023</t>
  </si>
  <si>
    <t xml:space="preserve"> (פ/1910/25)</t>
  </si>
  <si>
    <t xml:space="preserve"> (פ/1909/25)</t>
  </si>
  <si>
    <t xml:space="preserve">הצעת חוק הטבות לניצולי שואה (תיקון - הגדלת מענק שנתי), התשפ"ג-2023</t>
  </si>
  <si>
    <t xml:space="preserve"> (פ/1908/25)</t>
  </si>
  <si>
    <t xml:space="preserve"> (פ/1907/25)</t>
  </si>
  <si>
    <t xml:space="preserve"> (פ/1906/25)</t>
  </si>
  <si>
    <t xml:space="preserve"> (פ/1904/25)</t>
  </si>
  <si>
    <t xml:space="preserve"> (פ/1903/25)</t>
  </si>
  <si>
    <t xml:space="preserve">הצעת חוק משק החשמל (תיקון - הרחבת ההנחה בתשלומי חשמל), התשפ"ג-2023</t>
  </si>
  <si>
    <t xml:space="preserve"> (פ/1902/25)</t>
  </si>
  <si>
    <t xml:space="preserve"> (פ/1901/25)</t>
  </si>
  <si>
    <t xml:space="preserve">הצעת חוק איסור שימוש ברכב ממשלתי לשר וסגן שר ביום המנוחה השבועי ובחג, התשפ"ג-2023</t>
  </si>
  <si>
    <t xml:space="preserve"> (פ/1900/25)</t>
  </si>
  <si>
    <t xml:space="preserve">הצעת חוק זכויות החולה (תיקון - זכות מטופל לקבל רשומות רפואיות), התשפ"ג-2023</t>
  </si>
  <si>
    <t xml:space="preserve"> (פ/1899/25)</t>
  </si>
  <si>
    <t xml:space="preserve">הצעת חוק לתיקון פקודת ביטוח רכב מנועי (חיוב שיווק פוליסה), התשפ"ג-2023</t>
  </si>
  <si>
    <t xml:space="preserve"> (פ/1898/25)</t>
  </si>
  <si>
    <t xml:space="preserve"> (פ/1897/25)</t>
  </si>
  <si>
    <t xml:space="preserve">הצעת חוק שירות התעסוקה (תיקון - נגישות לתחבורה ציבורית), התשפ"ג-2023</t>
  </si>
  <si>
    <t xml:space="preserve"> (פ/1896/25)</t>
  </si>
  <si>
    <t xml:space="preserve"> (פ/1895/25)</t>
  </si>
  <si>
    <t xml:space="preserve">הצעת חוק הביטוח הלאומי (תיקון - גמלה לשמירת היריון לאם שילדה פג), התשפ"ג-2023</t>
  </si>
  <si>
    <t xml:space="preserve"> (פ/1894/25)</t>
  </si>
  <si>
    <t xml:space="preserve">הצעת חוק הגנת הצרכן (תיקון - צירוף הוראות שימוש בשפה העברית ובשפה הערבית למכשיר חשמלי), התשפ"ג-2023 </t>
  </si>
  <si>
    <t xml:space="preserve"> (פ/1893/25)</t>
  </si>
  <si>
    <t xml:space="preserve">הצעת חוק-יסוד: הכנסת (תיקון - מניעת השתתפות של תומכי חרם בישראל בבחירות)</t>
  </si>
  <si>
    <t xml:space="preserve"> (פ/1892/25)</t>
  </si>
  <si>
    <t xml:space="preserve">הצעת חוק הגנת השכר (תיקון - פיצויי פיטורים בזמן אמת), התשפ"ג-2023</t>
  </si>
  <si>
    <t xml:space="preserve"> (פ/1891/25)</t>
  </si>
  <si>
    <t xml:space="preserve"> (פ/1890/25)</t>
  </si>
  <si>
    <t xml:space="preserve"> (פ/1889/25)</t>
  </si>
  <si>
    <t xml:space="preserve">הצעת חוק לתיקון פקודת התעבורה (איסור עישון ברכב שנמצא בו קטין שטרם מלאו לו 15 שנים), התשפ"ג-2023</t>
  </si>
  <si>
    <t xml:space="preserve"> (פ/1887/25)</t>
  </si>
  <si>
    <t xml:space="preserve">הצעת חוק הנכים (תגמולים ושיקום) (תיקון - הארכת תקופת הערעור על החלטת קצין התגמולים), התשפ"ג-2023</t>
  </si>
  <si>
    <t xml:space="preserve"> (פ/1886/25)</t>
  </si>
  <si>
    <t xml:space="preserve"> (פ/1885/25)</t>
  </si>
  <si>
    <t xml:space="preserve"> (פ/1884/25)</t>
  </si>
  <si>
    <t xml:space="preserve">הצעת חוק לתיקון פקודת הרוקחים (חיוב רישום רכיבי תמרוקים ומוצרי ניקיון), התשפ"ג-2023</t>
  </si>
  <si>
    <t xml:space="preserve"> (פ/1883/25)</t>
  </si>
  <si>
    <t xml:space="preserve"> (פ/1882/25)</t>
  </si>
  <si>
    <t xml:space="preserve"> (פ/1881/25)</t>
  </si>
  <si>
    <t xml:space="preserve">הצעת חוק הביטוח הלאומי (תיקון - ביטוח שאירים לאלמן), התשפ"ג- 2023 </t>
  </si>
  <si>
    <t xml:space="preserve"> (פ/1879/25)</t>
  </si>
  <si>
    <t xml:space="preserve"> (פ/1878/25)</t>
  </si>
  <si>
    <t xml:space="preserve"> (פ/1877/25)</t>
  </si>
  <si>
    <t xml:space="preserve"> (פ/1876/25)</t>
  </si>
  <si>
    <t xml:space="preserve"> (פ/1875/25)</t>
  </si>
  <si>
    <t xml:space="preserve">הצעת חוק הסדרת הטיפול בחולי נפש (תיקוני חקיקה), התשפ"ג-2023</t>
  </si>
  <si>
    <t xml:space="preserve"> (פ/1874/25)</t>
  </si>
  <si>
    <t xml:space="preserve">הצעת חוק שעות עבודה ומנוחה (תיקון - הפסקה בין יום עבודה למשנהו שלא עולה על 8 שעות), התשפ"ג-2023</t>
  </si>
  <si>
    <t xml:space="preserve"> (פ/1872/25)</t>
  </si>
  <si>
    <t xml:space="preserve">הצעת חוק שכר מינימום (תיקון - שכר מינימום לעובד שטרם מלאו לו 18 שנים), התשפ"ג-2023</t>
  </si>
  <si>
    <t xml:space="preserve"> (פ/1870/25)</t>
  </si>
  <si>
    <t xml:space="preserve"> (פ/1869/25)</t>
  </si>
  <si>
    <t xml:space="preserve">הצעת חוק עבודת נשים (תיקון - איסור פיטורים בעת טיפולי פוריות), התשפ"ג-2023</t>
  </si>
  <si>
    <t xml:space="preserve"> (פ/1868/25)</t>
  </si>
  <si>
    <t xml:space="preserve"> (פ/1867/25)</t>
  </si>
  <si>
    <t xml:space="preserve">הצעת חוק לתיקון פקודת התעבורה (ריבית פיגורים בשל אי-תשלום קנס על עבירת חניה), התשפ"ג-2023</t>
  </si>
  <si>
    <t xml:space="preserve"> (פ/1866/25)</t>
  </si>
  <si>
    <t xml:space="preserve"> (פ/1865/25)</t>
  </si>
  <si>
    <t xml:space="preserve"> (פ/1864/25)</t>
  </si>
  <si>
    <t xml:space="preserve">הצעת חוק הבנקאות (שירות ללקוח) (תיקון - שינוי תקופת החזר של הלוואה לדיור), התשפ"ג-2023</t>
  </si>
  <si>
    <t xml:space="preserve"> (פ/1863/25)</t>
  </si>
  <si>
    <t xml:space="preserve">הצעת חוק הגנת השכר (תיקון - תשלום שכר עבודה בעת הליכי מיון והשמה), התשפ"ג-2023</t>
  </si>
  <si>
    <t xml:space="preserve"> (פ/1862/25)</t>
  </si>
  <si>
    <t xml:space="preserve">הצעת חוק פיקוח על מחירי מצרכים ושירותים (תיקון - קביעת ההפרש בין מחיר מצרך לצרכן ומחיר מצרך לקמעונאי כרווח מרבי), התשפ"ג-2023</t>
  </si>
  <si>
    <t xml:space="preserve"> (פ/1861/25)</t>
  </si>
  <si>
    <t xml:space="preserve"> (פ/1860/25)</t>
  </si>
  <si>
    <t xml:space="preserve">הצעת חוק האזרחים הוותיקים (תיקון - הטבות למקבלי פנסיה מזערית), התשפ"ג-2023</t>
  </si>
  <si>
    <t xml:space="preserve"> (פ/1859/25)</t>
  </si>
  <si>
    <t xml:space="preserve">הצעת חוק הגנת הצרכן (תיקון - חובת הצגת מחיר מוצר בעת עריכת החשבון בקופה), התשפ"ג-2023</t>
  </si>
  <si>
    <t xml:space="preserve"> (פ/1858/25)</t>
  </si>
  <si>
    <t xml:space="preserve"> (פ/1857/25)</t>
  </si>
  <si>
    <t xml:space="preserve">הצעת חוק הגנת הפרטיות (תיקון - מניעת פרסום פרטיו של אדם שנהרג או נפגע ברבים בטרם נמסרה הודעה למשפחה), התשפ"ג-2023</t>
  </si>
  <si>
    <t xml:space="preserve"> (פ/1856/25)</t>
  </si>
  <si>
    <t xml:space="preserve"> (פ/1855/25)</t>
  </si>
  <si>
    <t xml:space="preserve"> (פ/1854/25)</t>
  </si>
  <si>
    <t xml:space="preserve">הצעת חוק הביטוח הלאומי (תיקון - זכות טיעון לפני שלילת גמלה), התשפ"ג-2023</t>
  </si>
  <si>
    <t xml:space="preserve"> (פ/1853/25)</t>
  </si>
  <si>
    <t xml:space="preserve"> (פ/1851/25)</t>
  </si>
  <si>
    <t xml:space="preserve"> (פ/1850/25)</t>
  </si>
  <si>
    <t xml:space="preserve"> (פ/1849/25)</t>
  </si>
  <si>
    <t xml:space="preserve"> (פ/1848/25)</t>
  </si>
  <si>
    <t xml:space="preserve"> (פ/1846/25)</t>
  </si>
  <si>
    <t xml:space="preserve">הצעת חוק הרישום למוסדות להשכלה גבוהה, התשפ"ג-2023</t>
  </si>
  <si>
    <t xml:space="preserve"> (פ/1845/25)</t>
  </si>
  <si>
    <t xml:space="preserve">הצעת חוק התכנון והבנייה (תיקון - איסור שימוש ברכב או ציוד מכני הנדסי), התשפ"ג-2023</t>
  </si>
  <si>
    <t xml:space="preserve"> (פ/1844/25)</t>
  </si>
  <si>
    <t xml:space="preserve"> (פ/1843/25)</t>
  </si>
  <si>
    <t xml:space="preserve">הצעת חוק הגנת הצרכן (תיקון - השוואת תנאי צרכן ונותן שירות בעניין החזרת טובין), התשפ"ג-2023</t>
  </si>
  <si>
    <t xml:space="preserve"> (פ/1841/25)</t>
  </si>
  <si>
    <t xml:space="preserve"> (פ/1839/25)</t>
  </si>
  <si>
    <t xml:space="preserve"> (פ/1838/25)</t>
  </si>
  <si>
    <t xml:space="preserve">הצעת חוק דמי מחלה (תיקון - איסור פיטורים בעת היעדרות בשל מחלת ילד), התשפ"ג-2023</t>
  </si>
  <si>
    <t xml:space="preserve"> (פ/1837/25)</t>
  </si>
  <si>
    <t xml:space="preserve"> (פ/1836/25)</t>
  </si>
  <si>
    <t xml:space="preserve"> (פ/1835/25)</t>
  </si>
  <si>
    <t xml:space="preserve">הצעת חוק הגנת הצרכן (תיקון - ביטול אפשרות להארכה אוטומטית של עסקה לתקופה קצובה), התשפ"ג-2023</t>
  </si>
  <si>
    <t xml:space="preserve"> (פ/1834/25)</t>
  </si>
  <si>
    <t xml:space="preserve"> (פ/1833/25)</t>
  </si>
  <si>
    <t xml:space="preserve">הצעת חוק ביטוח בריאות ממלכתי (תיקון - תנאים להחלפת תרופה, טיפול, מטפל, נותן שירותים או מוסד רפואי), התשפ"ג-2023</t>
  </si>
  <si>
    <t xml:space="preserve"> (פ/1831/25)</t>
  </si>
  <si>
    <t xml:space="preserve"> (פ/1830/25)</t>
  </si>
  <si>
    <t xml:space="preserve">הצעת חוק החקלאות, התשפ"ג-2023 </t>
  </si>
  <si>
    <t xml:space="preserve"> (פ/1829/25)</t>
  </si>
  <si>
    <t xml:space="preserve"> (פ/1828/25)</t>
  </si>
  <si>
    <t xml:space="preserve">הצעת חוק לתיקון פקודת מס הכנסה (ניכוי בגין הוצאות טיפול בילדים), התשפ"ג-2023</t>
  </si>
  <si>
    <t xml:space="preserve"> (פ/1826/25)</t>
  </si>
  <si>
    <t xml:space="preserve">הצעת חוק לתיקון פקודת התעבורה (תמרור סימון על פני הכביש - שימוש באמצעי מונע החלקה), התשפ"ג-2023</t>
  </si>
  <si>
    <t xml:space="preserve"> (פ/1825/25)</t>
  </si>
  <si>
    <t xml:space="preserve">הצעת חוק שכר מינימום (תיקון - הצמדת שכר המינימום למדד המחירים לצרכן), התשפ"ג-2023</t>
  </si>
  <si>
    <t xml:space="preserve"> (פ/1824/25)</t>
  </si>
  <si>
    <t xml:space="preserve">הצעת חוק דמי מחלה (היעדרות בשל מחלת ילד) (תיקון - בן זוג לומד), התשפ"ג-2023</t>
  </si>
  <si>
    <t xml:space="preserve"> (פ/1823/25)</t>
  </si>
  <si>
    <t xml:space="preserve"> (פ/1822/25)</t>
  </si>
  <si>
    <t xml:space="preserve">הצעת חוק הפיקוח על מעונות יום לפעוטות (תיקון - חובת החזקת ערכת עזרה ראשונה), התשפ"ג-2023</t>
  </si>
  <si>
    <t xml:space="preserve"> (פ/1821/25)</t>
  </si>
  <si>
    <t xml:space="preserve">הצעת חוק לתיקון פקודת התעבורה (הסדרי תנועה בקרבת בית ספר), התשפ"ג-2023</t>
  </si>
  <si>
    <t xml:space="preserve"> (פ/1820/25)</t>
  </si>
  <si>
    <t xml:space="preserve"> (פ/1818/25)</t>
  </si>
  <si>
    <t xml:space="preserve">הצעת חוק שמירת הניקיון (תיקון - קרן לשמירת הניקיון), התשפ"ג-2023</t>
  </si>
  <si>
    <t xml:space="preserve"> (פ/1816/25)</t>
  </si>
  <si>
    <t xml:space="preserve"> (פ/1815/25)</t>
  </si>
  <si>
    <t xml:space="preserve"> (פ/1814/25)</t>
  </si>
  <si>
    <t xml:space="preserve">הצעת חוק הסכמים קיבוציים (תיקון - אי-תחולה על עובד זר בענף החקלאות), התשפ"ג-2023</t>
  </si>
  <si>
    <t xml:space="preserve"> (פ/1812/25)</t>
  </si>
  <si>
    <t xml:space="preserve">הצעת חוק שעות עבודה ומנוחה (תיקון - תשלום בעד שעות המנוחה השבועית), התשפ"ג-2023</t>
  </si>
  <si>
    <t xml:space="preserve"> (פ/1811/25)</t>
  </si>
  <si>
    <t xml:space="preserve"> (פ/1810/25)</t>
  </si>
  <si>
    <t xml:space="preserve"> (פ/1809/25)</t>
  </si>
  <si>
    <t xml:space="preserve"> (פ/1808/25)</t>
  </si>
  <si>
    <t xml:space="preserve">הצעת חוק התאמת אופן ההעסקה של מטפלות במשפחתונים המפוקחים על ידי האגף למעונות יום ומשפחתונים במשרד הכלכלה והתעשייה, התשפ"ג-2023</t>
  </si>
  <si>
    <t xml:space="preserve"> (פ/1807/25)</t>
  </si>
  <si>
    <t xml:space="preserve"> (פ/1806/25)</t>
  </si>
  <si>
    <t xml:space="preserve"> (פ/1805/25)</t>
  </si>
  <si>
    <t xml:space="preserve"> (פ/1804/25)</t>
  </si>
  <si>
    <t xml:space="preserve">הצעת חוק הגנת הצרכן (תיקון - איסור התניית עסקה באופן תשלום), התשפ"ג-2023</t>
  </si>
  <si>
    <t xml:space="preserve"> (פ/1803/25)</t>
  </si>
  <si>
    <t xml:space="preserve">הצעת חוק העונשין (תיקון - סחר בבני אדם למטרות נישואין), התשפ"ג-2023</t>
  </si>
  <si>
    <t xml:space="preserve"> (פ/1802/25)</t>
  </si>
  <si>
    <t xml:space="preserve"> (פ/1801/25)</t>
  </si>
  <si>
    <t xml:space="preserve">הצעת חוק יישוב סכסוכי עבודה (תיקון - איסור שביתה ללא הודעה מראש), התשפ"ג-2023</t>
  </si>
  <si>
    <t xml:space="preserve"> (פ/1799/25)</t>
  </si>
  <si>
    <t xml:space="preserve">הצעת חוק הביטוח הלאומי (תיקון - תגמולים למתנדב בצוות חירום יישובי או שכונתי), התשפ"ג-2023</t>
  </si>
  <si>
    <t xml:space="preserve"> (פ/1798/25)</t>
  </si>
  <si>
    <t xml:space="preserve">הצעת חוק איסור ניתוק משירותי חשמל, מים וגז (תיקוני חקיקה), התשפ"ג-2023</t>
  </si>
  <si>
    <t xml:space="preserve"> (פ/1797/25)</t>
  </si>
  <si>
    <t xml:space="preserve"> (פ/1795/25)</t>
  </si>
  <si>
    <t xml:space="preserve"> (פ/1794/25)</t>
  </si>
  <si>
    <t xml:space="preserve"> (פ/1792/25)</t>
  </si>
  <si>
    <t xml:space="preserve">הצעת חוק לתיקון פקודת התעבורה (הפחתת גובה קנס בשל תשלום מיידי), התשפ"ג-2023</t>
  </si>
  <si>
    <t xml:space="preserve"> (פ/1791/25)</t>
  </si>
  <si>
    <t xml:space="preserve"> (פ/1790/25)</t>
  </si>
  <si>
    <t xml:space="preserve"> (פ/1789/25)</t>
  </si>
  <si>
    <t xml:space="preserve">הצעת חוק האזרחים הוותיקים (תיקון - פטור מתשלום בתחבורה ציבורית), התשפ"ג-2023</t>
  </si>
  <si>
    <t xml:space="preserve"> (פ/1788/25)</t>
  </si>
  <si>
    <t xml:space="preserve"> (פ/1787/25)</t>
  </si>
  <si>
    <t xml:space="preserve">הצעת חוק תשלום פיצויים בשל נזקי אסון טבע, התשפ"ג-2023</t>
  </si>
  <si>
    <t xml:space="preserve"> (פ/1785/25)</t>
  </si>
  <si>
    <t xml:space="preserve">הצעת חוק חסינות כוחות הביטחון באירועים מבצעיים, התשפ"ג-2023</t>
  </si>
  <si>
    <t xml:space="preserve"> (פ/1784/25)</t>
  </si>
  <si>
    <t xml:space="preserve">הצעת חוק הכללת חוב עונשי בהפטר (תיקוני חקיקה), התשפ"ג-2023</t>
  </si>
  <si>
    <t xml:space="preserve"> (פ/1783/25)</t>
  </si>
  <si>
    <t xml:space="preserve">הצעת חוק-יסוד: המיעוט הערבי</t>
  </si>
  <si>
    <t xml:space="preserve"> (פ/1781/25)</t>
  </si>
  <si>
    <t xml:space="preserve">הצעת חוק לימודי פסיכומטרי, התשפ"ג-2023</t>
  </si>
  <si>
    <t xml:space="preserve"> (פ/1780/25)</t>
  </si>
  <si>
    <t xml:space="preserve"> (פ/1779/25)</t>
  </si>
  <si>
    <t xml:space="preserve">הצעת חוק לתיקון פקודת הנזיקין (העברת נטל ההוכחה בתביעות בגין הליכים משפטיים שהתמשכו), התשפ"ג-2023</t>
  </si>
  <si>
    <t xml:space="preserve"> (פ/1778/25)</t>
  </si>
  <si>
    <t xml:space="preserve"> (פ/1777/25)</t>
  </si>
  <si>
    <t xml:space="preserve">הצעת חוק הרשויות המקומיות (יועצת לקידום מעמד האישה) (תיקון - תפקיד וסמכויות), התשפ"ג-2023</t>
  </si>
  <si>
    <t xml:space="preserve"> (פ/1776/25)</t>
  </si>
  <si>
    <t xml:space="preserve"> (פ/1775/25)</t>
  </si>
  <si>
    <t xml:space="preserve">הצעת חוק מס רכוש וקרן פיצויים (תיקון - הרחבת הגדרת נזק), התשפ"ג-2023</t>
  </si>
  <si>
    <t xml:space="preserve"> (פ/1774/25)</t>
  </si>
  <si>
    <t xml:space="preserve"> (פ/1773/25)</t>
  </si>
  <si>
    <t xml:space="preserve">הצעת חוק המים (תיקון - מתן הנחות בתעריפי מים לאוכלוסיות נזקקות), התשפ"ג-2023</t>
  </si>
  <si>
    <t xml:space="preserve"> (פ/1771/25)</t>
  </si>
  <si>
    <t xml:space="preserve">הצעת חוק הפעלת תחבורה ציבורית ביום המנוחה השבועי, התשפ"ג-2023</t>
  </si>
  <si>
    <t xml:space="preserve"> (פ/1770/25)</t>
  </si>
  <si>
    <t xml:space="preserve">הצעת חוק-יסוד: הממשלה (סמכות הממשלה והשרים לקבוע את עמדתם המשפטית בפעולתם השוטפת ובפני ערכאות שיפוטיות)</t>
  </si>
  <si>
    <t xml:space="preserve">18.01.2023</t>
  </si>
  <si>
    <t xml:space="preserve">הצעת חוק לביטול אזרחותו או תושבותו של פעיל טרור שמקבל תגמול עבור ביצוע מעשה הטרור (תיקוני חקיקה), התשפ"ג-2023</t>
  </si>
  <si>
    <t xml:space="preserve"> (פ/1534/25)</t>
  </si>
  <si>
    <t xml:space="preserve">17.01.2023</t>
  </si>
  <si>
    <t xml:space="preserve"> (פ/1533/25)</t>
  </si>
  <si>
    <t xml:space="preserve"> (פ/1532/25)</t>
  </si>
  <si>
    <t xml:space="preserve"> (פ/1518/25)</t>
  </si>
  <si>
    <t xml:space="preserve">הצעת חוק לביטול אזרחותו או תושבותו של פעיל טרור שמקבל תגמול עבור ביצוע מעשה הטרור (תיקוני חקיקה), התשפ"ג-2022</t>
  </si>
  <si>
    <t xml:space="preserve"> (פ/376/25)</t>
  </si>
  <si>
    <t xml:space="preserve"> (פ/374/25)</t>
  </si>
  <si>
    <t xml:space="preserve"> (פ/1769/25)</t>
  </si>
  <si>
    <t xml:space="preserve">16.01.2023</t>
  </si>
  <si>
    <t xml:space="preserve">הצעת חוק הביטוח הלאומי (תיקון - קצבת אזרח ותיק לנכה), התשפ"ג-2023</t>
  </si>
  <si>
    <t xml:space="preserve"> (פ/1768/25)</t>
  </si>
  <si>
    <t xml:space="preserve">הצעת חוק לתיקון פקודת בתי הסוהר (תוכניות שיקום בערבית ומידע בשפה הערבית), התשפ"ג-2023</t>
  </si>
  <si>
    <t xml:space="preserve"> (פ/1767/25)</t>
  </si>
  <si>
    <t xml:space="preserve">הצעת חוק השירות הצבאי או האזרחי, התשפ"ג-2023</t>
  </si>
  <si>
    <t xml:space="preserve"> (פ/1766/25)</t>
  </si>
  <si>
    <t xml:space="preserve">הצעת חוק לתיקון פקודת בתי הסוהר (קביעת משך הביקור), התשפ"ג-2023</t>
  </si>
  <si>
    <t xml:space="preserve"> (פ/1764/25)</t>
  </si>
  <si>
    <t xml:space="preserve"> (פ/1762/25)</t>
  </si>
  <si>
    <t xml:space="preserve"> (פ/1760/25)</t>
  </si>
  <si>
    <t xml:space="preserve">הצעת חוק שירותי תעופה (פיצוי וסיוע בשל ביטול טיסה או שינוי בתנאיה) (תיקון - הוראות שונות), התשפ"ג-2023</t>
  </si>
  <si>
    <t xml:space="preserve"> (פ/1758/25)</t>
  </si>
  <si>
    <t xml:space="preserve"> (פ/1757/25)</t>
  </si>
  <si>
    <t xml:space="preserve"> (פ/1756/25)</t>
  </si>
  <si>
    <t xml:space="preserve"> (פ/1755/25)</t>
  </si>
  <si>
    <t xml:space="preserve">הצעת חוק הגנת הצרכן (תיקון - איסור גביית עמלה בעסקה שבוצעה באמצעות האינטרנט), התשפ"ג-2023</t>
  </si>
  <si>
    <t xml:space="preserve"> (פ/1754/25)</t>
  </si>
  <si>
    <t xml:space="preserve">הצעת חוק לתיקון פקודת מס הכנסה (הכרה בהוצאות אש"ל לעצמאים), התשפ"ג-2023</t>
  </si>
  <si>
    <t xml:space="preserve"> (פ/1753/25)</t>
  </si>
  <si>
    <t xml:space="preserve"> (פ/1752/25)</t>
  </si>
  <si>
    <t xml:space="preserve">הצעת חוק התכנון והבנייה (הוראות מיוחדות לעניין יישובי מיעוטים) (הוראת שעה), התשפ"ג-2023</t>
  </si>
  <si>
    <t xml:space="preserve"> (פ/1751/25)</t>
  </si>
  <si>
    <t xml:space="preserve">הצעת חוק הכנסת (תיקון - ועדה לפיקוח על רשויות פיקוח פיננסיות), התשפ"ג-2023</t>
  </si>
  <si>
    <t xml:space="preserve"> (פ/1750/25)</t>
  </si>
  <si>
    <t xml:space="preserve">הצעת חוק האזנת סתר (תיקון - האזנה בשל חשד להתעללות בילדים ובחסרי ישע), התשפ״ג-2023</t>
  </si>
  <si>
    <t xml:space="preserve"> (פ/1748/25)</t>
  </si>
  <si>
    <t xml:space="preserve">הצעת חוק הרשויות המקומיות (בחירת ראש הרשות וסגניו וכהונתם) (תיקון - הליכים משפטיים נגד ראש רשות), התשפ"ג-2023</t>
  </si>
  <si>
    <t xml:space="preserve"> (פ/1747/25)</t>
  </si>
  <si>
    <t xml:space="preserve">הצעת חוק מס ערך מוסף (תיקון - העברת מס בין עוסקים מורשים), התשפ"ג-2023</t>
  </si>
  <si>
    <t xml:space="preserve"> (פ/1746/25)</t>
  </si>
  <si>
    <t xml:space="preserve"> (פ/1745/25)</t>
  </si>
  <si>
    <t xml:space="preserve">הצעת חוק החברות הממשלתיות (תיקון - ייצוג הולם בתאגידים שהוקמו בחוק ובחברות ממשלתיות), התשפ"ג-2023</t>
  </si>
  <si>
    <t xml:space="preserve"> (פ/1744/25)</t>
  </si>
  <si>
    <t xml:space="preserve">הצעת חוק חוזה הביטוח (תיקון - מניעת כפל ביטוחים), התשפ"ג-2023</t>
  </si>
  <si>
    <t xml:space="preserve"> (פ/1743/25)</t>
  </si>
  <si>
    <t xml:space="preserve">הצעת חוק צוותי התערבות במשבר, התשפ"ג-2023</t>
  </si>
  <si>
    <t xml:space="preserve"> (פ/1742/25)</t>
  </si>
  <si>
    <t xml:space="preserve"> (פ/1741/25)</t>
  </si>
  <si>
    <t xml:space="preserve">הצעת חוק לתיקון פקודת המסים (גבייה) (גבייה לפי חוק ההוצאה לפועל), התשפ"ג-2023</t>
  </si>
  <si>
    <t xml:space="preserve"> (פ/1740/25)</t>
  </si>
  <si>
    <t xml:space="preserve"> (פ/1739/25)</t>
  </si>
  <si>
    <t xml:space="preserve">הצעת חוק התקנת מצלמות לשם פיקוח והגנה בחינוך המיוחד, התשפ"ג-2023</t>
  </si>
  <si>
    <t xml:space="preserve"> (פ/1737/25)</t>
  </si>
  <si>
    <t xml:space="preserve"> (פ/1735/25)</t>
  </si>
  <si>
    <t xml:space="preserve"> (פ/1734/25)</t>
  </si>
  <si>
    <t xml:space="preserve"> (פ/1732/25)</t>
  </si>
  <si>
    <t xml:space="preserve">הצעת חוק רשות שדות התעופה (תיקון - פטור מתשלום אגרה לסטודנטים הלומדים באוניברסיטאות בירדן), התשפ"ג-2023</t>
  </si>
  <si>
    <t xml:space="preserve"> (פ/1731/25)</t>
  </si>
  <si>
    <t xml:space="preserve">הצעת חוק מיסוי מקרקעין (שבח ורכישה) (תיקון - הרחבת הקלה לרוכשים דירה מקבלן), התשפ"ג-2023</t>
  </si>
  <si>
    <t xml:space="preserve"> (פ/1730/25)</t>
  </si>
  <si>
    <t xml:space="preserve">הצעת חוק יסודות התקציב (תיקון - פיקוח אחיד על שימוש בתמיכה), התשפ"ג-2023</t>
  </si>
  <si>
    <t xml:space="preserve"> (פ/1729/25)</t>
  </si>
  <si>
    <t xml:space="preserve"> (פ/1728/25)</t>
  </si>
  <si>
    <t xml:space="preserve">הצעת חוק לתיקון פקודת התעבורה (רישום סוג הדם ברישיון נהיגה), התשפ"ג-2023</t>
  </si>
  <si>
    <t xml:space="preserve"> (פ/1727/25)</t>
  </si>
  <si>
    <t xml:space="preserve"> (פ/1726/25)</t>
  </si>
  <si>
    <t xml:space="preserve"> (פ/1723/25)</t>
  </si>
  <si>
    <t xml:space="preserve">הצעת חוק-יסוד: הממשלה (תיקון - הפסקת כהונה של ראש הממשלה, שר או סגן שר מחמת הגשת כתב אישום)</t>
  </si>
  <si>
    <t xml:space="preserve"> (פ/1722/25)</t>
  </si>
  <si>
    <t xml:space="preserve"> (פ/1721/25)</t>
  </si>
  <si>
    <t xml:space="preserve">הצעת חוק התכנון והבנייה (תיקון - בדיקות נוכחות מזהמים בקרקע, באוויר ובמקורות מים), התשפ״ג-2023</t>
  </si>
  <si>
    <t xml:space="preserve"> (פ/1720/25)</t>
  </si>
  <si>
    <t xml:space="preserve">הצעת חוק מס ערך מוסף (תיקון - פטור בעת קניית דירה ראשונה לזוגות צעירים), התשפ"ג-2023</t>
  </si>
  <si>
    <t xml:space="preserve"> (פ/1719/25)</t>
  </si>
  <si>
    <t xml:space="preserve">הצעת חוק משכן הכנסת, רחבתו ומשמר הכנסת (תיקון - איסור העסקה קבלנית), התשפ"ג-2023</t>
  </si>
  <si>
    <t xml:space="preserve"> (פ/1718/25)</t>
  </si>
  <si>
    <t xml:space="preserve"> (פ/1717/25)</t>
  </si>
  <si>
    <t xml:space="preserve"> (פ/1716/25)</t>
  </si>
  <si>
    <t xml:space="preserve">הצעת חוק המועצה להשכלה גבוהה (תיקון - קביעת שכר לימוד במוסדות מוכרים שהמדינה אינה משתתפת בתקציביהם), התשפ"ג-2023</t>
  </si>
  <si>
    <t xml:space="preserve"> (פ/1714/25)</t>
  </si>
  <si>
    <t xml:space="preserve">הצעת חוק-יסוד: השוויון</t>
  </si>
  <si>
    <t xml:space="preserve"> (פ/1713/25)</t>
  </si>
  <si>
    <t xml:space="preserve">הצעת חוק לתיקון פקודת מס הכנסה (חישוב שווי שימוש ברכב לשומרי שבת וחג), התשפ"ג-2023</t>
  </si>
  <si>
    <t xml:space="preserve"> (פ/1712/25)</t>
  </si>
  <si>
    <t xml:space="preserve">הצעת חוק זכאות לאבחון לקויות למידה לילדים ממשפחות מעוטות יכולת, התשפ"ג-2023 </t>
  </si>
  <si>
    <t xml:space="preserve"> (פ/1711/25)</t>
  </si>
  <si>
    <t xml:space="preserve">הצעת חוק הארכת השעיה של עובד המדינה ופיטורים של עובד הוראה לשם הגנה על קטין או חסר ישע (תיקוני חקיקה), התשפ"ג-2023</t>
  </si>
  <si>
    <t xml:space="preserve"> (פ/1710/25)</t>
  </si>
  <si>
    <t xml:space="preserve">הצעת חוק לתיקון פקודת מס הכנסה (פטור ממס לגמלאים על תשלומי הפנסיה), התשפ"ג-2023</t>
  </si>
  <si>
    <t xml:space="preserve"> (פ/1709/25)</t>
  </si>
  <si>
    <t xml:space="preserve">הצעת חוק לתיקון פקודת התעבורה (הסמכת רשות מקומית לביצוע תפקידי רישוי), התשפ"ג-2023</t>
  </si>
  <si>
    <t xml:space="preserve"> (פ/1708/25)</t>
  </si>
  <si>
    <t xml:space="preserve">הצעת חוק להקמת אוניברסיטה ערבית ביישוב ערבי, התשפ"ג-2023</t>
  </si>
  <si>
    <t xml:space="preserve"> (פ/1707/25)</t>
  </si>
  <si>
    <t xml:space="preserve">הצעת חוק מס ערך מוסף (תיקון - פטור ממס ערך מוסף במכירת תרופות לחולים סופניים), התשפ"ג-2023</t>
  </si>
  <si>
    <t xml:space="preserve"> (פ/1706/25)</t>
  </si>
  <si>
    <t xml:space="preserve">הצעת חוק שירות ביטחון (תיקון - חובת תשלום מס למי שאינו משרת שירות צבאי או שירות אזרחי), התשפ"ג-2023</t>
  </si>
  <si>
    <t xml:space="preserve"> (פ/1705/25)</t>
  </si>
  <si>
    <t xml:space="preserve"> (פ/1704/25)</t>
  </si>
  <si>
    <t xml:space="preserve"> (פ/1703/25)</t>
  </si>
  <si>
    <t xml:space="preserve"> (פ/1702/25)</t>
  </si>
  <si>
    <t xml:space="preserve"> (פ/1701/25)</t>
  </si>
  <si>
    <t xml:space="preserve">הצעת חוק שכירות הוגנת (רשם השכירויות), התשפ"ג-2023</t>
  </si>
  <si>
    <t xml:space="preserve"> (פ/1699/25)</t>
  </si>
  <si>
    <t xml:space="preserve">הצעת חוק איסור הפליה במוצרים, בשירותים ובכניסה למקומות בידור ולמקומות ציבוריים (תיקון - חובת הודעה מוקדמת על אירוע סגור), התשפ"ג-2023</t>
  </si>
  <si>
    <t xml:space="preserve"> (פ/1698/25)</t>
  </si>
  <si>
    <t xml:space="preserve"> (פ/1697/25)</t>
  </si>
  <si>
    <t xml:space="preserve">הצעת חוק משק החשמל (תיקון - תשלומי חשמל מופחתים לקשישים נכים), התשפ"ג-2023</t>
  </si>
  <si>
    <t xml:space="preserve"> (פ/1696/25)</t>
  </si>
  <si>
    <t xml:space="preserve">הצעת חוק לתיקון פקודת התעבורה (מאסר מינימום למי שהפקיר אדם שנפגע בתאונה), התשפ"ג-2023</t>
  </si>
  <si>
    <t xml:space="preserve"> (פ/1695/25)</t>
  </si>
  <si>
    <t xml:space="preserve">הצעת חוק האזרחות (תיקון - אזרחות לצאצא אזרח ישראלי המתגורר מחוץ לישראל), התשפ"ג-2023</t>
  </si>
  <si>
    <t xml:space="preserve"> (פ/1694/25)</t>
  </si>
  <si>
    <t xml:space="preserve"> (פ/1692/25)</t>
  </si>
  <si>
    <t xml:space="preserve">הצעת חוק זכויות הסטודנט (תיקון - ייעוץ אקדמי בערבית), התשפ"ג-2023</t>
  </si>
  <si>
    <t xml:space="preserve"> (פ/1691/25)</t>
  </si>
  <si>
    <t xml:space="preserve">הצעת חוק יום הזיכרון לנכבה, התשפ"ג-2023</t>
  </si>
  <si>
    <t xml:space="preserve"> (פ/1690/25)</t>
  </si>
  <si>
    <t xml:space="preserve"> (פ/1689/25)</t>
  </si>
  <si>
    <t xml:space="preserve"> (פ/1687/25)</t>
  </si>
  <si>
    <t xml:space="preserve"> (פ/1686/25)</t>
  </si>
  <si>
    <t xml:space="preserve">הצעת חוק הרשויות המקומיות (בחירות) (תיקון - בחירה של בעל עסק בתחום רשות מקומית שעסקו רשום בה), התשפ"ג-2023</t>
  </si>
  <si>
    <t xml:space="preserve"> (פ/1685/25)</t>
  </si>
  <si>
    <t xml:space="preserve">הצעת חוק הנוטריונים (תיקון - ביטול תעריף מינימום לשירות נוטריוני), התשפ"ג-2023</t>
  </si>
  <si>
    <t xml:space="preserve"> (פ/1684/25)</t>
  </si>
  <si>
    <t xml:space="preserve">הצעת חוק חובת תשלום בשוברים, התשפ"ג-2023</t>
  </si>
  <si>
    <t xml:space="preserve"> (פ/1683/25)</t>
  </si>
  <si>
    <t xml:space="preserve">הצעת חוק לתיקון פקודת התעבורה (חובת בדיקת תקינות כריות האוויר ברכב בעת מתן רישיון רכב, חידושו או העברתו), התשפ"ג-2023</t>
  </si>
  <si>
    <t xml:space="preserve"> (פ/1682/25)</t>
  </si>
  <si>
    <t xml:space="preserve"> (פ/1681/25)</t>
  </si>
  <si>
    <t xml:space="preserve">הצעת חוק התכנון והבנייה (תיקון - ייצוג הולם לאוכלוסייה הערבית והחרדית במוסדות התכנון), התשפ"ג-2023</t>
  </si>
  <si>
    <t xml:space="preserve"> (פ/1680/25)</t>
  </si>
  <si>
    <t xml:space="preserve"> (פ/1679/25)</t>
  </si>
  <si>
    <t xml:space="preserve"> (פ/1678/25)</t>
  </si>
  <si>
    <t xml:space="preserve"> (פ/1677/25)</t>
  </si>
  <si>
    <t xml:space="preserve"> (פ/1676/25)</t>
  </si>
  <si>
    <t xml:space="preserve"> (פ/1675/25)</t>
  </si>
  <si>
    <t xml:space="preserve"> (פ/1674/25)</t>
  </si>
  <si>
    <t xml:space="preserve"> (פ/1673/25)</t>
  </si>
  <si>
    <t xml:space="preserve"> (פ/1672/25)</t>
  </si>
  <si>
    <t xml:space="preserve">הצעת חוק ההוצאה לפועל (תיקון - קבלת קהל בשעות אחר הצהריים), התשפ"ג-2023</t>
  </si>
  <si>
    <t xml:space="preserve"> (פ/1671/25)</t>
  </si>
  <si>
    <t xml:space="preserve">הצעת חוק הביטוח הלאומי (תיקון - עבודה בחינוך וסיוע להוראה או בטיפול בילדים כעבודה מועדפת), התשפ"ב-2023</t>
  </si>
  <si>
    <t xml:space="preserve"> (פ/1670/25)</t>
  </si>
  <si>
    <t xml:space="preserve"> (פ/1668/25)</t>
  </si>
  <si>
    <t xml:space="preserve"> (פ/1666/25)</t>
  </si>
  <si>
    <t xml:space="preserve">הצעת חוק הגבלת מימון מפעלים מזהמים (תיקוני חקיקה), התשפ"ג-2023</t>
  </si>
  <si>
    <t xml:space="preserve"> (פ/1665/25)</t>
  </si>
  <si>
    <t xml:space="preserve"> (פ/1661/25)</t>
  </si>
  <si>
    <t xml:space="preserve">הצעת חוק להגבלת הריסה וענישה על בנייה בלתי חוקית במגזר הערבי (הוראת שעה), התשפ"ג-2023</t>
  </si>
  <si>
    <t xml:space="preserve"> (פ/1660/25)</t>
  </si>
  <si>
    <t xml:space="preserve"> (פ/1659/25)</t>
  </si>
  <si>
    <t xml:space="preserve">הצעת חוק איסוף ופינוי פסולת למיחזור (תיקון - מיחזור במוסדות חינוך), התשפ"ב-2023</t>
  </si>
  <si>
    <t xml:space="preserve"> (פ/1658/25)</t>
  </si>
  <si>
    <t xml:space="preserve"> (פ/1657/25)</t>
  </si>
  <si>
    <t xml:space="preserve"> (פ/1656/25)</t>
  </si>
  <si>
    <t xml:space="preserve"> (פ/1655/25)</t>
  </si>
  <si>
    <t xml:space="preserve"> (פ/1654/25)</t>
  </si>
  <si>
    <t xml:space="preserve"> (פ/1653/25)</t>
  </si>
  <si>
    <t xml:space="preserve"> (פ/1652/25)</t>
  </si>
  <si>
    <t xml:space="preserve">הצעת חוק רכבת תחתית (מטרו) (תיקון), התשפ"ג-2023</t>
  </si>
  <si>
    <t xml:space="preserve"> (פ/1651/25)</t>
  </si>
  <si>
    <t xml:space="preserve">הצעת חוק התכנון והבנייה (תיקון - פיצול דירות) (הוראת שעה), התשפ"ג-2023</t>
  </si>
  <si>
    <t xml:space="preserve"> (פ/1650/25)</t>
  </si>
  <si>
    <t xml:space="preserve">הצעת חוק לצמצום השימוש בשקיות נשיאה חד-פעמיות (תיקון - פטור מהיטל), התשפ"ג-2023</t>
  </si>
  <si>
    <t xml:space="preserve"> (פ/1649/25)</t>
  </si>
  <si>
    <t xml:space="preserve">הצעת חוק-יסוד: הממשלה (תיקון - הצהרת האמונים של ראש הממשלה והשרים)</t>
  </si>
  <si>
    <t xml:space="preserve"> (פ/1647/25)</t>
  </si>
  <si>
    <t xml:space="preserve">הצעת חוק לעידוד תעשייה עתירת ידע, התשפ"ג-2023</t>
  </si>
  <si>
    <t xml:space="preserve"> (פ/1646/25)</t>
  </si>
  <si>
    <t xml:space="preserve">הצעת חוק לתיקון פקודת העיריות (פרסום מכרז באתר האינטרנט), התשפ"ג-2023</t>
  </si>
  <si>
    <t xml:space="preserve"> (פ/1644/25)</t>
  </si>
  <si>
    <t xml:space="preserve">הצעת חוק רשות מקרקעי ישראל (תיקון - הקצאה שוויונית לאוכלוסייה הערבית), התשפ"ג-2023</t>
  </si>
  <si>
    <t xml:space="preserve"> (פ/1643/25)</t>
  </si>
  <si>
    <t xml:space="preserve"> (פ/1642/25)</t>
  </si>
  <si>
    <t xml:space="preserve">הצעת חוק הספורט (תיקון - מחיר מרבי לכרטיס לפעילות ספורט מאורגנת), התשפ"ג-2023</t>
  </si>
  <si>
    <t xml:space="preserve"> (פ/1640/25)</t>
  </si>
  <si>
    <t xml:space="preserve">הצעת חוק הפרשנות (תיקון - הגדרת הפליה על רקע זהות מגדרית או נטייה מינית), התשפ"ג-2023</t>
  </si>
  <si>
    <t xml:space="preserve"> (פ/1639/25)</t>
  </si>
  <si>
    <t xml:space="preserve">הצעת חוק האזרחות והכניסה לישראל (הוראת שעה) (תיקון - מניעת ריבוי נישואין), התשפ"ג-2023</t>
  </si>
  <si>
    <t xml:space="preserve"> (פ/1638/25)</t>
  </si>
  <si>
    <t xml:space="preserve">הצעת חוק התאמת לוח חופשות הלימודים לשעות העבודה והמנוחה במשק (תיקוני חקיקה), התשפ"ג-2023</t>
  </si>
  <si>
    <t xml:space="preserve"> (פ/1637/25)</t>
  </si>
  <si>
    <t xml:space="preserve">הצעת חוק איסור ניתוק שירותי חשמל ומים למוסדות חינוך (תיקוני חקיקה), התשפ"ג-2023</t>
  </si>
  <si>
    <t xml:space="preserve"> (פ/1636/25)</t>
  </si>
  <si>
    <t xml:space="preserve"> (פ/1635/25)</t>
  </si>
  <si>
    <t xml:space="preserve"> (פ/1634/25)</t>
  </si>
  <si>
    <t xml:space="preserve">הצעת חוק זכויות הסטודנט (תיקון - פרסום ושילוט בשפה ערבית), התשפ"ג-2023</t>
  </si>
  <si>
    <t xml:space="preserve"> (פ/1632/25)</t>
  </si>
  <si>
    <t xml:space="preserve"> (פ/1631/25)</t>
  </si>
  <si>
    <t xml:space="preserve">הצעת חוק הגנת הצרכן (תיקון - איסור פרסום כפוי במענה טלפוני), התשפ"ג-2023</t>
  </si>
  <si>
    <t xml:space="preserve"> (פ/1630/25)</t>
  </si>
  <si>
    <t xml:space="preserve"> (פ/1629/25)</t>
  </si>
  <si>
    <t xml:space="preserve">הצעת חוק הבטחת הכנסה (תיקון - ניכוי לעניין הורה עצמאי שלילדו טרם מלאו שנתיים), התשפ"ג-2023</t>
  </si>
  <si>
    <t xml:space="preserve"> (פ/1627/25)</t>
  </si>
  <si>
    <t xml:space="preserve">הצעת חוק שירות ביטחון (תיקון - אי-הצבת חיילות בשירות בתי הסוהר), התשפ"ג-2023</t>
  </si>
  <si>
    <t xml:space="preserve"> (פ/1626/25)</t>
  </si>
  <si>
    <t xml:space="preserve">הצעת חוק לתיקון פקודת התעבורה (ריבית פיגורים בגין אי תשלום קנס על עבירת חניה), התשפ"ג-2023</t>
  </si>
  <si>
    <t xml:space="preserve"> (פ/1625/25)</t>
  </si>
  <si>
    <t xml:space="preserve">הצעת חוק הביטוח הלאומי (תיקון - קצבת נכות לעקרת בית), התשפ"ג-2023</t>
  </si>
  <si>
    <t xml:space="preserve"> (פ/1624/25)</t>
  </si>
  <si>
    <t xml:space="preserve">הצעת חוק הפיקוח על מעונות (תיקון - הסדרת מעמד המטפלות במשפחתונים), התשפ"ג-2023</t>
  </si>
  <si>
    <t xml:space="preserve"> (פ/1623/25)</t>
  </si>
  <si>
    <t xml:space="preserve"> (פ/1622/25)</t>
  </si>
  <si>
    <t xml:space="preserve"> (פ/1621/25)</t>
  </si>
  <si>
    <t xml:space="preserve"> (פ/1620/25)</t>
  </si>
  <si>
    <t xml:space="preserve"> (פ/1619/25)</t>
  </si>
  <si>
    <t xml:space="preserve"> (פ/1618/25)</t>
  </si>
  <si>
    <t xml:space="preserve">הצעת חוק הביטוח הלאומי (תיקון - דמי אבטלה בעד חופשה ללא תשלום), התשפ"ג-2023</t>
  </si>
  <si>
    <t xml:space="preserve"> (פ/1617/25)</t>
  </si>
  <si>
    <t xml:space="preserve">הצעת חוק הבטחת פיצויים לתושבי מתחם פארק חורשות (אבו-כביר), התשפ"ג-2023</t>
  </si>
  <si>
    <t xml:space="preserve"> (פ/1616/25)</t>
  </si>
  <si>
    <t xml:space="preserve"> (פ/1615/25)</t>
  </si>
  <si>
    <t xml:space="preserve">הצעת חוק תאגידי מים וביוב (תיקון - ועדת חריגים), התשפ"ג-2023</t>
  </si>
  <si>
    <t xml:space="preserve"> (פ/1614/25)</t>
  </si>
  <si>
    <t xml:space="preserve">הצעת חוק זיכרון השואה והגבורה - יד ושם (תיקון - יהודים שהצילו יהודים), התשפ"ג-2023</t>
  </si>
  <si>
    <t xml:space="preserve"> (פ/1613/25)</t>
  </si>
  <si>
    <t xml:space="preserve"> (פ/1612/25)</t>
  </si>
  <si>
    <t xml:space="preserve"> (פ/1611/25)</t>
  </si>
  <si>
    <t xml:space="preserve">הצעת חוק פיצוי למי שפונה ממבנה בשל סכנה לקריסתו או בשל קריסתו, התשפ"ג-2023</t>
  </si>
  <si>
    <t xml:space="preserve"> (פ/1610/25)</t>
  </si>
  <si>
    <t xml:space="preserve"> (פ/1608/25)</t>
  </si>
  <si>
    <t xml:space="preserve">הצעת חוק שירותי הדת היהודיים (תיקון - דין משמעתי לרבני ערים), התשפ"ג-2023</t>
  </si>
  <si>
    <t xml:space="preserve"> (פ/1607/25)</t>
  </si>
  <si>
    <t xml:space="preserve">הצעת חוק-יסוד: הממשלה (תיקון - אי-כשירות של נאשם להרכיב את הממשלה) </t>
  </si>
  <si>
    <t xml:space="preserve"> (פ/1604/25)</t>
  </si>
  <si>
    <t xml:space="preserve"> (פ/1603/25)</t>
  </si>
  <si>
    <t xml:space="preserve"> (פ/1602/25)</t>
  </si>
  <si>
    <t xml:space="preserve">הצעת חוק רישום נישואין אזרחיים בעיר אילת (תיקוני חקיקה), התשפ"ג-2023</t>
  </si>
  <si>
    <t xml:space="preserve"> (פ/1601/25)</t>
  </si>
  <si>
    <t xml:space="preserve">הצעת חוק הממשלה (תיקון - דיווח שר בדבר אי-התקנת תקנות במועד), התשפ"ג-2023</t>
  </si>
  <si>
    <t xml:space="preserve"> (פ/1600/25)</t>
  </si>
  <si>
    <t xml:space="preserve">הצעת חוק הדיינים (תיקון - נציגי הוועדה לבחירת דיינים), התשפ"ג-2023</t>
  </si>
  <si>
    <t xml:space="preserve"> (פ/1598/25)</t>
  </si>
  <si>
    <t xml:space="preserve"> (פ/1596/25)</t>
  </si>
  <si>
    <t xml:space="preserve"> (פ/1594/25)</t>
  </si>
  <si>
    <t xml:space="preserve"> (פ/1593/25)</t>
  </si>
  <si>
    <t xml:space="preserve"> (פ/1592/25)</t>
  </si>
  <si>
    <t xml:space="preserve"> (פ/1591/25)</t>
  </si>
  <si>
    <t xml:space="preserve">הצעת חוק אי-נקיטת הליכים לפני מועדי ישראל (תיקוני חקיקה), התשפ"ג-2023</t>
  </si>
  <si>
    <t xml:space="preserve"> (פ/1590/25)</t>
  </si>
  <si>
    <t xml:space="preserve"> (פ/1589/25)</t>
  </si>
  <si>
    <t xml:space="preserve">הצעת חוק תיעוד הדבקה של כתבי בית דין (תיקוני חקיקה), התשפ"ג-2023</t>
  </si>
  <si>
    <t xml:space="preserve"> (פ/1588/25)</t>
  </si>
  <si>
    <t xml:space="preserve">הצעת חוק ידועים בציבור, התשפ"ג-2023</t>
  </si>
  <si>
    <t xml:space="preserve"> (פ/1587/25)</t>
  </si>
  <si>
    <t xml:space="preserve">הצעת חוק איסור הונאה בכשרות (תיקון - הגדרת המינוח כשר לעניין הטעיה), התשפ"ג-2023</t>
  </si>
  <si>
    <t xml:space="preserve"> (פ/1586/25)</t>
  </si>
  <si>
    <t xml:space="preserve">הצעת חוק איסור לשון הרע (תיקון - הגבלת סעד לאישי ציבור ותאגידים), התשפ"ג-2023</t>
  </si>
  <si>
    <t xml:space="preserve"> (פ/1584/25)</t>
  </si>
  <si>
    <t xml:space="preserve">הצעת חוק הקמת המוסד העליון לשפת הסימנים הישראלית, התשפ"ג-2023</t>
  </si>
  <si>
    <t xml:space="preserve"> (פ/1582/25)</t>
  </si>
  <si>
    <t xml:space="preserve">הצעת חוק-יסוד: הזכות לדיור</t>
  </si>
  <si>
    <t xml:space="preserve"> (פ/1581/25)</t>
  </si>
  <si>
    <t xml:space="preserve">הצעת חוק שירות המדינה (מינויים) (תיקון - ניסיון ניהולי במגזר הפרטי), התשפ"ג-2023</t>
  </si>
  <si>
    <t xml:space="preserve"> (פ/1580/25)</t>
  </si>
  <si>
    <t xml:space="preserve">הצעת חוק לימוד חובה (תיקון - הסעת תלמידים), התשפ"ג-2023</t>
  </si>
  <si>
    <t xml:space="preserve"> (פ/1577/25)</t>
  </si>
  <si>
    <t xml:space="preserve">הצעת חוק הבחירות לכנסת (תיקון - אחוז החסימה), התשפ"ג-2023</t>
  </si>
  <si>
    <t xml:space="preserve"> (פ/1576/25)</t>
  </si>
  <si>
    <t xml:space="preserve">הצעת חוק לעידוד חקלאות גגות (תיקוני חקיקה), התשפ"ג-2023</t>
  </si>
  <si>
    <t xml:space="preserve"> (פ/1575/25)</t>
  </si>
  <si>
    <t xml:space="preserve">הצעת חוק פיקוח על בתי ספר (תיקון - הרחבת תוקפו של רישיון), התשפ"ג-2023</t>
  </si>
  <si>
    <t xml:space="preserve"> (פ/1574/25)</t>
  </si>
  <si>
    <t xml:space="preserve"> (פ/1572/25)</t>
  </si>
  <si>
    <t xml:space="preserve"> (פ/1571/25)</t>
  </si>
  <si>
    <t xml:space="preserve">הצעת חוק שופט עמית ודיין עמית (תיקוני חקיקה), התשפ"ג-2023</t>
  </si>
  <si>
    <t xml:space="preserve"> (פ/1569/25)</t>
  </si>
  <si>
    <t xml:space="preserve">הצעת חוק לתיקון פקודת מס הכנסה (ביטול מס בגין זקיפה סלולרית), התשפ"ג-2023</t>
  </si>
  <si>
    <t xml:space="preserve"> (פ/1568/25)</t>
  </si>
  <si>
    <t xml:space="preserve">הצעת חוק שיפוט בתי דין רבניים (נישואין וגירושין) (תיקון - סמכות שיפוט בהסכמה בעניין אזרחי), התשפ"ג-2023</t>
  </si>
  <si>
    <t xml:space="preserve"> (פ/1567/25)</t>
  </si>
  <si>
    <t xml:space="preserve"> (פ/1566/25)</t>
  </si>
  <si>
    <t xml:space="preserve"> (פ/1565/25)</t>
  </si>
  <si>
    <t xml:space="preserve">הצעת חוק המסייעים לנטרול תוצאות אסון צ'רנוביל (תיקון - הגדלת המענק השנתי ושיפור זכויות), התשפ"ג-2023</t>
  </si>
  <si>
    <t xml:space="preserve"> (פ/1564/25)</t>
  </si>
  <si>
    <t xml:space="preserve"> (פ/1563/25)</t>
  </si>
  <si>
    <t xml:space="preserve">הצעת חוק-יסוד: כבוד האדם וחירותו (תיקון - תוקפו של חוק חורג)</t>
  </si>
  <si>
    <t xml:space="preserve"> (פ/1561/25)</t>
  </si>
  <si>
    <t xml:space="preserve">הצעת חוק העונשין (תיקון - איסור שידול קטינים להוצאה בשאלה), התשפ"ג-2023</t>
  </si>
  <si>
    <t xml:space="preserve"> (פ/1560/25)</t>
  </si>
  <si>
    <t xml:space="preserve">הצעת חוק הרשויות המקומיות (מימון בחירות) (תיקון - הגברת עידוד התמודדות נשים לראשות רשות מקומית או מועצה אזורית), התשפ"ג-2023</t>
  </si>
  <si>
    <t xml:space="preserve"> (פ/1559/25)</t>
  </si>
  <si>
    <t xml:space="preserve"> (פ/1558/25)</t>
  </si>
  <si>
    <t xml:space="preserve">הצעת חוק התכנון והבנייה (תיקון - זימון נציג הגופים הציבוריים שעניינם בשמירת איכות הסביבה לדיוני הוועדה המקומית), התשפ״ג-2023</t>
  </si>
  <si>
    <t xml:space="preserve"> (פ/1556/25)</t>
  </si>
  <si>
    <t xml:space="preserve">הצעת חוק חסינות רבנים, התשפ"ג-2023</t>
  </si>
  <si>
    <t xml:space="preserve"> (פ/1555/25)</t>
  </si>
  <si>
    <t xml:space="preserve">הצעת חוק שירות ביטחון (תיקון - ביטול גיוס חובה), התשפ"ג-2023</t>
  </si>
  <si>
    <t xml:space="preserve"> (פ/1554/25)</t>
  </si>
  <si>
    <t xml:space="preserve">הצעת חוק לימוד חובה (תיקון - הבטחת פיקוח פרלמנטרי על תשלומי הורים), התשפ"ג-2023</t>
  </si>
  <si>
    <t xml:space="preserve"> (פ/1553/25)</t>
  </si>
  <si>
    <t xml:space="preserve"> (פ/1552/25)</t>
  </si>
  <si>
    <t xml:space="preserve"> (פ/1551/25)</t>
  </si>
  <si>
    <t xml:space="preserve"> (פ/1550/25)</t>
  </si>
  <si>
    <t xml:space="preserve"> (פ/1549/25)</t>
  </si>
  <si>
    <t xml:space="preserve">הצעת חוק התחרות הכלכלית (תיקון - הכרזה על בעל מונופולין), התשפ"ג-2023</t>
  </si>
  <si>
    <t xml:space="preserve"> (פ/1548/25)</t>
  </si>
  <si>
    <t xml:space="preserve"> (פ/1547/25)</t>
  </si>
  <si>
    <t xml:space="preserve">הצעת חוק-יסוד: הכנסת (תיקון - הצהרת אמונים)</t>
  </si>
  <si>
    <t xml:space="preserve"> (פ/1546/25)</t>
  </si>
  <si>
    <t xml:space="preserve"> (פ/1544/25)</t>
  </si>
  <si>
    <t xml:space="preserve"> (פ/1543/25)</t>
  </si>
  <si>
    <t xml:space="preserve">הצעת חוק לשיפור השירות במגזר הציבורי ולמניעת התעמרות של עובדי הציבור בתושבי המדינה ובמגזר העסקי, התשפ"ג-2023</t>
  </si>
  <si>
    <t xml:space="preserve"> (פ/1541/25)</t>
  </si>
  <si>
    <t xml:space="preserve">הצעת חוק כבילת עצורים ואסירים שלא כדין - עוולה אזרחית (תיקוני חקיקה), התשפ"ג-2023</t>
  </si>
  <si>
    <t xml:space="preserve"> (פ/1539/25)</t>
  </si>
  <si>
    <t xml:space="preserve">הצעת חוק איסור חקירה בדבר עברו המיני של נפגע עבירה (תיקוני חקיקה), התשפ"ג-2023</t>
  </si>
  <si>
    <t xml:space="preserve"> (פ/1538/25)</t>
  </si>
  <si>
    <t xml:space="preserve"> (פ/1537/25)</t>
  </si>
  <si>
    <t xml:space="preserve"> (פ/1536/25)</t>
  </si>
  <si>
    <t xml:space="preserve"> (פ/1530/25)</t>
  </si>
  <si>
    <t xml:space="preserve">09.01.2023</t>
  </si>
  <si>
    <t xml:space="preserve">הצעת חוק זכויות נפגעי עבירה (תיקון - הרחבת זכות העמידה לנפגעי ונפגעות עבירה), התשפ"ג-2023</t>
  </si>
  <si>
    <t xml:space="preserve"> (פ/1529/25)</t>
  </si>
  <si>
    <t xml:space="preserve"> (פ/1528/25)</t>
  </si>
  <si>
    <t xml:space="preserve"> (פ/1527/25)</t>
  </si>
  <si>
    <t xml:space="preserve">הצעת חוק העונשין (תיקון - איסור שידול להמרת דת), התשפ"ג-2023</t>
  </si>
  <si>
    <t xml:space="preserve"> (פ/1526/25)</t>
  </si>
  <si>
    <t xml:space="preserve"> (פ/1525/25)</t>
  </si>
  <si>
    <t xml:space="preserve">הצעת חוק לשכת עורכי הדין (תיקון - הגבלת שכר טרחה על מכתבי התראה לפני גביית חוב), התשפ"ג-2023</t>
  </si>
  <si>
    <t xml:space="preserve"> (פ/1524/25)</t>
  </si>
  <si>
    <t xml:space="preserve"> (פ/1523/25)</t>
  </si>
  <si>
    <t xml:space="preserve"> (פ/1522/25)</t>
  </si>
  <si>
    <t xml:space="preserve">הצעת חוק חכירה הוגנת, התשפ"ג-2023</t>
  </si>
  <si>
    <t xml:space="preserve"> (פ/1516/25)</t>
  </si>
  <si>
    <t xml:space="preserve">הצעת חוק מתן סיוע ריאלי בשכר דירה לזכאים, התשפ"ג-2023</t>
  </si>
  <si>
    <t xml:space="preserve"> (פ/1513/25)</t>
  </si>
  <si>
    <t xml:space="preserve"> (פ/1512/25)</t>
  </si>
  <si>
    <t xml:space="preserve"> (פ/1511/25)</t>
  </si>
  <si>
    <t xml:space="preserve">הצעת חוק להגברת השקיפות בפעילותם של גופים פיננסיים (תיקוני חקיקה), התשפ"ג-2023</t>
  </si>
  <si>
    <t xml:space="preserve"> (פ/1510/25)</t>
  </si>
  <si>
    <t xml:space="preserve"> (פ/1509/25)</t>
  </si>
  <si>
    <t xml:space="preserve"> (פ/1508/25)</t>
  </si>
  <si>
    <t xml:space="preserve">הצעת חוק המפלגות (תיקון - העלאת תנאי הסף להקמת מפלגה ומניעת חברות כפולה בעת רישום מפלגה), התשפ''ג-2023</t>
  </si>
  <si>
    <t xml:space="preserve"> (פ/1507/25)</t>
  </si>
  <si>
    <t xml:space="preserve">הצעת חוק התרבות והאמנות (תיקון - הקצאה שוויונית בתקציב), התשפ"ג-2023</t>
  </si>
  <si>
    <t xml:space="preserve"> (פ/1506/25)</t>
  </si>
  <si>
    <t xml:space="preserve">הצעת חוק חינוך ממלכתי (תיקון - חובת הטמעת ערכי הסובלנות ומיגור האלימות), התשפ"ג-2023</t>
  </si>
  <si>
    <t xml:space="preserve"> (פ/1505/25)</t>
  </si>
  <si>
    <t xml:space="preserve"> (פ/1504/25)</t>
  </si>
  <si>
    <t xml:space="preserve">הצעת חוק הביטוח הלאומי (תיקון - הגדלת קצבת אזרח ותיק והצמדתה לשכר הממוצע), התשפ"ג-2023</t>
  </si>
  <si>
    <t xml:space="preserve"> (פ/1503/25)</t>
  </si>
  <si>
    <t xml:space="preserve">הצעת חוק הקצאת דירות לדיור בר השגה ולדיור ציבורי, התשפ"ג-2023</t>
  </si>
  <si>
    <t xml:space="preserve"> (פ/1502/25)</t>
  </si>
  <si>
    <t xml:space="preserve"> (פ/1501/25)</t>
  </si>
  <si>
    <t xml:space="preserve">הצעת חוק העבירות המינהליות (תיקון - ביטול קנסות תכנון ובנייה), התשפ"ג-2023</t>
  </si>
  <si>
    <t xml:space="preserve"> (פ/1500/25)</t>
  </si>
  <si>
    <t xml:space="preserve">הצעת חוק הסדרת מקומות רחצה (תיקון - קביעת מקומות לרחצה נפרדת), התשפ"ג-2023 </t>
  </si>
  <si>
    <t xml:space="preserve"> (פ/1498/25)</t>
  </si>
  <si>
    <t xml:space="preserve"> (פ/1497/25)</t>
  </si>
  <si>
    <t xml:space="preserve"> (פ/1495/25)</t>
  </si>
  <si>
    <t xml:space="preserve"> (פ/1494/25)</t>
  </si>
  <si>
    <t xml:space="preserve"> (פ/1493/25)</t>
  </si>
  <si>
    <t xml:space="preserve">הצעת חוק אחזקת כבישים ראשיים ברשויות מקומיות, התשפ"ג-2023</t>
  </si>
  <si>
    <t xml:space="preserve"> (פ/1491/25)</t>
  </si>
  <si>
    <t xml:space="preserve"> (פ/1490/25)</t>
  </si>
  <si>
    <t xml:space="preserve"> (פ/1488/25)</t>
  </si>
  <si>
    <t xml:space="preserve">הצעת חוק פיקוח על רווחי שיווק בתוצרת חקלאית, התשפ"ג-2023</t>
  </si>
  <si>
    <t xml:space="preserve"> (פ/1487/25)</t>
  </si>
  <si>
    <t xml:space="preserve"> (פ/1486/25)</t>
  </si>
  <si>
    <t xml:space="preserve">הצעת חוק ביטוח בריאות ממלכתי (תיקון - רפואת שיניים למי שמלאו להם 60 שנים), התשפ"ג-2023</t>
  </si>
  <si>
    <t xml:space="preserve"> (פ/1485/25)</t>
  </si>
  <si>
    <t xml:space="preserve"> (פ/1484/25)</t>
  </si>
  <si>
    <t xml:space="preserve">הצעת חוק הספורט (תיקון - זכויות ספורטאי בוגר), התשפ"ג-2023</t>
  </si>
  <si>
    <t xml:space="preserve"> (פ/1483/25)</t>
  </si>
  <si>
    <t xml:space="preserve"> (פ/1482/25)</t>
  </si>
  <si>
    <t xml:space="preserve">הצעת חוק הנגשת מוקדי פניות חירום באמצעות שיחוח ומסרון, התשפ"ג-2023</t>
  </si>
  <si>
    <t xml:space="preserve"> (פ/1481/25)</t>
  </si>
  <si>
    <t xml:space="preserve"> (פ/1480/25)</t>
  </si>
  <si>
    <t xml:space="preserve"> (פ/1479/25)</t>
  </si>
  <si>
    <t xml:space="preserve">הצעת חוק המשטרה (תיקון - התיישנות עבירות), התשפ"ג-2023</t>
  </si>
  <si>
    <t xml:space="preserve"> (פ/1477/25)</t>
  </si>
  <si>
    <t xml:space="preserve">הצעת חוק הפיקוח על שירותים פיננסיים (ביטוח) (תיקון - הוספת רישיון הנפקה), התשפ"ג-2023</t>
  </si>
  <si>
    <t xml:space="preserve"> (פ/1476/25)</t>
  </si>
  <si>
    <t xml:space="preserve">הצעת חוק רשת ביטחון לעצמאים בעת אירוע חירום, התשפ"ג-2023</t>
  </si>
  <si>
    <t xml:space="preserve"> (פ/1475/25)</t>
  </si>
  <si>
    <t xml:space="preserve">הצעת חוק נתוני אשראי (תיקון - קיצור תקופת שמירת הנתונים במאגר נתוני אשראי), התשפ"ג-2023</t>
  </si>
  <si>
    <t xml:space="preserve"> (פ/1474/25)</t>
  </si>
  <si>
    <t xml:space="preserve"> (פ/1473/25)</t>
  </si>
  <si>
    <t xml:space="preserve"> (פ/1472/25)</t>
  </si>
  <si>
    <t xml:space="preserve">הצעת חוק הבנקאות (רישוי) (תיקון - הפרדה בין בנקים), התשפ"ג-2023</t>
  </si>
  <si>
    <t xml:space="preserve"> (פ/1471/25)</t>
  </si>
  <si>
    <t xml:space="preserve">הצעת חוק הגבלת עמלת פירעון מוקדם ואיחוד הליכים של הלוואה לדיור (תיקוני חקיקה), התשפ"ג-2023</t>
  </si>
  <si>
    <t xml:space="preserve"> (פ/1470/25)</t>
  </si>
  <si>
    <t xml:space="preserve">הצעת חוק סדר הדין הפלילי (תיקון - ביטול פסק דין שניתן בהיעדרו של הנאשם), התשפ"ג-2023</t>
  </si>
  <si>
    <t xml:space="preserve"> (פ/1468/25)</t>
  </si>
  <si>
    <t xml:space="preserve"> (פ/1466/25)</t>
  </si>
  <si>
    <t xml:space="preserve"> (פ/1465/25)</t>
  </si>
  <si>
    <t xml:space="preserve">הצעת חוק להגדלת שיעור ההשתתפות בכוח העבודה ולצמצום פערים חברתיים (מענק עבודה) (תיקון - אוטומציה בקבלת מענק העבודה), התשפ"ג-2023</t>
  </si>
  <si>
    <t xml:space="preserve"> (פ/1463/25)</t>
  </si>
  <si>
    <t xml:space="preserve">הצעת חוק לימוד חובה (תיקון - הגבלת מספר התלמידים בגן חובה ובבית ספר יסודי), התשפ"ג-2023</t>
  </si>
  <si>
    <t xml:space="preserve"> (פ/1462/25)</t>
  </si>
  <si>
    <t xml:space="preserve"> (פ/1461/25)</t>
  </si>
  <si>
    <t xml:space="preserve"> (פ/1460/25)</t>
  </si>
  <si>
    <t xml:space="preserve"> (פ/1459/25)</t>
  </si>
  <si>
    <t xml:space="preserve"> (פ/1457/25)</t>
  </si>
  <si>
    <t xml:space="preserve">הצעת חוק לתיקון פקודת בריאות העם (הוספת מגנזיום למי השתייה), התשפ"ג-2023</t>
  </si>
  <si>
    <t xml:space="preserve"> (פ/1456/25)</t>
  </si>
  <si>
    <t xml:space="preserve">הצעת חוק לתיקון פקודת הראיות (התייחסות איש צוות רפואי שלא תשמש ראיה), התשפ"ג-2023</t>
  </si>
  <si>
    <t xml:space="preserve"> (פ/1455/25)</t>
  </si>
  <si>
    <t xml:space="preserve"> (פ/1454/25)</t>
  </si>
  <si>
    <t xml:space="preserve">הצעת חוק הרשויות המקומיות (יועצת לענייני מעמד האישה) (תיקון - תקציב ייעודי וייחוד הכהונה), התשפ"ג-2023</t>
  </si>
  <si>
    <t xml:space="preserve"> (פ/1453/25)</t>
  </si>
  <si>
    <t xml:space="preserve">הצעת חוק הבנקאות (שירות ללקוח) (תיקון - העברת משכנתה בין בנקים), התשפ"ג-2023</t>
  </si>
  <si>
    <t xml:space="preserve"> (פ/1452/25)</t>
  </si>
  <si>
    <t xml:space="preserve">הצעת חוק הבנקאות (שירות ללקוח) (תיקון - הפחתת יוקר תשלומי הלוואה לדיור), התשפ"ג-2023</t>
  </si>
  <si>
    <t xml:space="preserve"> (פ/1451/25)</t>
  </si>
  <si>
    <t xml:space="preserve">הצעת חוק עסקאות גופים ציבוריים (תיקון - איסור על התקשרות קבלנית להעסקת עובדים), התשפ"ג-2023</t>
  </si>
  <si>
    <t xml:space="preserve"> (פ/1450/25)</t>
  </si>
  <si>
    <t xml:space="preserve"> (פ/1449/25)</t>
  </si>
  <si>
    <t xml:space="preserve">הצעת חוק ההתגוננות האזרחית (תיקון - התקן בטיחותי על דלת מרחב מוגן דירתי), התשפ"ג-2023</t>
  </si>
  <si>
    <t xml:space="preserve"> (פ/1448/25)</t>
  </si>
  <si>
    <t xml:space="preserve"> (פ/1447/25)</t>
  </si>
  <si>
    <t xml:space="preserve">הצעת חוק חובת המכרזים (תיקון - עסק קולט עלייה), התשפ"ג-2023</t>
  </si>
  <si>
    <t xml:space="preserve"> (פ/1445/25)</t>
  </si>
  <si>
    <t xml:space="preserve"> (פ/1444/25)</t>
  </si>
  <si>
    <t xml:space="preserve"> (פ/1443/25)</t>
  </si>
  <si>
    <t xml:space="preserve">הצעת חוק גיל פרישה (תיקון - הקדמת גיל הפרישה), התשפ"ג-2023</t>
  </si>
  <si>
    <t xml:space="preserve"> (פ/1442/25)</t>
  </si>
  <si>
    <t xml:space="preserve"> (פ/1441/25)</t>
  </si>
  <si>
    <t xml:space="preserve"> (פ/1440/25)</t>
  </si>
  <si>
    <t xml:space="preserve"> (פ/1439/25)</t>
  </si>
  <si>
    <t xml:space="preserve">הצעת חוק מידע גנטי (תיקון - עריכת בדיקה גנטית לאיתור בן משפחה שעלה בין השנים 1948 עד 1959), התשפ"ג-2023</t>
  </si>
  <si>
    <t xml:space="preserve"> (פ/1438/25)</t>
  </si>
  <si>
    <t xml:space="preserve">הצעת חוק הגנת הצרכן (תיקון - מתן שירות טלפוני על ידי בעל רישיון להפעלת קו שירות לאוטובוס), התשפ"ג-2023</t>
  </si>
  <si>
    <t xml:space="preserve"> (פ/1437/25)</t>
  </si>
  <si>
    <t xml:space="preserve">הצעת חוק תגמול לנושאי משרה בתאגידים פיננסיים (אישור מיוחד ואי-התרת הוצאה לצורכי מס בשל תגמול חריג) (תיקון - הרחבת התחולה על ספקים וקמעונאים גדולים), התשפ"ג-2023</t>
  </si>
  <si>
    <t xml:space="preserve"> (פ/1436/25)</t>
  </si>
  <si>
    <t xml:space="preserve">הצעת חוק הבטחת הכנסה (תיקון - זכאות להטבות הניתנות לזכאים לגמלת הבטחת הכנסה), התשפ"ג-2023</t>
  </si>
  <si>
    <t xml:space="preserve"> (פ/1434/25)</t>
  </si>
  <si>
    <t xml:space="preserve"> (פ/1432/25)</t>
  </si>
  <si>
    <t xml:space="preserve"> (פ/1430/25)</t>
  </si>
  <si>
    <t xml:space="preserve">הצעת חוק-יסוד: הפסקת חברות של חבר כנסת והעברת שר וראש ממשלה מכהונתם מחמת הפרת הבטחת בחירות (תיקוני חקיקה)</t>
  </si>
  <si>
    <t xml:space="preserve"> (פ/1429/25)</t>
  </si>
  <si>
    <t xml:space="preserve">הצעת חוק דמי מחלה (תיקון - תשלום דמי מחלה החל מהיום הראשון להיעדרות), התשפ"ג-2023</t>
  </si>
  <si>
    <t xml:space="preserve"> (פ/1428/25)</t>
  </si>
  <si>
    <t xml:space="preserve"> (פ/1427/25)</t>
  </si>
  <si>
    <t xml:space="preserve"> (פ/1426/25)</t>
  </si>
  <si>
    <t xml:space="preserve"> (פ/1425/25)</t>
  </si>
  <si>
    <t xml:space="preserve"> (פ/1423/25)</t>
  </si>
  <si>
    <t xml:space="preserve">הצעת חוק התכנון והבנייה (תיקון - ייצוג הולם לאוכלוסייה החרדית במועצה הארצית לתכנון ולבנייה), התשפ"ג-2023</t>
  </si>
  <si>
    <t xml:space="preserve"> (פ/1422/25)</t>
  </si>
  <si>
    <t xml:space="preserve"> (פ/1420/25)</t>
  </si>
  <si>
    <t xml:space="preserve">הצעת חוק הגנת השכר (תיקון - פטור מדמי טיפול מקצועי-ארגוני), התשפ"ג-2023</t>
  </si>
  <si>
    <t xml:space="preserve"> (פ/1419/25)</t>
  </si>
  <si>
    <t xml:space="preserve">הצעת חוק הפיקוח על שירותים פיננסיים (ביטוח) (תיקון - איסור הפליה במתן שירותי ביטוח), התשפ"ג-2023</t>
  </si>
  <si>
    <t xml:space="preserve"> (פ/1418/25)</t>
  </si>
  <si>
    <t xml:space="preserve"> (פ/1417/25)</t>
  </si>
  <si>
    <t xml:space="preserve">הצעת חוק משמר מקומי, התשפ"ג-2023</t>
  </si>
  <si>
    <t xml:space="preserve"> (פ/1415/25)</t>
  </si>
  <si>
    <t xml:space="preserve">הצעת חוק השבת זכויות במקרקעין שנשללו ביהודה ושומרון לפני קום המדינה, התשפ"ג-2023</t>
  </si>
  <si>
    <t xml:space="preserve"> (פ/1414/25)</t>
  </si>
  <si>
    <t xml:space="preserve"> (פ/1413/25)</t>
  </si>
  <si>
    <t xml:space="preserve"> (פ/1412/25)</t>
  </si>
  <si>
    <t xml:space="preserve"> (פ/1411/25)</t>
  </si>
  <si>
    <t xml:space="preserve">הצעת חוק להפחתת השימוש ברכב פרטי ולעידוד שימוש בתחבורה הציבורית, התשפ"ג-2023 </t>
  </si>
  <si>
    <t xml:space="preserve"> (פ/1410/25)</t>
  </si>
  <si>
    <t xml:space="preserve">הצעת חוק-יסוד: הממשלה (תיקון - הטלת התפקיד להרכיב ממשלה והגבלת מנגנון התפזרות הכנסת)</t>
  </si>
  <si>
    <t xml:space="preserve"> (פ/1408/25)</t>
  </si>
  <si>
    <t xml:space="preserve"> (פ/1407/25)</t>
  </si>
  <si>
    <t xml:space="preserve">הצעת חוק אתרי התיישבות בהליכי הסדרה, התשפ"ג-2023</t>
  </si>
  <si>
    <t xml:space="preserve"> (פ/1406/25)</t>
  </si>
  <si>
    <t xml:space="preserve">הצעת חוק איסור הונאה בכשרות (תיקון - ביטול רפורמת הכשרות), התשפ"ג-2023</t>
  </si>
  <si>
    <t xml:space="preserve"> (פ/1405/25)</t>
  </si>
  <si>
    <t xml:space="preserve"> (פ/1404/25)</t>
  </si>
  <si>
    <t xml:space="preserve">הצעת חוק חובת המכרזים (תיקון - חובה לשקול שיקולי הגנת צרכן במכרזים), התשפ"ג-2023</t>
  </si>
  <si>
    <t xml:space="preserve"> (פ/1403/25)</t>
  </si>
  <si>
    <t xml:space="preserve">הצעת חוק דמי מחלה (היעדרות בשל מחלת ילד) (תיקון - ימי מחלה נוספים בשל מחלת ילד), התשפ"ג-2023</t>
  </si>
  <si>
    <t xml:space="preserve"> (פ/1402/25)</t>
  </si>
  <si>
    <t xml:space="preserve">הצעת חוק-יסוד: קיצור תקופת הקמת ממשלה חדשה (תיקוני חקיקה)</t>
  </si>
  <si>
    <t xml:space="preserve"> (פ/1401/25)</t>
  </si>
  <si>
    <t xml:space="preserve"> (פ/1400/25)</t>
  </si>
  <si>
    <t xml:space="preserve"> (פ/1399/25)</t>
  </si>
  <si>
    <t xml:space="preserve">הצעת חוק ההוצאה לפועל (תיקון - קביעת תעריף מקסימלי לשכר טרחת עורך דין), התשפ"ג-2023 </t>
  </si>
  <si>
    <t xml:space="preserve"> (פ/1396/25)</t>
  </si>
  <si>
    <t xml:space="preserve">הצעת חוק החברה למתנ"סים, התשפ"ג-2023</t>
  </si>
  <si>
    <t xml:space="preserve"> (פ/1394/25)</t>
  </si>
  <si>
    <t xml:space="preserve">הצעת חוק אורח חיים בריא, התשפ"ג-2023</t>
  </si>
  <si>
    <t xml:space="preserve"> (פ/1393/25)</t>
  </si>
  <si>
    <t xml:space="preserve">הצעת חוק זכויות הדייר בדיור הציבורי (תיקון - הארכת תוקף זכאות לדירה הציבורית), התשפ"ג-2023</t>
  </si>
  <si>
    <t xml:space="preserve"> (פ/1392/25)</t>
  </si>
  <si>
    <t xml:space="preserve">הצעת חוק לימודי הכנה למבחנים פסיכומטריים לתלמידים, התשפ"ג-2023‏ </t>
  </si>
  <si>
    <t xml:space="preserve"> (פ/1391/25)</t>
  </si>
  <si>
    <t xml:space="preserve">הצעת חוק חג המימונה, התשפ"ג-2023</t>
  </si>
  <si>
    <t xml:space="preserve"> (פ/1390/25)</t>
  </si>
  <si>
    <t xml:space="preserve"> (פ/1389/25)</t>
  </si>
  <si>
    <t xml:space="preserve">הצעת חוק הבחירות (דרכי תעמולה) (תיקון - איסור על תעמולה גזענית), התשפ"ג-2023</t>
  </si>
  <si>
    <t xml:space="preserve"> (פ/1388/25)</t>
  </si>
  <si>
    <t xml:space="preserve"> (פ/1387/25)</t>
  </si>
  <si>
    <t xml:space="preserve">הצעת חוק חינוך פיננסי, התשפ"ג-2023</t>
  </si>
  <si>
    <t xml:space="preserve"> (פ/1386/25)</t>
  </si>
  <si>
    <t xml:space="preserve">הצעת חוק העונשין (תיקון - תקיפת נהג אוטובוס), התשפ"ג-2023</t>
  </si>
  <si>
    <t xml:space="preserve"> (פ/1385/25)</t>
  </si>
  <si>
    <t xml:space="preserve"> (פ/1383/25)</t>
  </si>
  <si>
    <t xml:space="preserve"> (פ/1382/25)</t>
  </si>
  <si>
    <t xml:space="preserve">הצעת חוק משק החשמל (תיקון - תשלומי חשמל מופחתים לבני שמונים שנים ומעלה), התשפ"ג-2023</t>
  </si>
  <si>
    <t xml:space="preserve"> (פ/1381/25)</t>
  </si>
  <si>
    <t xml:space="preserve"> (פ/1379/25)</t>
  </si>
  <si>
    <t xml:space="preserve"> (פ/1378/25)</t>
  </si>
  <si>
    <t xml:space="preserve"> (פ/1377/25)</t>
  </si>
  <si>
    <t xml:space="preserve"> (פ/1376/25)</t>
  </si>
  <si>
    <t xml:space="preserve">הצעת חוק הבחירות לכנסת (תיקון - זכות הצבעה לאזרחים מחוץ לישראל), התשפ"ג-2023</t>
  </si>
  <si>
    <t xml:space="preserve"> (פ/1375/25)</t>
  </si>
  <si>
    <t xml:space="preserve">הצעת חוק הגנת הצרכן (תיקון - חובת הצגת מחיר מומלץ של ירקות), התשפ"ג-2023</t>
  </si>
  <si>
    <t xml:space="preserve"> (פ/1374/25)</t>
  </si>
  <si>
    <t xml:space="preserve"> (פ/1373/25)</t>
  </si>
  <si>
    <t xml:space="preserve"> (פ/1372/25)</t>
  </si>
  <si>
    <t xml:space="preserve"> (פ/1371/25)</t>
  </si>
  <si>
    <t xml:space="preserve">הצעת חוק-יסוד: הכנסת (תיקון - הפסקת חברות בכנסת של שר או סגן שר)</t>
  </si>
  <si>
    <t xml:space="preserve"> (פ/1370/25)</t>
  </si>
  <si>
    <t xml:space="preserve"> (פ/1368/25)</t>
  </si>
  <si>
    <t xml:space="preserve"> (פ/1367/25)</t>
  </si>
  <si>
    <t xml:space="preserve"> (פ/1366/25)</t>
  </si>
  <si>
    <t xml:space="preserve"> (פ/1364/25)</t>
  </si>
  <si>
    <t xml:space="preserve">הצעת חוק-יסוד: הממשלה (תיקון - הגבלת תקופת כהונה של ראש הממשלה)</t>
  </si>
  <si>
    <t xml:space="preserve"> (פ/1363/25)</t>
  </si>
  <si>
    <t xml:space="preserve"> (פ/1362/25)</t>
  </si>
  <si>
    <t xml:space="preserve"> (פ/1361/25)</t>
  </si>
  <si>
    <t xml:space="preserve"> (פ/1360/25)</t>
  </si>
  <si>
    <t xml:space="preserve"> (פ/1359/25)</t>
  </si>
  <si>
    <t xml:space="preserve"> (פ/1358/25)</t>
  </si>
  <si>
    <t xml:space="preserve"> (פ/1357/25)</t>
  </si>
  <si>
    <t xml:space="preserve">הצעת חוק כלי הירייה (תיקון - זכאות לרישיון כלי ירייה למי ששירת כלוחם ושוטר), התשפ"ג-2023</t>
  </si>
  <si>
    <t xml:space="preserve"> (פ/1356/25)</t>
  </si>
  <si>
    <t xml:space="preserve"> (פ/1355/25)</t>
  </si>
  <si>
    <t xml:space="preserve">הצעת חוק הדיינים (תיקון - כשירות הרבנים הראשיים לישראל), התשפ"ג-2023</t>
  </si>
  <si>
    <t xml:space="preserve"> (פ/1354/25)</t>
  </si>
  <si>
    <t xml:space="preserve">הצעת חוק האזרחות והכניסה לישראל (הוראת שעה) (תיקון - ביטול החוק), התשפ"ג-2023</t>
  </si>
  <si>
    <t xml:space="preserve"> (פ/1353/25)</t>
  </si>
  <si>
    <t xml:space="preserve">הצעת חוק הביטוח הלאומי (תיקון - העלאת דמי לידה), התשפ"ג-2023</t>
  </si>
  <si>
    <t xml:space="preserve"> (פ/1352/25)</t>
  </si>
  <si>
    <t xml:space="preserve">הצעת חוק הדיור הציבורי (זכויות רכישה) (תיקון - העלאת המחיר הבסיסי לחישוב מענק), התשפ"ג-2023</t>
  </si>
  <si>
    <t xml:space="preserve"> (פ/1351/25)</t>
  </si>
  <si>
    <t xml:space="preserve">הצעת חוק חינוך ממלכתי (תיקון - חובת לימוד ערבית), התשפ"ג-2023</t>
  </si>
  <si>
    <t xml:space="preserve"> (פ/1350/25)</t>
  </si>
  <si>
    <t xml:space="preserve">הצעת חוק שלילת תשלומים מחבר הכנסת ומחבר הכנסת לשעבר בשל עבירה (תיקון - חשוד בעבירת ביטחון), התשפ"ג-2023</t>
  </si>
  <si>
    <t xml:space="preserve"> (פ/1348/25)</t>
  </si>
  <si>
    <t xml:space="preserve"> (פ/1347/25)</t>
  </si>
  <si>
    <t xml:space="preserve">הצעת חוק עבודת נשים (תיקון - חישוב ימי מחלה בזמן היריון), התשפ"ג-2023</t>
  </si>
  <si>
    <t xml:space="preserve"> (פ/1346/25)</t>
  </si>
  <si>
    <t xml:space="preserve"> (פ/1345/25)</t>
  </si>
  <si>
    <t xml:space="preserve">הצעת חוק הנחה לחיילי צה"ל לוחמים בתחבורה ציבורית, התשפ"ג-2023</t>
  </si>
  <si>
    <t xml:space="preserve"> (פ/1344/25)</t>
  </si>
  <si>
    <t xml:space="preserve">הצעת חוק הגנת הפרטיות (תיקון - איסור פרסום הקלטה של אדם), התשפ"ג-2023</t>
  </si>
  <si>
    <t xml:space="preserve"> (פ/1343/25)</t>
  </si>
  <si>
    <t xml:space="preserve"> (פ/1342/25)</t>
  </si>
  <si>
    <t xml:space="preserve">הצעת חוק שפות רשמיות, התשפ"ג-2023</t>
  </si>
  <si>
    <t xml:space="preserve"> (פ/1341/25)</t>
  </si>
  <si>
    <t xml:space="preserve">הצעת חוק עבודת נשים (תיקון - הגנה על עובדת מפני הליכי פיטורים), התשפ"ג-2023</t>
  </si>
  <si>
    <t xml:space="preserve"> (פ/1338/25)</t>
  </si>
  <si>
    <t xml:space="preserve">הצעת חוק עבודת נשים (תיקון - הוספת חלקו של חודש במניין), התשפ"ג-2023</t>
  </si>
  <si>
    <t xml:space="preserve"> (פ/1337/25)</t>
  </si>
  <si>
    <t xml:space="preserve"> (פ/1336/25)</t>
  </si>
  <si>
    <t xml:space="preserve"> (פ/1335/25)</t>
  </si>
  <si>
    <t xml:space="preserve">הצעת חוק המרכז לתולדות החברה הערבית, התשפ"ג-2023</t>
  </si>
  <si>
    <t xml:space="preserve"> (פ/1334/25)</t>
  </si>
  <si>
    <t xml:space="preserve">הצעת חוק נכי רדיפות הנאצים (תיקון - הכנסה נוספת), התשפ"ג-2023</t>
  </si>
  <si>
    <t xml:space="preserve"> (פ/1333/25)</t>
  </si>
  <si>
    <t xml:space="preserve">הצעת חוק השפה הערבית שפה רשמית, התשפ"ג-2023</t>
  </si>
  <si>
    <t xml:space="preserve"> (פ/1332/25)</t>
  </si>
  <si>
    <t xml:space="preserve"> (פ/1331/25)</t>
  </si>
  <si>
    <t xml:space="preserve">הצעת חוק הביטוח הלאומי (תיקון - זכאות לדמי אבטלה מגיל שמונה-עשרה וחצי), התשפ"ג-2023</t>
  </si>
  <si>
    <t xml:space="preserve"> (פ/1330/25)</t>
  </si>
  <si>
    <t xml:space="preserve">הצעת חוק השפה הערבית שפה רשמית (מתן שירותים בשפה הערבית), התשפ"ג-2023</t>
  </si>
  <si>
    <t xml:space="preserve"> (פ/1329/25)</t>
  </si>
  <si>
    <t xml:space="preserve"> (פ/1328/25)</t>
  </si>
  <si>
    <t xml:space="preserve"> (פ/1327/25)</t>
  </si>
  <si>
    <t xml:space="preserve">הצעת חוק תוכנית לחינוך גופני והקמת מתקני ספורט במוסדות חינוך (תיקוני חקיקה), התשפ"ג-2023 </t>
  </si>
  <si>
    <t xml:space="preserve"> (פ/1326/25)</t>
  </si>
  <si>
    <t xml:space="preserve"> (פ/1325/25)</t>
  </si>
  <si>
    <t xml:space="preserve">הצעת חוק התכנון והבנייה (תיקון - תחולת סעיף 157א - חיבור לחשמל, למים או לטלפון), התשפ"ג-2023</t>
  </si>
  <si>
    <t xml:space="preserve"> (פ/1324/25)</t>
  </si>
  <si>
    <t xml:space="preserve">הצעת חוק הרשויות המקומיות (פטור חיילים, נפגעי מלחמה ושוטרים מארנונה) (תיקון - הנחה בארנונה ליתומי צה"ל), התשפ"ג-2023</t>
  </si>
  <si>
    <t xml:space="preserve"> (פ/1323/25)</t>
  </si>
  <si>
    <t xml:space="preserve">הצעת חוק הבנקאות (שירות ללקוח) (תיקון - שיעור הריבית על הלוואה לדיור), התשפ"ג-2023</t>
  </si>
  <si>
    <t xml:space="preserve"> (פ/1322/25)</t>
  </si>
  <si>
    <t xml:space="preserve">02.01.2023</t>
  </si>
  <si>
    <t xml:space="preserve"> (פ/1321/25)</t>
  </si>
  <si>
    <t xml:space="preserve"> (פ/1320/25)</t>
  </si>
  <si>
    <t xml:space="preserve">הצעת חוק הגנה על עובדים בשעת חירום (תיקון - אובדן ימי עבודה בשל מצב מיוחד בעורף), התשפ"ג-2023</t>
  </si>
  <si>
    <t xml:space="preserve"> (פ/1319/25)</t>
  </si>
  <si>
    <t xml:space="preserve"> (פ/1318/25)</t>
  </si>
  <si>
    <t xml:space="preserve">הצעת חוק הגנת הצרכן (תיקון - אישור להמשך מתן שירות בעסקה מתמשכת), התשפ"ג-2023</t>
  </si>
  <si>
    <t xml:space="preserve"> (פ/1317/25)</t>
  </si>
  <si>
    <t xml:space="preserve"> (פ/1316/25)</t>
  </si>
  <si>
    <t xml:space="preserve">הצעת חוק לעידוד השקעות הון (תיקון - עידוד ענף היהלומים) (הוראת שעה), התשפ"ג-2023</t>
  </si>
  <si>
    <t xml:space="preserve"> (פ/1315/25)</t>
  </si>
  <si>
    <t xml:space="preserve">הצעת חוק חובת המכרזים (תיקון - עידוד עסקים להעסקת בני החברה החרדית והערבית), התשפ"ג-2023</t>
  </si>
  <si>
    <t xml:space="preserve"> (פ/1314/25)</t>
  </si>
  <si>
    <t xml:space="preserve"> (פ/1312/25)</t>
  </si>
  <si>
    <t xml:space="preserve">הצעת חוק הביטוח הלאומי (תיקון - זכאות לדמי אבטלה בחמשת הימים הראשונים), התשפ"ג-2023</t>
  </si>
  <si>
    <t xml:space="preserve"> (פ/1311/25)</t>
  </si>
  <si>
    <t xml:space="preserve"> (פ/1310/25)</t>
  </si>
  <si>
    <t xml:space="preserve">הצעת חוק תמיכה בביטחון תזונתי אצל תינוקות, התשפ"ג-2023</t>
  </si>
  <si>
    <t xml:space="preserve"> (פ/1309/25)</t>
  </si>
  <si>
    <t xml:space="preserve"> (פ/1308/25)</t>
  </si>
  <si>
    <t xml:space="preserve"> (פ/1307/25)</t>
  </si>
  <si>
    <t xml:space="preserve">הצעת חוק הסכמים קיבוציים (תיקון - שינוי מעסיקים), התשפ"ג-2023</t>
  </si>
  <si>
    <t xml:space="preserve"> (פ/1306/25)</t>
  </si>
  <si>
    <t xml:space="preserve">הצעת חוק לתיקון פקודת מס הכנסה (פטור למוסד ציבור על הכנסה מדיבידנד מחברת בת), התשפ"ג-2023</t>
  </si>
  <si>
    <t xml:space="preserve"> (פ/1305/25)</t>
  </si>
  <si>
    <t xml:space="preserve"> (פ/1304/25)</t>
  </si>
  <si>
    <t xml:space="preserve">הצעת חוק הנצחת זכרם של קורבנות הטבח בכפר קאסם, התשפ"ג-2023</t>
  </si>
  <si>
    <t xml:space="preserve"> (פ/1303/25)</t>
  </si>
  <si>
    <t xml:space="preserve">הצעת חוק ביטוח בריאות ממלכתי (תיקון - קביעת זמני המתנה ומרחקי נסיעה מרביים לקבלת טיפול רפואי), התשפ"ג-2023</t>
  </si>
  <si>
    <t xml:space="preserve"> (פ/1302/25)</t>
  </si>
  <si>
    <t xml:space="preserve">הצעת חוק הסיוע המשפטי (תיקון - סיוע משפטי לנפגעי עבירות), התשפ"ג-2023</t>
  </si>
  <si>
    <t xml:space="preserve"> (פ/1301/25)</t>
  </si>
  <si>
    <t xml:space="preserve"> (פ/1300/25)</t>
  </si>
  <si>
    <t xml:space="preserve">הצעת חוק חינוך ממלכתי (תיקון - מימון מוסדות חינוך מוכרים לא רשמיים), התשפ"ג-2023</t>
  </si>
  <si>
    <t xml:space="preserve"> (פ/1296/25)</t>
  </si>
  <si>
    <t xml:space="preserve">הצעת חוק לתיקון פקודת הרופאים (הוראות לעניין בחינות לסטז'רים), התשפ"ג-2023</t>
  </si>
  <si>
    <t xml:space="preserve"> (פ/1295/25)</t>
  </si>
  <si>
    <t xml:space="preserve">הצעת חוק לתיקון פקודת הראיות (הסרת חיסיון), התשפ"ג-2023</t>
  </si>
  <si>
    <t xml:space="preserve"> (פ/1293/25)</t>
  </si>
  <si>
    <t xml:space="preserve"> (פ/1292/25)</t>
  </si>
  <si>
    <t xml:space="preserve"> (פ/1291/25)</t>
  </si>
  <si>
    <t xml:space="preserve">הצעת חוק לתיקון פקודת העיריות (ייצוג הולם לאוכלוסייה הערבית), התשפ"ג-2023</t>
  </si>
  <si>
    <t xml:space="preserve"> (פ/1290/25)</t>
  </si>
  <si>
    <t xml:space="preserve">הצעת חוק הקמת רשות לפיתוח מקומות קדושים למוסלמים, התשפ"ג-2023</t>
  </si>
  <si>
    <t xml:space="preserve"> (פ/1288/25)</t>
  </si>
  <si>
    <t xml:space="preserve"> (פ/1287/25)</t>
  </si>
  <si>
    <t xml:space="preserve">הצעת חוק לתיקון פקודת מס הכנסה (נקודת זיכוי לסטודנטים ולהוריהם), התשפ"ג-2023</t>
  </si>
  <si>
    <t xml:space="preserve"> (פ/1286/25)</t>
  </si>
  <si>
    <t xml:space="preserve"> (פ/1285/25)</t>
  </si>
  <si>
    <t xml:space="preserve"> (פ/1284/25)</t>
  </si>
  <si>
    <t xml:space="preserve"> (פ/1283/25)</t>
  </si>
  <si>
    <t xml:space="preserve"> (פ/1282/25)</t>
  </si>
  <si>
    <t xml:space="preserve"> (פ/1281/25)</t>
  </si>
  <si>
    <t xml:space="preserve">הצעת חוק מיסוי מקרקעין (שבח ורכישה) (תיקון - מדרגות המס על דירה יחידה ועל בניין להשכרה ובניין לשכירות מוסדית), התשפ''ג-2023</t>
  </si>
  <si>
    <t xml:space="preserve"> (פ/1279/25)</t>
  </si>
  <si>
    <t xml:space="preserve"> (פ/1277/25)</t>
  </si>
  <si>
    <t xml:space="preserve"> (פ/1276/25)</t>
  </si>
  <si>
    <t xml:space="preserve">הצעת חוק זכויות הסטודנט (תיקון - קורס דיאלוג רב-תרבותי), התשפ"ג-2023</t>
  </si>
  <si>
    <t xml:space="preserve"> (פ/1275/25)</t>
  </si>
  <si>
    <t xml:space="preserve">הצעת חוק-יסוד: שוויון ושותפות אזרחית מלאה</t>
  </si>
  <si>
    <t xml:space="preserve"> (פ/1274/25)</t>
  </si>
  <si>
    <t xml:space="preserve">הצעת חוק איסור שימוש בסוסים לשם פיזור התקהלויות, התשפ"ג-2023</t>
  </si>
  <si>
    <t xml:space="preserve"> (פ/1273/25)</t>
  </si>
  <si>
    <t xml:space="preserve">הצעת חוק המועצה להשכלה גבוהה (תיקון - ייצוג הולם), התשפ"ג-2023</t>
  </si>
  <si>
    <t xml:space="preserve"> (פ/1272/25)</t>
  </si>
  <si>
    <t xml:space="preserve">הצעת חוק יסודות התקציב (תיקון - תאגיד בריאות המפעיל מעון יום שיקומי), התשפ"ג-2023</t>
  </si>
  <si>
    <t xml:space="preserve"> (פ/1271/25)</t>
  </si>
  <si>
    <t xml:space="preserve"> (פ/1270/25)</t>
  </si>
  <si>
    <t xml:space="preserve"> (פ/1269/25)</t>
  </si>
  <si>
    <t xml:space="preserve"> (פ/1268/25)</t>
  </si>
  <si>
    <t xml:space="preserve">הצעת חוק העונשין (תיקון - הכפלת ענישה בשל פגיעה ברגשי דת ומסורת), התשפ"ג-2023</t>
  </si>
  <si>
    <t xml:space="preserve"> (פ/1266/25)</t>
  </si>
  <si>
    <t xml:space="preserve">הצעת חוק חסינות חיילי צה"ל באירועים מבצעיים, התשפ"ג-2023</t>
  </si>
  <si>
    <t xml:space="preserve"> (פ/1265/25)</t>
  </si>
  <si>
    <t xml:space="preserve">הצעת חוק הסיוע המשפטי (תיקון - הוצאות מומחים), התשפ"ג-2023</t>
  </si>
  <si>
    <t xml:space="preserve"> (פ/1264/25)</t>
  </si>
  <si>
    <t xml:space="preserve">הצעת חוק המועצה להשכלה גבוהה (תיקון - איסור דרישת בחינות כניסה וציון פסיכומטרי), התשפ"ג-2023</t>
  </si>
  <si>
    <t xml:space="preserve"> (פ/1263/25)</t>
  </si>
  <si>
    <t xml:space="preserve">הצעת חוק להבטחת פיצוי לתושבי גבעת עמל, התשפ"ג-2023</t>
  </si>
  <si>
    <t xml:space="preserve"> (פ/1262/25)</t>
  </si>
  <si>
    <t xml:space="preserve"> (פ/1261/25)</t>
  </si>
  <si>
    <t xml:space="preserve">הצעת חוק זכויות הסטודנט (תיקון - התאמות לסטודנטית לאחר לידה), התשפ"ג-2023</t>
  </si>
  <si>
    <t xml:space="preserve"> (פ/1260/25)</t>
  </si>
  <si>
    <t xml:space="preserve">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התשפ"ג-2023</t>
  </si>
  <si>
    <t xml:space="preserve"> (פ/1259/25)</t>
  </si>
  <si>
    <t xml:space="preserve">הצעת חוק הסדרים במשק המדינה (תיקוני חקיקה להשגת יעדי התקציב) (תיקון - פטור מארנונה לנשים ששהו במקלט לנשים מוכות), התשפ"ג-2023</t>
  </si>
  <si>
    <t xml:space="preserve"> (פ/1258/25)</t>
  </si>
  <si>
    <t xml:space="preserve">הצעת חוק לתיקון פקודת התעבורה (חובת התקנת לחצן מצוקה באוטובוס), התשפ"ג-2023</t>
  </si>
  <si>
    <t xml:space="preserve"> (פ/1257/25)</t>
  </si>
  <si>
    <t xml:space="preserve"> (פ/1256/25)</t>
  </si>
  <si>
    <t xml:space="preserve"> (פ/1255/25)</t>
  </si>
  <si>
    <t xml:space="preserve">הצעת חוק צער בעלי חיים (הגנה על בעלי חיים) (תיקון - ביטול כלובים בתעשיית הביצים), התשפ"ג-2023</t>
  </si>
  <si>
    <t xml:space="preserve"> (פ/1254/25)</t>
  </si>
  <si>
    <t xml:space="preserve">הצעת חוק רמת הגולן (תיקון - ביטול החוק), התשפ"ג-2023</t>
  </si>
  <si>
    <t xml:space="preserve"> (פ/1253/25)</t>
  </si>
  <si>
    <t xml:space="preserve">הצעת חוק הביטוח הלאומי (תיקון - התאמת קצבת הסיעוד להעלאת שכר המינימום), התשפ"ג-2023</t>
  </si>
  <si>
    <t xml:space="preserve"> (פ/1252/25)</t>
  </si>
  <si>
    <t xml:space="preserve"> (פ/1251/25)</t>
  </si>
  <si>
    <t xml:space="preserve">הצעת חוק קביעת אופן ההעסקה של מטפלות במשפחתונים המפוקחים על ידי משרד הכלכלה והתעשייה, התשפ"ג-2023</t>
  </si>
  <si>
    <t xml:space="preserve"> (פ/1250/25)</t>
  </si>
  <si>
    <t xml:space="preserve">הצעת חוק ניירות ערך (תיקון - חובת דיווח על תמיכות סביבתיות), התשפ״ג-2023</t>
  </si>
  <si>
    <t xml:space="preserve"> (פ/1249/25)</t>
  </si>
  <si>
    <t xml:space="preserve">הצעת חוק זכויות סוציאליות לנשים נפגעות אלימות (תיקוני חקיקה), התשפ"ג-2023</t>
  </si>
  <si>
    <t xml:space="preserve"> (פ/1248/25)</t>
  </si>
  <si>
    <t xml:space="preserve">הצעת חוק למניעת אלימות במשפחה (תיקון - מניעת אלימות כלכלית), התשפ"ג-2023</t>
  </si>
  <si>
    <t xml:space="preserve"> (פ/1247/25)</t>
  </si>
  <si>
    <t xml:space="preserve">הצעת חוק זכויות הדייר בדיור הציבורי (תיקון - זכות למגורים בדירה ציבורית לנשים ששהו במקלט לנשים מוכות), התשפ"ג-2023</t>
  </si>
  <si>
    <t xml:space="preserve"> (פ/1245/25)</t>
  </si>
  <si>
    <t xml:space="preserve">הצעת חוק יסודות התקציב (תיקון - הפחתת תקציב או תמיכה בשל פעילות נגד עקרונות המדינה של עובד או נושא משרה), התשפ"ג-2023</t>
  </si>
  <si>
    <t xml:space="preserve"> (פ/1243/25)</t>
  </si>
  <si>
    <t xml:space="preserve">הצעת חוק שידורי טלוויזיה (כתוביות ושפת סימנים) (תיקון - חובת ליווי בכתוביות תוכנית ותשדיר פרסומת), התשפ"ג-2023</t>
  </si>
  <si>
    <t xml:space="preserve"> (פ/1241/25)</t>
  </si>
  <si>
    <t xml:space="preserve">הצעת חוק הרשות לטיפול בנפגעי הלם קרב, התשפ"ג-2023</t>
  </si>
  <si>
    <t xml:space="preserve"> (פ/1240/25)</t>
  </si>
  <si>
    <t xml:space="preserve">הצעת חוק הביטוח הלאומי (תיקון - אי-שלילת זכאות לקצבת שאירים בשל הכנסה מפנסיה), התשפ"ג-2023</t>
  </si>
  <si>
    <t xml:space="preserve"> (פ/1238/25)</t>
  </si>
  <si>
    <t xml:space="preserve"> (פ/1237/25)</t>
  </si>
  <si>
    <t xml:space="preserve">הצעת חוק הכשרות המשפטית והאפוטרופסות (תיקון - תנאים להוצאת אדם מביתו בניגוד לרצונו), התשפ"ג-2023</t>
  </si>
  <si>
    <t xml:space="preserve"> (פ/1236/25)</t>
  </si>
  <si>
    <t xml:space="preserve">הצעת חוק איסור לשון הרע (תיקון - ביזוי אדם מחמת משקל), התשפ"ג-2023</t>
  </si>
  <si>
    <t xml:space="preserve"> (פ/1235/25)</t>
  </si>
  <si>
    <t xml:space="preserve">הצעת חוק שעות עבודה ומנוחה (תיקון - סוף שבוע ארוך), התשפ"ג-2023</t>
  </si>
  <si>
    <t xml:space="preserve"> (פ/1234/25)</t>
  </si>
  <si>
    <t xml:space="preserve"> (פ/1233/25)</t>
  </si>
  <si>
    <t xml:space="preserve"> (פ/1232/25)</t>
  </si>
  <si>
    <t xml:space="preserve">הצעת חוק העונשין (תיקון - אלימות במשפחה בנוכחות קטין או חסר ישע), התשפ"ג-2023</t>
  </si>
  <si>
    <t xml:space="preserve"> (פ/1231/25)</t>
  </si>
  <si>
    <t xml:space="preserve"> (פ/1230/25)</t>
  </si>
  <si>
    <t xml:space="preserve"> (פ/1229/25)</t>
  </si>
  <si>
    <t xml:space="preserve"> (פ/1228/25)</t>
  </si>
  <si>
    <t xml:space="preserve"> (פ/1227/25)</t>
  </si>
  <si>
    <t xml:space="preserve">הצעת חוק הבטחת הכנסה (תיקון - גמלאות להורה עצמאי), התשפ"ג-2023</t>
  </si>
  <si>
    <t xml:space="preserve"> (פ/1226/25)</t>
  </si>
  <si>
    <t xml:space="preserve"> (פ/1225/25)</t>
  </si>
  <si>
    <t xml:space="preserve">הצעת חוק גוש מערב השומרון, התשפ"ג-2023</t>
  </si>
  <si>
    <t xml:space="preserve"> (פ/1224/25)</t>
  </si>
  <si>
    <t xml:space="preserve">הצעת חוק גוש לב השומרון, התשפ"ג-2023</t>
  </si>
  <si>
    <t xml:space="preserve"> (פ/1223/25)</t>
  </si>
  <si>
    <t xml:space="preserve">הצעת חוק גוש מרכז בנימין, התשפ"ג-2023</t>
  </si>
  <si>
    <t xml:space="preserve"> (פ/1222/25)</t>
  </si>
  <si>
    <t xml:space="preserve">הצעת חוק גוש מודיעין, התשפ"ג-2023</t>
  </si>
  <si>
    <t xml:space="preserve"> (פ/1221/25)</t>
  </si>
  <si>
    <t xml:space="preserve">הצעת חוק חינוך ממלכתי (תיקון - חובת לימוד עברית וערבית), התשפ"ג-2023</t>
  </si>
  <si>
    <t xml:space="preserve"> (פ/1220/25)</t>
  </si>
  <si>
    <t xml:space="preserve">הצעת חוק-יסוד: כבוד האדם וחירותו (תיקון - זכויות חברתיות)</t>
  </si>
  <si>
    <t xml:space="preserve"> (פ/1218/25)</t>
  </si>
  <si>
    <t xml:space="preserve">הצעת חוק להגדלת שיעור ההשתתפות בכוח העבודה ולצמצום פערים חברתיים (מענק עבודה) (תיקון - זכות במקרקעין בקבוצת רכישה), התשפ"ג-2023</t>
  </si>
  <si>
    <t xml:space="preserve"> (פ/1217/25)</t>
  </si>
  <si>
    <t xml:space="preserve">הצעת חוק מעלה אדומים, התשפ"ג-2023</t>
  </si>
  <si>
    <t xml:space="preserve"> (פ/1216/25)</t>
  </si>
  <si>
    <t xml:space="preserve">הצעת חוק ההוצאה לפועל (תיקון - הודעה לחייב בטרם הגשת בקשה לביצוע משכנתה), התשפ"ג-2023</t>
  </si>
  <si>
    <t xml:space="preserve"> (פ/1215/25)</t>
  </si>
  <si>
    <t xml:space="preserve">הצעת חוק פירוק החומה, התשפ"ג-2023</t>
  </si>
  <si>
    <t xml:space="preserve"> (פ/1214/25)</t>
  </si>
  <si>
    <t xml:space="preserve">הצעת חוק תמיכה במימון פעילות ארגון נכי צה"ל ובתי הלוחם ובארגון נפגעי פעולות האיבה, התשפ"ג-2023</t>
  </si>
  <si>
    <t xml:space="preserve"> (פ/1213/25)</t>
  </si>
  <si>
    <t xml:space="preserve"> (פ/1212/25)</t>
  </si>
  <si>
    <t xml:space="preserve">הצעת חוק שירותי הסעד (תיקון - איסור התניית מימון שירותי רווחה ברשויות מוחלשות), התשפ"ג-2023</t>
  </si>
  <si>
    <t xml:space="preserve"> (פ/1211/25)</t>
  </si>
  <si>
    <t xml:space="preserve">הצעת חוק הגנת הצרכן (תיקון - תיעוד שיחות בין צרכן לעוסק ומסירתו לצרכן), התשפ"ג-2023</t>
  </si>
  <si>
    <t xml:space="preserve"> (פ/1210/25)</t>
  </si>
  <si>
    <t xml:space="preserve">הצעת חוק לתיקון פקודת בריאות הציבור (מזון) (ציון מידע אודות רכיבים אלרגניים), התשפ"ג-2023</t>
  </si>
  <si>
    <t xml:space="preserve"> (פ/1209/25)</t>
  </si>
  <si>
    <t xml:space="preserve">הצעת חוק יחסי ממון בין בני זוג (תיקון - הפקעת זכות האיזון מבן זוג שהורשע ברצח בן הזוג השני), התשפ"ג-2023</t>
  </si>
  <si>
    <t xml:space="preserve"> (פ/1208/25)</t>
  </si>
  <si>
    <t xml:space="preserve">הצעת חוק ארוחה חמה לתלמיד בחופשה, התשפ"ג-2023</t>
  </si>
  <si>
    <t xml:space="preserve"> (פ/1207/25)</t>
  </si>
  <si>
    <t xml:space="preserve"> (פ/1206/25)</t>
  </si>
  <si>
    <t xml:space="preserve">הצעת חוק צער בעלי חיים (הגנה על בעלי חיים) (תיקון - איחוד סמכויות), התשפ"ג-2023</t>
  </si>
  <si>
    <t xml:space="preserve"> (פ/1205/25)</t>
  </si>
  <si>
    <t xml:space="preserve"> (פ/1204/25)</t>
  </si>
  <si>
    <t xml:space="preserve"> (פ/1203/25)</t>
  </si>
  <si>
    <t xml:space="preserve"> (פ/1202/25)</t>
  </si>
  <si>
    <t xml:space="preserve"> (פ/1201/25)</t>
  </si>
  <si>
    <t xml:space="preserve">הצעת חוק זכויות הסטודנט (תיקון - ייצוג הולם במוסדות אגודת הסטודנטים), התשפ"ג-2023</t>
  </si>
  <si>
    <t xml:space="preserve"> (פ/1200/25)</t>
  </si>
  <si>
    <t xml:space="preserve">הצעת חוק השכלה גבוהה חינם, התשפ"ג-2023</t>
  </si>
  <si>
    <t xml:space="preserve"> (פ/1199/25)</t>
  </si>
  <si>
    <t xml:space="preserve"> (פ/1198/25)</t>
  </si>
  <si>
    <t xml:space="preserve">הצעת חוק המים (תיקון - איסור הפסקת אספקת מים בשל חובות של רשויות מקומיות), התשפ"ג-2023</t>
  </si>
  <si>
    <t xml:space="preserve"> (פ/1197/25)</t>
  </si>
  <si>
    <t xml:space="preserve">הצעת חוק מחלות יתומות, התשפ"ג-2023</t>
  </si>
  <si>
    <t xml:space="preserve"> (פ/1196/25)</t>
  </si>
  <si>
    <t xml:space="preserve"> (פ/1195/25)</t>
  </si>
  <si>
    <t xml:space="preserve">הצעת חוק שכר לחיילים בשירות סדיר, התשפ"ג-2023</t>
  </si>
  <si>
    <t xml:space="preserve"> (פ/1194/25)</t>
  </si>
  <si>
    <t xml:space="preserve">הצעת חוק חברון ובנותיה, התשפ"ג-2023</t>
  </si>
  <si>
    <t xml:space="preserve"> (פ/1193/25)</t>
  </si>
  <si>
    <t xml:space="preserve"> (פ/1192/25)</t>
  </si>
  <si>
    <t xml:space="preserve"> (פ/1189/25)</t>
  </si>
  <si>
    <t xml:space="preserve"> (פ/1188/25)</t>
  </si>
  <si>
    <t xml:space="preserve">הצעת חוק כביש אגרה (כביש ארצי לישראל) (תיקון - הפחתת ריבית פיגורים על חוב חלוט), התשפ"ג-2023</t>
  </si>
  <si>
    <t xml:space="preserve"> (פ/1187/25)</t>
  </si>
  <si>
    <t xml:space="preserve">הצעת חוק העונשין (תיקון - הפחתת ריבית פיגורים בשל אי תשלום קנס), התשפ"ג-2023</t>
  </si>
  <si>
    <t xml:space="preserve"> (פ/1186/25)</t>
  </si>
  <si>
    <t xml:space="preserve"> (פ/1185/25)</t>
  </si>
  <si>
    <t xml:space="preserve">הצעת חוק-יסוד: הכנסת (תיקון - ביטול סעיפים 7א ו-42א(ג))</t>
  </si>
  <si>
    <t xml:space="preserve"> (פ/1184/25)</t>
  </si>
  <si>
    <t xml:space="preserve">הצעת חוק הגבלת השימוש ורישום פעולות בחלקי רכב משומשים (מניעת גניבות) (תיקון - ביטול האיסור על תיקון בשטחי האחריות האזרחית הפלסטינית), התשפ"ג-2023</t>
  </si>
  <si>
    <t xml:space="preserve"> (פ/1183/25)</t>
  </si>
  <si>
    <t xml:space="preserve">הצעת חוק הדיינים (תיקון - מינוי דיין עמית בבית הדין הרבני הגדול), התשפ"ג-2023</t>
  </si>
  <si>
    <t xml:space="preserve"> (פ/1182/25)</t>
  </si>
  <si>
    <t xml:space="preserve"> (פ/1181/25)</t>
  </si>
  <si>
    <t xml:space="preserve">הצעת חוק לתיקון פקודת בריאות העם (הגבלת תקופת כהונה של מנהלי מחלקות בבתי חולים ציבוריים), התשפ"ג-2023</t>
  </si>
  <si>
    <t xml:space="preserve"> (פ/1180/25)</t>
  </si>
  <si>
    <t xml:space="preserve"> (פ/1179/25)</t>
  </si>
  <si>
    <t xml:space="preserve"> (פ/1177/25)</t>
  </si>
  <si>
    <t xml:space="preserve"> (פ/1175/25)</t>
  </si>
  <si>
    <t xml:space="preserve"> (פ/1173/25)</t>
  </si>
  <si>
    <t xml:space="preserve">הצעת חוק הביטוח הלאומי (תיקון - זכאות להטבות לקטועי ידיים על פי הסכם הניידות), התשפ"ג-2023</t>
  </si>
  <si>
    <t xml:space="preserve"> (פ/1172/25)</t>
  </si>
  <si>
    <t xml:space="preserve">הצעת חוק להנצחה, מחקר ותיעוד של פרשת ילדי תימן, המזרח והבלקן, התשפ"ג-2023</t>
  </si>
  <si>
    <t xml:space="preserve"> (פ/1171/25)</t>
  </si>
  <si>
    <t xml:space="preserve">הצעת חוק משק החשמל (תיקון - פיצוי והחזר בעבור ניתוק ממושך מחשמל), התשפ"ג-2023</t>
  </si>
  <si>
    <t xml:space="preserve"> (פ/1170/25)</t>
  </si>
  <si>
    <t xml:space="preserve">הצעת חוק ההוצאה לפועל (תיקון - השהיית הליך ואי-נקיטתו כלפי שוהות במקלטים לנשים מוכות), התשפ"ג-2023</t>
  </si>
  <si>
    <t xml:space="preserve"> (פ/1169/25)</t>
  </si>
  <si>
    <t xml:space="preserve">הצעת חוק הרשויות המקומיות (בחירת ראש הרשות וסגניו וכהונתם) (תיקון - הגבלת כהונה שלישית לראש רשות), התשפ"ג-2023</t>
  </si>
  <si>
    <t xml:space="preserve"> (פ/1168/25)</t>
  </si>
  <si>
    <t xml:space="preserve"> (פ/1167/25)</t>
  </si>
  <si>
    <t xml:space="preserve">הצעת חוק פיצוי מפונים בני רשות, התשפ"ג-2023</t>
  </si>
  <si>
    <t xml:space="preserve"> (פ/1166/25)</t>
  </si>
  <si>
    <t xml:space="preserve">הצעת חוק לתיקון פקודת מס הכנסה (נקודות זיכוי לאפוטרופוס), התשפ"ג-2023</t>
  </si>
  <si>
    <t xml:space="preserve"> (פ/1165/25)</t>
  </si>
  <si>
    <t xml:space="preserve">הצעת חוק הכשרות המשפטית והאפוטרופסות (תיקון - מניעת פגיעה בקטין על ידי חשיפתו להורה אלים), התשפ"ג-2023</t>
  </si>
  <si>
    <t xml:space="preserve"> (פ/1164/25)</t>
  </si>
  <si>
    <t xml:space="preserve">הצעת חוק ביטוח בריאות ממלכתי (תיקון - זמינות שירותים רפואיים), התשפ"ג-2023</t>
  </si>
  <si>
    <t xml:space="preserve"> (פ/1163/25)</t>
  </si>
  <si>
    <t xml:space="preserve"> (פ/1162/25)</t>
  </si>
  <si>
    <t xml:space="preserve">הצעת חוק הביטוח הלאומי (תיקון - רכז תנועת נוער או ארגון נוער כעבודה מועדפת), התשפ"ג-2023</t>
  </si>
  <si>
    <t xml:space="preserve"> (פ/1161/25)</t>
  </si>
  <si>
    <t xml:space="preserve"> (פ/1160/25)</t>
  </si>
  <si>
    <t xml:space="preserve"> (פ/1159/25)</t>
  </si>
  <si>
    <t xml:space="preserve">הצעת חוק המועצה להשכלה גבוהה (תיקון - תנאי קבלה למוסד להשכלה גבוהה), התשפ"ג-2023</t>
  </si>
  <si>
    <t xml:space="preserve"> (פ/1158/25)</t>
  </si>
  <si>
    <t xml:space="preserve">הצעת חוק הירושה (תיקון - בני זוג), התשפ"ג-2023</t>
  </si>
  <si>
    <t xml:space="preserve"> (פ/1157/25)</t>
  </si>
  <si>
    <t xml:space="preserve"> (פ/1156/25)</t>
  </si>
  <si>
    <t xml:space="preserve"> (פ/1155/25)</t>
  </si>
  <si>
    <t xml:space="preserve">הצעת חוק שיקים ללא כיסוי (תיקון - מצב חירום בשל מגפה עולמית), התשפ"ג-2023</t>
  </si>
  <si>
    <t xml:space="preserve"> (פ/1154/25)</t>
  </si>
  <si>
    <t xml:space="preserve"> (פ/1153/25)</t>
  </si>
  <si>
    <t xml:space="preserve">הצעת חוק מיסוי רווחים ממשאבי טבע (תיקון - שקיפות הליכי השומה), התשפ"ג-2023</t>
  </si>
  <si>
    <t xml:space="preserve"> (פ/1152/25)</t>
  </si>
  <si>
    <t xml:space="preserve">הצעת חוק מס ערך מוסף (תיקון - דחיית תשלום בתקופת חירום) (הוראת שעה), התשפ"ג-2023</t>
  </si>
  <si>
    <t xml:space="preserve"> (פ/1151/25)</t>
  </si>
  <si>
    <t xml:space="preserve">הצעת חוק עבודת נשים (תיקון - תקופת לידה והורות לנשים בעבודה פיזית קשה), התשפ"ג-2023</t>
  </si>
  <si>
    <t xml:space="preserve"> (פ/1150/25)</t>
  </si>
  <si>
    <t xml:space="preserve">הצעת חוק הביטוח הלאומי (תיקון - אי הפליה בשל שירות צבאי או שירות לאומי), התשפ"ג-2023</t>
  </si>
  <si>
    <t xml:space="preserve"> (פ/1149/25)</t>
  </si>
  <si>
    <t xml:space="preserve"> (פ/1147/25)</t>
  </si>
  <si>
    <t xml:space="preserve">הצעת חוק כלי הירייה (תיקון - זכאות לרישיון כלי ירייה למי ששירת כלוחם וכשוטר), התשפ"ג-2023</t>
  </si>
  <si>
    <t xml:space="preserve"> (פ/1146/25)</t>
  </si>
  <si>
    <t xml:space="preserve"> (פ/1144/25)</t>
  </si>
  <si>
    <t xml:space="preserve">הצעת חוק הרשויות המקומיות (ממונה על בטיחות ילדים), התשפ"ג-2023</t>
  </si>
  <si>
    <t xml:space="preserve"> (פ/1143/25)</t>
  </si>
  <si>
    <t xml:space="preserve"> (פ/1142/25)</t>
  </si>
  <si>
    <t xml:space="preserve">הצעת חוק הרשויות המקומיות (בחירת ראש הרשות וסגניו וכהונתם) (תיקון - סגן ראש רשות ברשות מעורבת), התשפ"ג-2023</t>
  </si>
  <si>
    <t xml:space="preserve"> (פ/1141/25)</t>
  </si>
  <si>
    <t xml:space="preserve"> (פ/1140/25)</t>
  </si>
  <si>
    <t xml:space="preserve"> (פ/1139/25)</t>
  </si>
  <si>
    <t xml:space="preserve">הצעת חוק הגנה על הציבור מפני עבריינים שביצעו עבירות אלימות חמורות, התשפ"ג-2023</t>
  </si>
  <si>
    <t xml:space="preserve"> (פ/1138/25)</t>
  </si>
  <si>
    <t xml:space="preserve"> (פ/1137/25)</t>
  </si>
  <si>
    <t xml:space="preserve"> (פ/1136/25)</t>
  </si>
  <si>
    <t xml:space="preserve"> (פ/1135/25)</t>
  </si>
  <si>
    <t xml:space="preserve">הצעת חוק לתיקון פקודת מס הכנסה (פטור ממס על משיכה הונית מקופת גמל), התשפ"ג-2023</t>
  </si>
  <si>
    <t xml:space="preserve"> (פ/1134/25)</t>
  </si>
  <si>
    <t xml:space="preserve"> (פ/1132/25)</t>
  </si>
  <si>
    <t xml:space="preserve"> (פ/1131/25)</t>
  </si>
  <si>
    <t xml:space="preserve">הצעת חוק הסניגוריה הציבורית (תיקון - ליווי משפטי בשפת חשוד שהוא קטין), התשפ"ג-2023</t>
  </si>
  <si>
    <t xml:space="preserve"> (פ/1130/25)</t>
  </si>
  <si>
    <t xml:space="preserve"> (פ/1129/25)</t>
  </si>
  <si>
    <t xml:space="preserve">הצעת חוק העונשין (תיקון - הגנה עצמית בנסיבות של אלימות במשפחה), התשפ"ג-2023</t>
  </si>
  <si>
    <t xml:space="preserve"> (פ/1128/25)</t>
  </si>
  <si>
    <t xml:space="preserve">הצעת חוק אוויר נקי (תיקון - איסור שימוש בתנורי עץ, סולר ונפט), התשפ"ג-2023</t>
  </si>
  <si>
    <t xml:space="preserve"> (פ/1127/25)</t>
  </si>
  <si>
    <t xml:space="preserve">הצעת חוק הביטוח הלאומי (תיקון - קצבת לידה בשל לידת תאומים), התשפ"ג-2023</t>
  </si>
  <si>
    <t xml:space="preserve"> (פ/1126/25)</t>
  </si>
  <si>
    <t xml:space="preserve"> (פ/1125/25)</t>
  </si>
  <si>
    <t xml:space="preserve"> (פ/1124/25)</t>
  </si>
  <si>
    <t xml:space="preserve">הצעת חוק העונשין (תיקון - אחראי על קטין או חסר ישע לעניין חובת הדיווח), התשפ"ג-2023</t>
  </si>
  <si>
    <t xml:space="preserve"> (פ/1123/25)</t>
  </si>
  <si>
    <t xml:space="preserve"> (פ/1122/25)</t>
  </si>
  <si>
    <t xml:space="preserve">הצעת חוק למניעת הטרדה מינית (תיקון - נקיטת אמצעים למניעת הטרדה מינית במקומות בילוי), התשפ"ג-2023</t>
  </si>
  <si>
    <t xml:space="preserve"> (פ/1121/25)</t>
  </si>
  <si>
    <t xml:space="preserve">הצעת חוק צער בעלי חיים (הגנה על בעלי חיים) (תיקון - איסור קשירת כלבים), התשפ"ג-2023</t>
  </si>
  <si>
    <t xml:space="preserve"> (פ/1120/25)</t>
  </si>
  <si>
    <t xml:space="preserve">הצעת חוק הביטוח הלאומי (תיקון - הכרה בפגיעה מינית בעבודה כתאונת עבודה), התשפ"ג-2023</t>
  </si>
  <si>
    <t xml:space="preserve"> (פ/1119/25)</t>
  </si>
  <si>
    <t xml:space="preserve"> (פ/1116/25)</t>
  </si>
  <si>
    <t xml:space="preserve">הצעת חוק הפסקת שיטת ההעסקה הקבלנית, התשפ"ג-2023</t>
  </si>
  <si>
    <t xml:space="preserve"> (פ/1115/25)</t>
  </si>
  <si>
    <t xml:space="preserve">הצעת חוק הביטוח הלאומי (תיקון - הצמדת קצבת אזרח ותיק לשכר הממוצע במשק), התשפ"ג-2023</t>
  </si>
  <si>
    <t xml:space="preserve"> (פ/1114/25)</t>
  </si>
  <si>
    <t xml:space="preserve"> (פ/1113/25)</t>
  </si>
  <si>
    <t xml:space="preserve">הצעת חוק שירות המדינה (משמעת) (תיקון - הארכת תקופת ההתיישנות בהטרדות מיניות), התשפ"ג-2023</t>
  </si>
  <si>
    <t xml:space="preserve"> (פ/1112/25)</t>
  </si>
  <si>
    <t xml:space="preserve">הצעת חוק המדיניות הכלכלית לשנים 2011 ו-2012 (תיקוני חקיקה) (תיקון - תנאים להתרת השקעה במניות כהוצאה), התשפ"ג-2023</t>
  </si>
  <si>
    <t xml:space="preserve"> (פ/1111/25)</t>
  </si>
  <si>
    <t xml:space="preserve">הצעת חוק שירותי הדת היהודיים (תיקון - ייצוג הולם לנשים במועצות הדתיות), התשפ"ג-2023</t>
  </si>
  <si>
    <t xml:space="preserve"> (פ/1110/25)</t>
  </si>
  <si>
    <t xml:space="preserve"> (פ/1109/25)</t>
  </si>
  <si>
    <t xml:space="preserve">הצעת חוק לתיקון פקודת סדרי השלטון והמשפט (יום האישה הבין-לאומי), התשפ"ג-2023</t>
  </si>
  <si>
    <t xml:space="preserve"> (פ/1108/25)</t>
  </si>
  <si>
    <t xml:space="preserve">הצעת חוק להנצחת זכרו של רחבעם זאבי (תיקון - ביטול החוק), התשפ"ג-2023</t>
  </si>
  <si>
    <t xml:space="preserve"> (פ/1107/25)</t>
  </si>
  <si>
    <t xml:space="preserve"> (פ/1106/25)</t>
  </si>
  <si>
    <t xml:space="preserve">הצעת חוק החברות הממשלתיות (תיקון - נבחרת הדירקטורים), התשפ"ג-2023</t>
  </si>
  <si>
    <t xml:space="preserve"> (פ/1105/25)</t>
  </si>
  <si>
    <t xml:space="preserve"> (פ/1104/25)</t>
  </si>
  <si>
    <t xml:space="preserve">הצעת חוק הסדרת מעמדם של אנשי צוות בהפקות מקומיות, התשפ"ג-2023</t>
  </si>
  <si>
    <t xml:space="preserve"> (פ/1103/25)</t>
  </si>
  <si>
    <t xml:space="preserve"> (פ/1102/25)</t>
  </si>
  <si>
    <t xml:space="preserve">הצעת חוק הביטוח הלאומי (תיקון - עבודה מועדפת באילת), התשפ"ג-2023</t>
  </si>
  <si>
    <t xml:space="preserve"> (פ/1101/25)</t>
  </si>
  <si>
    <t xml:space="preserve">הצעת חוק התכנון והבנייה (תיקון - חובת התקנת גלאי עשן), התשפ"ג-2023</t>
  </si>
  <si>
    <t xml:space="preserve"> (פ/1100/25)</t>
  </si>
  <si>
    <t xml:space="preserve"> (פ/1099/25)</t>
  </si>
  <si>
    <t xml:space="preserve">הצעת חוק לתיקון פקודת העיריות (שידור ישיבות מועצה), התשפ"ג-2023</t>
  </si>
  <si>
    <t xml:space="preserve"> (פ/1098/25)</t>
  </si>
  <si>
    <t xml:space="preserve">הצעת חוק הביטוח הלאומי (תיקון - זכאות לדמי אבטלה מגיל 18), התשפ"ג-2023</t>
  </si>
  <si>
    <t xml:space="preserve"> (פ/1097/25)</t>
  </si>
  <si>
    <t xml:space="preserve">הצעת חוק לתיקון פקודת בתי הסוהר (שיקום אסירי אלימות במשפחה), התשפ"ג-2023</t>
  </si>
  <si>
    <t xml:space="preserve"> (פ/1096/25)</t>
  </si>
  <si>
    <t xml:space="preserve"> (פ/1095/25)</t>
  </si>
  <si>
    <t xml:space="preserve"> (פ/1094/25)</t>
  </si>
  <si>
    <t xml:space="preserve">הצעת חוק הקמת מיתקן פוטו-וולטאי ומיתקן אגירה בבית משותף המוקם במתחם פינוי ובינוי, התשפ"ג-2023</t>
  </si>
  <si>
    <t xml:space="preserve"> (פ/1093/25)</t>
  </si>
  <si>
    <t xml:space="preserve">הצעת חוק לתיקון פקודת המשטרה (הרכב המחלקה לחקירת שוטרים), התשפ"ג-2023</t>
  </si>
  <si>
    <t xml:space="preserve"> (פ/1091/25)</t>
  </si>
  <si>
    <t xml:space="preserve">הצעת חוק-יסוד: הכנסת (תיקון - תקופת לידה והורות לחברי הכנסת)</t>
  </si>
  <si>
    <t xml:space="preserve"> (פ/1090/25)</t>
  </si>
  <si>
    <t xml:space="preserve">הצעת חוק יום לציון המאבק בגזענות, התשפ"ג-2023</t>
  </si>
  <si>
    <t xml:space="preserve"> (פ/1089/25)</t>
  </si>
  <si>
    <t xml:space="preserve">הצעת חוק לתיקון פקודת סדרי השלטון והמשפט (יום הפועלים הבינלאומי), התשפ"ג-2023</t>
  </si>
  <si>
    <t xml:space="preserve"> (פ/1088/25)</t>
  </si>
  <si>
    <t xml:space="preserve"> (פ/1087/25)</t>
  </si>
  <si>
    <t xml:space="preserve">הצעת חוק העונשין (תיקון - ביטול העבירה על העלבת עובד ציבור), התשפ"ג-2023</t>
  </si>
  <si>
    <t xml:space="preserve"> (פ/1086/25)</t>
  </si>
  <si>
    <t xml:space="preserve"> (פ/1085/25)</t>
  </si>
  <si>
    <t xml:space="preserve">הצעת חוק מס ריבוי דירות, התשפ"ג-2023</t>
  </si>
  <si>
    <t xml:space="preserve"> (פ/1083/25)</t>
  </si>
  <si>
    <t xml:space="preserve"> (פ/1082/25)</t>
  </si>
  <si>
    <t xml:space="preserve"> (פ/1081/25)</t>
  </si>
  <si>
    <t xml:space="preserve">חוק לתיקון פקודת המשטרה (מס' 37), התשפ"ג-2022</t>
  </si>
  <si>
    <t xml:space="preserve">27.12.2022</t>
  </si>
  <si>
    <t xml:space="preserve">החוק מסדיר את כפיפות משטרת ישראל למרות הממשלה, ואת היותו של השר לביטחון פנים ממונה עליה מטעם הממשלה. כן עוגנה סמכותו של השר לביטחון פנים להתוות את מדיניות המשטרה ואת העקרונות הכלליים לפעילותה, ונקבעה חובת דיווח בעניין מדיניות זו לוועדת הפנים והגנת הסביבה של הכנסת אחת לכנס. בנוסף, נקבע כי בתחום החקירות, השר יהיה רשאי לקבוע מדיניות כללית לאחר ששמע את עמדת היועץ המשפטי לממשלה והתייעץ עם המפקח הכללי של משטרת ישראל ועם המופקדים במשטרה על תחום החקירות. בצד זאת, הובהר כי מדיניות השר לא תגרע מחובת המשטרה לפי כל דין בעניין חקירה או תיק, וכן לא תגרע מחובותיה אם נודע לה על ביצוע עבירה. עוד נקבע כי הוראות המשטרה שקובע המפקח הכללי של משטרת ישראל ייקבעו בהתאם למדיניות השר, וכן כי כלל פקודות המשטרה יפורסמו, אלא אם סבר המפקח הכללי באישור היועץ המשפטי לממשלה, כי אין לפרסם פקודה מסוימת. </t>
  </si>
  <si>
    <t xml:space="preserve">חוק-יסוד: הממשלה (תיקון מס' 11)</t>
  </si>
  <si>
    <t xml:space="preserve"> (פ/81/25)</t>
  </si>
  <si>
    <t xml:space="preserve"> (כ/942)</t>
  </si>
  <si>
    <t xml:space="preserve">הוועדה המיוחדת לדיון בהצעת חוק-יסוד: הממשלה (תיקון - שר נוסף במשרד) (פ/81/25) ובהצעת חוק-יסוד: הממשלה (תיקון – כשירותם של שרים) (פ/91/25)</t>
  </si>
  <si>
    <t xml:space="preserve">26.12.2022</t>
  </si>
  <si>
    <t xml:space="preserve">נוספו הוראות לפיהן ניתן יהיה למנות במשרד שממונה עליו שר, שר נוסף שיהיה אחראי, בכפוף לשר הממונה על המשרד, לתחומים מסוימים בתחומי פעילות המשרד.  </t>
  </si>
  <si>
    <t xml:space="preserve">הצעת חוק קרן לאזרחי ישראל (תיקון - ייצוג נשים במועצה), התשפ"ג-2023</t>
  </si>
  <si>
    <t xml:space="preserve"> (פ/1080/25)</t>
  </si>
  <si>
    <t xml:space="preserve">הצעת חוק לתיקון פקודת בריאות העם (חובת קבורה בבית עלמין), התשפ"ג-2022 </t>
  </si>
  <si>
    <t xml:space="preserve"> (פ/1079/25)</t>
  </si>
  <si>
    <t xml:space="preserve">הצעת חוק הבטחת הכנסה (תיקון - גמלה להורה עצמאי), התשפ"ג-2022</t>
  </si>
  <si>
    <t xml:space="preserve"> (פ/1078/25)</t>
  </si>
  <si>
    <t xml:space="preserve">הצעת חוק תרומת ביציות (תיקון - מימון הקפאת ביציות למטרת שמירת פוריות של התורמת), התשפ"ג-2022</t>
  </si>
  <si>
    <t xml:space="preserve"> (פ/1077/25)</t>
  </si>
  <si>
    <t xml:space="preserve">הצעת חוק ארוחה יומית לתלמיד (תיקון - עודפי תקציב), התשפ"ג-2022</t>
  </si>
  <si>
    <t xml:space="preserve"> (פ/1076/25)</t>
  </si>
  <si>
    <t xml:space="preserve">הצעת חוק רשת ביטחון לעצמאים בעת אירוע חירום, התשפ"ג-2022</t>
  </si>
  <si>
    <t xml:space="preserve"> (פ/1075/25)</t>
  </si>
  <si>
    <t xml:space="preserve">הצעת חוק תשלום פיצויים בשל נזקי אסון טבע, התשפ"ג-2022</t>
  </si>
  <si>
    <t xml:space="preserve"> (פ/1074/25)</t>
  </si>
  <si>
    <t xml:space="preserve">הצעת חוק מכירת זכויות לאירוע ספורט משמעותי, התשפ"ג-2022</t>
  </si>
  <si>
    <t xml:space="preserve"> (פ/1073/25)</t>
  </si>
  <si>
    <t xml:space="preserve">הצעת חוק ערבויות מטעם המדינה בשעת חירום (תיקוני חקיקה), התשפ"ג-2022</t>
  </si>
  <si>
    <t xml:space="preserve"> (פ/1072/25)</t>
  </si>
  <si>
    <t xml:space="preserve">הצעת חוק הגנת הצרכן (תיקון - השוואת תנאי צרכן ונותן שירות בעניין החזרת טובין), התשפ"ג-2022</t>
  </si>
  <si>
    <t xml:space="preserve"> (פ/1071/25)</t>
  </si>
  <si>
    <t xml:space="preserve">הצעת חוק עמותות חוץ, התשפ"ג-2022</t>
  </si>
  <si>
    <t xml:space="preserve"> (פ/1070/25)</t>
  </si>
  <si>
    <t xml:space="preserve">הצעת חוק רישוי עסקים (תיקון - מכירת יין ומשקאות אלכוהוליים בחנות גדולה), התשפ"ג-2022</t>
  </si>
  <si>
    <t xml:space="preserve"> (פ/1069/25)</t>
  </si>
  <si>
    <t xml:space="preserve">הצעת חוק התכנון והבנייה (תיקון - ייצוג הולם לאוכלוסייה הערבית במוסדות התכנון), התשפ"ג-2022</t>
  </si>
  <si>
    <t xml:space="preserve"> (פ/1068/25)</t>
  </si>
  <si>
    <t xml:space="preserve">הצעת חוק המקרקעין (תיקון - הארכת התקופה לשימוש בכוח נגד הסגת גבול), התשפ"ג-2022</t>
  </si>
  <si>
    <t xml:space="preserve"> (פ/1067/25)</t>
  </si>
  <si>
    <t xml:space="preserve">הצעת חוק בתי המשפט (תיקון - שופט משנה), התשפ"ג-2022</t>
  </si>
  <si>
    <t xml:space="preserve"> (פ/1066/25)</t>
  </si>
  <si>
    <t xml:space="preserve">הצעת חוק העונשין (תיקון - החמרת ענישה בגין ירי מנשק חם שלא כדין), התשפ"ג-2022</t>
  </si>
  <si>
    <t xml:space="preserve"> (פ/1065/25)</t>
  </si>
  <si>
    <t xml:space="preserve">הצעת חוק החזר דמי נסיעה במונית לבית החולים (תיקוני חקיקה), התשפ"ג-2022</t>
  </si>
  <si>
    <t xml:space="preserve"> (פ/1064/25)</t>
  </si>
  <si>
    <t xml:space="preserve">הצעת חוק לתיקון פקודת התעבורה (ריבית פיגורים בשל אי תשלום קנס על עבירת חניה), התשפ"ג-2022</t>
  </si>
  <si>
    <t xml:space="preserve"> (פ/1063/25)</t>
  </si>
  <si>
    <t xml:space="preserve">הצעת חוק שוויון זכויות לאנשים עם מוגבלות (תיקון - מידע בדבר עמידת מעסיקים פרטיים גדולים ביעד הייצוג ההולם), התשפ"ג-2022</t>
  </si>
  <si>
    <t xml:space="preserve"> (פ/1062/25)</t>
  </si>
  <si>
    <t xml:space="preserve">הצעת חוק חובת פרסום הודעות באינטרנט, התשפ"ג-2022 </t>
  </si>
  <si>
    <t xml:space="preserve"> (פ/1061/25)</t>
  </si>
  <si>
    <t xml:space="preserve">הצעת חוק הממשלה (תיקון - ועדת שרים לענייני חקיקה), התשפ"ג-2022</t>
  </si>
  <si>
    <t xml:space="preserve"> (פ/1060/25)</t>
  </si>
  <si>
    <t xml:space="preserve">הצעת חוק העונשין (תיקון - עבירות אלימות במתחם הר הבית), התשפ"ג-2022</t>
  </si>
  <si>
    <t xml:space="preserve"> (פ/1059/25)</t>
  </si>
  <si>
    <t xml:space="preserve">הצעת חוק לתיקון פקודת מס הכנסה (ניכוי ריבית על משכנתה וסיוע ברכישת דירה), התשפ"ג-2022</t>
  </si>
  <si>
    <t xml:space="preserve"> (פ/1058/25)</t>
  </si>
  <si>
    <t xml:space="preserve">הצעת חוק החקלאות, התשפ״ג-2022</t>
  </si>
  <si>
    <t xml:space="preserve"> (פ/1057/25)</t>
  </si>
  <si>
    <t xml:space="preserve">הצעת חוק ההוצאה לפועל (תיקון - ריבית ודמי פיגורים), התשפ"ג-2022</t>
  </si>
  <si>
    <t xml:space="preserve"> (פ/1056/25)</t>
  </si>
  <si>
    <t xml:space="preserve">הצעת חוק המרכז למורשת יהדות תוניסיה וג'רבה, התשפ"ג-2022</t>
  </si>
  <si>
    <t xml:space="preserve"> (פ/1055/25)</t>
  </si>
  <si>
    <t xml:space="preserve">הצעת חוק חסינות חברי הכנסת, זכויותיהם וחובותיהם (תיקון - חסינות בפני דין פלילי), התשפ"ג-2022</t>
  </si>
  <si>
    <t xml:space="preserve"> (פ/1054/25)</t>
  </si>
  <si>
    <t xml:space="preserve">הצעת חוק זכויות החולה (תיקון - קביעת הוראות לעניין הכנסת חפצים ודברי מאכל למוסד רפואי), התשפ"ג-2022</t>
  </si>
  <si>
    <t xml:space="preserve"> (פ/1053/25)</t>
  </si>
  <si>
    <t xml:space="preserve">הצעת חוק האזרחות (תיקון - ביטול האזרחות בגין מעשה אלימות בזמן מצב מיוחד בעורף), התשפ"ג-2022</t>
  </si>
  <si>
    <t xml:space="preserve"> (פ/1052/25)</t>
  </si>
  <si>
    <t xml:space="preserve">הצעת חוק הביטוח הלאומי (תיקון - קצבת ילדים כפולה בלידת תאומים או יותר), התשפ"ג-2022</t>
  </si>
  <si>
    <t xml:space="preserve"> (פ/1051/25)</t>
  </si>
  <si>
    <t xml:space="preserve">הצעת חוק הביטוח הלאומי (תיקון - מימון הסעת יולדת באמבולנס), התשפ"ג-2022</t>
  </si>
  <si>
    <t xml:space="preserve"> (פ/1050/25)</t>
  </si>
  <si>
    <t xml:space="preserve">הצעת חוק ביטוח בריאות ממלכתי (תיקון - החזר דמי נסיעה באמבולנס), התשפ"ג-2022</t>
  </si>
  <si>
    <t xml:space="preserve"> (פ/1049/25)</t>
  </si>
  <si>
    <t xml:space="preserve">הצעת חוק הרישום למוסדות להשכלה גבוהה, התשפ"ג-2022</t>
  </si>
  <si>
    <t xml:space="preserve"> (פ/1048/25)</t>
  </si>
  <si>
    <t xml:space="preserve">הצעת חוק המאבק בטרור (תיקון - זכות להחזיק בגופות מחבלים לצורכי משא ומתן), התשפ"ג-2022</t>
  </si>
  <si>
    <t xml:space="preserve"> (פ/1046/25)</t>
  </si>
  <si>
    <t xml:space="preserve">הצעת חוק הגנת הצרכן (תיקון - איסור גביית תשלום בכרטיסי חיוב בלבד), התשפ"ג-2022</t>
  </si>
  <si>
    <t xml:space="preserve"> (פ/1045/25)</t>
  </si>
  <si>
    <t xml:space="preserve">הצעת חוק הפסיכולוגים (תיקון - פסיכולוג שהורשע בעבירת מין), התשפ"ג-2022</t>
  </si>
  <si>
    <t xml:space="preserve"> (פ/1043/25)</t>
  </si>
  <si>
    <t xml:space="preserve">הצעת חוק פרס כספי בעבור לכידת מחבל, התשפ"ג-2022</t>
  </si>
  <si>
    <t xml:space="preserve"> (פ/1042/25)</t>
  </si>
  <si>
    <t xml:space="preserve">הצעת חוק הצמדת שכר חברי הכנסת, השרים וסגני השרים לשכר המינימום (תיקוני חקיקה), התשפ"ג-2022</t>
  </si>
  <si>
    <t xml:space="preserve"> (פ/1041/25)</t>
  </si>
  <si>
    <t xml:space="preserve">הצעת חוק להגדלת שיעור ההשתתפות בכוח העבודה ולצמצום פערים חברתיים (מענק עבודה) (תיקון - זכות במקרקעין בקבוצת רכישה), התשפ"ג-2022</t>
  </si>
  <si>
    <t xml:space="preserve"> (פ/1040/25)</t>
  </si>
  <si>
    <t xml:space="preserve">הצעת חוק שירות המדינה (משמעת) (תיקון - בית הדין), התשפ"ג-2022</t>
  </si>
  <si>
    <t xml:space="preserve"> (פ/1038/25)</t>
  </si>
  <si>
    <t xml:space="preserve">הצעת חוק הסדרת העיסוק במקצועות הבריאות (תיקון - מתן תעודה במקצועות הבריאות לבעלי הכשרה מקצועית) (הוראת שעה), התשפ"ג-2022</t>
  </si>
  <si>
    <t xml:space="preserve"> (פ/1037/25)</t>
  </si>
  <si>
    <t xml:space="preserve">הצעת חוק סדר הדין הפלילי (תיקון - התיישנות בעבירות מין שנעשו במסגרת יחסי תלות או מרות), התשפ"ג-2022</t>
  </si>
  <si>
    <t xml:space="preserve"> (פ/1036/25)</t>
  </si>
  <si>
    <t xml:space="preserve">הצעת חוק העונשין (תיקון - הגנה עצמית מפני בקבוק תבערה), התשפ"ג-2022</t>
  </si>
  <si>
    <t xml:space="preserve"> (פ/1035/25)</t>
  </si>
  <si>
    <t xml:space="preserve">הצעת חוק הסדרת העיסוק במקצועות הבריאות (תיקון - הסדרת העיסוק בניתוח התנהגות), התשפ"ג - 2022</t>
  </si>
  <si>
    <t xml:space="preserve"> (פ/1034/25)</t>
  </si>
  <si>
    <t xml:space="preserve">הצעת חוק הפיקוח על שירותים פיננסיים (ביטוח) (תיקון - הוספת רישיון הנפקה), התשפ"ג-2022</t>
  </si>
  <si>
    <t xml:space="preserve"> (פ/1032/25)</t>
  </si>
  <si>
    <t xml:space="preserve">הצעת חוק לתיקון פקודת הרוקחים (חיוב רישום רכיבי תמרוקים ומוצרי ניקיון), התשפ"ג-2022</t>
  </si>
  <si>
    <t xml:space="preserve"> (פ/1031/25)</t>
  </si>
  <si>
    <t xml:space="preserve">הצעת חוק יישובים ושכונות בהליכי הסדרה, התשפ"ג-2022</t>
  </si>
  <si>
    <t xml:space="preserve"> (פ/1030/25)</t>
  </si>
  <si>
    <t xml:space="preserve">הצעת חוק כביש אגרה (כביש ארצי לישראל) (תיקון - פטור מאגרה לתחבורה ציבורית), התשפ"ג-2022</t>
  </si>
  <si>
    <t xml:space="preserve"> (פ/1029/25)</t>
  </si>
  <si>
    <t xml:space="preserve">הצעת חוק רישום רכב ניזוק שנמכר על ידי מבטח או תאגיד, התשפ"ג-2022</t>
  </si>
  <si>
    <t xml:space="preserve"> (פ/1028/25)</t>
  </si>
  <si>
    <t xml:space="preserve">הצעת חוק לתיקון פקודת המסים (גבייה) (פיצוי עקב טעות), התשפ"ג-2022</t>
  </si>
  <si>
    <t xml:space="preserve"> (פ/1027/25)</t>
  </si>
  <si>
    <t xml:space="preserve">הצעת חוק השבות (תיקון - זכויות בני משפחה), התשפ"ג-2022</t>
  </si>
  <si>
    <t xml:space="preserve"> (פ/1026/25)</t>
  </si>
  <si>
    <t xml:space="preserve">הצעת חוק לתיקון פקודת התעבורה (הקמת מערך מידע וניתוח נתונים לשיפור התחבורה הציבורית), התשפ"ג-2022</t>
  </si>
  <si>
    <t xml:space="preserve"> (פ/1025/25)</t>
  </si>
  <si>
    <t xml:space="preserve">הצעת חוק הלוואות לדיור (תיקון - הצמדת סכום ההלוואה למדד), התשפ"ג-2022</t>
  </si>
  <si>
    <t xml:space="preserve"> (פ/1024/25)</t>
  </si>
  <si>
    <t xml:space="preserve">הצעת חוק ליווי בני משפחות של משרתים בגופי ביטחון ששלחו יד בנפשם, התשפ"ג-2022</t>
  </si>
  <si>
    <t xml:space="preserve"> (פ/1023/25)</t>
  </si>
  <si>
    <t xml:space="preserve">הצעת חוק הביטוח הלאומי (תיקון - קצבת תלויים וקצבת אזרח ותיק), התשפ"ג-2022</t>
  </si>
  <si>
    <t xml:space="preserve"> (פ/1022/25)</t>
  </si>
  <si>
    <t xml:space="preserve">הצעת חוק הביטוח הלאומי (תיקון - קביעת דרגת נכות לנפגעי עבודה), התשפ"ג-2022</t>
  </si>
  <si>
    <t xml:space="preserve"> (פ/1021/25)</t>
  </si>
  <si>
    <t xml:space="preserve">הצעת חוק לתיקון פקודת הסמים המסוכנים (שידול לייבוא או ייצוא חומר הנחשב לסם בחו"ל), התשפ"ג-2022</t>
  </si>
  <si>
    <t xml:space="preserve"> (פ/1020/25)</t>
  </si>
  <si>
    <t xml:space="preserve">הצעת חוק לתיקון פקודת העיריות (תקופת כהונה של יועץ משפטי), התשפ"ג-2022</t>
  </si>
  <si>
    <t xml:space="preserve"> (פ/1019/25)</t>
  </si>
  <si>
    <t xml:space="preserve">הצעת חוק סדר הדין הפלילי (תיקון - הגבלת משך זמן החקירה המשטרתית וחקירת הפרקליטות), התשפ"ג-2022</t>
  </si>
  <si>
    <t xml:space="preserve"> (פ/1018/25)</t>
  </si>
  <si>
    <t xml:space="preserve">הצעת חוק התכנון והבנייה (תיקון - הגדרת חדר מחוזק כמרחב מוגן), התשפ"ג-2022</t>
  </si>
  <si>
    <t xml:space="preserve"> (פ/1017/25)</t>
  </si>
  <si>
    <t xml:space="preserve">הצעת חוק שירותי הדת היהודיים (תיקון - מינוי רבני התיישבות, רבנים אזוריים ורבני שכונות), התשפ"ג-2022</t>
  </si>
  <si>
    <t xml:space="preserve"> (פ/1016/25)</t>
  </si>
  <si>
    <t xml:space="preserve">הצעת חוק מס הכנסה (פטור ממס על הכנסה מהשכרת דירת מגורים) (תיקון - פטור למוסד חינוך), התשפ"ג-2022</t>
  </si>
  <si>
    <t xml:space="preserve"> (פ/1015/25)</t>
  </si>
  <si>
    <t xml:space="preserve">הצעת חוק הביטוח הלאומי (תיקון - ערעור על החלטת ועדה לעררים), התשפ"ג-2022</t>
  </si>
  <si>
    <t xml:space="preserve"> (פ/1014/25)</t>
  </si>
  <si>
    <t xml:space="preserve">הצעת חוק לתיקון פקודת התעבורה (סדרי דין מיוחדים לעניין שירות לתועלת הציבור בעבירות תעבורה), התשפ"ג-2022</t>
  </si>
  <si>
    <t xml:space="preserve"> (פ/1013/25)</t>
  </si>
  <si>
    <t xml:space="preserve">הצעת חוק התכנון והבנייה (תיקון - התקנת מנגנון שבת למשאבות מים), התשפ"ג-2022</t>
  </si>
  <si>
    <t xml:space="preserve"> (פ/1012/25)</t>
  </si>
  <si>
    <t xml:space="preserve">הצעת חוק-יסוד: השפיטה (תיקון - שינוי הרכב הוועדה לבחירת שופטים)</t>
  </si>
  <si>
    <t xml:space="preserve"> (פ/1010/25)</t>
  </si>
  <si>
    <t xml:space="preserve">הצעת חוק הגנת הצרכן (תיקון - סימון תאריך ייצור ומועד תפוגה עברי), התשפ"ג-2022</t>
  </si>
  <si>
    <t xml:space="preserve"> (פ/1009/25)</t>
  </si>
  <si>
    <t xml:space="preserve">הצעת חוק מעונות יום שיקומיים (תיקון - הקדמת גיל הזכאות), התשפ"ג-2022</t>
  </si>
  <si>
    <t xml:space="preserve"> (פ/1008/25)</t>
  </si>
  <si>
    <t xml:space="preserve">הצעת חוק לתיקון פקודת העיריות (בניין שניזוק או נהרס), התשפ"ג-2022</t>
  </si>
  <si>
    <t xml:space="preserve"> (פ/1006/25)</t>
  </si>
  <si>
    <t xml:space="preserve">הצעת חוק מס ערך מוסף (תיקון - פטור ממס בגין תרומות לבתי חולים בפריפריה), התשפ"ג-2022</t>
  </si>
  <si>
    <t xml:space="preserve"> (פ/1005/25)</t>
  </si>
  <si>
    <t xml:space="preserve">הצעת חוק צער בעלי חיים (הגנה על בעלי חיים) (תיקון - איסור ייצוא בעלי חיים לשחיטה לשם שימוש בעורותיהם לתעשיית הקוסמטיקה), התשפ"ג-2022</t>
  </si>
  <si>
    <t xml:space="preserve"> (פ/1004/25)</t>
  </si>
  <si>
    <t xml:space="preserve">הצעת חוק בתי המשפט (תיקון - הארכת תקופת הצינון והרחבת תחולתה), התשפ"ג-2022</t>
  </si>
  <si>
    <t xml:space="preserve"> (פ/1003/25)</t>
  </si>
  <si>
    <t xml:space="preserve">הצעת חוק לביטול ההתיישנות בעבירות מין במשפחה (תיקוני חקיקה), התשפ"ג-2022</t>
  </si>
  <si>
    <t xml:space="preserve"> (פ/1002/25)</t>
  </si>
  <si>
    <t xml:space="preserve">הצעת חוק מס ערך מוסף (תיקון - פטור בעת קניית דירה ראשונה לזוגות צעירים בכל הארץ), התשפ"ג-2022</t>
  </si>
  <si>
    <t xml:space="preserve"> (פ/1000/25)</t>
  </si>
  <si>
    <t xml:space="preserve">הצעת חוק יישוב סכסוכי עבודה (תיקון - ריכוז מידע על שביתות והשבתות), התשפ"ג-2022</t>
  </si>
  <si>
    <t xml:space="preserve"> (פ/999/25)</t>
  </si>
  <si>
    <t xml:space="preserve">הצעת חוק זכויות החולה (תיקון - מתן הסכמה לטיפול רפואי), התשפ"ג-2022</t>
  </si>
  <si>
    <t xml:space="preserve"> (פ/998/25)</t>
  </si>
  <si>
    <t xml:space="preserve">הצעת חוק לתיקון פקודת התעבורה (הפעלה של רמזור), התשפ"ג-2022</t>
  </si>
  <si>
    <t xml:space="preserve"> (פ/997/25)</t>
  </si>
  <si>
    <t xml:space="preserve">הצעת חוק לתיקון פקודת מס הכנסה (פטור ממס להכנסות קשיש וניכוי הוצאות שכר דירה), התשפ"ג-2022</t>
  </si>
  <si>
    <t xml:space="preserve"> (פ/996/25)</t>
  </si>
  <si>
    <t xml:space="preserve">הצעת חוק יום בריאות הנפש, התשפ"ג-2022</t>
  </si>
  <si>
    <t xml:space="preserve"> (פ/995/25)</t>
  </si>
  <si>
    <t xml:space="preserve">הצעת חוק להארכת מועד לקבלת דברי דואר (הוראת שעה), התשפ"ג-2022</t>
  </si>
  <si>
    <t xml:space="preserve"> (פ/994/25)</t>
  </si>
  <si>
    <t xml:space="preserve">הצעת חוק משק החשמל (תיקון - גביית תשלומים), התשפ"ג-2022</t>
  </si>
  <si>
    <t xml:space="preserve"> (פ/993/25)</t>
  </si>
  <si>
    <t xml:space="preserve">הצעת חוק הגנת הצרכן (תיקון - חובת פרסום שם יצרן ודגם מוצר), התשפ"ג-2022</t>
  </si>
  <si>
    <t xml:space="preserve"> (פ/991/25)</t>
  </si>
  <si>
    <t xml:space="preserve">הצעת חוק ביטוח בריאות ממלכתי (תיקון - החזר דמי נסיעות והסעות לטיפולי אונקולוגיה ודיאליזה), התשפ"ג-2022</t>
  </si>
  <si>
    <t xml:space="preserve"> (פ/990/25)</t>
  </si>
  <si>
    <t xml:space="preserve">הצעת חוק הגנת הצרכן (תיקון - מענה אנושי בשירות טלפוני לאזרח ותיק), התשפ"ג-2022</t>
  </si>
  <si>
    <t xml:space="preserve"> (פ/989/25)</t>
  </si>
  <si>
    <t xml:space="preserve">הצעת חוק לתיקון פקודת מס הכנסה (ניכוי בגין הוצאות טיפול בילדים), התשפ"ג-2022</t>
  </si>
  <si>
    <t xml:space="preserve"> (פ/988/25)</t>
  </si>
  <si>
    <t xml:space="preserve">הצעת חוק עבודת נשים (תיקון - הארכת תקופת לידה והורות בתשלום), התשפ"ג-2022</t>
  </si>
  <si>
    <t xml:space="preserve"> (פ/987/25)</t>
  </si>
  <si>
    <t xml:space="preserve">הצעת חוק האזרחים הוותיקים (תיקון - לחצן מצוקה לקשיש), התשפ"ג-2022</t>
  </si>
  <si>
    <t xml:space="preserve"> (פ/986/25)</t>
  </si>
  <si>
    <t xml:space="preserve">הצעת חוק לתיקון פקודת התעבורה (הסדר ארצי אחיד לעניין גרירת רכב), התשפ"ג-2022</t>
  </si>
  <si>
    <t xml:space="preserve"> (פ/985/25)</t>
  </si>
  <si>
    <t xml:space="preserve">הצעת חוק הכשרות לאנשי מקצוע בנושא זיהוי ודיווח על התעללות בקטין או בחסר ישע, התשפ"ג-2022</t>
  </si>
  <si>
    <t xml:space="preserve"> (פ/984/25)</t>
  </si>
  <si>
    <t xml:space="preserve">הצעת חוק לביטול ההתיישנות בעבירות מין (תיקוני חקיקה), התשפ"ג-2022</t>
  </si>
  <si>
    <t xml:space="preserve"> (פ/983/25)</t>
  </si>
  <si>
    <t xml:space="preserve">הצעת חוק הלוואה מותנית ללימוד נהיגה, התשפ"ג-2022 </t>
  </si>
  <si>
    <t xml:space="preserve"> (פ/982/25)</t>
  </si>
  <si>
    <t xml:space="preserve">הצעת חוק השיפוט הצבאי (תיקון - פקודת מעצר), התשפ"ג-2022</t>
  </si>
  <si>
    <t xml:space="preserve"> (פ/981/25)</t>
  </si>
  <si>
    <t xml:space="preserve">הצעת חוק עיטור הפציעה הקרבית, התשפ"ג-2022</t>
  </si>
  <si>
    <t xml:space="preserve"> (פ/980/25)</t>
  </si>
  <si>
    <t xml:space="preserve">הצעת חוק יום ירושלים (תיקון - יום שבתון), התשפ"ג-2022</t>
  </si>
  <si>
    <t xml:space="preserve"> (פ/979/25)</t>
  </si>
  <si>
    <t xml:space="preserve">הצעת חוק בתי המשפט (תיקון - רוב רגיל למינוי שופט בית המשפט העליון), התשפ"ג-2022</t>
  </si>
  <si>
    <t xml:space="preserve"> (פ/977/25)</t>
  </si>
  <si>
    <t xml:space="preserve">הצעת חוק רישוי סוכני אונייה, התשפ"ג-2022</t>
  </si>
  <si>
    <t xml:space="preserve"> (פ/975/25)</t>
  </si>
  <si>
    <t xml:space="preserve">הצעת חוק דמי מחלה (היעדרות בשל מחלת ילד) (תיקון - היעדרות בשל אשפוז ילד), התשפ"ג-2022</t>
  </si>
  <si>
    <t xml:space="preserve"> (פ/974/25)</t>
  </si>
  <si>
    <t xml:space="preserve">הצעת חוק הרשות לקידום מעמד האישה (תיקון - הרשות לקידום מעמד האישה ושוויון מגדרי), התשפ"ג-2022</t>
  </si>
  <si>
    <t xml:space="preserve"> (פ/973/25)</t>
  </si>
  <si>
    <t xml:space="preserve">הצעת חוק לתיקון פקודת בתי הסוהר (פיקוח על ערוצי טלויזיה ורדיו), התשפ"ג-2022</t>
  </si>
  <si>
    <t xml:space="preserve"> (פ/972/25)</t>
  </si>
  <si>
    <t xml:space="preserve">הצעת חוק לתיקון פקודת בתי הסוהר (טיפול אינדיבידואלי באסיר ביטחוני), התשפ"ג-2022</t>
  </si>
  <si>
    <t xml:space="preserve"> (פ/971/25)</t>
  </si>
  <si>
    <t xml:space="preserve">הצעת חוק הביטוח הלאומי (תיקון - גמלה בשל דיכאון לאחר לידה), התשפ"ג-2022</t>
  </si>
  <si>
    <t xml:space="preserve"> (פ/970/25)</t>
  </si>
  <si>
    <t xml:space="preserve">הצעת חוק העתיקות (תיקון - הודעה ומחיקת הערה בפנקסי המקרקעין), התשפ"ג-2022</t>
  </si>
  <si>
    <t xml:space="preserve"> (פ/969/25)</t>
  </si>
  <si>
    <t xml:space="preserve">הצעת חוק מס ערך מוסף (תיקון - מס בשיעור אפס על מוצרי היגיינה נשית), התשפ"ג-2022</t>
  </si>
  <si>
    <t xml:space="preserve"> (פ/968/25)</t>
  </si>
  <si>
    <t xml:space="preserve">הצעת חוק להקמת קרן למוצרי מזון בריא, התשפ''ג-2022</t>
  </si>
  <si>
    <t xml:space="preserve"> (פ/967/25)</t>
  </si>
  <si>
    <t xml:space="preserve">הצעת חוק הבנקאות (שירות ללקוח) (תיקון - קיצור משך זמן לביטול שעבוד), התשפ"ג-2022</t>
  </si>
  <si>
    <t xml:space="preserve"> (פ/966/25)</t>
  </si>
  <si>
    <t xml:space="preserve">הצעת חוק הבנקאות (שירות ללקוח) (תיקון - הפחתת יוקר תשלומי הלוואה לדיור), התשפ"ג-2022</t>
  </si>
  <si>
    <t xml:space="preserve"> (פ/965/25)</t>
  </si>
  <si>
    <t xml:space="preserve">הצעת חוק המועצה להשכלה גבוהה (תיקון - איסור הנפת דגל של ישות עוינת במוסד מוכר), התשפ"ג-2022</t>
  </si>
  <si>
    <t xml:space="preserve"> (פ/964/25)</t>
  </si>
  <si>
    <t xml:space="preserve"> (פ/963/25)</t>
  </si>
  <si>
    <t xml:space="preserve">הצעת חוק להגברת האכיפה של דיני העבודה (תיקון - הפרות בטיחות בעבודה בתחום הבנייה), התשפ"ג-2022</t>
  </si>
  <si>
    <t xml:space="preserve"> (פ/962/25)</t>
  </si>
  <si>
    <t xml:space="preserve">הצעת חוק הגנת הצרכן (תיקון - הארכת תקופת האחריות), התשפ"ג-2022</t>
  </si>
  <si>
    <t xml:space="preserve"> (פ/961/25)</t>
  </si>
  <si>
    <t xml:space="preserve">הצעת חוק ארוחת בוקר במוסדות חינוך, התשפ"ג-2022</t>
  </si>
  <si>
    <t xml:space="preserve"> (פ/959/25)</t>
  </si>
  <si>
    <t xml:space="preserve"> (פ/958/25)</t>
  </si>
  <si>
    <t xml:space="preserve">הצעת חוק ביטוח בריאות ממלכתי (תיקון - העברת תיק רפואי במעבר בין קופות), התשפ"ג-2022</t>
  </si>
  <si>
    <t xml:space="preserve"> (פ/957/25)</t>
  </si>
  <si>
    <t xml:space="preserve">הצעת חוק מס ערך מוסף (תיקון - פטור ממס במכירת תרופות מצילות חיים שאינן כלולות בסל הבריאות), התשפ"ג-2022</t>
  </si>
  <si>
    <t xml:space="preserve"> (פ/955/25)</t>
  </si>
  <si>
    <t xml:space="preserve"> (פ/954/25)</t>
  </si>
  <si>
    <t xml:space="preserve">הצעת חוק הבטחת הכנסה (תיקון - תוספת לגמלה בעד הילד השלישי ואילך), התשפ"ג-2022</t>
  </si>
  <si>
    <t xml:space="preserve"> (פ/953/25)</t>
  </si>
  <si>
    <t xml:space="preserve"> (פ/952/25)</t>
  </si>
  <si>
    <t xml:space="preserve"> (פ/951/25)</t>
  </si>
  <si>
    <t xml:space="preserve">הצעת חוק פיצוי לנפגעי פוליו (תיקון - הכרה באחוזי נכות של נפגע פוליו לצורך דינים אחרים), התשפ"ג-2022</t>
  </si>
  <si>
    <t xml:space="preserve"> (פ/950/25)</t>
  </si>
  <si>
    <t xml:space="preserve">הצעת חוק לתיקון פקודת התעבורה (ביטול קנס בשל רכישת מערכות בטיחות מתקדמות), התשפ"ג-2022</t>
  </si>
  <si>
    <t xml:space="preserve"> (פ/949/25)</t>
  </si>
  <si>
    <t xml:space="preserve">הצעת חוק ביטוח בריאות ממלכתי (תיקון - תושב ששהה מחוץ לישראל ואין לו קרוב משפחה), התשפ"ג-2022</t>
  </si>
  <si>
    <t xml:space="preserve"> (פ/948/25)</t>
  </si>
  <si>
    <t xml:space="preserve">הצעת חוק בית המשפט לענייני משפחה (תיקון - רשימת כונסי נכסים), התשפ"ג-2022</t>
  </si>
  <si>
    <t xml:space="preserve"> (פ/947/25)</t>
  </si>
  <si>
    <t xml:space="preserve">הצעת חוק עבודת נשים (תיקון - שעות היעדרות מעבודה לאישה בהריון בר-סיכון), התשפ"ג-2022</t>
  </si>
  <si>
    <t xml:space="preserve"> (פ/946/25)</t>
  </si>
  <si>
    <t xml:space="preserve">הצעת חוק לעידוד חקלאות גגות (תיקוני חקיקה), התשפ"ג-2022</t>
  </si>
  <si>
    <t xml:space="preserve"> (פ/945/25)</t>
  </si>
  <si>
    <t xml:space="preserve">הצעת חוק יום לציון פועלו וזכרו של אלי כהן, התשפ"ג-2022</t>
  </si>
  <si>
    <t xml:space="preserve"> (פ/944/25)</t>
  </si>
  <si>
    <t xml:space="preserve">הצעת חוק לתיקון פקודת מס הכנסה (חישוב שווי שימוש ברכב לשומרי שבת וחג), התשפ"ג-2022</t>
  </si>
  <si>
    <t xml:space="preserve"> (פ/943/25)</t>
  </si>
  <si>
    <t xml:space="preserve">הצעת חוק ביטוח בריאות ממלכתי (תיקון - הרחבת הסדרי הבחירה), התשפ"ג-2022</t>
  </si>
  <si>
    <t xml:space="preserve"> (פ/941/25)</t>
  </si>
  <si>
    <t xml:space="preserve">הצעת חוק בתי המשפט (תיקון - שימוע ובחירות חשאיות לשופטי בית המשפט העליון), התשפ"ג-2022</t>
  </si>
  <si>
    <t xml:space="preserve"> (פ/940/25)</t>
  </si>
  <si>
    <t xml:space="preserve">הצעת חוק הקמת חדר מיון בקריית שמונה, התשפ"ג-2022</t>
  </si>
  <si>
    <t xml:space="preserve"> (פ/939/25)</t>
  </si>
  <si>
    <t xml:space="preserve">הצעת חוק הקמת חדר מיון בנתיבות, התשפ"ג-2022</t>
  </si>
  <si>
    <t xml:space="preserve"> (פ/938/25)</t>
  </si>
  <si>
    <t xml:space="preserve">הצעת חוק הגנת הצרכן (תיקון - צירוף הוראות שימוש בשפה העברית למוצרי חשמל), התשפ"ג-2022 </t>
  </si>
  <si>
    <t xml:space="preserve"> (פ/937/25)</t>
  </si>
  <si>
    <t xml:space="preserve">הצעת חוק הביטוח הלאומי (תיקון - תנאי זכאות לגמלה לשמירת היריון), התשפ"ג-2022</t>
  </si>
  <si>
    <t xml:space="preserve"> (פ/933/25)</t>
  </si>
  <si>
    <t xml:space="preserve">הצעת חוק לתיקון פקודת התעבורה (הפחתת גובה קנס בשל תשלום מיידי), התשפ"ג-2022</t>
  </si>
  <si>
    <t xml:space="preserve"> (פ/932/25)</t>
  </si>
  <si>
    <t xml:space="preserve">הצעת חוק דמי נסיעה לסטודנטים בתחבורה ציבורית (תיקוני חקיקה), התשפ"ג-2022</t>
  </si>
  <si>
    <t xml:space="preserve"> (פ/931/25)</t>
  </si>
  <si>
    <t xml:space="preserve">הצעת חוק הכנסת (תיקון - אישור אמנות בין-לאומיות), התשפ"ג-2022</t>
  </si>
  <si>
    <t xml:space="preserve"> (פ/930/25)</t>
  </si>
  <si>
    <t xml:space="preserve">הצעת חוק שעות עבודה ומנוחה (תיקון - הפסקה בין יום עבודה למשנהו שלא עולה על 8 שעות), התשפ"ג-2022</t>
  </si>
  <si>
    <t xml:space="preserve"> (פ/929/25)</t>
  </si>
  <si>
    <t xml:space="preserve">הצעת חוק שיפוט בתי דין רבניים (נישואין וגירושין) (תיקון - תשלומי מזונות לילדי בני הזוג), התשפ"ג-2022</t>
  </si>
  <si>
    <t xml:space="preserve"> (פ/928/25)</t>
  </si>
  <si>
    <t xml:space="preserve">הצעת חוק הביטוח הלאומי (תיקון - תשלום גמלת ילד נכה לאומן בעד ילד הנמצא אצלו באומנה), התשפ"ג-2022</t>
  </si>
  <si>
    <t xml:space="preserve"> (פ/927/25)</t>
  </si>
  <si>
    <t xml:space="preserve">הצעת חוק שוויון זכויות לאנשים עם מוגבלות (תיקון – הרחבת הזכאות למתן שירות בלא המתנה בתור), התשפ"ג–2022</t>
  </si>
  <si>
    <t xml:space="preserve"> (פ/926/25)</t>
  </si>
  <si>
    <t xml:space="preserve">הצעת חוק סדר הדין הפלילי (תיקון - החרגת עובד מערכת אכיפת החוק מתקופת ההתיישנות), התשפ"ג-2022</t>
  </si>
  <si>
    <t xml:space="preserve"> (פ/925/25)</t>
  </si>
  <si>
    <t xml:space="preserve">הצעת חוק עידוד שירות צבאי, לאומי או לאומי-אזרחי, התשפ"ג-2022</t>
  </si>
  <si>
    <t xml:space="preserve"> (פ/924/25)</t>
  </si>
  <si>
    <t xml:space="preserve">הצעת חוק הגנת הצרכן (תיקון - שינוי פרטים בכרטיס טיסה או בכרטיס לשיט), התשפ"ג-2022</t>
  </si>
  <si>
    <t xml:space="preserve"> (פ/923/25)</t>
  </si>
  <si>
    <t xml:space="preserve">הצעת חוק פינוי ובינוי (עידוד מיזמי פינוי ובינוי) (תיקון - מבנה מסוכן), התשפ"ג-2022</t>
  </si>
  <si>
    <t xml:space="preserve"> (פ/922/25)</t>
  </si>
  <si>
    <t xml:space="preserve">הצעת חוק ביטוח בריאות ממלכתי (תיקון - העברת שירותי הגמילה לאחריות קופות החולים וטיפול בהתמכרויות), התשפ"ג-2022</t>
  </si>
  <si>
    <t xml:space="preserve"> (פ/921/25)</t>
  </si>
  <si>
    <t xml:space="preserve">הצעת חוק מאבק בנטילת דמי חסות (אכיפה וענישה) (תיקוני חקיקה והוראת שעה), התשפ"ג-2022</t>
  </si>
  <si>
    <t xml:space="preserve"> (פ/920/25)</t>
  </si>
  <si>
    <t xml:space="preserve">הצעת חוק הדגל, הסמל והמנון המדינה (תיקון - פגיעה בכבוד דגל המדינה או סמלה), התשפ״ג-2022</t>
  </si>
  <si>
    <t xml:space="preserve"> (פ/919/25)</t>
  </si>
  <si>
    <t xml:space="preserve">הצעת חוק התכנון והבנייה (תיקון - מבנה מחוזק), התשפ"ג-2022</t>
  </si>
  <si>
    <t xml:space="preserve"> (פ/917/25)</t>
  </si>
  <si>
    <t xml:space="preserve">הצעת חוק למניעת פגיעה במדינת ישראל באמצעות חרם (תיקון - מניעת זכאות לפרס), התשפ"ג-2022</t>
  </si>
  <si>
    <t xml:space="preserve"> (פ/915/25)</t>
  </si>
  <si>
    <t xml:space="preserve">הצעת חוק להסדרת מקצוע עוזר רופא, התשפ"ג-2022</t>
  </si>
  <si>
    <t xml:space="preserve"> (פ/914/25)</t>
  </si>
  <si>
    <t xml:space="preserve">הצעת חוק הגנת הצרכן (תיקון - הנגשת הודעת תשלום לצרכנים שאינם דוברי עברית), התשפ"ג-2022</t>
  </si>
  <si>
    <t xml:space="preserve"> (פ/913/25)</t>
  </si>
  <si>
    <t xml:space="preserve">הצעת חוק שירות ביטחון (תיקון - יציאה לחו"ל בדחיית שירות), התשפ"ג-2022</t>
  </si>
  <si>
    <t xml:space="preserve"> (פ/912/25)</t>
  </si>
  <si>
    <t xml:space="preserve">הצעת חוק נציבות תלונות הציבור על מייצגי המדינה בערכאות (תיקון - הסדרת מעמד הנציבות כגוף ביקורת עצמאי), התשפ"ג-2022</t>
  </si>
  <si>
    <t xml:space="preserve"> (פ/911/25)</t>
  </si>
  <si>
    <t xml:space="preserve">הצעת חוק מרשם האוכלוסין (תיקון - מיהו יהודי), התשפ"ג-2022</t>
  </si>
  <si>
    <t xml:space="preserve"> (פ/910/25)</t>
  </si>
  <si>
    <t xml:space="preserve">הצעת חוק הגנת השכר (תיקון - איסור ניכוי חוב או קנס), התשפ"ג-2022</t>
  </si>
  <si>
    <t xml:space="preserve"> (פ/909/25)</t>
  </si>
  <si>
    <t xml:space="preserve">הצעת חוק הביטוח הלאומי (תיקון - גמלה לשמירת היריון לאם שילדה פג), התשפ"ג-2022</t>
  </si>
  <si>
    <t xml:space="preserve"> (פ/908/25)</t>
  </si>
  <si>
    <t xml:space="preserve"> (פ/907/25)</t>
  </si>
  <si>
    <t xml:space="preserve">הצעת חוק שיקים ללא כיסוי (תיקון - חשבון פרטי וחשבון עסקי), התשפ"ג-2022</t>
  </si>
  <si>
    <t xml:space="preserve"> (פ/906/25)</t>
  </si>
  <si>
    <t xml:space="preserve">הצעת חוק-יסוד: הממשלה (תיקון - הפסקת כהונה של שר וסגן שר בשל חשד לפלילים) </t>
  </si>
  <si>
    <t xml:space="preserve"> (פ/905/25)</t>
  </si>
  <si>
    <t xml:space="preserve">הצעת חוק מענק לבניית מרחב מוגן, התשפ"ג-2022</t>
  </si>
  <si>
    <t xml:space="preserve"> (פ/904/25)</t>
  </si>
  <si>
    <t xml:space="preserve">הצעת חוק נציב תלונות הציבור על שופטים (תיקון - מינוי הנציב), התשפ"ג-2022</t>
  </si>
  <si>
    <t xml:space="preserve"> (פ/903/25)</t>
  </si>
  <si>
    <t xml:space="preserve">הצעת חוק החברות הממשלתיות (תיקון - ייצוג הולם בתאגידים שהוקמו בחוק ובחברות ממשלתיות), התשפ"ג-2022</t>
  </si>
  <si>
    <t xml:space="preserve"> (פ/902/25)</t>
  </si>
  <si>
    <t xml:space="preserve">הצעת חוק הביטוח הלאומי (תיקון - זכות טיעון לפני שלילת גמלה), התשפ"ג-2022</t>
  </si>
  <si>
    <t xml:space="preserve"> (פ/901/25)</t>
  </si>
  <si>
    <t xml:space="preserve">הצעת חוק לימוד חובה (תיקון - חובת דיווח על היעדרות תלמיד), התשפ"ג-2022</t>
  </si>
  <si>
    <t xml:space="preserve"> (פ/900/25)</t>
  </si>
  <si>
    <t xml:space="preserve">הצעת חוק לתיקון פקודת התעבורה (חובת התקנת חיישן בטיחות), התשפ"ג-2022</t>
  </si>
  <si>
    <t xml:space="preserve"> (פ/899/25)</t>
  </si>
  <si>
    <t xml:space="preserve">הצעת חוק לתיקון פקודת התעבורה (פיצוי למתלונן), התשפ"ג-2022</t>
  </si>
  <si>
    <t xml:space="preserve"> (פ/898/25)</t>
  </si>
  <si>
    <t xml:space="preserve">הצעת חוק לתיקון פקודת התעבורה (סימון שונה במקומות שבהם היתר החניה תלוי בשעות), התשפ"ג-2022</t>
  </si>
  <si>
    <t xml:space="preserve"> (פ/897/25)</t>
  </si>
  <si>
    <t xml:space="preserve">הצעת חוק יסודות התקציב (תיקון - ועדת ערר לתמיכה במוסד ציבור), התשפ"ג-2022</t>
  </si>
  <si>
    <t xml:space="preserve"> (פ/896/25)</t>
  </si>
  <si>
    <t xml:space="preserve">הצעת חוק הגנת השכר (תיקון - מתכונת אחידה לפנקס שכר ותלוש שכר), התשפ"ג-2022</t>
  </si>
  <si>
    <t xml:space="preserve"> (פ/895/25)</t>
  </si>
  <si>
    <t xml:space="preserve">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התשפ"ג-2022</t>
  </si>
  <si>
    <t xml:space="preserve"> (פ/894/25)</t>
  </si>
  <si>
    <t xml:space="preserve">הצעת חוק לתיקון פקודת הבנקאות (הוראות ניהול בנקאי תקין להלוואה בערבות מדינה בשעת חירום), התשפ"ג-2022</t>
  </si>
  <si>
    <t xml:space="preserve"> (פ/893/25)</t>
  </si>
  <si>
    <t xml:space="preserve">הצעת חוק העונשין (תיקון - תקיפת עורך דין כתקיפת עובד ציבור), התשפ"ג-2022</t>
  </si>
  <si>
    <t xml:space="preserve"> (פ/892/25)</t>
  </si>
  <si>
    <t xml:space="preserve">הצעת חוק-יסוד: השפיטה (תיקון - הרכב הוועדה לבחירת שופטים) </t>
  </si>
  <si>
    <t xml:space="preserve"> (פ/891/25)</t>
  </si>
  <si>
    <t xml:space="preserve">הצעת חוק ההוצאה לפועל (תיקון - קביעת תעריף מקסימלי לשכר טרחת עורך דין), התשפ"ג-2022</t>
  </si>
  <si>
    <t xml:space="preserve"> (פ/890/25)</t>
  </si>
  <si>
    <t xml:space="preserve">הצעת חוק הביטוח הלאומי (תיקון - הארכת המועד להגשת תביעות ליקוי שמיעה), התשפ"ג-2022</t>
  </si>
  <si>
    <t xml:space="preserve"> (פ/889/25)</t>
  </si>
  <si>
    <t xml:space="preserve">הצעת חוק הוועדה למינוי בכירים (תיקוני חקיקה), התשפ"ג-2022</t>
  </si>
  <si>
    <t xml:space="preserve"> (פ/888/25)</t>
  </si>
  <si>
    <t xml:space="preserve">הצעת חוק לתיקון פקודת הראיות (עדות יועץ תקשורת או דובר), התשפ"ג-2022</t>
  </si>
  <si>
    <t xml:space="preserve"> (פ/887/25)</t>
  </si>
  <si>
    <t xml:space="preserve">הצעת חוק להגדלת שיעור ההשתתפות בכוח העבודה ולצמצום פערים חברתיים (מענק עבודה) (תיקון - זכאות להטבות נלוות), התשפ"ג-2022</t>
  </si>
  <si>
    <t xml:space="preserve"> (פ/886/25)</t>
  </si>
  <si>
    <t xml:space="preserve">הצעת חוק הפקדות וזכויות סוציאליות לעצמאים (תיקוני חקיקה), התשפ"ג-2022</t>
  </si>
  <si>
    <t xml:space="preserve"> (פ/885/25)</t>
  </si>
  <si>
    <t xml:space="preserve">הצעת חוק לתיקון פקודת בתי הסוהר (תנאי אסיר ביטחוני בבתי הסוהר), התשפ"ג-2022</t>
  </si>
  <si>
    <t xml:space="preserve"> (פ/884/25)</t>
  </si>
  <si>
    <t xml:space="preserve">הצעת חוק הכשרות המשפטית והאפוטרופסות (תיקון - הסדרי ראיה לדודים ודודות), התשפ"ג-2022</t>
  </si>
  <si>
    <t xml:space="preserve"> (פ/883/25)</t>
  </si>
  <si>
    <t xml:space="preserve">הצעת חוק-יסוד: כבוד האדם וחירותו (תיקון - פגיעה בזכויות)</t>
  </si>
  <si>
    <t xml:space="preserve"> (פ/882/25)</t>
  </si>
  <si>
    <t xml:space="preserve">הצעת חוק הרשויות המקומיות (גמול השתתפות בישיבות והחזר הוצאות לחברי מועצה), התשפ"ג-2022</t>
  </si>
  <si>
    <t xml:space="preserve"> (פ/880/25)</t>
  </si>
  <si>
    <t xml:space="preserve">הצעת חוק התכנון והבנייה (תיקון - מכירה ישירה של תוצרת חקלאית), התשפ"ג-2022</t>
  </si>
  <si>
    <t xml:space="preserve"> (פ/879/25)</t>
  </si>
  <si>
    <t xml:space="preserve">הצעת חוק הביטוח הלאומי (תיקון - טיפול בפעוטות במעונות יום כעבודה מועדפת), התשפ"ג-2022</t>
  </si>
  <si>
    <t xml:space="preserve"> (פ/878/25)</t>
  </si>
  <si>
    <t xml:space="preserve">הצעת חוק התובע הכללי, התשפ"ג-2022</t>
  </si>
  <si>
    <t xml:space="preserve"> (פ/876/25)</t>
  </si>
  <si>
    <t xml:space="preserve">הצעת חוק החזר גביית יתר (תיקוני חקיקה), התשפ"ג-2022</t>
  </si>
  <si>
    <t xml:space="preserve"> (פ/875/25)</t>
  </si>
  <si>
    <t xml:space="preserve">הצעת חוק לתיקון פקודת העיריות (הרשאת שימוש במקרקעין למוסד ציבורי), התשפ"ג-2022</t>
  </si>
  <si>
    <t xml:space="preserve"> (פ/874/25)</t>
  </si>
  <si>
    <t xml:space="preserve">הצעת חוק העונשין (תיקון - ביטול עבירת השוטטות), התשפ"ג-2022</t>
  </si>
  <si>
    <t xml:space="preserve"> (פ/873/25)</t>
  </si>
  <si>
    <t xml:space="preserve">הצעת חוק המרכז לגביית קנסות, אגרות והוצאות (תיקון - גביית תשלום בעד חוב שטרם חלף המועד לתשלומו), התשפ"ג-2022</t>
  </si>
  <si>
    <t xml:space="preserve"> (פ/872/25)</t>
  </si>
  <si>
    <t xml:space="preserve">הצעת חוק פיקוח על בתי ספר (תיקון - הרחבת תחולה), התשפ"ג-2022</t>
  </si>
  <si>
    <t xml:space="preserve"> (פ/871/25)</t>
  </si>
  <si>
    <t xml:space="preserve">הצעת חוק איסור הנפת דגל הרשות הפלסטינית, התשפ"ג-2022</t>
  </si>
  <si>
    <t xml:space="preserve"> (פ/870/25)</t>
  </si>
  <si>
    <t xml:space="preserve"> (פ/869/25)</t>
  </si>
  <si>
    <t xml:space="preserve">הצעת חוק רישוי עסקים (תיקון - חובת הספקת אמצעים לגילוי סם מסוכן), התשפ"ג-2022</t>
  </si>
  <si>
    <t xml:space="preserve"> (פ/868/25)</t>
  </si>
  <si>
    <t xml:space="preserve">הצעת חוק עקרונות האסדרה (תיקון - פקיעת האסדרה), התשפ"ג-2022</t>
  </si>
  <si>
    <t xml:space="preserve"> (פ/867/25)</t>
  </si>
  <si>
    <t xml:space="preserve"> (פ/866/25)</t>
  </si>
  <si>
    <t xml:space="preserve">הצעת חוק איסור הפליה במוצרים, בשירותים ובכניסה למקומות בידור ולמקומות ציבוריים (תיקון - הפליה מחמת מראה והתניית רישיון עסק באיסור הפליה), התשפ"ג-2022</t>
  </si>
  <si>
    <t xml:space="preserve"> (פ/864/25)</t>
  </si>
  <si>
    <t xml:space="preserve"> (פ/863/25)</t>
  </si>
  <si>
    <t xml:space="preserve">הצעת חוק התכנון והבנייה (תיקון - חיבור חשמל מטעמים הומניטריים), התשפ"ג-2022</t>
  </si>
  <si>
    <t xml:space="preserve"> (פ/862/25)</t>
  </si>
  <si>
    <t xml:space="preserve">הצעת חוק הגנה על זכויות הדורות הבאים, התשפ"ג-2022</t>
  </si>
  <si>
    <t xml:space="preserve"> (פ/861/25)</t>
  </si>
  <si>
    <t xml:space="preserve">הצעת חוק חינוך לשוויון מגדרי, התשפ"ג-2022 </t>
  </si>
  <si>
    <t xml:space="preserve"> (פ/856/25)</t>
  </si>
  <si>
    <t xml:space="preserve">הצעת חוק התכנון והבנייה (תיקון מס' 116) (תיקון - ביטול החוק), התשפ"ג-2022</t>
  </si>
  <si>
    <t xml:space="preserve"> (פ/855/25)</t>
  </si>
  <si>
    <t xml:space="preserve">הצעת חוק-יסוד: זכויות חברתיות</t>
  </si>
  <si>
    <t xml:space="preserve"> (פ/854/25)</t>
  </si>
  <si>
    <t xml:space="preserve">הצעת חוק שירות התעסוקה (תיקון - נגישות לתחבורה ציבורית), התשפ"ג-2022</t>
  </si>
  <si>
    <t xml:space="preserve"> (פ/852/25)</t>
  </si>
  <si>
    <t xml:space="preserve"> (פ/851/25)</t>
  </si>
  <si>
    <t xml:space="preserve">הצעת חוק לתיקון פקודת הדיג (איסור דיג מכמורת), התשפ''ג-2022</t>
  </si>
  <si>
    <t xml:space="preserve"> (פ/849/25)</t>
  </si>
  <si>
    <t xml:space="preserve">הצעת חוק להגבלת הריסה וענישה על בנייה בלתי חוקית במגזר הערבי (הוראת שעה), התשפ"ג-2022</t>
  </si>
  <si>
    <t xml:space="preserve"> (פ/848/25)</t>
  </si>
  <si>
    <t xml:space="preserve">הצעת חוק לתיקון פקודת התעבורה (הוראות לעניין סככות המתנה בתחנות אוטובוס), התשפ"ג-2022</t>
  </si>
  <si>
    <t xml:space="preserve"> (פ/847/25)</t>
  </si>
  <si>
    <t xml:space="preserve">הצעת חוק לימוד חובה (תיקון - חינוך חינם לגיל הרך), התשפ"ג-2022</t>
  </si>
  <si>
    <t xml:space="preserve"> (פ/846/25)</t>
  </si>
  <si>
    <t xml:space="preserve"> (פ/845/25)</t>
  </si>
  <si>
    <t xml:space="preserve">הצעת חוק להגנת חיית הבר (תיקון - הרעלות), התשפ"ג-2022</t>
  </si>
  <si>
    <t xml:space="preserve"> (פ/844/25)</t>
  </si>
  <si>
    <t xml:space="preserve">הצעת חוק הביטוח הלאומי (תיקון - דמי אבטלה למתמחים), התשפ"ג-2022</t>
  </si>
  <si>
    <t xml:space="preserve"> (פ/843/25)</t>
  </si>
  <si>
    <t xml:space="preserve">הצעת חוק לשכת עורכי הדין (תיקון - הנחיות למתן ציונים במבחני הסמכה) (הוראת שעה), התשפ"ג-2022</t>
  </si>
  <si>
    <t xml:space="preserve"> (פ/842/25)</t>
  </si>
  <si>
    <t xml:space="preserve">הצעת חוק לתיקון פקודת הבנקאות (תקופת צינון למפקח על הבנקים), התשפ"ג-2022</t>
  </si>
  <si>
    <t xml:space="preserve"> (פ/841/25)</t>
  </si>
  <si>
    <t xml:space="preserve"> (פ/840/25)</t>
  </si>
  <si>
    <t xml:space="preserve">הצעת חוק הקמת יישוב עירוני חדש, התשפ"ג-2022 </t>
  </si>
  <si>
    <t xml:space="preserve"> (פ/839/25)</t>
  </si>
  <si>
    <t xml:space="preserve"> (פ/838/25)</t>
  </si>
  <si>
    <t xml:space="preserve">הצעת חוק העבירות המינהליות (תיקון - ביטול קנסות תכנון ובנייה), התשפ"ג-2022</t>
  </si>
  <si>
    <t xml:space="preserve"> (פ/837/25)</t>
  </si>
  <si>
    <t xml:space="preserve">הצעת חוק התכנון והבנייה (תיקון - חדרי הנקה בבניינים ציבוריים), התשפ"ג-2022</t>
  </si>
  <si>
    <t xml:space="preserve"> (פ/836/25)</t>
  </si>
  <si>
    <t xml:space="preserve"> (פ/835/25)</t>
  </si>
  <si>
    <t xml:space="preserve">הצעת חוק לתיקון פקודת בריאות העם (הזכות לשימור פוריות), התשפ"ג-2022</t>
  </si>
  <si>
    <t xml:space="preserve"> (פ/834/25)</t>
  </si>
  <si>
    <t xml:space="preserve">הצעת חוק התקשורת (בזק ושידורים) (תיקון - קליטה בטלפון נייד בכל חלקי הארץ), התשפ"ג-2022</t>
  </si>
  <si>
    <t xml:space="preserve"> (פ/833/25)</t>
  </si>
  <si>
    <t xml:space="preserve"> (פ/832/25)</t>
  </si>
  <si>
    <t xml:space="preserve">הצעת חוק סדר הדין הפלילי (סמכויות אכיפה - מעצרים) (תיקון - ביצוע מעצר וחקירת אדם עם מוגבלות שכלית או נפשית), התשפ"ג-2022</t>
  </si>
  <si>
    <t xml:space="preserve"> (פ/831/25)</t>
  </si>
  <si>
    <t xml:space="preserve">הצעת חוק הלוואות לשכר לימוד (תיקון - הלוואה ללא ריבית), התשפ"ג-2022</t>
  </si>
  <si>
    <t xml:space="preserve"> (פ/830/25)</t>
  </si>
  <si>
    <t xml:space="preserve">הצעת חוק הסכמים קיבוציים (תיקון - אי תחולה על עובד זר בענף החקלאות), התשפ"ג-2022</t>
  </si>
  <si>
    <t xml:space="preserve"> (פ/829/25)</t>
  </si>
  <si>
    <t xml:space="preserve"> (פ/828/25)</t>
  </si>
  <si>
    <t xml:space="preserve">הצעת חוק חוזה קבלנות (תיקון - חופש מהעסקה), התשפ"ג-2022</t>
  </si>
  <si>
    <t xml:space="preserve"> (פ/826/25)</t>
  </si>
  <si>
    <t xml:space="preserve">הצעת חוק להגנת חיית הבר (תיקון - סחר, החזקה והעברה של חיות בר), התשפ"ג-2022</t>
  </si>
  <si>
    <t xml:space="preserve"> (פ/825/25)</t>
  </si>
  <si>
    <t xml:space="preserve">הצעת חוק המרכז למורשת הערבית, התשפ"ג-2022</t>
  </si>
  <si>
    <t xml:space="preserve"> (פ/824/25)</t>
  </si>
  <si>
    <t xml:space="preserve">הצעת חוק איות שמות רחובות, דרכים ומקומות ציבוריים (תיקוני חקיקה), התשפ"ג-2022</t>
  </si>
  <si>
    <t xml:space="preserve"> (פ/823/25)</t>
  </si>
  <si>
    <t xml:space="preserve">הצעת חוק סדר הדין הפלילי (חקירת חשודים) (תיקון - זכויות חשודים), התשפ"ג-2022</t>
  </si>
  <si>
    <t xml:space="preserve"> (פ/822/25)</t>
  </si>
  <si>
    <t xml:space="preserve">הצעת חוק הגבלת מימון מפעלים מזהמים (תיקוני חקיקה), התשפ"ג-2022</t>
  </si>
  <si>
    <t xml:space="preserve"> (פ/821/25)</t>
  </si>
  <si>
    <t xml:space="preserve">הצעת חוק חינוך מיוחד (תיקון - קביעת זמן נסיעה), התשפ"ג-2022</t>
  </si>
  <si>
    <t xml:space="preserve"> (פ/820/25)</t>
  </si>
  <si>
    <t xml:space="preserve">הצעת חוק-יסוד: חופש העיסוק (תיקון - החלת חוק היסוד על אזרחי ישראל ותושבי קבע בלבד)</t>
  </si>
  <si>
    <t xml:space="preserve"> (פ/819/25)</t>
  </si>
  <si>
    <t xml:space="preserve">הצעת חוק צער בעלי חיים (הגנה על בעלי חיים) (תיקון - המעמד המשפטי של בעלי חיים), התשפ"ג-2022</t>
  </si>
  <si>
    <t xml:space="preserve"> (פ/818/25)</t>
  </si>
  <si>
    <t xml:space="preserve">הצעת חוק לימוד חובה (תיקון - חינוך חינם לפעוטות ולילדים), התשפ"ג-2022</t>
  </si>
  <si>
    <t xml:space="preserve"> (פ/817/25)</t>
  </si>
  <si>
    <t xml:space="preserve">הצעת חוק צער בעלי חיים (הגנה על בעלי חיים) (תיקון - איסור משלוחים חיים לשחיטה), התשפ"ג-2022</t>
  </si>
  <si>
    <t xml:space="preserve"> (פ/815/25)</t>
  </si>
  <si>
    <t xml:space="preserve">הצעת חוק שירותי תעופה (פיצוי וסיוע בשל ביטול טיסה או שינוי בתנאיה) (תיקון - הוראות שונות), התשפ"ג-2022</t>
  </si>
  <si>
    <t xml:space="preserve"> (פ/814/25)</t>
  </si>
  <si>
    <t xml:space="preserve">הצעת חוק סיוע למשפחות ברוכות ילדים (תיקוני חקיקה), התשפ"ג-2022</t>
  </si>
  <si>
    <t xml:space="preserve"> (פ/813/25)</t>
  </si>
  <si>
    <t xml:space="preserve"> (פ/812/25)</t>
  </si>
  <si>
    <t xml:space="preserve">הצעת חוק סדר הדין הפלילי (תיקון - הגבלת משך זמן החקירה המשטרתית), התשפ"ג-2022</t>
  </si>
  <si>
    <t xml:space="preserve"> (פ/811/25)</t>
  </si>
  <si>
    <t xml:space="preserve">הצעת חוק הפיקוח על שירותים פיננסיים (קופות גמל) (תיקון - היוון קצבה על ידי שאיר הזכאי לפנסיה תקציבית או לקצבה מקופה אחרת), התשפ"ג-2022</t>
  </si>
  <si>
    <t xml:space="preserve"> (פ/810/25)</t>
  </si>
  <si>
    <t xml:space="preserve">הצעת חוק להגנת חיית הבר (תיקון - ביטול רישיונות ציד), התשפ"ג-2022</t>
  </si>
  <si>
    <t xml:space="preserve"> (פ/809/25)</t>
  </si>
  <si>
    <t xml:space="preserve">הצעת חוק שוויון זכויות לאנשים עם מוגבלות (תיקון - הוראות לעניין מוסד על-תיכוני להשכלה תורנית או דתית), התשפ"ג-2022</t>
  </si>
  <si>
    <t xml:space="preserve"> (פ/808/25)</t>
  </si>
  <si>
    <t xml:space="preserve">הצעת חוק המועצה להשכלה גבוהה (תיקון - קביעת שכר לימוד במוסדות מוכרים שהמדינה אינה משתתפת בתקציביהם), התשפ"ג-2022</t>
  </si>
  <si>
    <t xml:space="preserve"> (פ/807/25)</t>
  </si>
  <si>
    <t xml:space="preserve">הצעת חוק הרב הצבאי הראשי, התשפ"ג-2022</t>
  </si>
  <si>
    <t xml:space="preserve"> (פ/806/25)</t>
  </si>
  <si>
    <t xml:space="preserve">הצעת חוק-יסוד: בחירות אזוריות וארציות (תיקוני חקיקה)</t>
  </si>
  <si>
    <t xml:space="preserve"> (פ/805/25)</t>
  </si>
  <si>
    <t xml:space="preserve">הצעת חוק הפיקוח על שירותים פיננסיים (קופות גמל) (תיקון - הגבלת דמי ניהול בקרנות הפנסיה), התשפ"ג-2022</t>
  </si>
  <si>
    <t xml:space="preserve"> (פ/804/25)</t>
  </si>
  <si>
    <t xml:space="preserve">הצעת חוק רשות מקרקעי ישראל (תיקון - הקצאה שוויונית לאוכלוסייה הערבית), התשפ"ג-2022</t>
  </si>
  <si>
    <t xml:space="preserve"> (פ/803/25)</t>
  </si>
  <si>
    <t xml:space="preserve">הצעת חוק לתיקון פקודת מס הכנסה (חשבון השקעה), התשפ"ג-2022</t>
  </si>
  <si>
    <t xml:space="preserve"> (פ/802/25)</t>
  </si>
  <si>
    <t xml:space="preserve">הצעת חוק מס רכוש וקרן פיצויים (תיקון - הרחבת הגדרת נזק), התשפ"ג-2022 </t>
  </si>
  <si>
    <t xml:space="preserve"> (פ/801/25)</t>
  </si>
  <si>
    <t xml:space="preserve">הצעת חוק בתי המשפט (תיקון - פומביות בחירת שופטי בית המשפט העליון), התשפ"ג-2022</t>
  </si>
  <si>
    <t xml:space="preserve"> (פ/800/25)</t>
  </si>
  <si>
    <t xml:space="preserve">הצעת חוק ייצוג גופים ציבוריים שעניינם בשמירת איכות הסביבה (תיקוני חקיקה), התשפ"ג-2022</t>
  </si>
  <si>
    <t xml:space="preserve"> (פ/798/25)</t>
  </si>
  <si>
    <t xml:space="preserve">הצעת חוק איסור הפליה במוצרים, בשירותים ובכניסה למקומות בידור ולמקומות ציבוריים (תיקון - חובת הודעה מוקדמת על אירוע סגור), התשפ"ג-2022</t>
  </si>
  <si>
    <t xml:space="preserve"> (פ/797/25)</t>
  </si>
  <si>
    <t xml:space="preserve">הצעת חוק הגנת השכר (תיקון - הגבלת ניכוי דמי חבר ודמי טיפול מקצועי ארגוני), התשפ"ג-2022</t>
  </si>
  <si>
    <t xml:space="preserve"> (פ/796/25)</t>
  </si>
  <si>
    <t xml:space="preserve">הצעת חוק לטיפול סביבתי בציוד חשמלי ואלקטרוני ובסוללות (תיקון - חובת מיחזור פסולת רכב חשמלי ורכב היברידי), התשפ"ג-2022 </t>
  </si>
  <si>
    <t xml:space="preserve"> (פ/795/25)</t>
  </si>
  <si>
    <t xml:space="preserve">הצעת חוק הביטוח הלאומי (תיקון - הצמדת קצבת אזרח ותיק לשכר המינימום), התשפ"ג-2022</t>
  </si>
  <si>
    <t xml:space="preserve"> (פ/794/25)</t>
  </si>
  <si>
    <t xml:space="preserve">הצעת חוק לתיקון פקודת התעבורה (התראה מפני מצלמות ומכמונות מהירות), התשפ"ג-2022</t>
  </si>
  <si>
    <t xml:space="preserve"> (פ/793/25)</t>
  </si>
  <si>
    <t xml:space="preserve">הצעת חוק-יסוד: הפרדת רשויות (תיקוני חקיקה)</t>
  </si>
  <si>
    <t xml:space="preserve"> (פ/792/25)</t>
  </si>
  <si>
    <t xml:space="preserve">הצעת חוק קרן לאזרחי ישראל (תיקון - ועדה אתית מייעצת), התשפ"ג-2023</t>
  </si>
  <si>
    <t xml:space="preserve"> (פ/791/25)</t>
  </si>
  <si>
    <t xml:space="preserve">הצעת חוק הפחתת הגירעון והגבלת ההוצאה התקציבית (תיקון - ביטול הגבלת ההוצאה התקציבית), התשפ"ג-2022</t>
  </si>
  <si>
    <t xml:space="preserve"> (פ/790/25)</t>
  </si>
  <si>
    <t xml:space="preserve">הצעת חוק חינוך ממלכתי (תיקון - הגבלת כהונה של מפקח מחוז), התשפ"ג-2022</t>
  </si>
  <si>
    <t xml:space="preserve"> (פ/789/25)</t>
  </si>
  <si>
    <t xml:space="preserve">הצעת חוק החזרת תושבי בירעם ואיקרית לבתיהם, התשפ"ג-2022</t>
  </si>
  <si>
    <t xml:space="preserve"> (פ/788/25)</t>
  </si>
  <si>
    <t xml:space="preserve">הצעת חוק עובדים זרים (תיקון - היתר להעסקת עובד זר בענף הסיעוד), התשפ"ג-2022</t>
  </si>
  <si>
    <t xml:space="preserve"> (פ/787/25)</t>
  </si>
  <si>
    <t xml:space="preserve">הצעת חוק לתיקון פקודת התעבורה (חניית נשים בהריון והורה לתינוק), התשפ"ג-2022</t>
  </si>
  <si>
    <t xml:space="preserve"> (פ/785/25)</t>
  </si>
  <si>
    <t xml:space="preserve">הצעת חוק הביטוח הלאומי (תיקון - הוראות מיוחדות לעניין דמי אבטלה וכפל קצבאות) (הוראת שעה), התשפ"ג-2022</t>
  </si>
  <si>
    <t xml:space="preserve"> (פ/784/25)</t>
  </si>
  <si>
    <t xml:space="preserve">הצעת חוק הביטוח הלאומי (תיקון - השוואת קצבת אזרח ותיק וקצבת נכות לשכר מינימום), התשפ"ג-2022</t>
  </si>
  <si>
    <t xml:space="preserve"> (פ/783/25)</t>
  </si>
  <si>
    <t xml:space="preserve">הצעת חוק היטלי סחר ואמצעי הגנה (תיקון - אי פתיחת חקירה בשל יבוא בהיצף בשוק מונופוליסטי או ריכוזי), התשפ"ג-2022</t>
  </si>
  <si>
    <t xml:space="preserve"> (פ/782/25)</t>
  </si>
  <si>
    <t xml:space="preserve">הצעת חוק העונשין (תיקון - נשיאת מאסר בעבודת שירות), התשפ"ג-2022</t>
  </si>
  <si>
    <t xml:space="preserve"> (פ/781/25)</t>
  </si>
  <si>
    <t xml:space="preserve">הצעת חוק זכויות נפגעי עבירה (תיקון - הרחבת זכות העיון לנפגעי עבירות מין), התשפ"ג-2022</t>
  </si>
  <si>
    <t xml:space="preserve"> (פ/780/25)</t>
  </si>
  <si>
    <t xml:space="preserve"> (פ/779/25)</t>
  </si>
  <si>
    <t xml:space="preserve">הצעת חוק איסור הפליה במוצרים, בשירותים ובכניסה למקומות בידור ולמקומות ציבוריים (תיקון - הפליה בשל מוצא עדתי), התשפ''ג-2022</t>
  </si>
  <si>
    <t xml:space="preserve"> (פ/777/25)</t>
  </si>
  <si>
    <t xml:space="preserve">הצעת חוק יסודות התקציב (תיקון - שלילת תקצוב ממוסד שהעומד בראשו מסית נגד שירות ביטחון או שירות לאומי-אזרחי או בעד סירוב פקודה), התשפ"ג-2022</t>
  </si>
  <si>
    <t xml:space="preserve"> (פ/775/25)</t>
  </si>
  <si>
    <t xml:space="preserve">הצעת חוק לימוד חובה (תיקון - התאמת לוח החופשות לימי העבודה במשק), התשפ"ג-2022</t>
  </si>
  <si>
    <t xml:space="preserve"> (פ/774/25)</t>
  </si>
  <si>
    <t xml:space="preserve">הצעת חוק יום הזיכרון לנכבה, התשפ"ג-2022</t>
  </si>
  <si>
    <t xml:space="preserve"> (פ/773/25)</t>
  </si>
  <si>
    <t xml:space="preserve">הצעת חוק לתיקון פקודת העיריות (ראש האופוזיציה), התשפ"ג-2022</t>
  </si>
  <si>
    <t xml:space="preserve"> (פ/772/25)</t>
  </si>
  <si>
    <t xml:space="preserve">הצעת חוק העסקת עובדי חינוך בגני ילדים באמצעות חוזה אישי (תיקוני חקיקה), התשפ"ג-2022</t>
  </si>
  <si>
    <t xml:space="preserve"> (פ/771/25)</t>
  </si>
  <si>
    <t xml:space="preserve">הצעת חוק סל מזון בריא - פיקוח על מחירים, שיווק וסבסוד, התשפ"ג-2022</t>
  </si>
  <si>
    <t xml:space="preserve"> (פ/770/25)</t>
  </si>
  <si>
    <t xml:space="preserve">הצעת חוק הביטוח הלאומי (תיקון - תוספת בעד בן הזוג לקצבת אזרח ותיק), התשפ"ג-2022</t>
  </si>
  <si>
    <t xml:space="preserve"> (פ/769/25)</t>
  </si>
  <si>
    <t xml:space="preserve">הצעת חוק הפיקוח על ייצוא ביטחוני (תיקון - הגבלות על ייצוא ביטחוני), התשפ"ג-2022</t>
  </si>
  <si>
    <t xml:space="preserve"> (פ/768/25)</t>
  </si>
  <si>
    <t xml:space="preserve">הצעת חוק מס ערך מוסף (תיקון - מכירת טובין למלכ"ר המיועדים לתרומה לכוחות הביטחון וההצלה), התשפ"ג-2022</t>
  </si>
  <si>
    <t xml:space="preserve"> (פ/767/25)</t>
  </si>
  <si>
    <t xml:space="preserve">הצעת חוק סיוע לנפגעי האסון הלאומי בהר מירון, התשפ"ג-2022</t>
  </si>
  <si>
    <t xml:space="preserve"> (פ/766/25)</t>
  </si>
  <si>
    <t xml:space="preserve">הצעת חוק הבחירות לכנסת (תיקון - יושב ראש ועדת הבחירות המרכזית), התשפ"ג-2022 </t>
  </si>
  <si>
    <t xml:space="preserve"> (פ/765/25)</t>
  </si>
  <si>
    <t xml:space="preserve"> (פ/764/25)</t>
  </si>
  <si>
    <t xml:space="preserve">הצעת חוק הפיקוח על מעונות (תיקון - הסדרת מעמד המטפלות במשפחתונים), התשפ"ג-2022</t>
  </si>
  <si>
    <t xml:space="preserve"> (פ/762/25)</t>
  </si>
  <si>
    <t xml:space="preserve">הצעת חוק הביטוח הלאומי (תיקון - ביטול מענק עבודה מועדפת), התשפ"ג-2022</t>
  </si>
  <si>
    <t xml:space="preserve"> (פ/761/25)</t>
  </si>
  <si>
    <t xml:space="preserve">הצעת חוק העונשין (תיקון - החמרת הענישה בשל תקיפה בכביש), התשפ"ג-2022</t>
  </si>
  <si>
    <t xml:space="preserve"> (פ/759/25)</t>
  </si>
  <si>
    <t xml:space="preserve">הצעת חוק חוזה הביטוח (תיקון - בחינת סבירות פעולות מבטח, העברת נטל ועיצום כספי), התשפ"ג-2022</t>
  </si>
  <si>
    <t xml:space="preserve"> (פ/758/25)</t>
  </si>
  <si>
    <t xml:space="preserve">הצעת חוק הביטוח הלאומי (תיקון - סיווג מאמנים כמבוטחים), התשפ"ג-2022</t>
  </si>
  <si>
    <t xml:space="preserve"> (פ/757/25)</t>
  </si>
  <si>
    <t xml:space="preserve">הצעת חוק זכויות נפגעי עבירה (תיקון - זכויות נפגעי פעולות איבה), התשפ"ג-2022</t>
  </si>
  <si>
    <t xml:space="preserve"> (פ/756/25)</t>
  </si>
  <si>
    <t xml:space="preserve">חוק הכנסת (תיקון מס' 51), התשפ"ג-2022</t>
  </si>
  <si>
    <t xml:space="preserve"> (פ/84/25)</t>
  </si>
  <si>
    <t xml:space="preserve"> (כ/941)</t>
  </si>
  <si>
    <t xml:space="preserve">19.12.2022</t>
  </si>
  <si>
    <t xml:space="preserve">תיקון מס' 51 לחוק הכנסת מבטל את האפשרות של ארבעה חברי כנסת להתפלג מסיעתם, אפשרות שנוספה לחוק בתיקון מס' 49 משנת התשפ"א-2021. בהתאם, לצורך התפלגות לפי סעיף 59(1) לחוק הכנסת תידרש קבוצה של שני ח"כים לפחות, המהווים לפחות שליש מחברי הסיעה.</t>
  </si>
  <si>
    <t xml:space="preserve">הצעת חוק הביטוח הלאומי (תיקון - קצבת אזרח ותיק לנכה), התשפ"ג-2022</t>
  </si>
  <si>
    <t xml:space="preserve"> (פ/754/25)</t>
  </si>
  <si>
    <t xml:space="preserve">הצעת חוק לתיקון פקודת התעבורה (תמרור סימון על פני הכביש - שימוש באמצעי מונע החלקה), התשפ"ג-2022</t>
  </si>
  <si>
    <t xml:space="preserve"> (פ/753/25)</t>
  </si>
  <si>
    <t xml:space="preserve">הצעת חוק הרשויות המקומיות (ריבית והפרשי הצמדה על תשלומי חובה) (תיקון - הפחתת אחוז הריבית ברשויות המקומיות), התשפ"ג-2022</t>
  </si>
  <si>
    <t xml:space="preserve"> (פ/752/25)</t>
  </si>
  <si>
    <t xml:space="preserve">הצעת חוק התכנון והבנייה (תיקון - חובת שידור והקלטת ישיבות, ניהול פרוטוקול ופרסומו), התשפ"ג-2022</t>
  </si>
  <si>
    <t xml:space="preserve"> (פ/751/25)</t>
  </si>
  <si>
    <t xml:space="preserve">הצעת חוק מס ערך מוסף (תיקון - מס בשיעור אפס על תרופות), התשפ"ג-2022</t>
  </si>
  <si>
    <t xml:space="preserve"> (פ/750/25)</t>
  </si>
  <si>
    <t xml:space="preserve">הצעת חוק העונשין (תיקון - סחר בבני אדם למטרות נישואין), התשפ"ג-2022</t>
  </si>
  <si>
    <t xml:space="preserve"> (פ/747/25)</t>
  </si>
  <si>
    <t xml:space="preserve">הצעת חוק הביטוח הלאומי (תיקון - דמי ביטוח מופחתים בעד עובד בעבודה מהבית), התשפ"ג-2022</t>
  </si>
  <si>
    <t xml:space="preserve"> (פ/746/25)</t>
  </si>
  <si>
    <t xml:space="preserve">הצעת חוק קידום התחרות בענף המזון (תיקון - הפיכת הוראת שעה להוראה קבועה), התשפ"ג-2022</t>
  </si>
  <si>
    <t xml:space="preserve"> (פ/745/25)</t>
  </si>
  <si>
    <t xml:space="preserve">הצעת חוק לתיקון פקודת התעבורה (הגבלת דמי חניה במוסד רפואי), התשפ"ג-2022</t>
  </si>
  <si>
    <t xml:space="preserve"> (פ/744/25)</t>
  </si>
  <si>
    <t xml:space="preserve">הצעת חוק נתוני אשראי (תיקון - תקופת החזקת מידע במאגר), התשפ"ג-2022</t>
  </si>
  <si>
    <t xml:space="preserve"> (פ/743/25)</t>
  </si>
  <si>
    <t xml:space="preserve">הצעת חוק-יסוד: הכנסת (תיקון - פסילת רשימת מועמדים או אדם המועמד לבחירות לכנסת בשל תמיכה או העלאה על נס של רוצחי יהודים)</t>
  </si>
  <si>
    <t xml:space="preserve"> (פ/739/25)</t>
  </si>
  <si>
    <t xml:space="preserve">הצעת חוק הממשלה (תיקון - דיווח שר בדבר אי התקנת תקנות במועד), התשפ"ג-2022</t>
  </si>
  <si>
    <t xml:space="preserve"> (פ/738/25)</t>
  </si>
  <si>
    <t xml:space="preserve">הצעת חוק חובת המכרזים (תיקון - עידוד עסקים קטנים ובינוניים באזור פריפריה במכרז), התשפ"ג-2022</t>
  </si>
  <si>
    <t xml:space="preserve"> (פ/737/25)</t>
  </si>
  <si>
    <t xml:space="preserve">הצעת חוק למניעת פגיעה במדינת ישראל באמצעות חרם (תיקון - פיצויים ללא הוכחת נזק), התשפ"ג-2022</t>
  </si>
  <si>
    <t xml:space="preserve"> (פ/735/25)</t>
  </si>
  <si>
    <t xml:space="preserve">הצעת חוק חוזה הביטוח (תיקון - התיישנות וריבית מיוחדת), התשפ"ג-2022</t>
  </si>
  <si>
    <t xml:space="preserve"> (פ/734/25)</t>
  </si>
  <si>
    <t xml:space="preserve">הצעת חוק גוש עציון, התשפ"ג-2022</t>
  </si>
  <si>
    <t xml:space="preserve"> (פ/733/25)</t>
  </si>
  <si>
    <t xml:space="preserve">הצעת חוק חובת המכרזים (תיקון - שילוב עסקים קטנים ובינוניים במכרזים ציבוריים), התשפ"ג-2022</t>
  </si>
  <si>
    <t xml:space="preserve"> (פ/732/25)</t>
  </si>
  <si>
    <t xml:space="preserve">הצעת חוק להנצחת זכרם של קורבנות הטבח בטנטורה, התשפ"ג-2022</t>
  </si>
  <si>
    <t xml:space="preserve"> (פ/731/25)</t>
  </si>
  <si>
    <t xml:space="preserve">הצעת חוק הרשות הלאומית למניעה ולמאבק באלימות במשפחה ובאלימות נגד נשים, התשפ"ג-2022</t>
  </si>
  <si>
    <t xml:space="preserve"> (פ/730/25)</t>
  </si>
  <si>
    <t xml:space="preserve">הצעת חוק האזרחות והכניסה לישראל (הוראת שעה) (תיקון - היתר לגבי בני זוג), התשפ"ג-2022</t>
  </si>
  <si>
    <t xml:space="preserve"> (פ/728/25)</t>
  </si>
  <si>
    <t xml:space="preserve">הצעת חוק הביטוח הלאומי (תיקון - חובת נוכחות מתורגמן בדיוני ועדה רפואית), התשפ"ג-2022</t>
  </si>
  <si>
    <t xml:space="preserve"> (פ/727/25)</t>
  </si>
  <si>
    <t xml:space="preserve">הצעת חוק השכירות והשאילה (תיקון - הארכת תקופת השכירות בעת מצב חירום), התשפ"ג-2022</t>
  </si>
  <si>
    <t xml:space="preserve"> (פ/726/25)</t>
  </si>
  <si>
    <t xml:space="preserve">הצעת חוק מימון מפלגות (תיקון - ייצוג לנשים ברשימות המועמדים), התשפ"ג-2022</t>
  </si>
  <si>
    <t xml:space="preserve"> (פ/725/25)</t>
  </si>
  <si>
    <t xml:space="preserve">הצעת חוק מימון מפלגות (תיקון - ייצוג לנשים ברשימת המועמדים), התשפ"ג-2022</t>
  </si>
  <si>
    <t xml:space="preserve"> (פ/724/25)</t>
  </si>
  <si>
    <t xml:space="preserve">הצעת חוק לתיקון פקודת מס הכנסה (הכרה בהוצאות טיפול בילדים), התשפ"ג-2022</t>
  </si>
  <si>
    <t xml:space="preserve"> (פ/723/25)</t>
  </si>
  <si>
    <t xml:space="preserve">הצעת חוק גוש מנשה, התשפ"ג-2022</t>
  </si>
  <si>
    <t xml:space="preserve"> (פ/722/25)</t>
  </si>
  <si>
    <t xml:space="preserve">הצעת חוק חסינות כוחות הביטחון באירועים מבצעיים, התשפ"ג-2022</t>
  </si>
  <si>
    <t xml:space="preserve"> (פ/718/25)</t>
  </si>
  <si>
    <t xml:space="preserve">הצעת חוק חינוך ממלכתי (תיקון - חינוך ממלכתי חרדי), התשפ"ג-2022</t>
  </si>
  <si>
    <t xml:space="preserve"> (פ/717/25)</t>
  </si>
  <si>
    <t xml:space="preserve">הצעת חוק-יסוד: השפיטה (תיקון - פסקת התגברות)</t>
  </si>
  <si>
    <t xml:space="preserve"> (פ/716/25)</t>
  </si>
  <si>
    <t xml:space="preserve">הצעת חוק עקרונות האסדרה (תיקון - פקיעת אסדרה), התשפ"ג-2022</t>
  </si>
  <si>
    <t xml:space="preserve"> (פ/714/25)</t>
  </si>
  <si>
    <t xml:space="preserve">הצעת חוק הביטוח הלאומי (תיקון - העלאת קצבת אזרח ותיק), התשפ"ג-2022</t>
  </si>
  <si>
    <t xml:space="preserve"> (פ/712/25)</t>
  </si>
  <si>
    <t xml:space="preserve">הצעת חוק ההוצאה לפועל (תיקון - קבלת קהל בשעות אחר הצהריים), התשפ"ג-2022</t>
  </si>
  <si>
    <t xml:space="preserve"> (פ/711/25)</t>
  </si>
  <si>
    <t xml:space="preserve"> (פ/710/25)</t>
  </si>
  <si>
    <t xml:space="preserve">הצעת חוק כביש אגרה (כביש ארצי לישראל) (תיקון - תנאי לגביית אגרה), התשפ"ג-2022</t>
  </si>
  <si>
    <t xml:space="preserve"> (פ/708/25)</t>
  </si>
  <si>
    <t xml:space="preserve">הצעת חוק מניעת ביצוע עבירות באמצעות פרסום באינטרנט (הסרת תוכן), התשפ"ג-2022</t>
  </si>
  <si>
    <t xml:space="preserve"> (פ/707/25)</t>
  </si>
  <si>
    <t xml:space="preserve"> (פ/705/25)</t>
  </si>
  <si>
    <t xml:space="preserve">הצעת חוק הגנת הצרכן (תיקון - איסור גביית עמלה בעסקה שבוצעה באמצעות האינטרנט), התשפ"ג-2022</t>
  </si>
  <si>
    <t xml:space="preserve"> (פ/704/25)</t>
  </si>
  <si>
    <t xml:space="preserve"> (פ/703/25)</t>
  </si>
  <si>
    <t xml:space="preserve">הצעת חוק זכויות סוציאליות לנשים נפגעות אלימות (תיקוני חקיקה), התשפ"ג-2022</t>
  </si>
  <si>
    <t xml:space="preserve"> (פ/702/25)</t>
  </si>
  <si>
    <t xml:space="preserve">הצעת חוק הרשויות המקומיות (אכיפה סביבתית - סמכויות פקחים) (תיקון - הסמכת פקחים באיגוד ערים לווטרינריה), התשפ"ג-2022</t>
  </si>
  <si>
    <t xml:space="preserve"> (פ/701/25)</t>
  </si>
  <si>
    <t xml:space="preserve">הצעת חוק לתיקון פקודת מס הכנסה (ביטול מס בגין זקיפה סלולרית), התשפ"ג-2022</t>
  </si>
  <si>
    <t xml:space="preserve"> (פ/700/25)</t>
  </si>
  <si>
    <t xml:space="preserve">הצעת חוק הביטוח הלאומי (תיקון - הרחבת הזכאות למענק לימודים), התשפ"ג-2022</t>
  </si>
  <si>
    <t xml:space="preserve"> (פ/699/25)</t>
  </si>
  <si>
    <t xml:space="preserve"> (פ/697/25)</t>
  </si>
  <si>
    <t xml:space="preserve"> (פ/696/25)</t>
  </si>
  <si>
    <t xml:space="preserve">הצעת חוק לתיקון פקודת מס הכנסה (שינוי מדרגות המס), התשפ"ג-2022</t>
  </si>
  <si>
    <t xml:space="preserve"> (פ/694/25)</t>
  </si>
  <si>
    <t xml:space="preserve"> (פ/693/25)</t>
  </si>
  <si>
    <t xml:space="preserve">הצעת חוק איסור ניתוק משירותי חשמל, מים וגז (תיקוני חקיקה), התשפ"ג-2022</t>
  </si>
  <si>
    <t xml:space="preserve"> (פ/692/25)</t>
  </si>
  <si>
    <t xml:space="preserve">הצעת חוק הביטוח הלאומי (תיקון - חישוב דמי לידה לפי שנה שקדמה ליום הקובע), התשפ"ג-2022</t>
  </si>
  <si>
    <t xml:space="preserve"> (פ/691/25)</t>
  </si>
  <si>
    <t xml:space="preserve">הצעת חוק לתיקון פקודת מס הכנסה (משיכה פטורה מקרן השתלמות כשחלות תקנות שמטילות הגבלות על פעילות עסקית), התשפ"ג-2022</t>
  </si>
  <si>
    <t xml:space="preserve"> (פ/689/25)</t>
  </si>
  <si>
    <t xml:space="preserve">הצעת חוק השוואת זכויות פנסיה לאלמן ולאלמנה, התשפ"ג-2022</t>
  </si>
  <si>
    <t xml:space="preserve"> (פ/688/25)</t>
  </si>
  <si>
    <t xml:space="preserve">הצעת חוק המלחמה בפדופיליה (מאגר מידע), התשפ"ג-2022</t>
  </si>
  <si>
    <t xml:space="preserve"> (פ/687/25)</t>
  </si>
  <si>
    <t xml:space="preserve">הצעת חוק החלת דיני הקרקעות והתכנון והבנייה הישראליים ביהודה והשומרון, התשפ"ג-2022</t>
  </si>
  <si>
    <t xml:space="preserve"> (פ/686/25)</t>
  </si>
  <si>
    <t xml:space="preserve">הצעת חוק הביטוח הלאומי (תיקון - הארכת תקופת הזכאות לדמי אבטלה לצעירים), התשפ"ג-2022</t>
  </si>
  <si>
    <t xml:space="preserve"> (פ/685/25)</t>
  </si>
  <si>
    <t xml:space="preserve">הצעת חוק ירושלים ובנותיה, התשפ"ג-2022</t>
  </si>
  <si>
    <t xml:space="preserve"> (פ/684/25)</t>
  </si>
  <si>
    <t xml:space="preserve">הצעת חוק הביטוח הלאומי (תיקון - הגדלת קצבת הנכות), התשפ"ג-2022</t>
  </si>
  <si>
    <t xml:space="preserve"> (פ/683/25)</t>
  </si>
  <si>
    <t xml:space="preserve">הצעת חוק הביטוח הלאומי (תיקון - הכרה בפגיעה מינית בעבודה כתאונת עבודה), התשפ"ג-2022</t>
  </si>
  <si>
    <t xml:space="preserve"> (פ/682/25)</t>
  </si>
  <si>
    <t xml:space="preserve">הצעת חוק בתי המשפט (תיקון - תקופת צינון במועמדות חבר כנסת או שר למשרת שופט), התשפ"ג-2022</t>
  </si>
  <si>
    <t xml:space="preserve"> (פ/681/25)</t>
  </si>
  <si>
    <t xml:space="preserve">הצעת חוק הביטוח הלאומי (תיקון - הודעה לפני גביית חוב), התשפ"ג-2022</t>
  </si>
  <si>
    <t xml:space="preserve"> (פ/679/25)</t>
  </si>
  <si>
    <t xml:space="preserve">הצעת חוק העונשין (תיקון - בעילה אסורה בהסכמה תוך ניצול מעמד ציבורי מיוחד), התשפ"ג-2022</t>
  </si>
  <si>
    <t xml:space="preserve"> (פ/678/25)</t>
  </si>
  <si>
    <t xml:space="preserve">הצעת חוק חוזה העבודה (הסדרי עבודה מרחוק), התשפ"ג-2022</t>
  </si>
  <si>
    <t xml:space="preserve"> (פ/677/25)</t>
  </si>
  <si>
    <t xml:space="preserve">הצעת חוק טיפול בחולי נפש (תיקון - תנאי אשפוז הולמים), התשפ"ג-2022</t>
  </si>
  <si>
    <t xml:space="preserve"> (פ/676/25)</t>
  </si>
  <si>
    <t xml:space="preserve">הצעת חוק התכנון והבנייה (תיקון - תוקף היתר הבנייה), התשפ"ג-2022</t>
  </si>
  <si>
    <t xml:space="preserve"> (פ/674/25)</t>
  </si>
  <si>
    <t xml:space="preserve">הצעת חוק נציב תלונות הציבור על שופטים (תיקון - פרסום שם שופט), התשפ"ג-2022 </t>
  </si>
  <si>
    <t xml:space="preserve"> (פ/673/25)</t>
  </si>
  <si>
    <t xml:space="preserve">הצעת חוק ביטוח בריאות ממלכתי (תיקון - פנייה לנציב קבילות הציבור), התשפ"ג-2022 </t>
  </si>
  <si>
    <t xml:space="preserve"> (פ/672/25)</t>
  </si>
  <si>
    <t xml:space="preserve">הצעת חוק החלת החוק הישראלי בשטח בקעת הירדן, צפון ים המלח, ובישובים היהודיים ביהודה והשומרון, התשפ"ג-2022</t>
  </si>
  <si>
    <t xml:space="preserve"> (פ/671/25)</t>
  </si>
  <si>
    <t xml:space="preserve">הצעת חוק-יסוד: כבוד האדם וחירותו (תיקון - תוקפו של חוק חורג בעניין מסתננים)</t>
  </si>
  <si>
    <t xml:space="preserve"> (פ/670/25)</t>
  </si>
  <si>
    <t xml:space="preserve">הצעת חוק לתיקון פקודת הראיות (חיסיון קרימינולוג קליני), התשפ"ג-2022</t>
  </si>
  <si>
    <t xml:space="preserve"> (פ/669/25)</t>
  </si>
  <si>
    <t xml:space="preserve">הצעת חוק הביטוח הלאומי (תיקון - מענק לידה אחיד מילד שני ואילך), התשפ"ג-2022</t>
  </si>
  <si>
    <t xml:space="preserve"> (פ/668/25)</t>
  </si>
  <si>
    <t xml:space="preserve">הצעת חוק כביש אגרה (כביש ארצי לישראל) (תיקון - הפחתת ריבית פיגורים על חוב חלוט), התשפ"ג-2022</t>
  </si>
  <si>
    <t xml:space="preserve"> (פ/667/25)</t>
  </si>
  <si>
    <t xml:space="preserve">הצעת חוק הפעלת תחבורה ציבורית ביום המנוחה השבועי, התשפ"ג-2022</t>
  </si>
  <si>
    <t xml:space="preserve"> (פ/666/25)</t>
  </si>
  <si>
    <t xml:space="preserve">הצעת חוק העונשין (תיקון - עונש מזערי בגין יידוי או ירי של אבן או חפץ אחר לעבר כלי תחבורה), התשפ"ג-2022</t>
  </si>
  <si>
    <t xml:space="preserve"> (פ/665/25)</t>
  </si>
  <si>
    <t xml:space="preserve">הצעת חוק לתיקון פקודת התעבורה (איסור עישון ברכב שנמצא בו קטין שטרם מלאו לו 15 שנים), התשפ"ג-2022</t>
  </si>
  <si>
    <t xml:space="preserve"> (פ/664/25)</t>
  </si>
  <si>
    <t xml:space="preserve">הצעת חוק שכר ותנאי עבודה לנהגי תחבורה ציבורית, התשפ"ג-2022</t>
  </si>
  <si>
    <t xml:space="preserve"> (פ/663/25)</t>
  </si>
  <si>
    <t xml:space="preserve">הצעת חוק הבנקאות (שירות ללקוח) (תיקון - מועדי החזר של הלוואה לדיור), התשפ"ג-2022</t>
  </si>
  <si>
    <t xml:space="preserve"> (פ/662/25)</t>
  </si>
  <si>
    <t xml:space="preserve">הצעת חוק חוזה הביטוח (תיקון - ביטוח דירה), התשפ"ג-2022</t>
  </si>
  <si>
    <t xml:space="preserve"> (פ/661/25)</t>
  </si>
  <si>
    <t xml:space="preserve">הצעת חוק הסכמים קיבוציים (תיקון - ביטול גביית דמי טיפול ארגוני-מקצועי), התשפ"ג-2022</t>
  </si>
  <si>
    <t xml:space="preserve"> (פ/660/25)</t>
  </si>
  <si>
    <t xml:space="preserve">הצעת חוק הביטוח הלאומי (תיקון - תוספת דמי אבטלה למי שמתחת לגיל 28 עם ילד אחד לפחות), התשפ"ג-2022 </t>
  </si>
  <si>
    <t xml:space="preserve"> (פ/659/25)</t>
  </si>
  <si>
    <t xml:space="preserve">הצעת חוק בתי המשפט (תיקון - תקופת צינון לפני מינוי), התשפ"ג-2022</t>
  </si>
  <si>
    <t xml:space="preserve"> (פ/658/25)</t>
  </si>
  <si>
    <t xml:space="preserve">הצעת חוק בנק ישראל (תיקון - פרטי שטרי כסף ומעות), התשפ"ג-2022</t>
  </si>
  <si>
    <t xml:space="preserve"> (פ/657/25)</t>
  </si>
  <si>
    <t xml:space="preserve">הצעת חוק מתן שירות בשפה הערבית בגופים ציבוריים ובגופים מסחריים, התשפ"ג-2022</t>
  </si>
  <si>
    <t xml:space="preserve"> (פ/656/25)</t>
  </si>
  <si>
    <t xml:space="preserve">הצעת חוק זכויות הסטודנט (תיקון - סיוע כלכלי בשעת חירום), התשפ"ג-2022</t>
  </si>
  <si>
    <t xml:space="preserve"> (פ/654/25)</t>
  </si>
  <si>
    <t xml:space="preserve">הצעת חוק הביטוח הלאומי (תיקון - השוואת קצבת נכות לשכר המינימום), התשפ"ג-2022</t>
  </si>
  <si>
    <t xml:space="preserve"> (פ/653/25)</t>
  </si>
  <si>
    <t xml:space="preserve">הצעת חוק לתיקון פקודת מס הכנסה (דיווח שנתי או חצי שנתי לסוגי נכסים), התשפ"ג-2022</t>
  </si>
  <si>
    <t xml:space="preserve"> (פ/652/25)</t>
  </si>
  <si>
    <t xml:space="preserve">הצעת חוק צער בעלי חיים (הגנה על בעלי חיים) (תיקון - איסור שימוש במלכודות דבק ומלכודות רגל, והחלת עבירות באזור יהודה והשומרון), התשפ"ג-2022</t>
  </si>
  <si>
    <t xml:space="preserve"> (פ/651/25)</t>
  </si>
  <si>
    <t xml:space="preserve">הצעת חוק מס ערך מוסף (תיקון - פטור ממס על תשר), התשפ"ג-2022</t>
  </si>
  <si>
    <t xml:space="preserve"> (פ/650/25)</t>
  </si>
  <si>
    <t xml:space="preserve">הצעת חוק למניעת העסקה של עובד הוראה התומך בטרור, התשפ"ג-2022</t>
  </si>
  <si>
    <t xml:space="preserve"> (פ/649/25)</t>
  </si>
  <si>
    <t xml:space="preserve">הצעת חוק דמי מחלה (היעדרות בשל מחלת ילד) (תיקון - היעדרות בעקבות פגיעה בעבירת מין או אלימות חמורה), התשפ"ג-2022</t>
  </si>
  <si>
    <t xml:space="preserve"> (פ/648/25)</t>
  </si>
  <si>
    <t xml:space="preserve">הצעת חוק העונשין (תיקון - הכנת פרסום בדבר שירותי זנות), התשפ"ג-2022</t>
  </si>
  <si>
    <t xml:space="preserve"> (פ/647/25)</t>
  </si>
  <si>
    <t xml:space="preserve">הצעת חוק שעות עבודה ומנוחה (תיקון - הגבלת שעות העסקה של מתמחה ברפואה), התשפ"ג-2022</t>
  </si>
  <si>
    <t xml:space="preserve"> (פ/646/25)</t>
  </si>
  <si>
    <t xml:space="preserve">הצעת חוק זכויות נפגעי עבירה (תיקון - זכאות בני משפחה), התשפ"ג-2022</t>
  </si>
  <si>
    <t xml:space="preserve"> (פ/645/25)</t>
  </si>
  <si>
    <t xml:space="preserve">הצעת חוק המאבק בשחיתות הציבורית - הרשעה בעבירה שיש עמה קלון (תיקוני חקיקה), התשפ"ג-2022</t>
  </si>
  <si>
    <t xml:space="preserve"> (פ/644/25)</t>
  </si>
  <si>
    <t xml:space="preserve">הצעת חוק פיקוח על מחירי מצרכים ושירותים (תיקון - פיקוח על מחיר לחם מלא), התשפ''ג-2022</t>
  </si>
  <si>
    <t xml:space="preserve"> (פ/643/25)</t>
  </si>
  <si>
    <t xml:space="preserve">הצעת חוק-יסוד: הממשלה (תיקון - סייג להטלת התפקיד להרכיב ממשלה)</t>
  </si>
  <si>
    <t xml:space="preserve"> (פ/642/25)</t>
  </si>
  <si>
    <t xml:space="preserve">הצעת חוק זכויות התלמיד (תיקון - איסור התניית זכות הלימוד בתשלום), התשפ"ג-2022</t>
  </si>
  <si>
    <t xml:space="preserve"> (פ/641/25)</t>
  </si>
  <si>
    <t xml:space="preserve">הצעת חוק לימוד חובה (תיקון - חובת לימודי ליבה), התשפ"ג-2022</t>
  </si>
  <si>
    <t xml:space="preserve"> (פ/640/25)</t>
  </si>
  <si>
    <t xml:space="preserve">הצעת חוק ביטוח בריאות ממלכתי (תיקון - צמצום פערים בין הפריפריה למרכז), התשפ"ג-2022</t>
  </si>
  <si>
    <t xml:space="preserve"> (פ/639/25)</t>
  </si>
  <si>
    <t xml:space="preserve">הצעת חוק הביטוח הלאומי (תיקון - הוספת ענפי ההסעדה והאבטחה ביישובי הגליל והנגב לרשימת העבודות המועדפות), התשפ"ג-2022</t>
  </si>
  <si>
    <t xml:space="preserve"> (פ/638/25)</t>
  </si>
  <si>
    <t xml:space="preserve">הצעת חוק שלילת תקצוב מוסדות חינוך המפלים תלמידים ברישום אליהם (תיקוני חקיקה), התשפ"ג-2022</t>
  </si>
  <si>
    <t xml:space="preserve"> (פ/637/25)</t>
  </si>
  <si>
    <t xml:space="preserve">הצעת חוק שירות ביטחון (תיקון - שוויון בנטל), התשפ"ג-2022</t>
  </si>
  <si>
    <t xml:space="preserve"> (פ/636/25)</t>
  </si>
  <si>
    <t xml:space="preserve">הצעת חוק תקופת לידה והורות להורים (תיקוני חקיקה), התשפ"ג-2022</t>
  </si>
  <si>
    <t xml:space="preserve"> (פ/635/25)</t>
  </si>
  <si>
    <t xml:space="preserve"> (פ/633/25)</t>
  </si>
  <si>
    <t xml:space="preserve"> (פ/632/25)</t>
  </si>
  <si>
    <t xml:space="preserve">הצעת חוק הצבת מכשירי החייאה במקומות ציבוריים (תיקון - צעדים ליישום מיטבי של החוק), התשפ"ג-2022</t>
  </si>
  <si>
    <t xml:space="preserve"> (פ/631/25)</t>
  </si>
  <si>
    <t xml:space="preserve">הצעת חוק הביטוח הלאומי (תיקון - העלאת קצבת הילדים), התשפ"ג-2022</t>
  </si>
  <si>
    <t xml:space="preserve"> (פ/630/25)</t>
  </si>
  <si>
    <t xml:space="preserve">הצעת חוק הממשלה (תיקון - חוות דעת של רשות ציבורית בענייני חקיקה), התשפ"ג-2022</t>
  </si>
  <si>
    <t xml:space="preserve"> (פ/628/25)</t>
  </si>
  <si>
    <t xml:space="preserve">הצעת חוק התכנון והבנייה (תיקון - חלף היטל השבחה), התשפ"ג-2022</t>
  </si>
  <si>
    <t xml:space="preserve"> (פ/627/25)</t>
  </si>
  <si>
    <t xml:space="preserve">הצעת חוק איסור מכירת קמינים ושימוש בהם, התשפ"ג-2022</t>
  </si>
  <si>
    <t xml:space="preserve"> (פ/626/25)</t>
  </si>
  <si>
    <t xml:space="preserve">הצעת חוק לשכת עורכי הדין (תיקון - הגבלת שכר טרחה על מכתבי התראה לפני גביית חוב), התשפ"ג-2022</t>
  </si>
  <si>
    <t xml:space="preserve"> (פ/625/25)</t>
  </si>
  <si>
    <t xml:space="preserve">הצעת חוק לצמצום השימוש בשקיות נשיאה חד-פעמיות (תיקון - היטל על שקית נשיאה חד-פעמית), התשפ"ג-2022</t>
  </si>
  <si>
    <t xml:space="preserve"> (פ/623/25)</t>
  </si>
  <si>
    <t xml:space="preserve">הצעת חוק שיווי זכויות האישה (תיקון - תחולה), התשפ"ג-2022</t>
  </si>
  <si>
    <t xml:space="preserve"> (פ/621/25)</t>
  </si>
  <si>
    <t xml:space="preserve">הצעת חוק הכללת חוב עונשי בהפטר (תיקוני חקיקה), התשפ"ג-2022</t>
  </si>
  <si>
    <t xml:space="preserve"> (פ/620/25)</t>
  </si>
  <si>
    <t xml:space="preserve">הצעת חוק השמירה על המקומות הקדושים (תיקון - שמירה על הכותל המערבי, הר הבית ומערת המכפלה), התשפ"ג-2022</t>
  </si>
  <si>
    <t xml:space="preserve"> (פ/619/25)</t>
  </si>
  <si>
    <t xml:space="preserve">הצעת חוק הגנת הפרטיות (תיקון - מניעת פרסום פרטיו של אדם שנהרג או נפגע ברבים בטרם נמסרה הודעה למשפחה), התשפ"ג-2022</t>
  </si>
  <si>
    <t xml:space="preserve"> (פ/618/25)</t>
  </si>
  <si>
    <t xml:space="preserve">הצעת חוק הגנת הצרכן (תיקון - הגבלות על מכירה מיוחדת), התשפ"ג-2022</t>
  </si>
  <si>
    <t xml:space="preserve"> (פ/616/25)</t>
  </si>
  <si>
    <t xml:space="preserve">הצעת חוק שוויון ההזדמנויות בעבודה (תיקון - איסור הפליה מחמת מצב כלכלי), התשפ"ג-2022</t>
  </si>
  <si>
    <t xml:space="preserve"> (פ/615/25)</t>
  </si>
  <si>
    <t xml:space="preserve">הצעת חוק הביטוח הלאומי (תיקון - עבודה מועדפת בתחום ניטול, פריקה וטעינה של מטעני אוויר), התשפ"ג-2022</t>
  </si>
  <si>
    <t xml:space="preserve"> (פ/614/25)</t>
  </si>
  <si>
    <t xml:space="preserve">הצעת חוק פיצויי פיטורים (תיקון - פיצויי פיטורים למתגייס לרשות הארצית לכבאות והצלה), התשפ"ג-2022</t>
  </si>
  <si>
    <t xml:space="preserve"> (פ/613/25)</t>
  </si>
  <si>
    <t xml:space="preserve">הצעת חוק למניעת חרם חברתי בבתי ספר, התשפ"ג-2022</t>
  </si>
  <si>
    <t xml:space="preserve"> (פ/611/25)</t>
  </si>
  <si>
    <t xml:space="preserve">הצעת חוק העונשין (תיקון - אלימות במשפחה בנוכחות קטין או חסר ישע), התשפ"ג-2022</t>
  </si>
  <si>
    <t xml:space="preserve"> (פ/610/25)</t>
  </si>
  <si>
    <t xml:space="preserve">הצעת חוק הרשות לפיתוח הנגב (תיקון - הרחבת סמכויות הרשות ותפקידיה), התשפ"ג-2022</t>
  </si>
  <si>
    <t xml:space="preserve"> (פ/609/25)</t>
  </si>
  <si>
    <t xml:space="preserve">הצעת חוק מגבלות על חזרתו של עבריין מין לסביבת נפגע העבירה (תיקון - הרחבת סמכות בית המשפט בנושא קטינים), התשפ"ג-2022</t>
  </si>
  <si>
    <t xml:space="preserve"> (פ/608/25)</t>
  </si>
  <si>
    <t xml:space="preserve">הצעת חוק הרשות לפיתוח הנגב (תיקון - שינוי הגדרת הנגב), התשפ"ג-2022</t>
  </si>
  <si>
    <t xml:space="preserve"> (פ/607/25)</t>
  </si>
  <si>
    <t xml:space="preserve">הצעת חוק-יסוד: הממשלה (תיקון - חשיפת פרוטוקולים בעניין ניהול משבר הקורונה)</t>
  </si>
  <si>
    <t xml:space="preserve"> (פ/606/25)</t>
  </si>
  <si>
    <t xml:space="preserve"> (פ/604/25)</t>
  </si>
  <si>
    <t xml:space="preserve">הצעת חוק החזקת תכשיר אפינפרין במוסדות חינוך ובמקומות ציבוריים (תיקון - החזקת תכשיר אפינפרין בבית אוכל), התשפ"ג-2022</t>
  </si>
  <si>
    <t xml:space="preserve"> (פ/603/25)</t>
  </si>
  <si>
    <t xml:space="preserve">הצעת חוק חילוט תקבולי עבירה בפשיעה חקלאית, התשפ"ג-2022</t>
  </si>
  <si>
    <t xml:space="preserve"> (פ/602/25)</t>
  </si>
  <si>
    <t xml:space="preserve">הצעת חוק נציב תלונות הציבור על שופטים (תיקון - נציבות תלונות הציבור על דיינים וקאדים), התשפ"ג-2022</t>
  </si>
  <si>
    <t xml:space="preserve"> (פ/601/25)</t>
  </si>
  <si>
    <t xml:space="preserve"> (פ/600/25)</t>
  </si>
  <si>
    <t xml:space="preserve">הצעת חוק לתיקון פקודת התעבורה (פטור מתשלום דמי חניה באזורי מגורים במהלך שבתות ומועדי ישראל), התשפ"ג-2022</t>
  </si>
  <si>
    <t xml:space="preserve"> (פ/599/25)</t>
  </si>
  <si>
    <t xml:space="preserve">הצעת חוק חינוך ממלכתי (תיקון - מימון מוסדות חינוך מוכרים לא רשמיים), התשפ"ג-2022</t>
  </si>
  <si>
    <t xml:space="preserve"> (פ/598/25)</t>
  </si>
  <si>
    <t xml:space="preserve">הצעת חוק לתיקון פקודת הנמלים (איסור על השטת כלי שיט ועל הפלגה באופנוע ים בשכרות), התשפ"ג-2022</t>
  </si>
  <si>
    <t xml:space="preserve"> (פ/597/25)</t>
  </si>
  <si>
    <t xml:space="preserve">הצעת חוק קליטת חיילים משוחררים (תיקון - הוקרת שירות הלוחם והלוחמת), התשפ"ג-2022</t>
  </si>
  <si>
    <t xml:space="preserve"> (פ/596/25)</t>
  </si>
  <si>
    <t xml:space="preserve">הצעת חוק להקפאת כספים ששילמה הרשות הפלסטינית בזיקה לטרור מהכספים המועברים אליה מממשלת ישראל (תיקון - חילוט הכספים וניהולם), התשפ"ג-2022</t>
  </si>
  <si>
    <t xml:space="preserve"> (פ/595/25)</t>
  </si>
  <si>
    <t xml:space="preserve">הצעת חוק עבודת נשים (תיקון - הגנה על עובדת מפני הליכי פיטורים), התשפ"ג-2022</t>
  </si>
  <si>
    <t xml:space="preserve"> (פ/594/25)</t>
  </si>
  <si>
    <t xml:space="preserve">הצעת חוק יסודות התקציב (תיקון - הפחתת תקציב או תמיכה בשל פעילות נגד עקרונות המדינה של עובד או נושא משרה), התשפ"ג-2022</t>
  </si>
  <si>
    <t xml:space="preserve"> (פ/593/25)</t>
  </si>
  <si>
    <t xml:space="preserve"> (פ/591/25)</t>
  </si>
  <si>
    <t xml:space="preserve">הצעת חוק-יסוד: כבוד האדם וחירותו (תיקון - פגיעה בזכויות) </t>
  </si>
  <si>
    <t xml:space="preserve"> (פ/590/25)</t>
  </si>
  <si>
    <t xml:space="preserve">הצעת חוק התכנון והבנייה (תיקון - שומה מתוקנת מוסכמת), התשפ"ג-2022</t>
  </si>
  <si>
    <t xml:space="preserve"> (פ/589/25)</t>
  </si>
  <si>
    <t xml:space="preserve">הצעת חוק לתיקון פקודת המסים (גבייה) (חובת יידוע החייב), התשפ"ג-2022</t>
  </si>
  <si>
    <t xml:space="preserve"> (פ/588/25)</t>
  </si>
  <si>
    <t xml:space="preserve">הצעת חוק הסכמים קיבוציים (תיקון - בחירות לוועד עובדים ולארגון יציג), התשפ"ג-2022</t>
  </si>
  <si>
    <t xml:space="preserve"> (פ/587/25)</t>
  </si>
  <si>
    <t xml:space="preserve">הצעת חוק התגמולים לנפגעי פעולות איבה (תיקון - תביעה נגד מפגע), התשפ"ג-2022</t>
  </si>
  <si>
    <t xml:space="preserve"> (פ/584/25)</t>
  </si>
  <si>
    <t xml:space="preserve">הצעת חוק בתי המשפט (תיקון - שקיפות הליכים משפטיים), התשפ"ג-2022</t>
  </si>
  <si>
    <t xml:space="preserve"> (פ/583/25)</t>
  </si>
  <si>
    <t xml:space="preserve"> (פ/582/25)</t>
  </si>
  <si>
    <t xml:space="preserve">הצעת חוק עוסק זעיר, התשפ"ג-2022</t>
  </si>
  <si>
    <t xml:space="preserve"> (פ/581/25)</t>
  </si>
  <si>
    <t xml:space="preserve">הצעת חוק עוסק זעיר, התשפ"ג-2022 </t>
  </si>
  <si>
    <t xml:space="preserve"> (פ/580/25)</t>
  </si>
  <si>
    <t xml:space="preserve"> (פ/579/25)</t>
  </si>
  <si>
    <t xml:space="preserve">הצעת חוק הביטוח הלאומי (תיקון - זכאות לדמי אבטלה מגיל 19), התשפ"ג-2022</t>
  </si>
  <si>
    <t xml:space="preserve"> (פ/578/25)</t>
  </si>
  <si>
    <t xml:space="preserve">הצעת חוק לתיקון פקודת הראיות (דרישת הסיוע להרשעה על פי הודיה), התשפ"ג-2022</t>
  </si>
  <si>
    <t xml:space="preserve"> (פ/577/25)</t>
  </si>
  <si>
    <t xml:space="preserve">הצעת חוק מעמד השפה הערבית כשפה רשמית, התשפ"ג-2022</t>
  </si>
  <si>
    <t xml:space="preserve"> (פ/576/25)</t>
  </si>
  <si>
    <t xml:space="preserve">הצעת חוק הפיקוח על מעונות (תיקון - תנאי כשירות לעובדי מעון), התשפ"ג-2022</t>
  </si>
  <si>
    <t xml:space="preserve"> (פ/575/25)</t>
  </si>
  <si>
    <t xml:space="preserve">הצעת חוק הביטוח הלאומי (תיקון - דמי פגיעה לעובד עצמאי), התשפ"ג-2022</t>
  </si>
  <si>
    <t xml:space="preserve"> (פ/573/25)</t>
  </si>
  <si>
    <t xml:space="preserve"> (פ/572/25)</t>
  </si>
  <si>
    <t xml:space="preserve">הצעת חוק להכרה, הנצחה, מחקר ותיעוד של פרשת ילדי תימן, המזרח והבלקן, התשפ"ג-2022</t>
  </si>
  <si>
    <t xml:space="preserve"> (פ/571/25)</t>
  </si>
  <si>
    <t xml:space="preserve">הצעת חוק הכשרות המשפטית והאפוטרופסות (תיקון - שלילת אפוטרופסות מהורה שהורשע ברצח או בנסיון לרצח), התשפ"ג-2022</t>
  </si>
  <si>
    <t xml:space="preserve"> (פ/570/25)</t>
  </si>
  <si>
    <t xml:space="preserve">הצעת חוק המפלגות (תיקון - הורדת גיל ההתפקדות), התשפ"ג-2022</t>
  </si>
  <si>
    <t xml:space="preserve"> (פ/567/25)</t>
  </si>
  <si>
    <t xml:space="preserve">הצעת חוק להבטחת פיצוי לתושבי גבעת עמל, התשפ"ג-2022</t>
  </si>
  <si>
    <t xml:space="preserve"> (פ/564/25)</t>
  </si>
  <si>
    <t xml:space="preserve">הצעת חוק הנכים (תגמולים ושיקום) (תיקון - הארכת תקופת הערעור על החלטת קצין התגמולים), התשפ"ג-2022</t>
  </si>
  <si>
    <t xml:space="preserve"> (פ/563/25)</t>
  </si>
  <si>
    <t xml:space="preserve">הצעת חוק לתיקון פקודת מסי העירייה ומסי הממשלה (פטורין) (החלת חובת תשלום ארנונה על נכסי ממשלה המצויים באזור), התשפ"ג-2022</t>
  </si>
  <si>
    <t xml:space="preserve"> (פ/561/25)</t>
  </si>
  <si>
    <t xml:space="preserve">הצעת חוק הגנת השכר (תיקון - פיצויי פיטורים בזמן אמת), התשפ"ג-2022</t>
  </si>
  <si>
    <t xml:space="preserve"> (פ/560/25)</t>
  </si>
  <si>
    <t xml:space="preserve">הצעת חוק האזרחים הוותיקים (תיקון - הנחה בארנונה לאזרח ותיק המתגורר בדירה שאינה בהחזקתו), התשפ"ג-2022</t>
  </si>
  <si>
    <t xml:space="preserve"> (פ/559/25)</t>
  </si>
  <si>
    <t xml:space="preserve">הצעת חוק הבטחת הכנסה (תיקון - שלילת גמלה בגלל פעולת טרור), התשפ"ג-2022</t>
  </si>
  <si>
    <t xml:space="preserve"> (פ/558/25)</t>
  </si>
  <si>
    <t xml:space="preserve">הצעת חוק חינוך ממלכתי (תיקון - תקצוב מלא למוסדות מוכרים לא רשמיים), התשפ"ג-2022</t>
  </si>
  <si>
    <t xml:space="preserve"> (פ/557/25)</t>
  </si>
  <si>
    <t xml:space="preserve">הצעת חוק ויתור על חסינות מפני תביעות לשון הרע (תיקוני חקיקה), התשפ"ג-2022</t>
  </si>
  <si>
    <t xml:space="preserve"> (פ/556/25)</t>
  </si>
  <si>
    <t xml:space="preserve">הצעת חוק גיור ממלכתי בישראל, התשפ"ג-2022</t>
  </si>
  <si>
    <t xml:space="preserve"> (פ/554/25)</t>
  </si>
  <si>
    <t xml:space="preserve">הצעת חוק חינוך ממלכתי (תיקון - שיבוץ עובדי הוראה), התשפ"ג-2022</t>
  </si>
  <si>
    <t xml:space="preserve"> (פ/553/25)</t>
  </si>
  <si>
    <t xml:space="preserve">הצעת חוק מתאם ממשלתי לזכויות ילדים ונוער, התשפ"ג-2022</t>
  </si>
  <si>
    <t xml:space="preserve"> (פ/552/25)</t>
  </si>
  <si>
    <t xml:space="preserve">הצעת חוק פיצוי חייבים בשל עיכוב בהסרת הליכים (תיקוני חקיקה), התשפ"ג-2022</t>
  </si>
  <si>
    <t xml:space="preserve"> (פ/551/25)</t>
  </si>
  <si>
    <t xml:space="preserve">הצעת חוק תאגידי מים וביוב (תיקון - הפעלת שירותי מים וביוב על ידי רשות מקומית), התשפ"ג-2022</t>
  </si>
  <si>
    <t xml:space="preserve"> (פ/550/25)</t>
  </si>
  <si>
    <t xml:space="preserve">הצעת חוק הגנת הפרטיות (תיקון - מחיקה ממאגרי מידע), התשפ"ג-2022</t>
  </si>
  <si>
    <t xml:space="preserve"> (פ/549/25)</t>
  </si>
  <si>
    <t xml:space="preserve">הצעת חוק להסדרת שירותי ההשגחה על הכשרות, התשפ"ג-2022</t>
  </si>
  <si>
    <t xml:space="preserve"> (פ/548/25)</t>
  </si>
  <si>
    <t xml:space="preserve">הצעת חוק-יסוד: השפיטה (תיקון - הגבלת זכות העמידה) </t>
  </si>
  <si>
    <t xml:space="preserve"> (פ/547/25)</t>
  </si>
  <si>
    <t xml:space="preserve"> (פ/546/25)</t>
  </si>
  <si>
    <t xml:space="preserve"> (פ/545/25)</t>
  </si>
  <si>
    <t xml:space="preserve"> (פ/544/25)</t>
  </si>
  <si>
    <t xml:space="preserve"> (פ/543/25)</t>
  </si>
  <si>
    <t xml:space="preserve">הצעת חוק הביטוח לאומי (תיקון - ביטוח זכויות עצמאי שעיקר הכנסתו מעסק בהליכי חדלות פירעון), התשפ"ג-2022</t>
  </si>
  <si>
    <t xml:space="preserve"> (פ/542/25)</t>
  </si>
  <si>
    <t xml:space="preserve">הצעת חוק לצמצום השימוש במזומן (תיקון - העברת אסמכתאות לאמצעי תשלום כתנאי לאישור העסקה), התשפ"ג-2022 </t>
  </si>
  <si>
    <t xml:space="preserve"> (פ/539/25)</t>
  </si>
  <si>
    <t xml:space="preserve">הצעת חוק קליטת חיילים משוחררים (תיקון - מימון מלא לתכנית "ממדים ללימודים"), התשפ"ג-2022</t>
  </si>
  <si>
    <t xml:space="preserve"> (פ/538/25)</t>
  </si>
  <si>
    <t xml:space="preserve">הצעת חוק-יסוד: הכנסת (תיקון - הרוב הנדרש למניעת השתתפות בבחירות)</t>
  </si>
  <si>
    <t xml:space="preserve"> (פ/537/25)</t>
  </si>
  <si>
    <t xml:space="preserve">הצעת חוק נתוני אשראי (תיקון - איסור שימוש בנתוני אשראי שנאספו בתקופת משבר הקורונה), התשפ"ג-2022</t>
  </si>
  <si>
    <t xml:space="preserve"> (פ/536/25)</t>
  </si>
  <si>
    <t xml:space="preserve">הצעת חוק זכויות נפגעי עבירה (תיקון - מתן זכות הבעת עמדה לנפגעי או נפגעות עבירה במעמד פסק הדין או גזר הדין), התשפ"ג-2022</t>
  </si>
  <si>
    <t xml:space="preserve"> (פ/532/25)</t>
  </si>
  <si>
    <t xml:space="preserve">הצעת חוק חוזה הביטוח (תיקון - מניעת כפל ביטוחים), התשפ"ג-2022</t>
  </si>
  <si>
    <t xml:space="preserve"> (פ/529/25)</t>
  </si>
  <si>
    <t xml:space="preserve">הצעת חוק העונשין (תיקון - מעשה מגונה בהסכמה בקטין שמלאו לו ארבע-עשרה שנים וטרם מלאו לו שש-עשרה שנים), התשפ"ג-2022</t>
  </si>
  <si>
    <t xml:space="preserve"> (פ/528/25)</t>
  </si>
  <si>
    <t xml:space="preserve"> (פ/527/25)</t>
  </si>
  <si>
    <t xml:space="preserve"> (פ/526/25)</t>
  </si>
  <si>
    <t xml:space="preserve"> (פ/525/25)</t>
  </si>
  <si>
    <t xml:space="preserve">הצעת חוק להקמת אוניברסיטה ערבית ביישוב ערבי, התשפ"ג-2022</t>
  </si>
  <si>
    <t xml:space="preserve"> (פ/523/25)</t>
  </si>
  <si>
    <t xml:space="preserve"> (פ/522/25)</t>
  </si>
  <si>
    <t xml:space="preserve">הצעת חוק המיזם הלאומי לביטחון תזונתי, התשפ"ג-2022</t>
  </si>
  <si>
    <t xml:space="preserve"> (פ/519/25)</t>
  </si>
  <si>
    <t xml:space="preserve">הצעת חוק לתיקון פקודת העדה הדתית (המרה) (גיור על ידי רב מקומי וראש ישיבה), התשפ"ג-2022</t>
  </si>
  <si>
    <t xml:space="preserve"> (פ/518/25)</t>
  </si>
  <si>
    <t xml:space="preserve">הצעת חוק הירושה (תיקון - שלילת הזכות לירושה), התשפ"ג-2022</t>
  </si>
  <si>
    <t xml:space="preserve"> (פ/516/25)</t>
  </si>
  <si>
    <t xml:space="preserve">הצעת חוק לתיקון פקודת התעבורה (אכיפת נסיעה בלא כרטיס בידי מפקחים), התשפ"ג-2022</t>
  </si>
  <si>
    <t xml:space="preserve"> (פ/515/25)</t>
  </si>
  <si>
    <t xml:space="preserve"> (פ/513/25)</t>
  </si>
  <si>
    <t xml:space="preserve">הצעת חוק הבטחת הכנסה (תיקון - הכנסת מינימום לאזרח ותיק), התשפ"ג-2022</t>
  </si>
  <si>
    <t xml:space="preserve"> (פ/510/25)</t>
  </si>
  <si>
    <t xml:space="preserve">הצעת חוק מניעת אלימות במשפחה (תיקון - הגדרת אלימות במשפחה), התשפ"ג-2022</t>
  </si>
  <si>
    <t xml:space="preserve"> (פ/509/25)</t>
  </si>
  <si>
    <t xml:space="preserve">הצעת חוק מניעת סיכון בריאותי מהפעלת פליקרים במקומות ציבוריים, התשפ"ג-2022</t>
  </si>
  <si>
    <t xml:space="preserve"> (פ/508/25)</t>
  </si>
  <si>
    <t xml:space="preserve">הצעת חוק מס ערך מוסף (תיקון - הגבלת שיעור מס שכר למלכ"רים בירושלים), התשפ"ג-2022</t>
  </si>
  <si>
    <t xml:space="preserve"> (פ/507/25)</t>
  </si>
  <si>
    <t xml:space="preserve">הצעת חוק מעמד ותיקי מלחמת העולם השנייה (תיקון - מענק הטבות לוותיק מלחמה), התשפ"ג-2022</t>
  </si>
  <si>
    <t xml:space="preserve"> (פ/506/25)</t>
  </si>
  <si>
    <t xml:space="preserve">הצעת חוק זכויות הסטודנט (תיקון - ביטול ארגון סטודנטים יציג), התשפ"ג-2022</t>
  </si>
  <si>
    <t xml:space="preserve"> (פ/505/25)</t>
  </si>
  <si>
    <t xml:space="preserve">הצעת חוק האזרחים הוותיקים (תיקון - סל תרבות לאזרחים ותיקים עצמאיים המתגוררים בהוסטלים, מקבצי דיור או בתי דיור מוגן), התשפ"ג-2022</t>
  </si>
  <si>
    <t xml:space="preserve"> (פ/503/25)</t>
  </si>
  <si>
    <t xml:space="preserve"> (פ/501/25)</t>
  </si>
  <si>
    <t xml:space="preserve">הצעת חוק עבודת הנוער (תיקון - העסקה במנוחה השבועית), התשפ"ג-2022</t>
  </si>
  <si>
    <t xml:space="preserve"> (פ/500/25)</t>
  </si>
  <si>
    <t xml:space="preserve">הצעת חוק האזרחות (תיקון - הוראות לעניין בקשת התאזרחות של בעל ואישה), התשפ''ג-2022</t>
  </si>
  <si>
    <t xml:space="preserve"> (פ/499/25)</t>
  </si>
  <si>
    <t xml:space="preserve">הצעת חוק השמירה על המקומות הקדושים (תיקון - חופש הפולחן), התשפ"ג-2022</t>
  </si>
  <si>
    <t xml:space="preserve"> (פ/498/25)</t>
  </si>
  <si>
    <t xml:space="preserve"> (פ/496/25)</t>
  </si>
  <si>
    <t xml:space="preserve">הצעת חוק ברית הזוגיות לחסרי דת (תיקון - ברית זוגיות למנועי חיתון בישראל), התשפ"ג-2022</t>
  </si>
  <si>
    <t xml:space="preserve"> (פ/495/25)</t>
  </si>
  <si>
    <t xml:space="preserve">הצעת חוק שירות המדינה (מינויים) (תיקון - מינוי יועצים משפטיים של משרדים), התשפ"ג-2022</t>
  </si>
  <si>
    <t xml:space="preserve"> (פ/494/25)</t>
  </si>
  <si>
    <t xml:space="preserve">הצעת חוק צער בעלי חיים (הגנה על בעלי חיים) (תיקון - תפיסה במקום מגורים ללא צו), התשפ"ג-2022</t>
  </si>
  <si>
    <t xml:space="preserve"> (פ/493/25)</t>
  </si>
  <si>
    <t xml:space="preserve">הצעת חוק ביטוח בריאות ממלכתי (תיקון - תרופות בסבסוד מלא לוותיקי מלחמת העולם השנייה), התשפ"ג-2022</t>
  </si>
  <si>
    <t xml:space="preserve"> (פ/492/25)</t>
  </si>
  <si>
    <t xml:space="preserve">הצעת חוק שירות המדינה (מינויים) (תיקון - מינוי יועצים משפטיים של משרדים), התשפ"ג-2022 </t>
  </si>
  <si>
    <t xml:space="preserve"> (פ/491/25)</t>
  </si>
  <si>
    <t xml:space="preserve">הצעת חוק שיפוט בתי דין רבניים (נישואין וגירושין) (תיקון - נישואין אזרחיים בשטח שגרירות בישראל), התשפ"ג-2022</t>
  </si>
  <si>
    <t xml:space="preserve"> (פ/490/25)</t>
  </si>
  <si>
    <t xml:space="preserve"> (פ/489/25)</t>
  </si>
  <si>
    <t xml:space="preserve"> (פ/488/25)</t>
  </si>
  <si>
    <t xml:space="preserve">הצעת חוק שירותי הדת היהודיים (תיקון - קציבת כהונת רב עיר), התשפ"ג-2022</t>
  </si>
  <si>
    <t xml:space="preserve"> (פ/486/25)</t>
  </si>
  <si>
    <t xml:space="preserve">הצעת חוק שירות המדינה (מינוים) (תיקון - מינוי יועצים משפטיים של משרדים), התשפ"ג-2022</t>
  </si>
  <si>
    <t xml:space="preserve"> (פ/485/25)</t>
  </si>
  <si>
    <t xml:space="preserve"> (פ/484/25)</t>
  </si>
  <si>
    <t xml:space="preserve"> (פ/483/25)</t>
  </si>
  <si>
    <t xml:space="preserve"> (פ/482/25)</t>
  </si>
  <si>
    <t xml:space="preserve">הצעת חוק הגנה על הציבור (מזון) (תיקון - שאריות חומרי הדברה במזון), התשפ"ג-2022</t>
  </si>
  <si>
    <t xml:space="preserve"> (פ/481/25)</t>
  </si>
  <si>
    <t xml:space="preserve">הצעת חוק חינוך ממלכתי (תיקון - העסקת עובדי הוראה בחוזה אישי), התשפ"ג-2022 </t>
  </si>
  <si>
    <t xml:space="preserve"> (פ/480/25)</t>
  </si>
  <si>
    <t xml:space="preserve">הצעת חוק משק החשמל (תיקון - תעריף מופחת לבתי חולים בפריפריה), התשפ"ג-2022</t>
  </si>
  <si>
    <t xml:space="preserve"> (פ/479/25)</t>
  </si>
  <si>
    <t xml:space="preserve">הצעת חוק לימוד חובה (תיקון - מנהל מוסד חינוך), התשפ"ג-2022</t>
  </si>
  <si>
    <t xml:space="preserve"> (פ/478/25)</t>
  </si>
  <si>
    <t xml:space="preserve">הצעת חוק הביטוח הלאומי (תיקון - קביעת אחוזי נכות ללקויי שמיעה - דו-צידי וחד-צידי), התשפ"ג-2022</t>
  </si>
  <si>
    <t xml:space="preserve"> (פ/476/25)</t>
  </si>
  <si>
    <t xml:space="preserve">הצעת חוק מיסוי מקרקעין (שבח ורכישה) (תיקון - חזקת דירה יחידה), התשפ"ג-2022</t>
  </si>
  <si>
    <t xml:space="preserve"> (פ/475/25)</t>
  </si>
  <si>
    <t xml:space="preserve">הצעת חוק העונשין (תיקון - איסור שיווק ומכירת הימורים בידי מי שאינו בעל היתר, פועל מטעמו או בפיקוחו), התשפ"ג-2022</t>
  </si>
  <si>
    <t xml:space="preserve"> (פ/473/25)</t>
  </si>
  <si>
    <t xml:space="preserve">הצעת חוק הבנקאות (שירות ללקוח) (תיקון - העברת משכנתה בין בנקים), התשפ"ג-2022</t>
  </si>
  <si>
    <t xml:space="preserve"> (פ/472/25)</t>
  </si>
  <si>
    <t xml:space="preserve">הצעת חוק שירותי הסעד (תיקון - הגבלת מספר התיקים בטיפול עובד סוציאלי המטפל במשפחות), התשפ"ג-2022</t>
  </si>
  <si>
    <t xml:space="preserve"> (פ/471/25)</t>
  </si>
  <si>
    <t xml:space="preserve">הצעת חוק ההוצאה לפועל (תיקון - החרגת עיקול רכב), התשפ"ג-2022</t>
  </si>
  <si>
    <t xml:space="preserve"> (פ/470/25)</t>
  </si>
  <si>
    <t xml:space="preserve">הצעת חוק פריסת תשלום חוב ללא תוספת ריבית או אגרה, התשפ"ג-2022</t>
  </si>
  <si>
    <t xml:space="preserve"> (פ/468/25)</t>
  </si>
  <si>
    <t xml:space="preserve">הצעת חוק להגבלת הוראות ההיתרים לעריכת הגרלות והימורים מאת שר האוצר (הוראת שעה), התשפ"ג-2022</t>
  </si>
  <si>
    <t xml:space="preserve"> (פ/467/25)</t>
  </si>
  <si>
    <t xml:space="preserve">הצעת חוק יום ציון ממלכתי לוועידת סן רמו, התשפ"ג-2022</t>
  </si>
  <si>
    <t xml:space="preserve"> (פ/466/25)</t>
  </si>
  <si>
    <t xml:space="preserve">הצעת חוק המתווכים במקרקעין (תיקון - הגבלת דמי תיווך), התשפ"ג-2022</t>
  </si>
  <si>
    <t xml:space="preserve"> (פ/465/25)</t>
  </si>
  <si>
    <t xml:space="preserve">הצעת חוק העונשין (תיקון - גזר דין עונש מוות למורשע ברצח בנסיבות טרור), התשפ"ג-2022</t>
  </si>
  <si>
    <t xml:space="preserve"> (פ/463/25)</t>
  </si>
  <si>
    <t xml:space="preserve">הצעת חוק ביטוח בריאות ממלכתי (תיקון - מחלה נדירה), התשפ"ג-2022</t>
  </si>
  <si>
    <t xml:space="preserve"> (פ/462/25)</t>
  </si>
  <si>
    <t xml:space="preserve"> (פ/461/25)</t>
  </si>
  <si>
    <t xml:space="preserve">הצעת חוק לתיקון פקודת בריאות העם (מכרז להצבת מכונות מזון אוטומטיות), התשפ"ג-2022</t>
  </si>
  <si>
    <t xml:space="preserve"> (פ/460/25)</t>
  </si>
  <si>
    <t xml:space="preserve">הצעת חוק-יסוד: כבוד האדם וחירותו (תיקון - פסקת התגברות)</t>
  </si>
  <si>
    <t xml:space="preserve"> (פ/459/25)</t>
  </si>
  <si>
    <t xml:space="preserve"> (פ/458/25)</t>
  </si>
  <si>
    <t xml:space="preserve">הצעת חוק לתיקון פקודת התעבורה (הגבלת תנועת כלי רכב ביום הכיפורים), התשפ"ג-2022</t>
  </si>
  <si>
    <t xml:space="preserve"> (פ/457/25)</t>
  </si>
  <si>
    <t xml:space="preserve">הצעת חוק שמירת הקדושה של הכותל המערבי ורחבתו, התשפ"ג-2022</t>
  </si>
  <si>
    <t xml:space="preserve"> (פ/456/25)</t>
  </si>
  <si>
    <t xml:space="preserve">הצעת חוק חוזה עבודה (הגבלות לעניין סיום העסקה של עובד), התשפ"ג-2022 </t>
  </si>
  <si>
    <t xml:space="preserve"> (פ/455/25)</t>
  </si>
  <si>
    <t xml:space="preserve">הצעת חוק רישוי עסקים (תיקון - התקנת מכשיר לבדיקת רמת אלכוהול), התשפ"ג-2022</t>
  </si>
  <si>
    <t xml:space="preserve"> (פ/453/25)</t>
  </si>
  <si>
    <t xml:space="preserve">הצעת חוק הפסקת חברות של חבר כנסת והעברת שר וראש ממשלה מכהונתם מחמת הפרת הבטחת בחירות (תיקוני חקיקה), התשפ"ג-2022</t>
  </si>
  <si>
    <t xml:space="preserve"> (פ/451/25)</t>
  </si>
  <si>
    <t xml:space="preserve">הצעת חוק הפיקוח על מעונות (תיקון - כשירותם של אנשי צוות), התשפ"ג-2022</t>
  </si>
  <si>
    <t xml:space="preserve"> (פ/450/25)</t>
  </si>
  <si>
    <t xml:space="preserve">הצעת חוק ביטוח בריאות ממלכתי (תיקון - החזר דמי נסיעות עבור חולה סיעודי וחולה שנפטר), התשפ"ג-2022</t>
  </si>
  <si>
    <t xml:space="preserve"> (פ/449/25)</t>
  </si>
  <si>
    <t xml:space="preserve">הצעת חוק לתיקון פקודת המשטרה (הוראות בדבר פיזור אסיפה או תהלוכה), התשפ"ג-2022</t>
  </si>
  <si>
    <t xml:space="preserve"> (פ/448/25)</t>
  </si>
  <si>
    <t xml:space="preserve">הצעת חוק הגנת הצרכן (תיקון - החלת חובת הודעה על סיום עסקה מתמשכת על תאגידים בנקאיים ופיננסיים), התשפ"ג-2022</t>
  </si>
  <si>
    <t xml:space="preserve"> (פ/447/25)</t>
  </si>
  <si>
    <t xml:space="preserve"> (פ/446/25)</t>
  </si>
  <si>
    <t xml:space="preserve">הצעת חוק המוסד העליון ללשון העברית (תיקון - מעמד החלטות המוסד וועדת השמות הממשלתית), התשפ"ג-2022</t>
  </si>
  <si>
    <t xml:space="preserve"> (פ/445/25)</t>
  </si>
  <si>
    <t xml:space="preserve">הצעת חוק הביטוח הלאומי (תיקון - הארכת המועד להגשת תביעה לגמלה והתקופה שבעדה תשולם), התשפ"ג-2022</t>
  </si>
  <si>
    <t xml:space="preserve"> (פ/444/25)</t>
  </si>
  <si>
    <t xml:space="preserve">הצעת חוק להפחתת השימוש ברכב פרטי ולעידוד שימוש בתחבורה הציבורית, התשפ"ג-2022 </t>
  </si>
  <si>
    <t xml:space="preserve"> (פ/443/25)</t>
  </si>
  <si>
    <t xml:space="preserve">הצעת חוק שירות הציבור (הגבלות לאחר פרישה) (תיקון - תקופת צינון לשופטים), התשפ"ג-2022 </t>
  </si>
  <si>
    <t xml:space="preserve"> (פ/442/25)</t>
  </si>
  <si>
    <t xml:space="preserve">הצעת חוק ביטול מאסר חלף קנס (תיקוני חקיקה), התשפ"ג-2022</t>
  </si>
  <si>
    <t xml:space="preserve"> (פ/441/25)</t>
  </si>
  <si>
    <t xml:space="preserve">הצעת חוק לתיקון פקודת התעבורה (שירות טלפוני לדיווח ולקבלת תלונות על עבירות תעבורה או נהיגה מסוכנת של נהג אוטובוס), התשפ"ג-2022</t>
  </si>
  <si>
    <t xml:space="preserve"> (פ/440/25)</t>
  </si>
  <si>
    <t xml:space="preserve"> (פ/439/25)</t>
  </si>
  <si>
    <t xml:space="preserve">הצעת חוק משק החשמל (תיקון - תשלומי חשמל מופחתים לקשישים נכים), התשפ"ג-2022</t>
  </si>
  <si>
    <t xml:space="preserve"> (פ/438/25)</t>
  </si>
  <si>
    <t xml:space="preserve">הצעת חוק ביטוח בריאות ממלכתי (תיקון - השתתפות בטיפולי שיניים, פה ולסת לנפגעי שיתוק מוחין), התשפ"ג-2022</t>
  </si>
  <si>
    <t xml:space="preserve"> (פ/437/25)</t>
  </si>
  <si>
    <t xml:space="preserve">הצעת חוק משק החשמל (תיקון - פיקוח פרלמנטרי על תעריפי החשמל), התשפ"ג-2022</t>
  </si>
  <si>
    <t xml:space="preserve"> (פ/436/25)</t>
  </si>
  <si>
    <t xml:space="preserve">הצעת חוק ביטוח בריאות ממלכתי (תיקון - מתן טיפולי שיניים, פה ולסת למבוטח עם שיתוק מוחין), התשפ"ג-2022</t>
  </si>
  <si>
    <t xml:space="preserve"> (פ/434/25)</t>
  </si>
  <si>
    <t xml:space="preserve">הצעת חוק זכויות התלמיד (תיקון - הנחה בתחבורה ציבורית), התשפ"ג-2022</t>
  </si>
  <si>
    <t xml:space="preserve"> (פ/433/25)</t>
  </si>
  <si>
    <t xml:space="preserve">הצעת חוק חובת המכרזים (תיקון - עידוד העסקת עובדים מאוכלוסיות ייחודיות), התשפ"ג-2022</t>
  </si>
  <si>
    <t xml:space="preserve"> (פ/432/25)</t>
  </si>
  <si>
    <t xml:space="preserve">הצעת חוק לתיקון פקודת סדר הדין הפלילי (מעצר וחיפוש) (תנאים למסירת התפוס לפי צו), התשפ"ג-2022</t>
  </si>
  <si>
    <t xml:space="preserve"> (פ/431/25)</t>
  </si>
  <si>
    <t xml:space="preserve">הצעת חוק דמי מחלה (תיקון - איסור פיטורים בעת היעדרות בשל מחלת ילד), התשפ"ג-2022</t>
  </si>
  <si>
    <t xml:space="preserve"> (פ/429/25)</t>
  </si>
  <si>
    <t xml:space="preserve"> (פ/427/25)</t>
  </si>
  <si>
    <t xml:space="preserve">הצעת חוק לתיקון פקודת בתי הסוהר (מס' 48) (ביטול החוק), התשפ"ג-2022</t>
  </si>
  <si>
    <t xml:space="preserve"> (פ/426/25)</t>
  </si>
  <si>
    <t xml:space="preserve">הצעת חוק מימון מפלגות (תיקון - ייצוג הולם לנשים בבחירות לכנסת), התשפ"ג-2022</t>
  </si>
  <si>
    <t xml:space="preserve"> (פ/425/25)</t>
  </si>
  <si>
    <t xml:space="preserve">הצעת חוק המים (תיקון - איסור הפסקת אספקת מים), התשפ"ג-2022</t>
  </si>
  <si>
    <t xml:space="preserve"> (פ/424/25)</t>
  </si>
  <si>
    <t xml:space="preserve">הצעת חוק להגדלת שיעור ההשתתפות בכוח העבודה ולצמצום פערים חברתיים (מענק עבודה) (תיקון - הורדת גיל הזכאות), התשפ"ג-2022</t>
  </si>
  <si>
    <t xml:space="preserve"> (פ/423/25)</t>
  </si>
  <si>
    <t xml:space="preserve">הצעת חוק להגדלת שיעור ההשתתפות בכוח העבודה ולצמצום פערים חברתיים (מענק עבודה) (תיקון - גיל העובד), התשפ"ג-2022</t>
  </si>
  <si>
    <t xml:space="preserve"> (פ/422/25)</t>
  </si>
  <si>
    <t xml:space="preserve">הצעת חוק צעירים חסרי עורף משפחתי, התשפ"ג-2022</t>
  </si>
  <si>
    <t xml:space="preserve"> (פ/421/25)</t>
  </si>
  <si>
    <t xml:space="preserve">הצעת חוק סיוע לצעירים חסרי עורף משפחתי, התשפ"ג-2022</t>
  </si>
  <si>
    <t xml:space="preserve"> (פ/420/25)</t>
  </si>
  <si>
    <t xml:space="preserve"> (פ/419/25)</t>
  </si>
  <si>
    <t xml:space="preserve">הצעת חוק החברות הממשלתיות (תיקון - ייצוג הולם בתאגידים ממשלתיים וגופים סטטוטוריים), התשפ"ג-2022</t>
  </si>
  <si>
    <t xml:space="preserve"> (פ/418/25)</t>
  </si>
  <si>
    <t xml:space="preserve"> (פ/417/25)</t>
  </si>
  <si>
    <t xml:space="preserve">הצעת חוק שיפוט בתי דין רבניים (סמכות שיפוט בהסכמה), התשפ"ג-2022</t>
  </si>
  <si>
    <t xml:space="preserve"> (פ/416/25)</t>
  </si>
  <si>
    <t xml:space="preserve"> (פ/415/25)</t>
  </si>
  <si>
    <t xml:space="preserve">הצעת חוק עבודת נשים (תיקון - תקופת לידה והורות לנשים בעבודה פיזית קשה), התשפ"ג-2022</t>
  </si>
  <si>
    <t xml:space="preserve"> (פ/414/25)</t>
  </si>
  <si>
    <t xml:space="preserve"> (פ/413/25)</t>
  </si>
  <si>
    <t xml:space="preserve">הצעת חוק סיוע לחולי דגנת, התשפ"ג-2022</t>
  </si>
  <si>
    <t xml:space="preserve"> (פ/412/25)</t>
  </si>
  <si>
    <t xml:space="preserve"> (פ/411/25)</t>
  </si>
  <si>
    <t xml:space="preserve">הצעת חוק בתי המשפט (תיקון - קביעת מותבים בבית המשפט העליון), התשפ"ג-2022</t>
  </si>
  <si>
    <t xml:space="preserve"> (פ/410/25)</t>
  </si>
  <si>
    <t xml:space="preserve"> (פ/409/25)</t>
  </si>
  <si>
    <t xml:space="preserve">הצעת חוק פיצויים לבעלי זכות במקרקעין מועברים, התשפ"ג-2022</t>
  </si>
  <si>
    <t xml:space="preserve"> (פ/408/25)</t>
  </si>
  <si>
    <t xml:space="preserve"> (פ/407/25)</t>
  </si>
  <si>
    <t xml:space="preserve">הצעת חוק הביטוח הלאומי (תיקון - ביטוח זכויות עצמאי שעיקר הכנסתו מעסק בהליכי חדלות פירעון), התשפ"ג-2022</t>
  </si>
  <si>
    <t xml:space="preserve"> (פ/406/25)</t>
  </si>
  <si>
    <t xml:space="preserve"> (פ/405/25)</t>
  </si>
  <si>
    <t xml:space="preserve">הצעת חוק הפיקוח על מעונות יום לפעוטות (תיקון - החמרת ענישה), התשפ"ג-2022</t>
  </si>
  <si>
    <t xml:space="preserve"> (פ/404/25)</t>
  </si>
  <si>
    <t xml:space="preserve">הצעת חוק למניעת מפגעים (תיקון - עידוד הפחתת שימוש בזיקוקי דינור), התשפ"ג-2022</t>
  </si>
  <si>
    <t xml:space="preserve"> (פ/403/25)</t>
  </si>
  <si>
    <t xml:space="preserve">הצעת חוק צער בעלי חיים (הגנה על בעלי חיים) (תיקון - ענישה מזערית), התשפ"ג-2022</t>
  </si>
  <si>
    <t xml:space="preserve"> (פ/402/25)</t>
  </si>
  <si>
    <t xml:space="preserve">הצעת חוק בתי המשפט (תיקון - קביעת הרכבים בבית המשפט העליון וקביעת דיון נוסף), התשפ"ג-2022</t>
  </si>
  <si>
    <t xml:space="preserve"> (פ/401/25)</t>
  </si>
  <si>
    <t xml:space="preserve">הצעת חוק לתיקון פקודת המסים (גבייה) (גבייה לפי חוק ההוצאה לפועל), התשפ"ג-2022</t>
  </si>
  <si>
    <t xml:space="preserve"> (פ/400/25)</t>
  </si>
  <si>
    <t xml:space="preserve"> (פ/399/25)</t>
  </si>
  <si>
    <t xml:space="preserve">הצעת חוק העונשין (תיקון - החמרת ענישה בשל תקיפת צוות רפואי), התשפ''ג-2022</t>
  </si>
  <si>
    <t xml:space="preserve"> (פ/396/25)</t>
  </si>
  <si>
    <t xml:space="preserve">הצעת חוק לתיקון פקודת התעבורה (תשלום קנס בתשלומים), התשפ"ג-2022</t>
  </si>
  <si>
    <t xml:space="preserve"> (פ/395/25)</t>
  </si>
  <si>
    <t xml:space="preserve"> (פ/393/25)</t>
  </si>
  <si>
    <t xml:space="preserve">הצעת חוק להקפאת כספים ששילמה הרשות הפלסטינית בזיקה לטרור מהכספים המועברים אליה מממשלת ישראל (תיקון - איסור מתן הטבות פיננסיות לרשות הפלסטינית), התשפ"ג-2022 </t>
  </si>
  <si>
    <t xml:space="preserve"> (פ/391/25)</t>
  </si>
  <si>
    <t xml:space="preserve">הצעת חוק העונשין (תיקון - הגדרת סוכן חוץ), התשפ"ג-2022</t>
  </si>
  <si>
    <t xml:space="preserve"> (פ/390/25)</t>
  </si>
  <si>
    <t xml:space="preserve"> (פ/389/25)</t>
  </si>
  <si>
    <t xml:space="preserve">הצעת חוק איסור הלבנת הון (תיקון - צו תפיסה זמני טרם הגשת כתב אישום), התשפ"ג-2022 </t>
  </si>
  <si>
    <t xml:space="preserve"> (פ/388/25)</t>
  </si>
  <si>
    <t xml:space="preserve"> (פ/387/25)</t>
  </si>
  <si>
    <t xml:space="preserve">הצעת חוק-יסוד: השפיטה (תיקון - מינוי שופטים לבית המשפט העליון וקציבת כהונתם) </t>
  </si>
  <si>
    <t xml:space="preserve"> (פ/386/25)</t>
  </si>
  <si>
    <t xml:space="preserve">הצעת חוק זכויות נפגעי עבירה (תיקון - הרחבת זכות היידוע), התשפ"ג-2022</t>
  </si>
  <si>
    <t xml:space="preserve"> (פ/385/25)</t>
  </si>
  <si>
    <t xml:space="preserve"> (פ/384/25)</t>
  </si>
  <si>
    <t xml:space="preserve">הצעת חוק למניעת הטרדה מינית (תיקון - הטלת חובות לשם מניעת הטרדה מינית במוסד חינוך), התשפ"ג-2022</t>
  </si>
  <si>
    <t xml:space="preserve"> (פ/383/25)</t>
  </si>
  <si>
    <t xml:space="preserve">הצעת חוק-יסוד: ההתגברות (תיקוני חקיקה)</t>
  </si>
  <si>
    <t xml:space="preserve"> (פ/382/25)</t>
  </si>
  <si>
    <t xml:space="preserve">הצעת חוק הרשויות המקומיות (יועצת לענייני מעמד האישה) (תיקון - תקציב ייעודי וייחוד הכהונה), התשפ"ג-2022</t>
  </si>
  <si>
    <t xml:space="preserve"> (פ/381/25)</t>
  </si>
  <si>
    <t xml:space="preserve">הצעת חוק-יסוד: פסקת ההתגברות (תיקוני חקיקה)</t>
  </si>
  <si>
    <t xml:space="preserve"> (פ/380/25)</t>
  </si>
  <si>
    <t xml:space="preserve">הצעת חוק הכנסת (תיקון - ועדה לפיקוח על רשויות פיקוח פיננסיות), התשפ"ג-2022</t>
  </si>
  <si>
    <t xml:space="preserve"> (פ/378/25)</t>
  </si>
  <si>
    <t xml:space="preserve">הצעת חוק השבות (תיקון - צמצום הזכאים לזכויות), התשפ"ג-2022 </t>
  </si>
  <si>
    <t xml:space="preserve"> (פ/377/25)</t>
  </si>
  <si>
    <t xml:space="preserve">הצעת חוק למניעת הטרדה מינית (תיקון - הרחבת התחולה לגבי מוסד ציבורי הנותן שירות חיוני), התשפ"ג-2022</t>
  </si>
  <si>
    <t xml:space="preserve"> (פ/375/25)</t>
  </si>
  <si>
    <t xml:space="preserve"> (פ/372/25)</t>
  </si>
  <si>
    <t xml:space="preserve"> (פ/371/25)</t>
  </si>
  <si>
    <t xml:space="preserve"> (פ/370/25)</t>
  </si>
  <si>
    <t xml:space="preserve"> (פ/369/25)</t>
  </si>
  <si>
    <t xml:space="preserve">הצעת חוק הביטוח הלאומי (תיקון - ביטוח שאירים לאלמן), התשפ"ג-2022</t>
  </si>
  <si>
    <t xml:space="preserve"> (פ/368/25)</t>
  </si>
  <si>
    <t xml:space="preserve"> (פ/367/25)</t>
  </si>
  <si>
    <t xml:space="preserve">הצעת חוק מינוי תובע מיוחד, התשפ"ג-2022</t>
  </si>
  <si>
    <t xml:space="preserve"> (פ/365/25)</t>
  </si>
  <si>
    <t xml:space="preserve">הצעת חוק לביטול הרשות לפיתוח והתיישבות הבדואים בנגב, התשפ"ג-2022</t>
  </si>
  <si>
    <t xml:space="preserve"> (פ/364/25)</t>
  </si>
  <si>
    <t xml:space="preserve">הצעת חוק הבחירות (דרכי תעמולה) (תיקון - איסור על תעמולה גזענית), התשפ"ג-2022</t>
  </si>
  <si>
    <t xml:space="preserve"> (פ/363/25)</t>
  </si>
  <si>
    <t xml:space="preserve">הצעת חוק העונשין (תיקון - חלופת מאסר לנשים הרות ולאמהות), התשפ"ג-2022</t>
  </si>
  <si>
    <t xml:space="preserve"> (פ/362/25)</t>
  </si>
  <si>
    <t xml:space="preserve">הצעת חוק המשטרה (תיקון - התיישנות עבירות), התשפ"ג-2022</t>
  </si>
  <si>
    <t xml:space="preserve"> (פ/361/25)</t>
  </si>
  <si>
    <t xml:space="preserve">הצעת חוק הסיוע המשפטי (תיקון - סיוע משפטי לנפגעי אלימות במשפחה), התשפ"ג-2022</t>
  </si>
  <si>
    <t xml:space="preserve"> (פ/360/25)</t>
  </si>
  <si>
    <t xml:space="preserve">הצעת חוק הדגל, הסמל והמנון המדינה (תיקון - שלילת תמיכה), התשפ"ג-2022</t>
  </si>
  <si>
    <t xml:space="preserve"> (פ/359/25)</t>
  </si>
  <si>
    <t xml:space="preserve">הצעת חוק הגנת הצרכן (תיקון - חובת הקלטה של עסקה טלפונית), התשפ"ג-2022</t>
  </si>
  <si>
    <t xml:space="preserve"> (פ/356/25)</t>
  </si>
  <si>
    <t xml:space="preserve">הצעת חוק החברות הממשלתיות (תיקון - ייצוג הולם לאוכלוסייה הערבית), התשפ"ג-2022</t>
  </si>
  <si>
    <t xml:space="preserve"> (פ/354/25)</t>
  </si>
  <si>
    <t xml:space="preserve">הצעת חוק הביטוח הלאומי (תיקון - שמירה חקלאית כעבודה מועדפת), התשפ"ג-2022</t>
  </si>
  <si>
    <t xml:space="preserve"> (פ/352/25)</t>
  </si>
  <si>
    <t xml:space="preserve">הצעת חוק לתיקון פקודת ביטוח רכב מנועי (חיוב שיווק פוליסה), התשפ"ג–2022</t>
  </si>
  <si>
    <t xml:space="preserve"> (פ/351/25)</t>
  </si>
  <si>
    <t xml:space="preserve"> (פ/350/25)</t>
  </si>
  <si>
    <t xml:space="preserve">הצעת חוק שכר מינימום (תיקון - העלאת שכר המינימום), התשפ"ג-2022</t>
  </si>
  <si>
    <t xml:space="preserve"> (פ/348/25)</t>
  </si>
  <si>
    <t xml:space="preserve">הצעת חוק העונשין (תיקון - הגנת בית מגורים, נכס, בית עסק, משק חקלאי מגודר ורכב), התשפ"ג-2022</t>
  </si>
  <si>
    <t xml:space="preserve"> (פ/347/25)</t>
  </si>
  <si>
    <t xml:space="preserve"> (פ/346/25)</t>
  </si>
  <si>
    <t xml:space="preserve">הצעת חוק השפה הערבית שפה רשמית, התשפ"ג-2022</t>
  </si>
  <si>
    <t xml:space="preserve"> (פ/345/25)</t>
  </si>
  <si>
    <t xml:space="preserve">הצעת חוק לתיקון פקודת מס הכנסה (שווי השימוש ברכב או ברדיו טלפון נייד), התשפ"ג-2022</t>
  </si>
  <si>
    <t xml:space="preserve"> (פ/343/25)</t>
  </si>
  <si>
    <t xml:space="preserve">הצעת חוק הביטוח הלאומי (תיקון - הצמדת קצבת אזרח ותיק לשכר הממוצע לפחות), התשפ"ג-2022</t>
  </si>
  <si>
    <t xml:space="preserve"> (פ/341/25)</t>
  </si>
  <si>
    <t xml:space="preserve"> (פ/340/25)</t>
  </si>
  <si>
    <t xml:space="preserve"> (פ/338/25)</t>
  </si>
  <si>
    <t xml:space="preserve"> (פ/336/25)</t>
  </si>
  <si>
    <t xml:space="preserve"> (פ/335/25)</t>
  </si>
  <si>
    <t xml:space="preserve">הצעת חוק למניעת התעמרות בעבודה, התשפ"ג-2022</t>
  </si>
  <si>
    <t xml:space="preserve"> (פ/334/25)</t>
  </si>
  <si>
    <t xml:space="preserve">הצעת חוק לתיקון פקודת המשטרה (חובת שימוש במצלמות גוף בעת הפגנה), התשפ"ג-2022</t>
  </si>
  <si>
    <t xml:space="preserve"> (פ/332/25)</t>
  </si>
  <si>
    <t xml:space="preserve">הצעת חוק בתי דין רבניים (קיום פסקי דין של גירושין) (תיקון - הגבלת שימוש בכרטיסי אשראי לסרבני גט), התשפ"ג-2022</t>
  </si>
  <si>
    <t xml:space="preserve"> (פ/331/25)</t>
  </si>
  <si>
    <t xml:space="preserve">הצעת חוק הכשרות המשפטית והאפוטרופסות (תיקון - ביטול חזקת הגיל הרך), התשפ"ג-2022</t>
  </si>
  <si>
    <t xml:space="preserve"> (פ/330/25)</t>
  </si>
  <si>
    <t xml:space="preserve">הצעת חוק לקביעת שעות ההצבעה בקלפיות ולקביעת היקף יום השבתון בבחירות לכנסת ולרשויות המקומיות (תיקוני חקיקה), התשפ"ג-2022</t>
  </si>
  <si>
    <t xml:space="preserve"> (פ/328/25)</t>
  </si>
  <si>
    <t xml:space="preserve">הצעת חוק העברת הכנסות מהימורים לתמיכה במרכזי גמילה מהימורים, התשפ"ג-2022</t>
  </si>
  <si>
    <t xml:space="preserve"> (פ/327/25)</t>
  </si>
  <si>
    <t xml:space="preserve">הצעת חוק התכנון והבנייה (תיקון - גני ילדים ומעונות יום), התשפ"ג-2022</t>
  </si>
  <si>
    <t xml:space="preserve"> (פ/326/25)</t>
  </si>
  <si>
    <t xml:space="preserve"> (פ/325/25)</t>
  </si>
  <si>
    <t xml:space="preserve"> (פ/324/25)</t>
  </si>
  <si>
    <t xml:space="preserve">הצעת חוק התקנת מצלמות לשם הגנה על פעוטות במעונות יום לפעוטות (תיקון - צפייה מקוונת של ההורים בצילומים), התשפ"ג-2022</t>
  </si>
  <si>
    <t xml:space="preserve"> (פ/323/25)</t>
  </si>
  <si>
    <t xml:space="preserve">הצעת חוק הביטוח הלאומי (תיקון - אבטחה במוסד רפואי כעבודה מועדפת), התשפ"ג-2022</t>
  </si>
  <si>
    <t xml:space="preserve"> (פ/322/25)</t>
  </si>
  <si>
    <t xml:space="preserve"> (פ/321/25)</t>
  </si>
  <si>
    <t xml:space="preserve">הצעת חוק הפיקוח על מעונות יום לפעוטות (תיקון - הסמכת מתנדבים וטכנאי מצלמות), התשפ"ג-2022</t>
  </si>
  <si>
    <t xml:space="preserve"> (פ/320/25)</t>
  </si>
  <si>
    <t xml:space="preserve">הצעת חוק הרשויות המקומיות (בחירת ראש הרשות וסגניו וכהונתם) (תיקון - חסינות ממעצר לראשי רשויות ולראשי מועצות אזוריות), התשפ"ג-2022</t>
  </si>
  <si>
    <t xml:space="preserve"> (פ/319/25)</t>
  </si>
  <si>
    <t xml:space="preserve">הצעת חוק להנצחת מורשת המחתרות, התשפ"ג-2022</t>
  </si>
  <si>
    <t xml:space="preserve"> (פ/318/25)</t>
  </si>
  <si>
    <t xml:space="preserve"> (פ/317/25)</t>
  </si>
  <si>
    <t xml:space="preserve">הצעת חוק גירוש משפחות מחבלים, התשפ"ג-2022</t>
  </si>
  <si>
    <t xml:space="preserve"> (פ/316/25)</t>
  </si>
  <si>
    <t xml:space="preserve">הצעת חוק יישוב סכסוכי עבודה (תיקון - דין שביתה בתקופת בחירות), התשפ"ג-2022</t>
  </si>
  <si>
    <t xml:space="preserve"> (פ/314/25)</t>
  </si>
  <si>
    <t xml:space="preserve">הצעת חוק אישור לפתיחת חקירת שוטרים המעורבים באירוע לאומני, התשפ"ג-2022</t>
  </si>
  <si>
    <t xml:space="preserve"> (פ/313/25)</t>
  </si>
  <si>
    <t xml:space="preserve">הצעת חוק-יסוד: השפיטה (תיקון - תיעוד מצולם של דיוני בתי המשפט)</t>
  </si>
  <si>
    <t xml:space="preserve"> (פ/311/25)</t>
  </si>
  <si>
    <t xml:space="preserve">הצעת חוק הביטוח הלאומי (תיקון - גמלת אבל), התשפ"ג-2022</t>
  </si>
  <si>
    <t xml:space="preserve"> (פ/310/25)</t>
  </si>
  <si>
    <t xml:space="preserve">הצעת חוק ביטוח בריאות ממלכתי (תיקון - מחלה יתומה), התשפ"ג-2022</t>
  </si>
  <si>
    <t xml:space="preserve"> (פ/309/25)</t>
  </si>
  <si>
    <t xml:space="preserve">הצעת חוק מימון מפלגות (תיקון - מענק למפלגות המקיימות בחירות מקדימות), התשפ"ג-2022</t>
  </si>
  <si>
    <t xml:space="preserve"> (פ/307/25)</t>
  </si>
  <si>
    <t xml:space="preserve">הצעת חוק חינוך פיננסי, התשפ"ג-2022</t>
  </si>
  <si>
    <t xml:space="preserve"> (פ/306/25)</t>
  </si>
  <si>
    <t xml:space="preserve">הצעת חוק האזנת סתר (תיקון - האזנה בשל חשד להתעללות בילדים ובחסרי ישע), התשפ״ג-2022</t>
  </si>
  <si>
    <t xml:space="preserve"> (פ/305/25)</t>
  </si>
  <si>
    <t xml:space="preserve"> (פ/304/25)</t>
  </si>
  <si>
    <t xml:space="preserve">הצעת חוק מיסוי מקרקעין (שבח ורכישה) (תיקון - דירה נוספת שלא נעשה בה שימוש), התשפ"ג-2022</t>
  </si>
  <si>
    <t xml:space="preserve"> (פ/303/25)</t>
  </si>
  <si>
    <t xml:space="preserve">הצעת חוק הבחירות (דרכי תעמולה) (תיקון - פרסום סקרים בימי מנוחה), התשפ"ג-2022 </t>
  </si>
  <si>
    <t xml:space="preserve"> (פ/302/25)</t>
  </si>
  <si>
    <t xml:space="preserve">הצעת חוק העונשין (תיקון - החמרת ענישה בפשיעה חקלאית) (הוראת שעה), התשפ"ג-2022</t>
  </si>
  <si>
    <t xml:space="preserve"> (פ/300/25)</t>
  </si>
  <si>
    <t xml:space="preserve">הצעת חוק העונשין (תיקון - עונש מינימום למצית נכס ציבורי), התשפ"ג-2022</t>
  </si>
  <si>
    <t xml:space="preserve"> (פ/299/25)</t>
  </si>
  <si>
    <t xml:space="preserve"> (פ/298/25)</t>
  </si>
  <si>
    <t xml:space="preserve">הצעת חוק התכנון והבנייה (תיקון - החלטה מקדמית לפי תכנית החיזוק), התשפ"ג-2022</t>
  </si>
  <si>
    <t xml:space="preserve"> (פ/296/25)</t>
  </si>
  <si>
    <t xml:space="preserve">הצעת חוק עבודת נשים (תיקון - הארכת תקופת הלידה וההורות להורי פג), התשפ"ג-2022</t>
  </si>
  <si>
    <t xml:space="preserve"> (פ/294/25)</t>
  </si>
  <si>
    <t xml:space="preserve">הצעת חוק התכנון והבנייה (תיקון - איסור התניית היתר בהתקנת מקומות חניה ובניצול חלק קיים משטח דירה), התשפ"ג-2022</t>
  </si>
  <si>
    <t xml:space="preserve"> (פ/293/25)</t>
  </si>
  <si>
    <t xml:space="preserve">הצעת חוק דמי מחלה (היעדרות בשל מחלת ילד) (תיקון - מחלת תינוק), התשפ"ג-2022</t>
  </si>
  <si>
    <t xml:space="preserve"> (פ/292/25)</t>
  </si>
  <si>
    <t xml:space="preserve">הצעת חוק התכנון והבנייה (תיקון - ייצוג הוועדה המקומית), התשפ"ג-2022</t>
  </si>
  <si>
    <t xml:space="preserve"> (פ/291/25)</t>
  </si>
  <si>
    <t xml:space="preserve">הצעת חוק בתי המשפט (תיקון - מספר השופטים בבית המשפט העליון), התשפ"ג-2022</t>
  </si>
  <si>
    <t xml:space="preserve"> (פ/290/25)</t>
  </si>
  <si>
    <t xml:space="preserve">הצעת חוק זכאות לאבחון לקויות למידה לילדים ממשפחות מעוטות יכולת, התשפ"ג-2022 </t>
  </si>
  <si>
    <t xml:space="preserve"> (פ/289/25)</t>
  </si>
  <si>
    <t xml:space="preserve">הצעת חוק הנגשת שירותי קבלת קהל הניתנים בגופי שלטון לשפות נוספות, התשפ"ג-2022</t>
  </si>
  <si>
    <t xml:space="preserve"> (פ/288/25)</t>
  </si>
  <si>
    <t xml:space="preserve">הצעת חוק ביטוח בריאות ממלכתי (תיקון - אשפוז בית), התשפ"ג-2022</t>
  </si>
  <si>
    <t xml:space="preserve"> (פ/286/25)</t>
  </si>
  <si>
    <t xml:space="preserve">הצעת חוק חובת פרסום מידע על תלונות הציבור ודוח ביקורת פנימית (תיקוני חקיקה), התשפ"ג-2022</t>
  </si>
  <si>
    <t xml:space="preserve"> (פ/284/25)</t>
  </si>
  <si>
    <t xml:space="preserve">הצעת חוק לתיקון פקודת המסים (גבייה) (ביטול החוק), התשפ"ג-2022</t>
  </si>
  <si>
    <t xml:space="preserve"> (פ/283/25)</t>
  </si>
  <si>
    <t xml:space="preserve"> (פ/282/25)</t>
  </si>
  <si>
    <t xml:space="preserve">הצעת חוק לתיקון פקודת המשטרה (הפגנה ליד בתי מגורים), התשפ"ג-2022</t>
  </si>
  <si>
    <t xml:space="preserve"> (פ/281/25)</t>
  </si>
  <si>
    <t xml:space="preserve">הצעת חוק הספורט (תיקון - זכויות ספורטאי קטין), התשפ"ג-2022</t>
  </si>
  <si>
    <t xml:space="preserve"> (פ/280/25)</t>
  </si>
  <si>
    <t xml:space="preserve">הצעת חוק הסדרת הטיפול בחופי הכנרת (תיקון - מועצת איגוד ערים כנרת), התשפ"ג-2022</t>
  </si>
  <si>
    <t xml:space="preserve"> (פ/279/25)</t>
  </si>
  <si>
    <t xml:space="preserve">הצעת חוק להגדלת שיעור ההשתתפות בכוח העבודה ולצמצום פערים חברתיים (מענק עבודה) (תיקון - אוטומציה בקבלת מענק העבודה), התשפ"ג-2022</t>
  </si>
  <si>
    <t xml:space="preserve"> (פ/278/25)</t>
  </si>
  <si>
    <t xml:space="preserve">הצעת חוק התקשורת (בזק ושידורים) (תיקון - חובת מסירת פרטים של שולח פרסומת בניגוד לחוק), התשפ"ג-2022</t>
  </si>
  <si>
    <t xml:space="preserve"> (פ/276/25)</t>
  </si>
  <si>
    <t xml:space="preserve">הצעת חוק הדואר (תיקון - אחריות לאיחורים וטעויות), התשפ"ג-2022</t>
  </si>
  <si>
    <t xml:space="preserve"> (פ/275/25)</t>
  </si>
  <si>
    <t xml:space="preserve">הצעת חוק לתיקון פקודת מס הכנסה (השוואת תנאים בין שכיר לעצמאי בחיסכון ארוך טווח), התשפ"ג-2022</t>
  </si>
  <si>
    <t xml:space="preserve"> (פ/274/25)</t>
  </si>
  <si>
    <t xml:space="preserve">הצעת חוק המועצה להשכלה גבוהה (תיקון - הפחתת תקצוב בשל אי-הנפת דגל המדינה), התשפ"ג-2022</t>
  </si>
  <si>
    <t xml:space="preserve"> (פ/273/25)</t>
  </si>
  <si>
    <t xml:space="preserve">הצעת חוק הבלו על דלק (תיקון - הגבלת שיעור המס על הדלק), התשפ"ג-2022</t>
  </si>
  <si>
    <t xml:space="preserve"> (פ/272/25)</t>
  </si>
  <si>
    <t xml:space="preserve">הצעת חוק לתיקון פקודת הבנקאות (הגבלת עמלת פירעון מוקדם של הלוואה לדיור), התשפ"ג-2022</t>
  </si>
  <si>
    <t xml:space="preserve"> (פ/271/25)</t>
  </si>
  <si>
    <t xml:space="preserve">הצעת חוק לתיקון פקודת מס הכנסה (מיסוי הכנסה מהשכרת דירה למגורים), התשפ"ג-2022</t>
  </si>
  <si>
    <t xml:space="preserve"> (פ/270/25)</t>
  </si>
  <si>
    <t xml:space="preserve">הצעת חוק לתיקון פקודת התעבורה (פטור מאגרת רישיון לרכב חשמלי), התשפ"ג-2022</t>
  </si>
  <si>
    <t xml:space="preserve"> (פ/269/25)</t>
  </si>
  <si>
    <t xml:space="preserve">הצעת חוק לתיקון פקודת סדרי השלטון והמשפט (חקיקה באזור באמצעות צו), התשפ"ג-2022</t>
  </si>
  <si>
    <t xml:space="preserve"> (פ/267/25)</t>
  </si>
  <si>
    <t xml:space="preserve">הצעת חוק הפיקוח על שירותים פיננסיים (ייעוץ, שיווק ומערכת סליקה פנסיוניים) (תיקון - הגבלת עמלת הפצה), התשפ"ג-2022</t>
  </si>
  <si>
    <t xml:space="preserve"> (פ/266/25)</t>
  </si>
  <si>
    <t xml:space="preserve">הצעת חוק המועצה להשכלה גבוהה (תיקון - ביטול דרישת מבחני כניסה וציון פסיכומטרי), התשפ"ג-2022</t>
  </si>
  <si>
    <t xml:space="preserve"> (פ/265/25)</t>
  </si>
  <si>
    <t xml:space="preserve">הצעת חוק מיסוי מקרקעין (שבח ורכישה) (תיקון - הרחבת פטור לדירת מגורים מזכה), התשפ"ג-2022</t>
  </si>
  <si>
    <t xml:space="preserve"> (פ/264/25)</t>
  </si>
  <si>
    <t xml:space="preserve">הצעת חוק נכסי נפקדים (תיקון - ביטול החוק), התשפ"ג-2022</t>
  </si>
  <si>
    <t xml:space="preserve"> (פ/263/25)</t>
  </si>
  <si>
    <t xml:space="preserve">הצעת חוק המועצה להשכלה גבוהה (תיקון - איסור הגבלת גיל בהרשמה למוסד להשכלה גבוהה), התשפ"ג-2022</t>
  </si>
  <si>
    <t xml:space="preserve"> (פ/262/25)</t>
  </si>
  <si>
    <t xml:space="preserve">הצעת חוק האזרחות והכניסה לישראל (הוראת שעה) (תיקון - ביטול החוק), התשפ"ג-2022</t>
  </si>
  <si>
    <t xml:space="preserve"> (פ/261/25)</t>
  </si>
  <si>
    <t xml:space="preserve">הצעת חוק המוסיקה הישראלית, התשפ"ג-2022</t>
  </si>
  <si>
    <t xml:space="preserve"> (פ/259/25)</t>
  </si>
  <si>
    <t xml:space="preserve">הצעת חוק כרטיסי חיוב (תיקון - חובת פרסום פרטי ספק), התשפ"ג-2022</t>
  </si>
  <si>
    <t xml:space="preserve"> (פ/258/25)</t>
  </si>
  <si>
    <t xml:space="preserve">הצעת חוק שירות ביטחון (תיקון - פטור מטעמי מצפון), התשפ"ג-2022</t>
  </si>
  <si>
    <t xml:space="preserve"> (פ/257/25)</t>
  </si>
  <si>
    <t xml:space="preserve">הצעת חוק הכרה ברצח העם הארמני וציון יום זיכרון, התשפ"ג-2022</t>
  </si>
  <si>
    <t xml:space="preserve"> (פ/256/25)</t>
  </si>
  <si>
    <t xml:space="preserve">הצעת חוק לתיקון פקודת הבנקאות (הסכם הלוואה לדיור ללא עמלת היוון בשל פירעון מוקדם), התשפ"ג-2022</t>
  </si>
  <si>
    <t xml:space="preserve"> (פ/255/25)</t>
  </si>
  <si>
    <t xml:space="preserve"> (פ/254/25)</t>
  </si>
  <si>
    <t xml:space="preserve">הצעת חוק להסדרת רעיית דבורים וייצור דבש, התשפ"ג-2022</t>
  </si>
  <si>
    <t xml:space="preserve"> (פ/252/25)</t>
  </si>
  <si>
    <t xml:space="preserve">הצעת חוק הכניסה לישראל (תיקון - רישיון מיוחד לישיבת ביקור), התשפ"ג-2022</t>
  </si>
  <si>
    <t xml:space="preserve"> (פ/251/25)</t>
  </si>
  <si>
    <t xml:space="preserve">הצעת חוק-יסוד: הממשלה (תיקון - כשירותם של שרים)</t>
  </si>
  <si>
    <t xml:space="preserve"> (פ/91/25)</t>
  </si>
  <si>
    <t xml:space="preserve">14.12.2022</t>
  </si>
  <si>
    <t xml:space="preserve">הצעת חוק המידע הפלילי ותקנת השבים (תיקון מס' 4), התשפ"ג-2022 </t>
  </si>
  <si>
    <t xml:space="preserve"> (מ/1584)</t>
  </si>
  <si>
    <t xml:space="preserve">13.12.2022</t>
  </si>
  <si>
    <t xml:space="preserve">הצעת חוק איסור הלבנת הון (תיקון מס' 33) (העברת מידע מגופים ציבוריים מוסמכים), התשפ"ג-2022 </t>
  </si>
  <si>
    <t xml:space="preserve"> (מ/1586)</t>
  </si>
  <si>
    <t xml:space="preserve">הצעת חוק קבוצות רכישה, התשפ"ג-2022 </t>
  </si>
  <si>
    <t xml:space="preserve"> (מ/1587)</t>
  </si>
  <si>
    <t xml:space="preserve">הצעת חוק בתי הדין הדתיים הדרוזיים (תיקון מס' 23), התשפ"ג-2022 </t>
  </si>
  <si>
    <t xml:space="preserve"> (מ/1588)</t>
  </si>
  <si>
    <t xml:space="preserve">הצעת חוק הבנקאות (שירות ללקוח) (תיקון - הקלת התנאים במתן הלוואה לרכישת דירה), התשפ"ג-2022</t>
  </si>
  <si>
    <t xml:space="preserve"> (פ/250/25)</t>
  </si>
  <si>
    <t xml:space="preserve">12.12.2022</t>
  </si>
  <si>
    <t xml:space="preserve">הצעת חוק הספקת החשמל (הוראת שעה) (תיקון - הארכת תוקף), התשפ"ג-2022</t>
  </si>
  <si>
    <t xml:space="preserve"> (פ/248/25)</t>
  </si>
  <si>
    <t xml:space="preserve">הצעת חוק החלת ריבונות ישראל בשטח בקעת הירדן וצפון ים המלח, התשפ"ג-2022</t>
  </si>
  <si>
    <t xml:space="preserve"> (פ/247/25)</t>
  </si>
  <si>
    <t xml:space="preserve">הצעת חוק החומרים המסוכנים (תיקון - פרטי התקשרות למרכז רעלים), התשפ"ג-2022 </t>
  </si>
  <si>
    <t xml:space="preserve"> (פ/246/25)</t>
  </si>
  <si>
    <t xml:space="preserve">הצעת חוק רשות שדות התעופה (תיקון - פטור מתשלום אגרה לסטודנטים הלומדים באוניברסיטאות בירדן), התשפ"ג-2022</t>
  </si>
  <si>
    <t xml:space="preserve"> (פ/245/25)</t>
  </si>
  <si>
    <t xml:space="preserve">הצעת חוק לתיקון פקודת התעבורה (רישום סוג הדם ברישיון נהיגה), התשפ"ג-2022</t>
  </si>
  <si>
    <t xml:space="preserve"> (פ/244/25)</t>
  </si>
  <si>
    <t xml:space="preserve">הצעת חוק הגנת הצרכן (תיקון - צמצום בזבוז מזון שתוקפו עומד לפוג ברשתות הקמעונאות הגדולות), התשפ"ג-2022</t>
  </si>
  <si>
    <t xml:space="preserve"> (פ/243/25)</t>
  </si>
  <si>
    <t xml:space="preserve">הצעת חוק ההכרה בענף הפוקר, התשפ"ג-2022</t>
  </si>
  <si>
    <t xml:space="preserve"> (פ/242/25)</t>
  </si>
  <si>
    <t xml:space="preserve">הצעת חוק מכר סיטונאי חקלאי, התשפ"ג-2022</t>
  </si>
  <si>
    <t xml:space="preserve"> (פ/241/25)</t>
  </si>
  <si>
    <t xml:space="preserve"> (פ/240/25)</t>
  </si>
  <si>
    <t xml:space="preserve">הצעת חוק לתיקון פקודת התעבורה (הגבלת סכום אגרת רישיון רכב), התשפ"ג-2022</t>
  </si>
  <si>
    <t xml:space="preserve"> (פ/239/25)</t>
  </si>
  <si>
    <t xml:space="preserve">הצעת חוק הגנת הצרכן (תיקון - שובר זיכוי לנוסע ליעד באזהרת מסע חמורה), התשפ"ג-2022</t>
  </si>
  <si>
    <t xml:space="preserve"> (פ/238/25)</t>
  </si>
  <si>
    <t xml:space="preserve">הצעת חוק החלת החוק הישראלי בשטח בקעת הירדן (הליך קבלת אזרחות), התשפ"ג-2022</t>
  </si>
  <si>
    <t xml:space="preserve"> (פ/237/25)</t>
  </si>
  <si>
    <t xml:space="preserve">הצעת חוק החלת הריבונות הישראלית על בקעת הירדן, התשפ"ג-2022</t>
  </si>
  <si>
    <t xml:space="preserve"> (פ/236/25)</t>
  </si>
  <si>
    <t xml:space="preserve">הצעת חוק המים (תיקון - שקיפות פעילות הרשות הממשלתית), התשפ"ג-2022</t>
  </si>
  <si>
    <t xml:space="preserve"> (פ/235/25)</t>
  </si>
  <si>
    <t xml:space="preserve">הצעת חוק הדחת נציג ציבור התומך במאבק מזוין נגד מדינת ישראל (תיקוני חקיקה), התשפ"ג-2022</t>
  </si>
  <si>
    <t xml:space="preserve"> (פ/233/25)</t>
  </si>
  <si>
    <t xml:space="preserve">הצעת חוק הרשתות החברתיות, התשפ''ג-2022</t>
  </si>
  <si>
    <t xml:space="preserve"> (פ/232/25)</t>
  </si>
  <si>
    <t xml:space="preserve"> (פ/230/25)</t>
  </si>
  <si>
    <t xml:space="preserve">הצעת חוק הנגשת מוצרי מחזור בגופים ציבוריים, התשפ"ג-2022</t>
  </si>
  <si>
    <t xml:space="preserve"> (פ/229/25)</t>
  </si>
  <si>
    <t xml:space="preserve">הצעת חוק המאבק בטרור (תיקון - קנס חובה בעקבות הרשעה בגין עבירות טרור), התשפ"ג-2022</t>
  </si>
  <si>
    <t xml:space="preserve"> (פ/228/25)</t>
  </si>
  <si>
    <t xml:space="preserve">הצעת חוק לתיקון פקודת התעבורה (הקמת מאגר מידע לריכוז דוחות חניה), התשפ"ג-2022</t>
  </si>
  <si>
    <t xml:space="preserve"> (פ/227/25)</t>
  </si>
  <si>
    <t xml:space="preserve">הצעת חוק זכויות הדייר בדיור הציבורי (תיקון - זכאות לאם יחידנית המקבלת תשלומי מזונות מהמוסד לביטוח לאומי), ‏התשפ"ג-2022</t>
  </si>
  <si>
    <t xml:space="preserve"> (פ/226/25)</t>
  </si>
  <si>
    <t xml:space="preserve"> (פ/225/25)</t>
  </si>
  <si>
    <t xml:space="preserve">הצעת חוק האקלים, התשפ"ג-2022</t>
  </si>
  <si>
    <t xml:space="preserve"> (פ/224/25)</t>
  </si>
  <si>
    <t xml:space="preserve">הצעת חוק להגנה על חיילי צה"ל וגורמים ישראלים אחרים מתלונות שווא של הרשות הפלסטינית, התשפ"ג-2022</t>
  </si>
  <si>
    <t xml:space="preserve"> (פ/223/25)</t>
  </si>
  <si>
    <t xml:space="preserve">הצעת חוק איסור הפליה במוצרים, בשירותים ובכניסה למקומות בידור ולמקומות ציבוריים (תיקון - פגיעה באמונה דתית), התשפ"ג-2022 </t>
  </si>
  <si>
    <t xml:space="preserve"> (פ/222/25)</t>
  </si>
  <si>
    <t xml:space="preserve"> (פ/221/25)</t>
  </si>
  <si>
    <t xml:space="preserve">הצעת חוק הגנת הצרכן (תיקון - איסור גביית עמלה בהרשאה לחיוב חשבון בהוראת קבע), התשפ"ג-2022</t>
  </si>
  <si>
    <t xml:space="preserve"> (פ/220/25)</t>
  </si>
  <si>
    <t xml:space="preserve">הצעת חוק חג הפסח בבסיסי צה"ל, התשפ"ג-2022 </t>
  </si>
  <si>
    <t xml:space="preserve"> (פ/219/25)</t>
  </si>
  <si>
    <t xml:space="preserve">הצעת חוק איסור הפליה במוצרים, בשירותים ובכניסה למקומות בידור ולמקומות ציבוריים (תיקון - איסור הפליה בשל הובלת עגלת ילדים), התשפ"ג-2022</t>
  </si>
  <si>
    <t xml:space="preserve"> (פ/218/25)</t>
  </si>
  <si>
    <t xml:space="preserve"> (פ/217/25)</t>
  </si>
  <si>
    <t xml:space="preserve">הצעת חוק להפחתת סכום הפיצוי הכספי בשל נסיעה ללא תיקוף כרטיס בתחבורה ציבורית (תיקוני חקיקה), התשפ"ג-2022</t>
  </si>
  <si>
    <t xml:space="preserve"> (פ/215/25)</t>
  </si>
  <si>
    <t xml:space="preserve"> (פ/214/25)</t>
  </si>
  <si>
    <t xml:space="preserve">הצעת חוק פיקוח על רווחי שיווק בתוצרת חקלאית, התשפ"ג-2022</t>
  </si>
  <si>
    <t xml:space="preserve"> (פ/213/25)</t>
  </si>
  <si>
    <t xml:space="preserve">הצעת חוק החלת הריבונות של מדינת ישראל בחבלי יהודה והשומרון, התשפ"ג-2022</t>
  </si>
  <si>
    <t xml:space="preserve"> (פ/212/25)</t>
  </si>
  <si>
    <t xml:space="preserve"> (פ/211/25)</t>
  </si>
  <si>
    <t xml:space="preserve">הצעת חוק הקצאת דירות לדיור בר השגה ולדיור ציבורי, התשפ"ג-2022</t>
  </si>
  <si>
    <t xml:space="preserve"> (פ/210/25)</t>
  </si>
  <si>
    <t xml:space="preserve"> (פ/209/25)</t>
  </si>
  <si>
    <t xml:space="preserve">הצעת חוק לתיקון פקודת התעבורה (החרגת בעלי רישיון שימוש בקנבוס רפואי), התשפ"ג-2022</t>
  </si>
  <si>
    <t xml:space="preserve"> (פ/207/25)</t>
  </si>
  <si>
    <t xml:space="preserve"> (פ/206/25)</t>
  </si>
  <si>
    <t xml:space="preserve">הצעת חוק לתיקון פקודת התעבורה (איסור שימוש במצלמות ניידות לאכיפת עבירות חניה), התשפ"ג-2022</t>
  </si>
  <si>
    <t xml:space="preserve"> (פ/205/25)</t>
  </si>
  <si>
    <t xml:space="preserve">הצעת חוק המועצה לענף הלול (ייצור ושיווק) (תיקון - ביטול החוק), התשפ"ג-2022</t>
  </si>
  <si>
    <t xml:space="preserve"> (פ/204/25)</t>
  </si>
  <si>
    <t xml:space="preserve">הצעת חוק לתיקון פקודת בתי הסוהר (עתירות אסיר - ערעור בזכות), התשפ"ג-2022</t>
  </si>
  <si>
    <t xml:space="preserve"> (פ/202/25)</t>
  </si>
  <si>
    <t xml:space="preserve">הצעת חוק ביטול הרפורמה בכשרות (תיקוני חקיקה), התשפ"ג-2022</t>
  </si>
  <si>
    <t xml:space="preserve"> (פ/201/25)</t>
  </si>
  <si>
    <t xml:space="preserve">הצעת חוק קרן קיימת לישראל (תיקון - ביטול החוק), התשפ"ג-2022 </t>
  </si>
  <si>
    <t xml:space="preserve"> (פ/200/25)</t>
  </si>
  <si>
    <t xml:space="preserve"> (פ/199/25)</t>
  </si>
  <si>
    <t xml:space="preserve">הצעת חוק מועצת הצמחים (ייצור ושיווק) (תיקון - ביטול מועצת הצמחים), התשפ"ג-2022</t>
  </si>
  <si>
    <t xml:space="preserve"> (פ/198/25)</t>
  </si>
  <si>
    <t xml:space="preserve">הצעת חוק בדבר סמכויות להשבת פליטים שהשבתם לא מהווה סכנה, התשפ"ג-2022</t>
  </si>
  <si>
    <t xml:space="preserve"> (פ/197/25)</t>
  </si>
  <si>
    <t xml:space="preserve">הצעת חוק חסינות כוחות הביטחון, התשפ"ג-2022</t>
  </si>
  <si>
    <t xml:space="preserve"> (פ/196/25)</t>
  </si>
  <si>
    <t xml:space="preserve">הצעת חוק המים (תיקון - הנחות לבתי תפילה), התשפ"ג-2022</t>
  </si>
  <si>
    <t xml:space="preserve"> (פ/195/25)</t>
  </si>
  <si>
    <t xml:space="preserve">הצעת חוק הבנקאות (רישוי) (תיקון - ועדה לבחינת סגירת סניפי בנק), התשפ"ג-2022</t>
  </si>
  <si>
    <t xml:space="preserve"> (פ/194/25)</t>
  </si>
  <si>
    <t xml:space="preserve">הצעת חוק חסינות חיילי צה"ל באירועים מבצעיים, התשפ"ג-2022</t>
  </si>
  <si>
    <t xml:space="preserve"> (פ/193/25)</t>
  </si>
  <si>
    <t xml:space="preserve">הצעת חוק לתיקון פקודת התעבורה (קביעת קנס בגין גביית יתר של שכר הסעה במונית), התשפ"ג-2022</t>
  </si>
  <si>
    <t xml:space="preserve"> (פ/192/25)</t>
  </si>
  <si>
    <t xml:space="preserve">הצעת חוק הגנת הצרכן (תיקון - בטלות עסקה לרכישת מוצרי מזון לאחר חג הפסח), התשפ"ג-2022</t>
  </si>
  <si>
    <t xml:space="preserve"> (פ/190/25)</t>
  </si>
  <si>
    <t xml:space="preserve">הצעת חוק ארוחה יומית לתלמיד (תיקון - הרחבת תחולת החוק), התשפ"ג-2022</t>
  </si>
  <si>
    <t xml:space="preserve"> (פ/189/25)</t>
  </si>
  <si>
    <t xml:space="preserve">הצעת חוק לתיקון פקודת התעבורה (ביטול מופע אור ירוק ברמזור פנייה ימינה בעת הופעת אור ירוק ברמזור להולכי רגל), התשפ"ג-2022</t>
  </si>
  <si>
    <t xml:space="preserve"> (פ/187/25)</t>
  </si>
  <si>
    <t xml:space="preserve"> (פ/186/25)</t>
  </si>
  <si>
    <t xml:space="preserve">הצעת חוק ארוחה יומית לתלמיד (תיקון - ארוחת כריך יומית בבית ספר על יסודי), התשפ"ג-2022</t>
  </si>
  <si>
    <t xml:space="preserve"> (פ/185/25)</t>
  </si>
  <si>
    <t xml:space="preserve">הצעת חוק משק החשמל (תיקון - איסור ניתוק חשמל), התשפ"ג-2022</t>
  </si>
  <si>
    <t xml:space="preserve"> (פ/184/25)</t>
  </si>
  <si>
    <t xml:space="preserve">הצעת חוק איסור אלימות בספורט (תיקון - מניעת הרחקה גורפת מאירועי ספורט), התשפ"ג-2022</t>
  </si>
  <si>
    <t xml:space="preserve"> (פ/183/25)</t>
  </si>
  <si>
    <t xml:space="preserve"> (פ/182/25)</t>
  </si>
  <si>
    <t xml:space="preserve"> (פ/181/25)</t>
  </si>
  <si>
    <t xml:space="preserve"> (פ/180/25)</t>
  </si>
  <si>
    <t xml:space="preserve">הצעת חוק הפרטת גלי צה"ל, התשפ"ג-2022</t>
  </si>
  <si>
    <t xml:space="preserve"> (פ/179/25)</t>
  </si>
  <si>
    <t xml:space="preserve"> (פ/178/25)</t>
  </si>
  <si>
    <t xml:space="preserve">הצעת חוק הכנסת (תיקון - כינוס הכנסת בתקופת הפגרה), התשפ"ג-2022</t>
  </si>
  <si>
    <t xml:space="preserve"> (פ/177/25)</t>
  </si>
  <si>
    <t xml:space="preserve"> (פ/175/25)</t>
  </si>
  <si>
    <t xml:space="preserve">הצעת חוק המועצה לייצור ולשיווק של אגוזי אדמה (תיקון - ביטול החוק), התשפ"ג-2022</t>
  </si>
  <si>
    <t xml:space="preserve"> (פ/174/25)</t>
  </si>
  <si>
    <t xml:space="preserve"> (פ/173/25)</t>
  </si>
  <si>
    <t xml:space="preserve"> (פ/172/25)</t>
  </si>
  <si>
    <t xml:space="preserve">הצעת חוק תכנון משק החלב (תיקון - ביטול החוק), התשפ"ג-2022</t>
  </si>
  <si>
    <t xml:space="preserve"> (פ/171/25)</t>
  </si>
  <si>
    <t xml:space="preserve">הצעת חוק הכנסת (תיקון - קביעת שכר חברי הכנסת בידי ועדה ציבורית), התשפ"ג-2022</t>
  </si>
  <si>
    <t xml:space="preserve"> (פ/170/25)</t>
  </si>
  <si>
    <t xml:space="preserve"> (פ/169/25)</t>
  </si>
  <si>
    <t xml:space="preserve">הצעת חוק המרכז להנצחת מורשתו של הנשיא יצחק נבון, התשפ"ג-2022</t>
  </si>
  <si>
    <t xml:space="preserve"> (פ/168/25)</t>
  </si>
  <si>
    <t xml:space="preserve">הצעת חוק החקלאות, התשפ"ג-2022 </t>
  </si>
  <si>
    <t xml:space="preserve"> (פ/167/25)</t>
  </si>
  <si>
    <t xml:space="preserve"> (פ/166/25)</t>
  </si>
  <si>
    <t xml:space="preserve"> (פ/165/25)</t>
  </si>
  <si>
    <t xml:space="preserve">הצעת חוק הסדרת הטיפול בחולי נפש (תיקוני חקיקה), התשפ"ג-2022</t>
  </si>
  <si>
    <t xml:space="preserve"> (פ/164/25)</t>
  </si>
  <si>
    <t xml:space="preserve">הצעת חוק כביש אגרה (כביש ארצי לישראל) (תיקון - פטור מאגרה בשל האטה ממהירות הנסיעה המותרת), התשפ"ג-2022</t>
  </si>
  <si>
    <t xml:space="preserve"> (פ/163/25)</t>
  </si>
  <si>
    <t xml:space="preserve"> (פ/162/25)</t>
  </si>
  <si>
    <t xml:space="preserve">הצעת חוק מוקד חירום רפואי טלפוני, התשפ"ג-2022</t>
  </si>
  <si>
    <t xml:space="preserve"> (פ/161/25)</t>
  </si>
  <si>
    <t xml:space="preserve">הצעת חוק הכנסת (תיקון - חובת התייצבות בפני ועדות הכנסת), התשפ"ג-2022</t>
  </si>
  <si>
    <t xml:space="preserve"> (פ/160/25)</t>
  </si>
  <si>
    <t xml:space="preserve">הצעת חוק הכנסת (תיקון - חובת התייצבות בפני ועדות הכנסת), התשפ"ג-2022 </t>
  </si>
  <si>
    <t xml:space="preserve"> (פ/159/25)</t>
  </si>
  <si>
    <t xml:space="preserve">הצעת חוק שכר נושאי משרה ברשויות השלטון, התשפ"ג-2022</t>
  </si>
  <si>
    <t xml:space="preserve"> (פ/158/25)</t>
  </si>
  <si>
    <t xml:space="preserve"> (פ/157/25)</t>
  </si>
  <si>
    <t xml:space="preserve"> (פ/156/25)</t>
  </si>
  <si>
    <t xml:space="preserve">הצעת חוק הביטוח הלאומי (תיקון - דמי אבטלה לעצמאים), התשפ"ג-2022</t>
  </si>
  <si>
    <t xml:space="preserve"> (פ/155/25)</t>
  </si>
  <si>
    <t xml:space="preserve"> (פ/154/25)</t>
  </si>
  <si>
    <t xml:space="preserve">הצעת חוק שירות המדינה (מינויים) (תיקון - הכרה בלימודים תורניים גבוהים לעניין תנאי סף), התשפ"ג-2022</t>
  </si>
  <si>
    <t xml:space="preserve"> (פ/153/25)</t>
  </si>
  <si>
    <t xml:space="preserve">הצעת חוק התכנון והבנייה (תיקון - סייגים להתניית היתר), התשפ"ג-2022</t>
  </si>
  <si>
    <t xml:space="preserve"> (פ/152/25)</t>
  </si>
  <si>
    <t xml:space="preserve">הצעת חוק התכנון והבנייה (תיקון - הרחבת הפטור מהיטל השבחה), התשפ"ג-2022</t>
  </si>
  <si>
    <t xml:space="preserve"> (פ/151/25)</t>
  </si>
  <si>
    <t xml:space="preserve">הצעת חוק מידע גנטי (תיקון - איסור שימוש בתוצאות בדיקה גנטית לקביעת השתייכות לעדה דתית), התשפ"ג-2022</t>
  </si>
  <si>
    <t xml:space="preserve"> (פ/150/25)</t>
  </si>
  <si>
    <t xml:space="preserve">הצעת חוק המועצות האזוריות (בחירת ראש המועצה) (תיקון - הגשת רשימה על ידי סיעה או מפלגה), התשפ"ג-2022</t>
  </si>
  <si>
    <t xml:space="preserve"> (פ/149/25)</t>
  </si>
  <si>
    <t xml:space="preserve">הצעת חוק הביטוח הלאומי (תיקון - קצבת נכות וקצבת שאירים), התשפ"ג-2022</t>
  </si>
  <si>
    <t xml:space="preserve"> (פ/148/25)</t>
  </si>
  <si>
    <t xml:space="preserve">הצעת חוק העונשין (תיקון - פיצויים לזכאי במשפט חוזר ובערעור בבית המשפט העליון), התשפ"ג-2022</t>
  </si>
  <si>
    <t xml:space="preserve"> (פ/147/25)</t>
  </si>
  <si>
    <t xml:space="preserve">הצעת חוק יישוב סכסוכי עבודה (תיקון - סכסוך עבודה פוליטי), התשפ"ג-2022</t>
  </si>
  <si>
    <t xml:space="preserve"> (פ/146/25)</t>
  </si>
  <si>
    <t xml:space="preserve">הצעת חוק העברת היחידות הארציות של משרדי הממשלה לירושלים, התשפ"ג-2022</t>
  </si>
  <si>
    <t xml:space="preserve"> (פ/145/25)</t>
  </si>
  <si>
    <t xml:space="preserve">הצעת חוק לתיקון פקודת הראיות (חיסיון רואה חשבון), התשפ"ג-2022</t>
  </si>
  <si>
    <t xml:space="preserve"> (פ/144/25)</t>
  </si>
  <si>
    <t xml:space="preserve">הצעת חוק המים (תיקון - מתן הנחות בתעריפי מים לאוכלוסיות נזקקות), התשפ"ג-2022</t>
  </si>
  <si>
    <t xml:space="preserve"> (פ/143/25)</t>
  </si>
  <si>
    <t xml:space="preserve"> (פ/142/25)</t>
  </si>
  <si>
    <t xml:space="preserve">הצעת חוק בית המשפט לענייני משפחה (תיקון - בני זוג מאותו המין), התשפ"ג-2022</t>
  </si>
  <si>
    <t xml:space="preserve"> (פ/141/25)</t>
  </si>
  <si>
    <t xml:space="preserve">הצעת חוק צער בעלי חיים (הגנה על בעלי חיים) (תיקון - קביעת עונש מינימום בגין התעללות בבעלי חיים), התשפ"ג-2022</t>
  </si>
  <si>
    <t xml:space="preserve"> (פ/140/25)</t>
  </si>
  <si>
    <t xml:space="preserve"> (פ/139/25)</t>
  </si>
  <si>
    <t xml:space="preserve">הצעת חוק לתיקון פקודת ביטוח רכב מנועי (חיוב שיווק פוליסה), התשפ"ג-2022</t>
  </si>
  <si>
    <t xml:space="preserve"> (פ/137/25)</t>
  </si>
  <si>
    <t xml:space="preserve">הצעת חוק מס ערך מוסף (תיקון - פטור ממס ממכירת תרופות מאריכות חיים שאינן כלולות בסל הבריאות), התשפ"ג-2022</t>
  </si>
  <si>
    <t xml:space="preserve"> (פ/136/25)</t>
  </si>
  <si>
    <t xml:space="preserve">הצעת חוק התאמת טפסים ממשלתיים (פרטי הורים), התשפ"ג-2022</t>
  </si>
  <si>
    <t xml:space="preserve"> (פ/134/25)</t>
  </si>
  <si>
    <t xml:space="preserve">הצעת חוק בתי המשפט (תיקון - בעל דין טרדן), התשפ"ג-2022</t>
  </si>
  <si>
    <t xml:space="preserve"> (פ/133/25)</t>
  </si>
  <si>
    <t xml:space="preserve">הצעת חוק בחירות לגופים ציבוריים (תיקון - הגבלת כהונת יושב ראש ועד עובדים), התשפ"ג-2022</t>
  </si>
  <si>
    <t xml:space="preserve"> (פ/132/25)</t>
  </si>
  <si>
    <t xml:space="preserve">הצעת חוק הסכמים קיבוציים (תיקון - יציגות ארגון עובדים והגנה על הפרט), התשפ"ג-2022</t>
  </si>
  <si>
    <t xml:space="preserve"> (פ/131/25)</t>
  </si>
  <si>
    <t xml:space="preserve">הצעת חוק עובדים זרים (תיקון - הפחתת אגרות בענף החקלאות) (הוראת שעה), התשפ"ג-2022</t>
  </si>
  <si>
    <t xml:space="preserve"> (פ/130/25)</t>
  </si>
  <si>
    <t xml:space="preserve">הצעת חוק התניית יום שבתון בהצבעה בבחירות (תיקוני חקיקה), התשפ"ג-2022</t>
  </si>
  <si>
    <t xml:space="preserve"> (פ/129/25)</t>
  </si>
  <si>
    <t xml:space="preserve">הצעת חוק הביטוח הלאומי (תיקון - הטבות למי שמקבל גמלה לפי חוק הביטוח הלאומי וקיבל גמלת הבטחת הכנסה), התשפ"ג-2022</t>
  </si>
  <si>
    <t xml:space="preserve"> (פ/128/25)</t>
  </si>
  <si>
    <t xml:space="preserve">הצעת חוק הסכמים לנשיאת עוברים (אישור הסכם ומעמד היילוד) (תיקון - הורים מיועדים), התשפ"ג-2022</t>
  </si>
  <si>
    <t xml:space="preserve"> (פ/127/25)</t>
  </si>
  <si>
    <t xml:space="preserve">הצעת חוק זכויות ושירותים לילדים ולבני נוער עם קשיים נפשיים, התשפ"ג-2022</t>
  </si>
  <si>
    <t xml:space="preserve"> (פ/126/25)</t>
  </si>
  <si>
    <t xml:space="preserve">הצעת חוק הנוער (טיפול והשגחה) (תיקון - ביטול הגנת קטין מפני פרסומים מזיקים במקרה של טיפול ואשפוז פסיכיאטריים), התשפ"ג-2022</t>
  </si>
  <si>
    <t xml:space="preserve"> (פ/125/25)</t>
  </si>
  <si>
    <t xml:space="preserve">הצעת חוק הסכמים לנשיאת עוברים (אישור הסכם ומעמד היילוד) (תיקון - הרחבת הזכאות להליכי נשיאת עוברים), התשפ"ג-2022</t>
  </si>
  <si>
    <t xml:space="preserve"> (פ/124/25)</t>
  </si>
  <si>
    <t xml:space="preserve">הצעת חוק סיוע לקטינים נפגעי עבירות מין או אלימות (תיקון - טיפול נפשי לילדים נפגעי אלימות במשפחה), התשפ"ג-2022</t>
  </si>
  <si>
    <t xml:space="preserve"> (פ/123/25)</t>
  </si>
  <si>
    <t xml:space="preserve">הצעת חוק שעות עבודה ומנוחה (תיקון - קיצור שבוע העבודה), התשפ"ג-2022</t>
  </si>
  <si>
    <t xml:space="preserve"> (פ/122/25)</t>
  </si>
  <si>
    <t xml:space="preserve"> (פ/121/25)</t>
  </si>
  <si>
    <t xml:space="preserve">הצעת חוק ביטוח בריאות ממלכתי (תיקון - העברת שירותי הגמילה לתוספת השנייה), התשפ"ג-2022</t>
  </si>
  <si>
    <t xml:space="preserve"> (פ/120/25)</t>
  </si>
  <si>
    <t xml:space="preserve">הצעת חוק ביטוח בריאות ממלכתי (תיקון - הוספת טיפול בקנבוס למטרות רפואיות לסל שירותי הבריאות), התשפ"ג-2022</t>
  </si>
  <si>
    <t xml:space="preserve"> (פ/119/25)</t>
  </si>
  <si>
    <t xml:space="preserve">הצעת חוק המים (תיקון - איסור הפסקת אספקת מים בשל חובות של רשויות מקומיות), התשפ"ג-2022</t>
  </si>
  <si>
    <t xml:space="preserve"> (פ/118/25)</t>
  </si>
  <si>
    <t xml:space="preserve">הצעת חוק הרבנות הראשית לישראל (תיקון - הרחבת האסיפה הבוחרת), התשפ"ג-2022</t>
  </si>
  <si>
    <t xml:space="preserve"> (פ/117/25)</t>
  </si>
  <si>
    <t xml:space="preserve">הצעת חוק הבחירות לכנסת (תיקון - עדכון כתובת לצורכי בחירות), התשפ"ג-2022</t>
  </si>
  <si>
    <t xml:space="preserve"> (פ/116/25)</t>
  </si>
  <si>
    <t xml:space="preserve">הצעת חוק נאמני שואה במשרדי ממשלה, התשפ"ג-2022 </t>
  </si>
  <si>
    <t xml:space="preserve"> (פ/114/25)</t>
  </si>
  <si>
    <t xml:space="preserve"> (פ/113/25)</t>
  </si>
  <si>
    <t xml:space="preserve">הצעת חוק החזר הוצאות כספיות בגין עריכת נישואין אזרחיים בחוץ לארץ למי שאינם רשאים להינשא בישראל על פי דיני המדינה, התשפ"ג-2022</t>
  </si>
  <si>
    <t xml:space="preserve"> (פ/112/25)</t>
  </si>
  <si>
    <t xml:space="preserve">הצעת חוק לתיקון פקודת מס הכנסה (החזר בתשלום למעונות יום לאמהות), התשפ"ג-2022</t>
  </si>
  <si>
    <t xml:space="preserve"> (פ/108/25)</t>
  </si>
  <si>
    <t xml:space="preserve">הצעת חוק מס הכנסה (פטור ממס על הכנסה מהשכרת דירת מגורים) (תיקון - ניכוי דמי שכירות ששולמו בעד דירת מגורים), התשפ"ג-2022</t>
  </si>
  <si>
    <t xml:space="preserve"> (פ/107/25)</t>
  </si>
  <si>
    <t xml:space="preserve">הצעת חוק בשר ומוצריו (תיקון - הרחבת הסמכות ליתן תעודת הכשר לבשר מיובא), התשפ"ג-2022</t>
  </si>
  <si>
    <t xml:space="preserve"> (פ/106/25)</t>
  </si>
  <si>
    <t xml:space="preserve">הצעת חוק להסדרת הפיקוח על כלבים (תיקון - כלבי הפקר), התשפ"ג-2022</t>
  </si>
  <si>
    <t xml:space="preserve"> (פ/105/25)</t>
  </si>
  <si>
    <t xml:space="preserve"> (פ/104/25)</t>
  </si>
  <si>
    <t xml:space="preserve">הצעת חוק סיוע לקטינים נפגעי עבירות מין או אלימות (תיקון - טיפול נפשי לילדים), התשפ"ג-2022</t>
  </si>
  <si>
    <t xml:space="preserve"> (פ/102/25)</t>
  </si>
  <si>
    <t xml:space="preserve">הצעת חוק להסדרת הטיפול באריזות (תיקון - החלת החוק על מכלי משקה גדולים), התשפ"ג-2022</t>
  </si>
  <si>
    <t xml:space="preserve"> (פ/101/25)</t>
  </si>
  <si>
    <t xml:space="preserve">הצעת חוק החברות הממשלתיות (תיקון - קווי פעולה של חברה ממשלתית), התשפ"ג-2022</t>
  </si>
  <si>
    <t xml:space="preserve"> (פ/100/25)</t>
  </si>
  <si>
    <t xml:space="preserve">הצעת חוק הגנת הצרכן (תיקון - סימון תוצרת חקלאית שאינה ארוזה מראש), התשפ"ג-2022</t>
  </si>
  <si>
    <t xml:space="preserve"> (פ/99/25)</t>
  </si>
  <si>
    <t xml:space="preserve">הצעת חוק לתיקון פקודת מס הכנסה (זיכוי בעד לימודי תואר ראשון), התשפ"ג-2022</t>
  </si>
  <si>
    <t xml:space="preserve"> (פ/98/25)</t>
  </si>
  <si>
    <t xml:space="preserve">הצעת חוק השמירה על המקומות הקדושים (תיקון - ייעוץ הרבנות הראשית), התשפ"ג-2022</t>
  </si>
  <si>
    <t xml:space="preserve"> (פ/97/25)</t>
  </si>
  <si>
    <t xml:space="preserve">הצעת חוק לתיקון דיני הרשויות המקומיות (ביטול סמכות שר הפנים לעניין חוקי עזר בדבר פתיחתם וסגירתם של עסקים בימי מנוחה), התשפ"ג-2022</t>
  </si>
  <si>
    <t xml:space="preserve"> (פ/96/25)</t>
  </si>
  <si>
    <t xml:space="preserve">הצעת חוק משפחות חיילים שנספו במערכה (תגמולים ושיקום) (תיקון - הגדרת אלמן ושכול), התשפ"ג-2022</t>
  </si>
  <si>
    <t xml:space="preserve"> (פ/95/25)</t>
  </si>
  <si>
    <t xml:space="preserve"> (פ/94/25)</t>
  </si>
  <si>
    <t xml:space="preserve">הצעת חוק ההוצאה לפועל (תיקון - הגבלת עיקול מיטלטליו של קשיש), התשפ"ג-2022</t>
  </si>
  <si>
    <t xml:space="preserve"> (פ/93/25)</t>
  </si>
  <si>
    <t xml:space="preserve"> (פ/92/25)</t>
  </si>
  <si>
    <t xml:space="preserve">הצעת חוק העונשין (תיקון - תקיפת נהגי אוטובוס בקווי תחבורה ציבורית), התשפ"ג-2022</t>
  </si>
  <si>
    <t xml:space="preserve"> (פ/90/25)</t>
  </si>
  <si>
    <t xml:space="preserve">הצעת חוק-יסוד: הממשלה (תיקון - בחירה ישירה לראש הממשלה וחלוקת מנדטים לסיעות הקואליציה)</t>
  </si>
  <si>
    <t xml:space="preserve"> (פ/89/25)</t>
  </si>
  <si>
    <t xml:space="preserve"> (פ/88/25)</t>
  </si>
  <si>
    <t xml:space="preserve">הצעת חוק העונשין (תיקון - תקיפת נהג אוטובוס ציבורי), התשפ"ג-2022</t>
  </si>
  <si>
    <t xml:space="preserve"> (פ/86/25)</t>
  </si>
  <si>
    <t xml:space="preserve">הצעת חוק לתיקון פקודת הסמים המסוכנים (הגדרת צמח הקנבוס, מדרוג עבירות ועונשים בסם קנבוס), התשפ"ג-2022</t>
  </si>
  <si>
    <t xml:space="preserve"> (פ/85/25)</t>
  </si>
  <si>
    <t xml:space="preserve">הצעת חוק חינוך ממלכתי (תיקון - הוספת שיעורי חינוך גופני), התשפ"ג-2022</t>
  </si>
  <si>
    <t xml:space="preserve"> (פ/83/25)</t>
  </si>
  <si>
    <t xml:space="preserve">הצעת חוק לתיקון פקודת העיריות (תשלום עבור המצאת מסמכי מכרז), התשפ"ג-2022</t>
  </si>
  <si>
    <t xml:space="preserve"> (פ/82/25)</t>
  </si>
  <si>
    <t xml:space="preserve">הצעת חוק לתיקון פקודת בתי הסוהר (קביעת משך הביקור), התשפ"ג-2022</t>
  </si>
  <si>
    <t xml:space="preserve"> (פ/79/25)</t>
  </si>
  <si>
    <t xml:space="preserve">הצעת חוק להגבלת שכר טרחת כונסי נכסים (תיקוני חקיקה), התשפ"ג-2022</t>
  </si>
  <si>
    <t xml:space="preserve"> (פ/78/25)</t>
  </si>
  <si>
    <t xml:space="preserve">הצעת חוק יישוב סכסוכי עבודה (תיקון - בוררות חובה בשירותים חיוניים), התשפ"ג-2022</t>
  </si>
  <si>
    <t xml:space="preserve"> (פ/77/25)</t>
  </si>
  <si>
    <t xml:space="preserve">הצעת חוק-יסוד: הממשלה (תיקון - אי-כשירות של נאשם להרכיב את הממשלה)</t>
  </si>
  <si>
    <t xml:space="preserve"> (פ/76/25)</t>
  </si>
  <si>
    <t xml:space="preserve"> (פ/75/25)</t>
  </si>
  <si>
    <t xml:space="preserve"> (פ/74/25)</t>
  </si>
  <si>
    <t xml:space="preserve">הצעת חוק יישום תכנית ההתנתקות (תיקון - ביטול סעיפי הפינוי ושינוי שם החוק), התשפ"ג-2022</t>
  </si>
  <si>
    <t xml:space="preserve"> (פ/73/25)</t>
  </si>
  <si>
    <t xml:space="preserve">הצעת חוק בית הדין לעבודה (תיקון - ערעור לפני בית המשפט העליון), התשפ"ג-2022</t>
  </si>
  <si>
    <t xml:space="preserve"> (פ/72/25)</t>
  </si>
  <si>
    <t xml:space="preserve"> (פ/71/25)</t>
  </si>
  <si>
    <t xml:space="preserve"> (פ/70/25)</t>
  </si>
  <si>
    <t xml:space="preserve">הצעת חוק סייעות במוסדות חינוך, התשפ"ג-2022</t>
  </si>
  <si>
    <t xml:space="preserve"> (פ/68/25)</t>
  </si>
  <si>
    <t xml:space="preserve"> (פ/67/25)</t>
  </si>
  <si>
    <t xml:space="preserve">הצעת חוק מס ערך מוסף (תיקון - מס בשיעור אפס על תרכובת מזון לתינוקות), התשפ"ג-2022</t>
  </si>
  <si>
    <t xml:space="preserve"> (פ/65/25)</t>
  </si>
  <si>
    <t xml:space="preserve">הצעת חוק לתיקון פקודת התעבורה (מאגר מידע של ניקוד מסוכנות לעניין נהגים מקצועיים), התשפ"ג-2022</t>
  </si>
  <si>
    <t xml:space="preserve"> (פ/64/25)</t>
  </si>
  <si>
    <t xml:space="preserve">הצעת חוק לתיקון פקודת העיריות (מענק הבירה), התשפ"ג-2022</t>
  </si>
  <si>
    <t xml:space="preserve"> (פ/63/25)</t>
  </si>
  <si>
    <t xml:space="preserve"> (פ/62/25)</t>
  </si>
  <si>
    <t xml:space="preserve">הצעת חוק חובת המכרזים (תיקון - העדפת טובין ממוחזרים), התשפ"ג-2022</t>
  </si>
  <si>
    <t xml:space="preserve"> (פ/61/25)</t>
  </si>
  <si>
    <t xml:space="preserve"> (פ/60/25)</t>
  </si>
  <si>
    <t xml:space="preserve">הצעת חוק חדלות פירעון ושיקום כלכלי (תיקון - הסמכת בית המשפט לעכב הליכי גבייה), התשפ"ג-2022</t>
  </si>
  <si>
    <t xml:space="preserve"> (פ/59/25)</t>
  </si>
  <si>
    <t xml:space="preserve">הצעת חוק מגן דוד אדום (תיקון - הענקת שירותי רפואה מרחוק), התשפ"ג-2022</t>
  </si>
  <si>
    <t xml:space="preserve"> (פ/58/25)</t>
  </si>
  <si>
    <t xml:space="preserve">הצעת חוק האגודות העותומניות (רישום ופיקוח), התשפ"ג-2022</t>
  </si>
  <si>
    <t xml:space="preserve"> (פ/57/25)</t>
  </si>
  <si>
    <t xml:space="preserve">הצעת חוק זכויות נפגעי עבירה (תיקון - הרחבת זכויות נפגעי עבירה), התשפ"ג-2022</t>
  </si>
  <si>
    <t xml:space="preserve"> (פ/56/25)</t>
  </si>
  <si>
    <t xml:space="preserve">הצעת חוק טיפול בחולי נפש (תיקון - בחירת מקום אשפוז), התשפ"ג-2022</t>
  </si>
  <si>
    <t xml:space="preserve"> (פ/55/25)</t>
  </si>
  <si>
    <t xml:space="preserve">הצעת חוק מתן סמכויות פיקוח והסמכת מפקחים ופקחים (תיקוני חקיקה), התשפ"ג-2022</t>
  </si>
  <si>
    <t xml:space="preserve"> (פ/54/25)</t>
  </si>
  <si>
    <t xml:space="preserve"> (פ/53/25)</t>
  </si>
  <si>
    <t xml:space="preserve">הצעת חוק מיסוי מקרקעין (שבח ורכישה) (תיקון - ייצוג נישום על ידי רואה חשבון), התשפ"ג-2022</t>
  </si>
  <si>
    <t xml:space="preserve"> (פ/52/25)</t>
  </si>
  <si>
    <t xml:space="preserve">הצעת חוק המידע הפלילי ותקנת השבים (תיקון - סעיף העונשין), התשפ"ג-2022</t>
  </si>
  <si>
    <t xml:space="preserve"> (פ/50/25)</t>
  </si>
  <si>
    <t xml:space="preserve">הצעת חוק זכויות ושירותים לילדים ובני נוער עם קשיים נפשיים, התשפ"ג-2022</t>
  </si>
  <si>
    <t xml:space="preserve"> (פ/49/25)</t>
  </si>
  <si>
    <t xml:space="preserve">הצעת חוק זכויות הדייר בדיור הציבורי (תיקון - זכות למגורים בדירה ציבורית לנשים ששהו במקלט לנשים מוכות), התשפ"ג-2022</t>
  </si>
  <si>
    <t xml:space="preserve"> (פ/48/25)</t>
  </si>
  <si>
    <t xml:space="preserve">הצעת חוק חדלות פירעון ושיקום כלכלי (תיקון - מתן דין קדימה לבעלי עסקים קטנים כנושים), התשפ"ג-2022</t>
  </si>
  <si>
    <t xml:space="preserve"> (פ/46/25)</t>
  </si>
  <si>
    <t xml:space="preserve"> (פ/42/25)</t>
  </si>
  <si>
    <t xml:space="preserve">הצעת חוק לתיקון פקודת מס הכנסה (דחיית הגשת דיווח שנתי לעסק שהוקם ברבעון האחרון של השנה), התשפ"ג-2022</t>
  </si>
  <si>
    <t xml:space="preserve"> (פ/39/25)</t>
  </si>
  <si>
    <t xml:space="preserve">הצעת חוק העונשין (תיקון - החמרת ענישה על תקיפת קטין או חסר ישע), התשפ"ג-2022</t>
  </si>
  <si>
    <t xml:space="preserve"> (פ/38/25)</t>
  </si>
  <si>
    <t xml:space="preserve"> (פ/36/25)</t>
  </si>
  <si>
    <t xml:space="preserve">הצעת חוק מס ערך מוסף (תיקון - עידוד פתיחת עסקים חדשים), התשפ"ג-2022</t>
  </si>
  <si>
    <t xml:space="preserve"> (פ/35/25)</t>
  </si>
  <si>
    <t xml:space="preserve"> (פ/34/25)</t>
  </si>
  <si>
    <t xml:space="preserve">הצעת חוק תובענות ייצוגיות (תיקון - תובענה ייצוגית בשל פגיעה בפרטיות), התשפ"ג-2022</t>
  </si>
  <si>
    <t xml:space="preserve"> (פ/33/25)</t>
  </si>
  <si>
    <t xml:space="preserve">הצעת חוק תאגידי מים וביוב (תיקון - הקמת ועדת הנחות), התשפ"ג-2022</t>
  </si>
  <si>
    <t xml:space="preserve"> (פ/32/25)</t>
  </si>
  <si>
    <t xml:space="preserve">הצעת חוק סל הקליטה (תיקון - זכאות יוצאים לשאלה), התשפ"ג-2022</t>
  </si>
  <si>
    <t xml:space="preserve"> (פ/31/25)</t>
  </si>
  <si>
    <t xml:space="preserve">הצעת חוק צער בעלי חיים (הגנה על בעלי חיים) (תיקון - איחוד סמכויות), התשפ"ג-2022</t>
  </si>
  <si>
    <t xml:space="preserve"> (פ/30/25)</t>
  </si>
  <si>
    <t xml:space="preserve">הצעת חוק חניה לנכים (תיקון - החלטה בבקשה לתג נכה), התשפ"ג-2022</t>
  </si>
  <si>
    <t xml:space="preserve"> (פ/29/25)</t>
  </si>
  <si>
    <t xml:space="preserve"> (פ/28/25)</t>
  </si>
  <si>
    <t xml:space="preserve">הצעת חוק טיפול בחולי נפש (תיקון - התמכרות פסיכוטית לחומרים פסיכו-אקטיביים), התשפ"ג-2022</t>
  </si>
  <si>
    <t xml:space="preserve"> (פ/27/25)</t>
  </si>
  <si>
    <t xml:space="preserve"> (פ/24/25)</t>
  </si>
  <si>
    <t xml:space="preserve">הצעת חוק לתיקון פקודת בתי הסוהר (מתן הודעה בכתב לאסיר ולנפגעי עבירה בדבר מועד שחרור מנהלי והכנת תכנית שיקום), התשפ"ג-2022</t>
  </si>
  <si>
    <t xml:space="preserve"> (פ/23/25)</t>
  </si>
  <si>
    <t xml:space="preserve">הצעת חוק המזונות (הבטחת תשלום) (תיקון - סכום שלא יובא בחשבון במבחן ההכנסה), התשפ"ג-2022</t>
  </si>
  <si>
    <t xml:space="preserve"> (פ/22/25)</t>
  </si>
  <si>
    <t xml:space="preserve">הצעת חוק פיקוח על בתי ספר (תיקון - איסור התחזות לגננת), התשפ"ג-2022</t>
  </si>
  <si>
    <t xml:space="preserve"> (פ/21/25)</t>
  </si>
  <si>
    <t xml:space="preserve"> (פ/19/25)</t>
  </si>
  <si>
    <t xml:space="preserve">הצעת חוק זכויות החולה (תיקון - זכות מטופל לקבל רשומות רפואיות), התשפ"ג-2022</t>
  </si>
  <si>
    <t xml:space="preserve"> (פ/18/25)</t>
  </si>
  <si>
    <t xml:space="preserve">הצעת חוק שירות לאומי-אזרחי (תיקוני חקיקה), התשפ"ג-2022</t>
  </si>
  <si>
    <t xml:space="preserve"> (פ/17/25)</t>
  </si>
  <si>
    <t xml:space="preserve">הצעת חוק הביטוח הלאומי (תיקון - התפטרות הורה על מנת לטפל בילדו), התשפ"ג-2022</t>
  </si>
  <si>
    <t xml:space="preserve"> (פ/16/25)</t>
  </si>
  <si>
    <t xml:space="preserve">הצעת חוק הנוער (טיפול והשגחה) (תיקון - ביטול עבירה פלילית על פרסום תחלואה נפשית של קטין), התשפ"ג-2022</t>
  </si>
  <si>
    <t xml:space="preserve"> (פ/15/25)</t>
  </si>
  <si>
    <t xml:space="preserve"> (פ/14/25)</t>
  </si>
  <si>
    <t xml:space="preserve">הצעת חוק הקמת מאגר מידע דיגיטלי בנושא הכשרות מקצועיות, התשפ"ג-2022</t>
  </si>
  <si>
    <t xml:space="preserve"> (פ/12/25)</t>
  </si>
  <si>
    <t xml:space="preserve"> (פ/10/25)</t>
  </si>
  <si>
    <t xml:space="preserve"> (פ/9/25)</t>
  </si>
  <si>
    <t xml:space="preserve">הצעת חוק הגנת הפרטיות (תיקון - חיזוק הזכות לפרטיות וההגנה עליה), התשפ"ג-2022</t>
  </si>
  <si>
    <t xml:space="preserve"> (פ/8/25)</t>
  </si>
  <si>
    <t xml:space="preserve">הצעת חוק-יסוד: הממשלה (תיקון - אצילת סמכויות לסגן שר)</t>
  </si>
  <si>
    <t xml:space="preserve"> (פ/7/25)</t>
  </si>
  <si>
    <t xml:space="preserve">הצעת חוק בית המשפט לענייני משפחה (תיקון - בני זוג מאותו מין), התשפ"ג-2022</t>
  </si>
  <si>
    <t xml:space="preserve"> (פ/6/25)</t>
  </si>
  <si>
    <t xml:space="preserve">הצעת חוק ביטוח בריאות ממלכתי (תיקון - העברת שירותי הגמילה לאחריות קופות החולים), התשפ"ג-2022</t>
  </si>
  <si>
    <t xml:space="preserve"> (פ/3/25)</t>
  </si>
  <si>
    <t xml:space="preserve">הצעת חוק שלילת זכויות לראש ממשלה לשעבר שכיהן תקופה קצרה, התשפ"ג-2022</t>
  </si>
  <si>
    <t xml:space="preserve"> (פ/2/25)</t>
  </si>
  <si>
    <t xml:space="preserve"> (פ/1/25)</t>
  </si>
  <si>
    <t xml:space="preserve">הצעת חוק הספורט (תיקון מס' 17) (זכויות ספורטאי קטין), התשפ"ב–2022</t>
  </si>
  <si>
    <t xml:space="preserve"> (פ/3643/24)</t>
  </si>
  <si>
    <t xml:space="preserve"> (כ/916)</t>
  </si>
  <si>
    <t xml:space="preserve">בדיון בוועדה על החלת דין רציפות</t>
  </si>
  <si>
    <t xml:space="preserve">28.06.2022</t>
  </si>
  <si>
    <t xml:space="preserve">הצעת חוק זכויות הסטודנט (תיקון - הרחקת סטודנטים תומכי טרור ממוסד לימוד ופירוק תאים תומכי טרור), התשפ"ג-2023 - החלק שנותר</t>
  </si>
  <si>
    <t xml:space="preserve">החלק שפוצל- הצעת חוק הרשויות המקומיות (בחירות) (תיקון - הגבלת הזכות להיבחר), התשפ"ג-2022</t>
  </si>
  <si>
    <t xml:space="preserve">הצעת חוק שימוש בזרע של נפטר לשם הולדה, התשפ"ג-2022 - החלק שנותר</t>
  </si>
  <si>
    <t xml:space="preserve">הצעת חוק ביטוח בריאות ממלכתי (תיקון מס' ...) (הגדרת אמבולנס לעניין החזר דמי נסיעה), התשפ"ב–2023</t>
  </si>
  <si>
    <t xml:space="preserve">הגדרת זכאות והנפקת תעודת משרת מתוך הצעת חוק למתן הטבות למשרתים במילואים, התשפ"ה-2024</t>
  </si>
  <si>
    <t xml:space="preserve">משכורת ראשונה מוגדלת מתוך הצעת חוק למתן הטבות למשרתים במילואים, התשפ"ה-2024</t>
  </si>
  <si>
    <t xml:space="preserve">תשלום בעד ילד מתוך הצעת חוק למתן הטבות למשרתים במילואים, התשפ"ה-2024</t>
  </si>
  <si>
    <t xml:space="preserve">הקפאת תשלום משכנתה מתוך הצעת חוק למתן הטבות למשרתים במילואים, התשפ"ה-2024</t>
  </si>
  <si>
    <t xml:space="preserve">העדפה במתן שירותים ציבוריים מתוך הצעת חוק למתן הטבות למשרתים במילואים, התשפ"ה-2024</t>
  </si>
  <si>
    <t xml:space="preserve">קדימות בתור לחיילים ומשפחותיהם מתוך הצעת חוק למתן הטבות למשרתים במילואים, התשפ"ה-2024</t>
  </si>
  <si>
    <t xml:space="preserve">סבסוד מוסדות לימוד על-תיכוניים מתוך הצעת חוק למתן הטבות למשרתים במילואים, התשפ"ה-2024</t>
  </si>
  <si>
    <t xml:space="preserve">הצעת חוק לתיקון ולהארכת תוקפן של תקנות שעת חירום (חרבות ברזל) (הארכת מעצר לחשוד בעבירת ביטחון), התשפ"ד-2024 - החלק הנותר</t>
  </si>
  <si>
    <t xml:space="preserve">החלק שפוצל - הצעת חוק הגנת הסביבה (ייעול הליכי רישוי סביבתי) (תיקוני חקיקה), התשפ"ד-2024</t>
  </si>
  <si>
    <t xml:space="preserve">הצעת חוק חסינות חברי הכנסת, זכויותיהם וחובותיהם (אבטחת חברי הכנסת), התשפ"ד-2023</t>
  </si>
  <si>
    <t xml:space="preserve">הצעת חוק משכן הכנסת, רחבתו ומשמר הכנסת (תיקון - סמכות קצין הכנסת לאבטח משלחת זרה), התשפ"ד-2024</t>
  </si>
  <si>
    <t xml:space="preserve">הצעת חוק התקשורת (שידורים), התשפ"ו-2025 - החלק שנותר</t>
  </si>
  <si>
    <t xml:space="preserve">סעיפים 85, 87, 89 עד 91 (חוק תכנון משק החלב) מתוך הצעת חוק התוכנית הכלכלית (תיקוני חקיקה ליישום המדיניות הכלכלית לשנת התקציב 2026), התשפ"ו-2026 - החלק שנוצר מהפיצול</t>
  </si>
  <si>
    <t xml:space="preserve">סעיפים 86, 88 (חוק התחרות הכלכלית) מתוך הצעת חוק התוכנית הכלכלית (תיקוני חקיקה ליישום המדיניות הכלכלית לשנת התקציב 2026), התשפ"ו-2026 - החלק שנוצר מהפיצול</t>
  </si>
  <si>
    <t xml:space="preserve">הצעת חוק המפלגות (תיקון מס' ...) (תיקון – תשלום דמי חברות במפלגה עבור קרוב משפחה), התשפ"ו–2026</t>
  </si>
  <si>
    <t xml:space="preserve">סעיפים 1(3) ו-(4) מתוך הצעת חוק לעידוד פעילות בשוק ההון (תיקוני חקיקה), התשפ"ד-2024</t>
  </si>
  <si>
    <t xml:space="preserve">סעיף 3 מתוך הצעת חוק לעידוד פעילות בשוק ההון (תיקוני חקיקה), התשפ"ד-2024</t>
  </si>
  <si>
    <t xml:space="preserve">הצעת חוק שיפוט בתי דין רבניים (נישואין וגירושין) (תיקון מס' 6) (סמכות כריכת מזונות ילדים), התשפ"ה-2025 (החלק שנותר מהפיצול)</t>
  </si>
  <si>
    <t xml:space="preserve">פרק כ"ג (השכרה ארוכת טווח) מתוך הצעת חוק התכנית הכלכלית (תיקוני חקיקה ליישום המדיניות הכלכלית לשנות התקציב 2023 ו-2024), התשפ"ג-2023</t>
  </si>
  <si>
    <t xml:space="preserve">פרק כ"ד (קידום תשתיות לאומיות), רק סעיפים 62(2), (5), (6), (8), (15) ו-(20) שבתוך סעיף 94, מתוך הצעת חוק התכנית הכלכלית (תיקוני חקיקה ליישום המדיניות הכלכלית לשנות התקציב 2023 ו-2024), התשפ"ג-2023 [פוצלה לפי סעיף 84(ב) לתקנון הכנסת]</t>
  </si>
  <si>
    <t xml:space="preserve">פרק כ"ד (קידום תשתיות לאומיות), רק סעיף 62(21) שבתוך סעיף 94, מתוך הצעת חוק התכנית הכלכלית לשנות התקציב 2023 ו-2024 [פוצלה לפי סעיף 84(ב) לתקנון הכנסת]</t>
  </si>
  <si>
    <t xml:space="preserve">פרק י"ט (בריאות), רק סעיף 76(3) (בעניין גודל חדר תרופות) מתוך הצעת חוק התכנית הכלכלית (תיקוני חקיקה ליישום המדיניות הכלכלית לשנות התקציב 2023 ו-2024), התשפ"ג-2023</t>
  </si>
  <si>
    <t xml:space="preserve">פרק ה' (ביטוח לאומי), סעיף 17 (בעניין מס הכנסה שלילי להורה עצמאי) מתוך הצעת חוק ההתייעלות הכלכלית (תיקוני חקיקה להשגת יעדי התקציב לשנות התקציב 2023 ו-2024), התשפ"ג-2023</t>
  </si>
  <si>
    <t xml:space="preserve">פרק כ' (רשויות מקומיות), סעיף 80 (שינוי שיטת המדידה) מתוך הצעת חוק התכנית הכלכלית (תיקוני חקיקה ליישום המדיניות הכלכלית לשנות התקציב 2023 ו-2024), התשפ"ג-2023</t>
  </si>
  <si>
    <t xml:space="preserve">פרק כ' (רשויות מקומיות), סעיפים 81-84 (נכס הרוס) מתוך הצעת חוק התכנית הכלכלית (תיקוני חקיקה ליישום המדיניות הכלכלית לשנות התקציב 2023 ו-2024), התשפ"ג-2023</t>
  </si>
  <si>
    <t xml:space="preserve">פרק ד' (מיסוי בשוק הדיור), סעיפים 11(3), 12(ב), 12(ג) ו-13 (התחדשות עירונית) מתוך הצעת חוק ההתייעלות הכלכלית (תיקוני חקיקה להשגת יעדי התקציב לשנות התקציב 2023 ו-2024), התשפ"ג-2023</t>
  </si>
  <si>
    <t xml:space="preserve">פרק י"ט (בריאות), סעיף 77 (חוק ביטוח בריאות ממלכתי) מתוך הצעת חוק התכנית הכלכלית (תיקוני חקיקה ליישום המדיניות הכלכלית לשנות התקציב 2023 ו-2024), התשפ"ג-2023 [פוצלה לפי סעיף 84(ב) לתקנון]</t>
  </si>
  <si>
    <t xml:space="preserve">פרק ט' (מסים), רק סעיפים 41-40 מתוך הצעת חוק ההתייעלות הכלכלית (תיקוני חקיקה להשגת יעדי התקציב לשנות התקציב 2023 ו-2024), התשפ"ג-2023 [פוצלה לפי סעיף 84(ב) לתקנון]</t>
  </si>
  <si>
    <t xml:space="preserve">פרק כ"א (חקלאות), רק סעיף 85 (חוק מועצת הצמחים) מתוך הצעת חוק התכנית הכלכלית (תיקוני חקיקה ליישום המדיניות הכלכלית לשנות התקציב 2023 ו-2024), התשפ"ג-2023 [פוצלה לפי סעיף 84(ב) לתקנון]</t>
  </si>
  <si>
    <t xml:space="preserve">פרק י' (תדרי רדיו) מתוך הצעת חוק התכנית הכלכלית (תיקוני חקיקה ליישום המדיניות הכלכלית לשנות התקציב 2023 ו-2024), התשפ"ג-2023 [פוצלה לפי סעיף 84(ב) לתקנון]</t>
  </si>
  <si>
    <t xml:space="preserve">סעיף 2(2) (מותב ועדת ערר לפיצויים) מתוך הצעת חוק התוכנית הכלכלית (תיקוני חקיקה ליישום המדיניות הכלכלית לשנת התקציב 2026), התשפ"ו-2026 [פוצלה לפי סעיף 84(ב) לתקנון]</t>
  </si>
  <si>
    <t xml:space="preserve">סעיף 2(3), (4), (5) (הסמכת המועצה הארצית להגביל היתרים) מתוך הצעת חוק התוכנית הכלכלית (תיקוני חקיקה ליישום המדיניות הכלכלית לשנת התקציב 2026), התשפ"ו-2026 [פוצלה לפי סעיף 84(ב) לתקנון] </t>
  </si>
  <si>
    <t xml:space="preserve">סעיפים 2(6), (7), (8), (9), 3 (איחוד וחלוקה בהסכמה בסמכות רשות הרישוי) מתוך הצעת חוק התוכנית הכלכלית (תיקוני חקיקה ליישום המדיניות הכלכלית לשנת התקציב 2026), התשפ"ו-2026 [פוצלה לפי סעיף 84(ב) לתקנון]</t>
  </si>
  <si>
    <t xml:space="preserve">סעיף 2(10) (הרחבת מסלול רישוי מהיר) מתוך הצעת חוק התוכנית הכלכלית (תיקוני חקיקה ליישום המדיניות הכלכלית לשנת התקציב 2026), התשפ"ו-2026 [פוצלה לפי סעיף 84(ב) לתקנון]</t>
  </si>
  <si>
    <t xml:space="preserve">סעיף 2(14) (הרחבת הפרטת הליך הרישוי) מתוך הצעת חוק התוכנית הכלכלית (תיקוני חקיקה ליישום המדיניות הכלכלית לשנת התקציב 2026), התשפ"ו-2026 [פוצלה לפי סעיף 84(ב) לתקנון]</t>
  </si>
  <si>
    <t xml:space="preserve">סעיף 2(16)(ב) (סעיף 13 לתוספת השנייה לחוק התכנון והבנייה) מתוך הצעת חוק התוכנית הכלכלית (תיקוני חקיקה ליישום המדיניות הכלכלית לשנת התקציב 2026), התשפ"ו-2026 [פוצלה לפי סעיף 84(ב) לתקנון]</t>
  </si>
  <si>
    <t xml:space="preserve">סעיף 6(2) (ועדת תמרור למיזמי תשתית) מתוך הצעת חוק התוכנית הכלכלית (תיקוני חקיקה ליישום המדיניות הכלכלית לשנת התקציב 2026), התשפ"ו-2026[פוצלה לפי סעיף 84(ב) לתקנון]</t>
  </si>
  <si>
    <t xml:space="preserve">סעיף 8 (שימוש ארעי במגרשים ריקים) מתוך הצעת חוק התוכנית הכלכלית (תיקוני חקיקה ליישום המדיניות הכלכלית לשנת התקציב 2026), התשפ"ו-2026 [פוצלה לפי סעיף 84(ב) לתקנון]</t>
  </si>
  <si>
    <t xml:space="preserve">פרק י"ט (שונות), סעיף 100 (חוק משק החשמל) מתוך הצעת חוק התוכנית הכלכלית (תיקוני חקיקה ליישום המדיניות הכלכלית לשנת התקציב 2026), התשפ"ו-2026[פוצלה לפי סעיף 84(ב) לתקנון]</t>
  </si>
  <si>
    <t xml:space="preserve">פרק ט"ו (שיפור השירות לאזרח באמצעים דיגיטליים), סימן א' (תקשורת דיגיטלית עם גופים ציבוריים) מתוך הצעת חוק התוכנית הכלכלית (תיקוני חקיקה ליישום המדיניות הכלכלית לשנת התקציב 2026), התשפ"ו-2026 [פוצלה לפי סעיף 84(ב) לתקנון]</t>
  </si>
  <si>
    <t xml:space="preserve">פרק ט"ו (שיפור השירות לאזרח באמצעים דיגיטליים),סימן ב' (דרכים חלופיות לנטילת אמצעי זיהוי ביומטריים והפקת נתוני זיהוי ביומטריים) מתוך הצ"ח התוכנית הכלכלית (תיקוני חקיקה ליישום המדיניות הכלכלית לשנת התקציב 2026),התשפ"ו-2026[פוצלה לפי סעיף 84(ב) לתקנון]</t>
  </si>
  <si>
    <t xml:space="preserve">פרק ג' (צמצום ההון השחור), סימן א' (חובת דיווח של זירות מקוונות) מתוך הצעת חוק ההתייעלות הכלכלית (תיקוני חקיקה להשגת יעדי התקציב לשנת התקציב 2026), התשפ"ו-2026 [פוצלה לפי סעיף 84(ב) לתקנון]</t>
  </si>
  <si>
    <t xml:space="preserve">סעיפים 12, 13(1) (חוק גנים לאומיים) מתוך הצעת חוק התוכנית הכלכלית (תיקוני חקיקה ליישום המדיניות הכלכלית לשנת התקציב 2026), התשפ"ו-2026 [פוצלה לפי סעיף 84(ב) לתקנון]</t>
  </si>
  <si>
    <t xml:space="preserve">סעיפים 14, 17(4), (5) (חוק אויר נקי) מתוך הצעת חוק התוכנית הכלכלית (תיקוני חקיקה ליישום המדיניות הכלכלית לשנת התקציב 2026), התשפ"ו-2026 [פוצלה לפי סעיף 84(ב) לתקנון]</t>
  </si>
  <si>
    <t xml:space="preserve">סעיף 17(1) (סמכות רישוי תשתיות לאומיות) מתוך הצעת חוק התוכנית הכלכלית (תיקוני חקיקה ליישום המדיניות הכלכלית לשנת התקציב 2026), התשפ"ו-2026 [פוצלה לפי סעיף 84(ב) לתקנון]</t>
  </si>
  <si>
    <t xml:space="preserve">סעיפים 18, 19, 20 (אזור חלוקת ארנונה כללית – תשתיות לאומיות מיוחדות) מתוך הצעת חוק התוכנית הכלכלית (תיקוני חקיקה ליישום המדיניות הכלכלית לשנת התקציב 2026), התשפ"ו-2026 [פוצלה לפי סעיף 84(ב) לתקנון]</t>
  </si>
  <si>
    <t xml:space="preserve">סעיף 21 (חוק לקידום תשתיות לאומיות) מתוך הצעת חוק התוכנית הכלכלית (תיקוני חקיקה ליישום המדיניות הכלכלית לשנת התקציב 2026), התשפ"ו-2026 [פוצלה לפי סעיף 84(ב) לתקנון]</t>
  </si>
  <si>
    <t xml:space="preserve">הצעת חוק שיקום נזקי מלחמה בדרך של התחדשות עירונית, התשפ"ו-2025 - החלק שנותר מהפיצול</t>
  </si>
  <si>
    <t xml:space="preserve">פרק י"ז (שמירה על מקרקעי ישראל), למעט סעיפים 66(1), 66(2) ו-67(ב) (בעניין שמירה על מקרקעי ישראל) וסעיף 69 (בעניין טיפול בפלישה למקרקעי ישראל) מתוך הצעת חוק התכנית הכלכלית (תיקוני חקיקה ליישום המדיניות הכלכלית לשנות התקציב 2023 ו-2024), התשפ"ג-2023</t>
  </si>
  <si>
    <t xml:space="preserve">פרק ב' (מקרקעי הקרן הקיימת לישראל – היטל מימון פיתוח) מתוך הצעת חוק ההתייעלות הכלכלית (תיקוני חקיקה להשגת יעדי התקציב לשנות התקציב 2023 ו-2024), התשפ"ג-2023</t>
  </si>
  <si>
    <t xml:space="preserve">פרק י"ב (אנרגיה), רק סעיף 51 (חוק אוויר נקי) מתוך הצעת חוק התכנית הכלכלית (תיקוני חקיקה ליישום המדיניות הכלכלית לשנות התקציב 2023 ו-2024), התשפ"ג-2023 [פוצלה לפי סעיף 84(ב) לתקנון]</t>
  </si>
  <si>
    <t xml:space="preserve">הצעת חוק המאבק בטרור (תיקון מס' 9 והוראת שעה) (צריכת פרסומי טרור), התשפ"ד-2023 (פיצול תיקים בין פרקליטות לתביעה משטרתית)</t>
  </si>
  <si>
    <t xml:space="preserve">פרק ז' (תחילה) מתוך הצעת חוק התוכנית המאזנת (תיקוני חקיקה להשגת יעדי התקציב לשנת התקציב 2024), התשפ"ד-2024 [פוצלה לפי סעיף 84(ב) לתקנון]</t>
  </si>
  <si>
    <t xml:space="preserve">סעיף 3 (חוק חתימה אלקטרונית) מתוך הצעת חוק התוכנית הכלכלית (תיקוני חקיקה ליישום המדיניות הכלכלית לשנת התקציב 2025), התשפ"ה-2024 [פוצל לפי סעיף 84(ב) לתקנון]</t>
  </si>
  <si>
    <t xml:space="preserve">סעיפים 5-4 (קרנות השקעה) מתוך הצעת חוק ההתייעלות הכלכלית (תיקוני חקיקה להשגת יעדי התקציב לשנת התקציב 2025), התשפ"ה-2024 [פוצל לפי סעיף 84(ב) לתקנון]</t>
  </si>
  <si>
    <t xml:space="preserve">פרק ו' (שירות התעסוקה) מתוך הצעת חוק התוכנית הכלכלית (תיקוני חקיקה ליישום המדיניות הכלכלית לשנת התקציב 2025), התשפ"ה-2024 [פוצל לפי סעיף 84(ב) לתקנון]</t>
  </si>
  <si>
    <t xml:space="preserve">פרק א' (מטרת החוק) מתוך הצעת חוק התוכנית הכלכלית (תיקוני חקיקה ליישום המדיניות הכלכלית לשנת התקציב 2025), התשפ"ה-2024 </t>
  </si>
  <si>
    <t xml:space="preserve">פרק י' (תחילה) מתוך הצעת חוק התוכנית הכלכלית (תיקוני חקיקה ליישום המדיניות הכלכלית לשנת התקציב 2025), התשפ"ה-2024 </t>
  </si>
  <si>
    <t xml:space="preserve">סעיף 20 - סעיף 15 המוצע בו (אגרת מיון פסיכיאטרי) מתוך הצעת חוק ההתייעלות הכלכלית (תיקוני חקיקה להשגת יעדי התקציב לשנת התקציב 2025), התשפ"ה-2024 [פוצל לפי סעיף 84(ב) לתקנון] </t>
  </si>
  <si>
    <t xml:space="preserve">פרק א' (מטרת החוק) מתוך הצעת חוק ההתייעלות הכלכלית (תיקוני חקיקה להשגת יעדי התקציב לשנת התקציב 2025), התשפ"ה-2024 </t>
  </si>
  <si>
    <t xml:space="preserve">פרק ט' (תחילה) מתוך הצעת חוק ההתייעלות הכלכלית (תיקוני חקיקה להשגת יעדי התקציב לשנת התקציב 2025), התשפ"ה-2024 </t>
  </si>
  <si>
    <t xml:space="preserve">סעיף 15 (ביטול איחוד עוסקים) מתוך הצעת חוק ההתייעלות הכלכלית (תיקוני חקיקה להשגת יעדי התקציב לשנת התקציב 2025), התשפ"ה-2024 [פוצל לפי סעיף 84(ב) לתקנון]</t>
  </si>
  <si>
    <t xml:space="preserve">סעיף 15 (שינוי שיטת המדידה בארנונה) מתוך הצעת חוק התוכנית הכלכלית (תיקוני חקיקה ליישום המדיניות הכלכלית לשנת התקציב 2025), התשפ"ה-2024 [פוצל לפי סעיף 84(ב) לתקנון]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</si>
</sst>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3" x14ac:knownFonts="1">
    <font>
      <sz val="11"/>
      <color theme="1"/>
      <name val="Calibri"/>
      <family val="2"/>
      <scheme val="minor"/>
    </font>
    <font>
      <sz val="11"/>
      <color rgb="FFFFFFFF"/>
      <name val="Calibri"/>
      <family val="2"/>
      <scheme val="minor"/>
    </font>
    <font>
      <u/>
      <sz val="11"/>
      <color rgb="FF0000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fontId="2" applyFon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N7494"/>
  <sheetViews>
    <sheetView rightToLeft="1" tabSelected="1" workbookViewId="0">
      <pane state="frozen" ySplit="1" topLeftCell="A2"/>
    </sheetView>
  </sheetViews>
  <sheetFormatPr x14ac:dyDescent="0.25" customHeight="1" defaultRowHeight="15"/>
  <cols>
    <col min="1" max="1" customWidth="1" width="9.9296875"/>
    <col min="2" max="2" customWidth="1" width="21.358258928571427"/>
    <col min="3" max="3" customWidth="1" width="17.072544642857142"/>
    <col min="4" max="4" customWidth="1" width="64.21540178571429"/>
    <col min="5" max="5" customWidth="1" width="64.21540178571429"/>
    <col min="6" max="6" customWidth="1" width="21.358258928571427"/>
    <col min="7" max="7" customWidth="1" width="21.358258928571427"/>
    <col min="8" max="8" customWidth="1" width="21.358258928571427"/>
    <col min="9" max="9" customWidth="1" width="35.643973214285715"/>
    <col min="10" max="10" customWidth="1" width="28.501116071428573"/>
    <col min="11" max="11" customWidth="1" width="21.358258928571427"/>
    <col min="12" max="12" customWidth="1" width="21.358258928571427"/>
    <col min="13" max="13" customWidth="1" width="14.215401785714286"/>
    <col min="14" max="14" customWidth="1" width="142.7868303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x14ac:dyDescent="0.25">
      <c r="A2" t="n">
        <v>25</v>
      </c>
      <c r="B2" t="s">
        <v>14</v>
      </c>
      <c r="C2" t="s">
        <v>15</v>
      </c>
      <c r="D2" s="2" t="s">
        <f>=HYPERLINK("https://main.knesset.gov.il/APPS/legislation/main/bills/1057303", "חוק לתיקון פקודת בתי הסוהר (הארכת הוראות שעה) (תיקוני חקיקה), התשפ""ו-2026")</f>
        <v>16</v>
      </c>
      <c r="E2" t="s">
        <v>16</v>
      </c>
      <c r="F2" t="s">
        <v>14</v>
      </c>
      <c r="G2" t="s">
        <v>17</v>
      </c>
      <c r="H2" t="n">
        <v>3575</v>
      </c>
      <c r="I2" t="s">
        <v>14</v>
      </c>
      <c r="J2" t="s">
        <v>18</v>
      </c>
      <c r="K2" t="s">
        <v>19</v>
      </c>
      <c r="L2" t="s">
        <v>20</v>
      </c>
      <c r="M2" t="s">
        <v>21</v>
      </c>
      <c r="N2" t="s">
        <v>14</v>
      </c>
    </row>
    <row r="3" x14ac:dyDescent="0.25">
      <c r="A3" t="n">
        <v>25</v>
      </c>
      <c r="B3" t="s">
        <v>14</v>
      </c>
      <c r="C3" t="s">
        <v>15</v>
      </c>
      <c r="D3" s="2" t="s">
        <f>=HYPERLINK("https://main.knesset.gov.il/APPS/legislation/main/bills/2219672", "הצעת חוק לעידוד פעילות בשוק ההון (תיקוני חקיקה), התשפ""ו-2026")</f>
        <v>22</v>
      </c>
      <c r="E3" t="s">
        <v>22</v>
      </c>
      <c r="F3" t="s">
        <v>14</v>
      </c>
      <c r="G3" t="s">
        <v>23</v>
      </c>
      <c r="H3">
             </c>
      <c r="I3" t="s">
        <v>14</v>
      </c>
      <c r="J3" t="s">
        <v>18</v>
      </c>
      <c r="K3" t="s">
        <v>24</v>
      </c>
      <c r="L3" t="s">
        <v>20</v>
      </c>
      <c r="M3" t="s">
        <v>21</v>
      </c>
      <c r="N3" t="s">
        <v>14</v>
      </c>
    </row>
    <row r="4" x14ac:dyDescent="0.25">
      <c r="A4" t="n">
        <v>25</v>
      </c>
      <c r="B4" t="s">
        <v>14</v>
      </c>
      <c r="C4" t="s">
        <v>15</v>
      </c>
      <c r="D4" s="2" t="s">
        <f>=HYPERLINK("https://main.knesset.gov.il/APPS/legislation/main/bills/2229019", "חוק נוכחות עורך דין בחקירת קטינים ואנשים עם מוגבלות (תיקוני חקיקה והוראת שעה), התשפ""ו-2026")</f>
        <v>25</v>
      </c>
      <c r="E4" t="s">
        <v>25</v>
      </c>
      <c r="F4" t="s">
        <v>14</v>
      </c>
      <c r="G4" t="s">
        <v>26</v>
      </c>
      <c r="H4" t="n">
        <v>3578</v>
      </c>
      <c r="I4" t="s">
        <v>14</v>
      </c>
      <c r="J4" t="s">
        <v>18</v>
      </c>
      <c r="K4" t="s">
        <v>27</v>
      </c>
      <c r="L4" t="s">
        <v>20</v>
      </c>
      <c r="M4" t="s">
        <v>21</v>
      </c>
      <c r="N4" t="s">
        <v>14</v>
      </c>
    </row>
    <row r="5" x14ac:dyDescent="0.25">
      <c r="A5" t="n">
        <v>25</v>
      </c>
      <c r="B5" t="s">
        <v>14</v>
      </c>
      <c r="C5" t="s">
        <v>15</v>
      </c>
      <c r="D5" s="2" t="s">
        <f>=HYPERLINK("https://main.knesset.gov.il/APPS/legislation/main/bills/2240475", "חוק לתיקון פקודת העיריות (מס' 163), התשפ""ו–2026")</f>
        <v>28</v>
      </c>
      <c r="E5" t="s">
        <v>28</v>
      </c>
      <c r="F5" t="s">
        <v>14</v>
      </c>
      <c r="G5" t="s">
        <v>29</v>
      </c>
      <c r="H5" t="n">
        <v>3577</v>
      </c>
      <c r="I5" t="s">
        <v>14</v>
      </c>
      <c r="J5" t="s">
        <v>18</v>
      </c>
      <c r="K5" t="s">
        <v>30</v>
      </c>
      <c r="L5" t="s">
        <v>20</v>
      </c>
      <c r="M5" t="s">
        <v>21</v>
      </c>
      <c r="N5" t="s">
        <v>14</v>
      </c>
    </row>
    <row r="6" x14ac:dyDescent="0.25">
      <c r="A6" t="n">
        <v>25</v>
      </c>
      <c r="B6" t="s">
        <v>14</v>
      </c>
      <c r="C6" t="s">
        <v>15</v>
      </c>
      <c r="D6" s="2" t="s">
        <f>=HYPERLINK("https://main.knesset.gov.il/APPS/legislation/main/bills/2240465", "חוק התכנון והבנייה (תיקון מס' 170), התשפ""ו-2026")</f>
        <v>31</v>
      </c>
      <c r="E6" t="s">
        <v>31</v>
      </c>
      <c r="F6" t="s">
        <v>14</v>
      </c>
      <c r="G6" t="s">
        <v>29</v>
      </c>
      <c r="H6" t="n">
        <v>3576</v>
      </c>
      <c r="I6" t="s">
        <v>14</v>
      </c>
      <c r="J6" t="s">
        <v>18</v>
      </c>
      <c r="K6" t="s">
        <v>30</v>
      </c>
      <c r="L6" t="s">
        <v>20</v>
      </c>
      <c r="M6" t="s">
        <v>21</v>
      </c>
      <c r="N6" t="s">
        <v>14</v>
      </c>
    </row>
    <row r="7" x14ac:dyDescent="0.25">
      <c r="A7" t="n">
        <v>25</v>
      </c>
      <c r="B7" t="s">
        <v>14</v>
      </c>
      <c r="C7" t="s">
        <v>15</v>
      </c>
      <c r="D7" s="2" t="s">
        <f>=HYPERLINK("https://main.knesset.gov.il/APPS/legislation/main/bills/1057405", "חוק לתיקון ולהארכת תוקפן של תקנות שעת חירום (חרבות ברזל) (הארכת מעצר לחשוד בעבירת בטחון) (תיקון מס' 9), התשפ""ו-2026")</f>
        <v>32</v>
      </c>
      <c r="E7" t="s">
        <v>32</v>
      </c>
      <c r="F7" t="s">
        <v>14</v>
      </c>
      <c r="G7" t="s">
        <v>33</v>
      </c>
      <c r="H7" t="n">
        <v>3574</v>
      </c>
      <c r="I7" t="s">
        <v>14</v>
      </c>
      <c r="J7" t="s">
        <v>18</v>
      </c>
      <c r="K7" t="s">
        <v>27</v>
      </c>
      <c r="L7" t="s">
        <v>20</v>
      </c>
      <c r="M7" t="s">
        <v>21</v>
      </c>
      <c r="N7" t="s">
        <v>14</v>
      </c>
    </row>
    <row r="8" x14ac:dyDescent="0.25">
      <c r="A8" t="n">
        <v>25</v>
      </c>
      <c r="B8" t="s">
        <v>14</v>
      </c>
      <c r="C8" t="s">
        <v>15</v>
      </c>
      <c r="D8" s="2" t="s">
        <f>=HYPERLINK("https://main.knesset.gov.il/APPS/legislation/main/bills/1057406", "חוק לתיקון ולהארכת תוקפן של תקנות שעת חירום (חרבות ברזל) (פגישה עם עורך דין של עצור בעבירת ביטחון) (תיקון מס' 8), התשפ""ו-2026.")</f>
        <v>34</v>
      </c>
      <c r="E8" t="s">
        <v>34</v>
      </c>
      <c r="F8" t="s">
        <v>14</v>
      </c>
      <c r="G8" t="s">
        <v>35</v>
      </c>
      <c r="H8" t="n">
        <v>3573</v>
      </c>
      <c r="I8" t="s">
        <v>14</v>
      </c>
      <c r="J8" t="s">
        <v>18</v>
      </c>
      <c r="K8" t="s">
        <v>27</v>
      </c>
      <c r="L8" t="s">
        <v>20</v>
      </c>
      <c r="M8" t="s">
        <v>21</v>
      </c>
      <c r="N8" t="s">
        <v>14</v>
      </c>
    </row>
    <row r="9" x14ac:dyDescent="0.25">
      <c r="A9" t="n">
        <v>25</v>
      </c>
      <c r="B9" t="s">
        <v>14</v>
      </c>
      <c r="C9" t="s">
        <v>15</v>
      </c>
      <c r="D9" s="2" t="s">
        <f>=HYPERLINK("https://main.knesset.gov.il/APPS/legislation/main/bills/1042203", "הצעת חוק שירות הקבע בצבא הגנה לישראל (גימלאות) (תיקון מס' 39), התשפ""ו-2026")</f>
        <v>36</v>
      </c>
      <c r="E9" t="s">
        <v>36</v>
      </c>
      <c r="F9" t="s">
        <v>14</v>
      </c>
      <c r="G9" t="s">
        <v>37</v>
      </c>
      <c r="H9">
             </c>
      <c r="I9" t="s">
        <v>14</v>
      </c>
      <c r="J9" t="s">
        <v>38</v>
      </c>
      <c r="K9" t="s">
        <v>39</v>
      </c>
      <c r="L9" t="s">
        <v>20</v>
      </c>
      <c r="M9" t="s">
        <v>21</v>
      </c>
      <c r="N9" t="s">
        <v>14</v>
      </c>
    </row>
    <row r="10" x14ac:dyDescent="0.25">
      <c r="A10" t="n">
        <v>25</v>
      </c>
      <c r="B10" t="s">
        <v>14</v>
      </c>
      <c r="C10" t="s">
        <v>20</v>
      </c>
      <c r="D10" s="2" t="s">
        <f>=HYPERLINK("https://main.knesset.gov.il/APPS/legislation/main/bills/2244713", "חוק מימון מפלגות (תיקון מס' 46 – הוראת שעה), התשפ""ו–2026")</f>
        <v>40</v>
      </c>
      <c r="E10" t="s">
        <v>40</v>
      </c>
      <c r="F10" t="s">
        <v>14</v>
      </c>
      <c r="G10" t="s">
        <v>41</v>
      </c>
      <c r="H10" t="n">
        <v>3547</v>
      </c>
      <c r="I10" t="s">
        <v>14</v>
      </c>
      <c r="J10" t="s">
        <v>18</v>
      </c>
      <c r="K10" t="s">
        <v>42</v>
      </c>
      <c r="L10" t="s">
        <v>20</v>
      </c>
      <c r="M10" t="s">
        <v>43</v>
      </c>
      <c r="N10" t="s">
        <v>14</v>
      </c>
    </row>
    <row r="11" x14ac:dyDescent="0.25">
      <c r="A11" t="n">
        <v>25</v>
      </c>
      <c r="B11" t="s">
        <v>14</v>
      </c>
      <c r="C11" t="s">
        <v>15</v>
      </c>
      <c r="D11" s="2" t="s">
        <f>=HYPERLINK("https://main.knesset.gov.il/APPS/legislation/main/bills/1057378", "הצעת חוק הביטוח הלאומי  (תיקון מס' 268) (הסעת יולדת באמבולנס), התשפ""ו–2026")</f>
        <v>44</v>
      </c>
      <c r="E11" t="s">
        <v>44</v>
      </c>
      <c r="F11" t="s">
        <v>14</v>
      </c>
      <c r="G11" t="s">
        <v>45</v>
      </c>
      <c r="H11">
             </c>
      <c r="I11" t="s">
        <v>14</v>
      </c>
      <c r="J11" t="s">
        <v>38</v>
      </c>
      <c r="K11" t="s">
        <v>46</v>
      </c>
      <c r="L11" t="s">
        <v>20</v>
      </c>
      <c r="M11" t="s">
        <v>43</v>
      </c>
      <c r="N11" t="s">
        <v>14</v>
      </c>
    </row>
    <row r="12" x14ac:dyDescent="0.25">
      <c r="A12" t="n">
        <v>25</v>
      </c>
      <c r="B12" t="s">
        <v>14</v>
      </c>
      <c r="C12" t="s">
        <v>20</v>
      </c>
      <c r="D12" s="2" t="s">
        <f>=HYPERLINK("https://main.knesset.gov.il/APPS/legislation/main/bills/2244462", "חוק הבחירות לכנסת העשרים ושש (הוראות מיוחדות ותיקוני חקיקה), התשפ""ו-2026")</f>
        <v>47</v>
      </c>
      <c r="E12" t="s">
        <v>47</v>
      </c>
      <c r="F12" t="s">
        <v>14</v>
      </c>
      <c r="G12" t="s">
        <v>48</v>
      </c>
      <c r="H12" t="n">
        <v>3546</v>
      </c>
      <c r="I12" t="s">
        <v>14</v>
      </c>
      <c r="J12" t="s">
        <v>18</v>
      </c>
      <c r="K12" t="s">
        <v>27</v>
      </c>
      <c r="L12" t="s">
        <v>20</v>
      </c>
      <c r="M12" t="s">
        <v>49</v>
      </c>
      <c r="N12" t="s">
        <v>50</v>
      </c>
    </row>
    <row r="13" x14ac:dyDescent="0.25">
      <c r="A13" t="n">
        <v>25</v>
      </c>
      <c r="B13" t="s">
        <v>14</v>
      </c>
      <c r="C13" t="s">
        <v>51</v>
      </c>
      <c r="D13" s="2" t="s">
        <f>=HYPERLINK("https://main.knesset.gov.il/APPS/legislation/main/bills/2218723", "חוק הנכים (תגמולים ושיקום) (תיקון מס' 35), התשפ""ו–2026")</f>
        <v>52</v>
      </c>
      <c r="E13" t="s">
        <v>52</v>
      </c>
      <c r="F13" t="s">
        <v>53</v>
      </c>
      <c r="G13" t="s">
        <v>54</v>
      </c>
      <c r="H13" t="n">
        <v>3549</v>
      </c>
      <c r="I13" t="s">
        <v>14</v>
      </c>
      <c r="J13" t="s">
        <v>18</v>
      </c>
      <c r="K13" t="s">
        <v>42</v>
      </c>
      <c r="L13" t="s">
        <v>20</v>
      </c>
      <c r="M13" t="s">
        <v>49</v>
      </c>
      <c r="N13" t="s">
        <v>14</v>
      </c>
    </row>
    <row r="14" x14ac:dyDescent="0.25">
      <c r="A14" t="n">
        <v>25</v>
      </c>
      <c r="B14" t="s">
        <v>14</v>
      </c>
      <c r="C14" t="s">
        <v>15</v>
      </c>
      <c r="D14" s="2" t="s">
        <f>=HYPERLINK("https://main.knesset.gov.il/APPS/legislation/main/bills/1042100", "חוק התקשורת (שידורים), התשפ""ו-2026")</f>
        <v>55</v>
      </c>
      <c r="E14" t="s">
        <v>55</v>
      </c>
      <c r="F14" t="s">
        <v>14</v>
      </c>
      <c r="G14" t="s">
        <v>56</v>
      </c>
      <c r="H14" t="n">
        <v>3572</v>
      </c>
      <c r="I14" t="s">
        <v>14</v>
      </c>
      <c r="J14" t="s">
        <v>18</v>
      </c>
      <c r="K14" t="s">
        <v>57</v>
      </c>
      <c r="L14" t="s">
        <v>20</v>
      </c>
      <c r="M14" t="s">
        <v>58</v>
      </c>
      <c r="N14" t="s">
        <v>14</v>
      </c>
    </row>
    <row r="15" x14ac:dyDescent="0.25">
      <c r="A15" t="n">
        <v>25</v>
      </c>
      <c r="B15" t="s">
        <v>14</v>
      </c>
      <c r="C15" t="s">
        <v>51</v>
      </c>
      <c r="D15" s="2" t="s">
        <f>=HYPERLINK("https://main.knesset.gov.il/APPS/legislation/main/bills/2197909", "חוק היועץ המשפטי לממשלה (חוות דעת, ייצוג ופיקוח), התשפ""ו–2026")</f>
        <v>59</v>
      </c>
      <c r="E15" t="s">
        <v>59</v>
      </c>
      <c r="F15" t="s">
        <v>60</v>
      </c>
      <c r="G15" t="s">
        <v>61</v>
      </c>
      <c r="H15" t="n">
        <v>3550</v>
      </c>
      <c r="I15" t="s">
        <v>14</v>
      </c>
      <c r="J15" t="s">
        <v>18</v>
      </c>
      <c r="K15" t="s">
        <v>27</v>
      </c>
      <c r="L15" t="s">
        <v>20</v>
      </c>
      <c r="M15" t="s">
        <v>58</v>
      </c>
      <c r="N15" t="s">
        <v>62</v>
      </c>
    </row>
    <row r="16" x14ac:dyDescent="0.25">
      <c r="A16" t="n">
        <v>25</v>
      </c>
      <c r="B16" t="s">
        <v>14</v>
      </c>
      <c r="C16" t="s">
        <v>15</v>
      </c>
      <c r="D16" s="2" t="s">
        <f>=HYPERLINK("https://main.knesset.gov.il/APPS/legislation/main/bills/2168881", "חוק שירות ביטחון (תיקון מס' 28 - הוראת שעה), התשפ""ו-2026")</f>
        <v>63</v>
      </c>
      <c r="E16" t="s">
        <v>63</v>
      </c>
      <c r="F16" t="s">
        <v>14</v>
      </c>
      <c r="G16" t="s">
        <v>64</v>
      </c>
      <c r="H16" t="n">
        <v>3544</v>
      </c>
      <c r="I16" t="s">
        <v>14</v>
      </c>
      <c r="J16" t="s">
        <v>18</v>
      </c>
      <c r="K16" t="s">
        <v>39</v>
      </c>
      <c r="L16" t="s">
        <v>20</v>
      </c>
      <c r="M16" t="s">
        <v>58</v>
      </c>
      <c r="N16" t="s">
        <v>65</v>
      </c>
    </row>
    <row r="17" x14ac:dyDescent="0.25">
      <c r="A17" t="n">
        <v>25</v>
      </c>
      <c r="B17" t="s">
        <v>14</v>
      </c>
      <c r="C17" t="s">
        <v>15</v>
      </c>
      <c r="D17" s="2" t="s">
        <f>=HYPERLINK("https://main.knesset.gov.il/APPS/legislation/main/bills/2220910", "חוק שירות ביטחון (תיקון מס' 29 - הוראת שעה), התשפ""ו-2026")</f>
        <v>66</v>
      </c>
      <c r="E17" t="s">
        <v>66</v>
      </c>
      <c r="F17" t="s">
        <v>14</v>
      </c>
      <c r="G17" t="s">
        <v>67</v>
      </c>
      <c r="H17" t="n">
        <v>3552</v>
      </c>
      <c r="I17" t="s">
        <v>14</v>
      </c>
      <c r="J17" t="s">
        <v>18</v>
      </c>
      <c r="K17" t="s">
        <v>39</v>
      </c>
      <c r="L17" t="s">
        <v>20</v>
      </c>
      <c r="M17" t="s">
        <v>58</v>
      </c>
      <c r="N17" t="s">
        <v>68</v>
      </c>
    </row>
    <row r="18" x14ac:dyDescent="0.25">
      <c r="A18" t="n">
        <v>25</v>
      </c>
      <c r="B18" t="s">
        <v>14</v>
      </c>
      <c r="C18" t="s">
        <v>51</v>
      </c>
      <c r="D18" s="2" t="s">
        <f>=HYPERLINK("https://main.knesset.gov.il/APPS/legislation/main/bills/2202055", "חוק ההתיישנות (תיקון מס' 10), התשפ""ו–2026")</f>
        <v>69</v>
      </c>
      <c r="E18" t="s">
        <v>69</v>
      </c>
      <c r="F18" t="s">
        <v>70</v>
      </c>
      <c r="G18" t="s">
        <v>71</v>
      </c>
      <c r="H18" t="n">
        <v>3555</v>
      </c>
      <c r="I18" t="s">
        <v>14</v>
      </c>
      <c r="J18" t="s">
        <v>18</v>
      </c>
      <c r="K18" t="s">
        <v>27</v>
      </c>
      <c r="L18" t="s">
        <v>20</v>
      </c>
      <c r="M18" t="s">
        <v>58</v>
      </c>
      <c r="N18" t="s">
        <v>72</v>
      </c>
    </row>
    <row r="19" x14ac:dyDescent="0.25">
      <c r="A19" t="n">
        <v>25</v>
      </c>
      <c r="B19" t="s">
        <v>14</v>
      </c>
      <c r="C19" t="s">
        <v>15</v>
      </c>
      <c r="D19" s="2" t="s">
        <f>=HYPERLINK("https://main.knesset.gov.il/APPS/legislation/main/bills/1046237", "חוק איסור הונאה בכשרות (תיקון מס' 5), התשפ""ו-2026")</f>
        <v>73</v>
      </c>
      <c r="E19" t="s">
        <v>73</v>
      </c>
      <c r="F19" t="s">
        <v>14</v>
      </c>
      <c r="G19" t="s">
        <v>74</v>
      </c>
      <c r="H19" t="n">
        <v>3548</v>
      </c>
      <c r="I19" t="s">
        <v>14</v>
      </c>
      <c r="J19" t="s">
        <v>18</v>
      </c>
      <c r="K19" t="s">
        <v>75</v>
      </c>
      <c r="L19" t="s">
        <v>20</v>
      </c>
      <c r="M19" t="s">
        <v>58</v>
      </c>
      <c r="N19" t="s">
        <v>14</v>
      </c>
    </row>
    <row r="20" x14ac:dyDescent="0.25">
      <c r="A20" t="n">
        <v>25</v>
      </c>
      <c r="B20" t="s">
        <v>14</v>
      </c>
      <c r="C20" t="s">
        <v>51</v>
      </c>
      <c r="D20" s="2" t="s">
        <f>=HYPERLINK("https://main.knesset.gov.il/APPS/legislation/main/bills/2230568", "הצעת חוק המרכז להנצחת זכרו של רבי נחמן מברסלב, התשפ""ו-2026")</f>
        <v>76</v>
      </c>
      <c r="E20" t="s">
        <v>76</v>
      </c>
      <c r="F20" t="s">
        <v>77</v>
      </c>
      <c r="G20" t="s">
        <v>78</v>
      </c>
      <c r="H20">
             </c>
      <c r="I20" t="s">
        <v>14</v>
      </c>
      <c r="J20" t="s">
        <v>38</v>
      </c>
      <c r="K20" t="s">
        <v>79</v>
      </c>
      <c r="L20" t="s">
        <v>20</v>
      </c>
      <c r="M20" t="s">
        <v>58</v>
      </c>
      <c r="N20" t="s">
        <v>14</v>
      </c>
    </row>
    <row r="21" x14ac:dyDescent="0.25">
      <c r="A21" t="n">
        <v>25</v>
      </c>
      <c r="B21" t="s">
        <v>14</v>
      </c>
      <c r="C21" t="s">
        <v>15</v>
      </c>
      <c r="D21" s="2" t="s">
        <f>=HYPERLINK("https://main.knesset.gov.il/APPS/legislation/main/bills/2204244", "חוק שמירת הניקיון (תיקון מס' 27 והוראת שעה), התשפ""ו-2026")</f>
        <v>80</v>
      </c>
      <c r="E21" t="s">
        <v>80</v>
      </c>
      <c r="F21" t="s">
        <v>14</v>
      </c>
      <c r="G21" t="s">
        <v>81</v>
      </c>
      <c r="H21" t="n">
        <v>3571</v>
      </c>
      <c r="I21" t="s">
        <v>14</v>
      </c>
      <c r="J21" t="s">
        <v>18</v>
      </c>
      <c r="K21" t="s">
        <v>30</v>
      </c>
      <c r="L21" t="s">
        <v>20</v>
      </c>
      <c r="M21" t="s">
        <v>58</v>
      </c>
      <c r="N21" t="s">
        <v>82</v>
      </c>
    </row>
    <row r="22" x14ac:dyDescent="0.25">
      <c r="A22" t="n">
        <v>25</v>
      </c>
      <c r="B22" t="s">
        <v>14</v>
      </c>
      <c r="C22" t="s">
        <v>15</v>
      </c>
      <c r="D22" s="2" t="s">
        <f>=HYPERLINK("https://main.knesset.gov.il/APPS/legislation/main/bills/2240508", "חוק נתוני אשראי (תיקון מס' 6), התשפ""ו–2026")</f>
        <v>83</v>
      </c>
      <c r="E22" t="s">
        <v>83</v>
      </c>
      <c r="F22" t="s">
        <v>14</v>
      </c>
      <c r="G22" t="s">
        <v>29</v>
      </c>
      <c r="H22" t="n">
        <v>3570</v>
      </c>
      <c r="I22" t="s">
        <v>14</v>
      </c>
      <c r="J22" t="s">
        <v>18</v>
      </c>
      <c r="K22" t="s">
        <v>84</v>
      </c>
      <c r="L22" t="s">
        <v>20</v>
      </c>
      <c r="M22" t="s">
        <v>58</v>
      </c>
      <c r="N22" t="s">
        <v>14</v>
      </c>
    </row>
    <row r="23" x14ac:dyDescent="0.25">
      <c r="A23" t="n">
        <v>25</v>
      </c>
      <c r="B23" t="s">
        <v>14</v>
      </c>
      <c r="C23" t="s">
        <v>15</v>
      </c>
      <c r="D23" s="2" t="s">
        <f>=HYPERLINK("https://main.knesset.gov.il/APPS/legislation/main/bills/2219317", "חוק הגנת הצרכן (תיקון מס' 74), התשפ""ו-2026")</f>
        <v>85</v>
      </c>
      <c r="E23" t="s">
        <v>85</v>
      </c>
      <c r="F23" t="s">
        <v>14</v>
      </c>
      <c r="G23" t="s">
        <v>86</v>
      </c>
      <c r="H23" t="n">
        <v>3569</v>
      </c>
      <c r="I23" t="s">
        <v>14</v>
      </c>
      <c r="J23" t="s">
        <v>18</v>
      </c>
      <c r="K23" t="s">
        <v>84</v>
      </c>
      <c r="L23" t="s">
        <v>20</v>
      </c>
      <c r="M23" t="s">
        <v>58</v>
      </c>
      <c r="N23" t="s">
        <v>14</v>
      </c>
    </row>
    <row r="24" x14ac:dyDescent="0.25">
      <c r="A24" t="n">
        <v>25</v>
      </c>
      <c r="B24" t="s">
        <v>14</v>
      </c>
      <c r="C24" t="s">
        <v>51</v>
      </c>
      <c r="D24" s="2" t="s">
        <f>=HYPERLINK("https://main.knesset.gov.il/APPS/legislation/main/bills/2200908", "חוק להנצחת זכרה של גולדה מאיר, התשפ""ו–2026")</f>
        <v>87</v>
      </c>
      <c r="E24" t="s">
        <v>87</v>
      </c>
      <c r="F24" t="s">
        <v>88</v>
      </c>
      <c r="G24" t="s">
        <v>89</v>
      </c>
      <c r="H24" t="n">
        <v>3568</v>
      </c>
      <c r="I24" t="s">
        <v>14</v>
      </c>
      <c r="J24" t="s">
        <v>18</v>
      </c>
      <c r="K24" t="s">
        <v>79</v>
      </c>
      <c r="L24" t="s">
        <v>20</v>
      </c>
      <c r="M24" t="s">
        <v>58</v>
      </c>
      <c r="N24" t="s">
        <v>90</v>
      </c>
    </row>
    <row r="25" x14ac:dyDescent="0.25">
      <c r="A25" t="n">
        <v>25</v>
      </c>
      <c r="B25" t="s">
        <v>14</v>
      </c>
      <c r="C25" t="s">
        <v>15</v>
      </c>
      <c r="D25" s="2" t="s">
        <f>=HYPERLINK("https://main.knesset.gov.il/APPS/legislation/main/bills/1046320", "חוק זיכרון הטבח והנצחת הגבורה ביום כ""ב בתשרי (שמחת תורה) – 7 באוקטובר, התשפ""ו–2026")</f>
        <v>91</v>
      </c>
      <c r="E25" t="s">
        <v>91</v>
      </c>
      <c r="F25" t="s">
        <v>14</v>
      </c>
      <c r="G25" t="s">
        <v>92</v>
      </c>
      <c r="H25" t="n">
        <v>3567</v>
      </c>
      <c r="I25" t="s">
        <v>14</v>
      </c>
      <c r="J25" t="s">
        <v>18</v>
      </c>
      <c r="K25" t="s">
        <v>79</v>
      </c>
      <c r="L25" t="s">
        <v>20</v>
      </c>
      <c r="M25" t="s">
        <v>58</v>
      </c>
      <c r="N25" t="s">
        <v>93</v>
      </c>
    </row>
    <row r="26" x14ac:dyDescent="0.25">
      <c r="A26" t="n">
        <v>25</v>
      </c>
      <c r="B26" t="s">
        <v>14</v>
      </c>
      <c r="C26" t="s">
        <v>15</v>
      </c>
      <c r="D26" s="2" t="s">
        <f>=HYPERLINK("https://main.knesset.gov.il/APPS/legislation/main/bills/1046300", "חוק התקנים (תיקון מס' 21), התשפ""ו-2026")</f>
        <v>94</v>
      </c>
      <c r="E26" t="s">
        <v>94</v>
      </c>
      <c r="F26" t="s">
        <v>14</v>
      </c>
      <c r="G26" t="s">
        <v>95</v>
      </c>
      <c r="H26" t="n">
        <v>3566</v>
      </c>
      <c r="I26" t="s">
        <v>14</v>
      </c>
      <c r="J26" t="s">
        <v>18</v>
      </c>
      <c r="K26" t="s">
        <v>84</v>
      </c>
      <c r="L26" t="s">
        <v>20</v>
      </c>
      <c r="M26" t="s">
        <v>58</v>
      </c>
      <c r="N26" t="s">
        <v>96</v>
      </c>
    </row>
    <row r="27" x14ac:dyDescent="0.25">
      <c r="A27" t="n">
        <v>25</v>
      </c>
      <c r="B27" t="s">
        <v>14</v>
      </c>
      <c r="C27" t="s">
        <v>15</v>
      </c>
      <c r="D27" s="2" t="s">
        <f>=HYPERLINK("https://main.knesset.gov.il/APPS/legislation/main/bills/2244347", "חוק משק הדלק (קווי תשתית), התשפ""ו-2026")</f>
        <v>97</v>
      </c>
      <c r="E27" t="s">
        <v>97</v>
      </c>
      <c r="F27" t="s">
        <v>14</v>
      </c>
      <c r="G27" t="s">
        <v>29</v>
      </c>
      <c r="H27" t="n">
        <v>3565</v>
      </c>
      <c r="I27" t="s">
        <v>14</v>
      </c>
      <c r="J27" t="s">
        <v>18</v>
      </c>
      <c r="K27" t="s">
        <v>84</v>
      </c>
      <c r="L27" t="s">
        <v>20</v>
      </c>
      <c r="M27" t="s">
        <v>58</v>
      </c>
      <c r="N27" t="s">
        <v>98</v>
      </c>
    </row>
    <row r="28" x14ac:dyDescent="0.25">
      <c r="A28" t="n">
        <v>25</v>
      </c>
      <c r="B28" t="s">
        <v>14</v>
      </c>
      <c r="C28" t="s">
        <v>51</v>
      </c>
      <c r="D28" s="2" t="s">
        <f>=HYPERLINK("https://main.knesset.gov.il/APPS/legislation/main/bills/2225649", "חוק רשות מקרקעי ישראל (תיקון מס' 16), התשפ""ו–2026")</f>
        <v>99</v>
      </c>
      <c r="E28" t="s">
        <v>99</v>
      </c>
      <c r="F28" t="s">
        <v>100</v>
      </c>
      <c r="G28" t="s">
        <v>101</v>
      </c>
      <c r="H28" t="n">
        <v>3564</v>
      </c>
      <c r="I28" t="s">
        <v>14</v>
      </c>
      <c r="J28" t="s">
        <v>18</v>
      </c>
      <c r="K28" t="s">
        <v>30</v>
      </c>
      <c r="L28" t="s">
        <v>20</v>
      </c>
      <c r="M28" t="s">
        <v>58</v>
      </c>
      <c r="N28" t="s">
        <v>14</v>
      </c>
    </row>
    <row r="29" x14ac:dyDescent="0.25">
      <c r="A29" t="n">
        <v>25</v>
      </c>
      <c r="B29" t="s">
        <v>14</v>
      </c>
      <c r="C29" t="s">
        <v>51</v>
      </c>
      <c r="D29" s="2" t="s">
        <f>=HYPERLINK("https://main.knesset.gov.il/APPS/legislation/main/bills/2206757", "חוק הרשות לפיתוח הנגב (תיקון מס' 4) (תיקון  מס' 2), התשפ""ו–2026")</f>
        <v>102</v>
      </c>
      <c r="E29" t="s">
        <v>102</v>
      </c>
      <c r="F29" t="s">
        <v>103</v>
      </c>
      <c r="G29" t="s">
        <v>104</v>
      </c>
      <c r="H29" t="n">
        <v>3563</v>
      </c>
      <c r="I29" t="s">
        <v>14</v>
      </c>
      <c r="J29" t="s">
        <v>18</v>
      </c>
      <c r="K29" t="s">
        <v>84</v>
      </c>
      <c r="L29" t="s">
        <v>20</v>
      </c>
      <c r="M29" t="s">
        <v>58</v>
      </c>
      <c r="N29" t="s">
        <v>14</v>
      </c>
    </row>
    <row r="30" x14ac:dyDescent="0.25">
      <c r="A30" t="n">
        <v>25</v>
      </c>
      <c r="B30" t="s">
        <v>14</v>
      </c>
      <c r="C30" t="s">
        <v>15</v>
      </c>
      <c r="D30" s="2" t="s">
        <f>=HYPERLINK("https://main.knesset.gov.il/APPS/legislation/main/bills/2240494", "חוק לקידום הבנייה במתחמים מועדפים (הוראת שעה) (תיקון מס' 9), התשפ""ו-2026")</f>
        <v>105</v>
      </c>
      <c r="E30" t="s">
        <v>105</v>
      </c>
      <c r="F30" t="s">
        <v>14</v>
      </c>
      <c r="G30" t="s">
        <v>29</v>
      </c>
      <c r="H30" t="n">
        <v>3562</v>
      </c>
      <c r="I30" t="s">
        <v>14</v>
      </c>
      <c r="J30" t="s">
        <v>18</v>
      </c>
      <c r="K30" t="s">
        <v>30</v>
      </c>
      <c r="L30" t="s">
        <v>20</v>
      </c>
      <c r="M30" t="s">
        <v>58</v>
      </c>
      <c r="N30" t="s">
        <v>106</v>
      </c>
    </row>
    <row r="31" x14ac:dyDescent="0.25">
      <c r="A31" t="n">
        <v>25</v>
      </c>
      <c r="B31" t="s">
        <v>14</v>
      </c>
      <c r="C31" t="s">
        <v>15</v>
      </c>
      <c r="D31" s="2" t="s">
        <f>=HYPERLINK("https://main.knesset.gov.il/APPS/legislation/main/bills/2229708", "חוק הכניסה לישראל (תיקון מס' 46), התשפ""ו-2026")</f>
        <v>107</v>
      </c>
      <c r="E31" t="s">
        <v>107</v>
      </c>
      <c r="F31" t="s">
        <v>14</v>
      </c>
      <c r="G31" t="s">
        <v>108</v>
      </c>
      <c r="H31" t="n">
        <v>3561</v>
      </c>
      <c r="I31" t="s">
        <v>14</v>
      </c>
      <c r="J31" t="s">
        <v>18</v>
      </c>
      <c r="K31" t="s">
        <v>30</v>
      </c>
      <c r="L31" t="s">
        <v>20</v>
      </c>
      <c r="M31" t="s">
        <v>58</v>
      </c>
      <c r="N31" t="s">
        <v>109</v>
      </c>
    </row>
    <row r="32" x14ac:dyDescent="0.25">
      <c r="A32" t="n">
        <v>25</v>
      </c>
      <c r="B32" t="s">
        <v>14</v>
      </c>
      <c r="C32" t="s">
        <v>51</v>
      </c>
      <c r="D32" s="2" t="s">
        <f>=HYPERLINK("https://main.knesset.gov.il/APPS/legislation/main/bills/2208737", "חוק תקשורת דיגיטלית עם גופים ציבוריים (תיקון מס' 5), התשפ""ו-2026")</f>
        <v>110</v>
      </c>
      <c r="E32" t="s">
        <v>110</v>
      </c>
      <c r="F32" t="s">
        <v>111</v>
      </c>
      <c r="G32" t="s">
        <v>112</v>
      </c>
      <c r="H32" t="n">
        <v>3560</v>
      </c>
      <c r="I32" t="s">
        <v>14</v>
      </c>
      <c r="J32" t="s">
        <v>18</v>
      </c>
      <c r="K32" t="s">
        <v>113</v>
      </c>
      <c r="L32" t="s">
        <v>20</v>
      </c>
      <c r="M32" t="s">
        <v>58</v>
      </c>
      <c r="N32" t="s">
        <v>114</v>
      </c>
    </row>
    <row r="33" x14ac:dyDescent="0.25">
      <c r="A33" t="n">
        <v>25</v>
      </c>
      <c r="B33" t="s">
        <v>14</v>
      </c>
      <c r="C33" t="s">
        <v>51</v>
      </c>
      <c r="D33" s="2" t="s">
        <f>=HYPERLINK("https://main.knesset.gov.il/APPS/legislation/main/bills/2228513", "חוק אומנה לילדים (תיקון מס' 8), התשפ""ו–2026")</f>
        <v>115</v>
      </c>
      <c r="E33" t="s">
        <v>115</v>
      </c>
      <c r="F33" t="s">
        <v>116</v>
      </c>
      <c r="G33" t="s">
        <v>117</v>
      </c>
      <c r="H33" t="n">
        <v>3559</v>
      </c>
      <c r="I33" t="s">
        <v>14</v>
      </c>
      <c r="J33" t="s">
        <v>18</v>
      </c>
      <c r="K33" t="s">
        <v>46</v>
      </c>
      <c r="L33" t="s">
        <v>20</v>
      </c>
      <c r="M33" t="s">
        <v>58</v>
      </c>
      <c r="N33" t="s">
        <v>14</v>
      </c>
    </row>
    <row r="34" x14ac:dyDescent="0.25">
      <c r="A34" t="n">
        <v>25</v>
      </c>
      <c r="B34" t="s">
        <v>14</v>
      </c>
      <c r="C34" t="s">
        <v>51</v>
      </c>
      <c r="D34" s="2" t="s">
        <f>=HYPERLINK("https://main.knesset.gov.il/APPS/legislation/main/bills/2237751", "חוק יום לציון מורשת יהדות מרוקו וצפון אפריקה, התשפ""ו–2026")</f>
        <v>118</v>
      </c>
      <c r="E34" t="s">
        <v>118</v>
      </c>
      <c r="F34" t="s">
        <v>119</v>
      </c>
      <c r="G34" t="s">
        <v>120</v>
      </c>
      <c r="H34" t="n">
        <v>3558</v>
      </c>
      <c r="I34" t="s">
        <v>14</v>
      </c>
      <c r="J34" t="s">
        <v>18</v>
      </c>
      <c r="K34" t="s">
        <v>79</v>
      </c>
      <c r="L34" t="s">
        <v>20</v>
      </c>
      <c r="M34" t="s">
        <v>58</v>
      </c>
      <c r="N34" t="s">
        <v>121</v>
      </c>
    </row>
    <row r="35" x14ac:dyDescent="0.25">
      <c r="A35" t="n">
        <v>25</v>
      </c>
      <c r="B35" t="s">
        <v>14</v>
      </c>
      <c r="C35" t="s">
        <v>51</v>
      </c>
      <c r="D35" s="2" t="s">
        <f>=HYPERLINK("https://main.knesset.gov.il/APPS/legislation/main/bills/2221116", "חוק זכויות הסטודנט (תיקון מס' 12), התשפ""ו–2026")</f>
        <v>122</v>
      </c>
      <c r="E35" t="s">
        <v>122</v>
      </c>
      <c r="F35" t="s">
        <v>123</v>
      </c>
      <c r="G35" t="s">
        <v>124</v>
      </c>
      <c r="H35" t="n">
        <v>3557</v>
      </c>
      <c r="I35" t="s">
        <v>14</v>
      </c>
      <c r="J35" t="s">
        <v>18</v>
      </c>
      <c r="K35" t="s">
        <v>79</v>
      </c>
      <c r="L35" t="s">
        <v>20</v>
      </c>
      <c r="M35" t="s">
        <v>58</v>
      </c>
      <c r="N35" t="s">
        <v>125</v>
      </c>
    </row>
    <row r="36" x14ac:dyDescent="0.25">
      <c r="A36" t="n">
        <v>25</v>
      </c>
      <c r="B36" t="s">
        <v>14</v>
      </c>
      <c r="C36" t="s">
        <v>51</v>
      </c>
      <c r="D36" s="2" t="s">
        <f>=HYPERLINK("https://main.knesset.gov.il/APPS/legislation/main/bills/2235558", "חוק זכויות הסטודנט (תיקון מס' 11), התשפ""ו–2026")</f>
        <v>126</v>
      </c>
      <c r="E36" t="s">
        <v>126</v>
      </c>
      <c r="F36" t="s">
        <v>127</v>
      </c>
      <c r="G36" t="s">
        <v>128</v>
      </c>
      <c r="H36" t="n">
        <v>3556</v>
      </c>
      <c r="I36" t="s">
        <v>14</v>
      </c>
      <c r="J36" t="s">
        <v>18</v>
      </c>
      <c r="K36" t="s">
        <v>79</v>
      </c>
      <c r="L36" t="s">
        <v>20</v>
      </c>
      <c r="M36" t="s">
        <v>58</v>
      </c>
      <c r="N36" t="s">
        <v>129</v>
      </c>
    </row>
    <row r="37" x14ac:dyDescent="0.25">
      <c r="A37" t="n">
        <v>25</v>
      </c>
      <c r="B37" t="s">
        <v>14</v>
      </c>
      <c r="C37" t="s">
        <v>51</v>
      </c>
      <c r="D37" s="2" t="s">
        <f>=HYPERLINK("https://main.knesset.gov.il/APPS/legislation/main/bills/2206642", "חוק חופשה שנתית (תיקון מס' 17), התשפ""ו–2026")</f>
        <v>130</v>
      </c>
      <c r="E37" t="s">
        <v>130</v>
      </c>
      <c r="F37" t="s">
        <v>131</v>
      </c>
      <c r="G37" t="s">
        <v>132</v>
      </c>
      <c r="H37" t="n">
        <v>3554</v>
      </c>
      <c r="I37" t="s">
        <v>14</v>
      </c>
      <c r="J37" t="s">
        <v>18</v>
      </c>
      <c r="K37" t="s">
        <v>46</v>
      </c>
      <c r="L37" t="s">
        <v>20</v>
      </c>
      <c r="M37" t="s">
        <v>58</v>
      </c>
      <c r="N37" t="s">
        <v>14</v>
      </c>
    </row>
    <row r="38" x14ac:dyDescent="0.25">
      <c r="A38" t="n">
        <v>25</v>
      </c>
      <c r="B38" t="s">
        <v>14</v>
      </c>
      <c r="C38" t="s">
        <v>15</v>
      </c>
      <c r="D38" s="2" t="s">
        <f>=HYPERLINK("https://main.knesset.gov.il/APPS/legislation/main/bills/1057200", "חוק לתיקון פקודת סדר הדין הפלילי (מעצר וחיפוש) (מס' 19 - הוראת שעה), התשפ""ו-2026")</f>
        <v>133</v>
      </c>
      <c r="E38" t="s">
        <v>133</v>
      </c>
      <c r="F38" t="s">
        <v>14</v>
      </c>
      <c r="G38" t="s">
        <v>134</v>
      </c>
      <c r="H38" t="n">
        <v>3553</v>
      </c>
      <c r="I38" t="s">
        <v>14</v>
      </c>
      <c r="J38" t="s">
        <v>18</v>
      </c>
      <c r="K38" t="s">
        <v>19</v>
      </c>
      <c r="L38" t="s">
        <v>20</v>
      </c>
      <c r="M38" t="s">
        <v>58</v>
      </c>
      <c r="N38" t="s">
        <v>135</v>
      </c>
    </row>
    <row r="39" x14ac:dyDescent="0.25">
      <c r="A39" t="n">
        <v>25</v>
      </c>
      <c r="B39" t="s">
        <v>14</v>
      </c>
      <c r="C39" t="s">
        <v>51</v>
      </c>
      <c r="D39" s="2" t="s">
        <f>=HYPERLINK("https://main.knesset.gov.il/APPS/legislation/main/bills/2216066", "חוק הרשות השנייה לטלוויזיה ורדיו (תיקון מס' 50), התשפ""ו–2026")</f>
        <v>136</v>
      </c>
      <c r="E39" t="s">
        <v>136</v>
      </c>
      <c r="F39" t="s">
        <v>137</v>
      </c>
      <c r="G39" t="s">
        <v>138</v>
      </c>
      <c r="H39" t="n">
        <v>3551</v>
      </c>
      <c r="I39" t="s">
        <v>14</v>
      </c>
      <c r="J39" t="s">
        <v>18</v>
      </c>
      <c r="K39" t="s">
        <v>84</v>
      </c>
      <c r="L39" t="s">
        <v>20</v>
      </c>
      <c r="M39" t="s">
        <v>58</v>
      </c>
      <c r="N39" t="s">
        <v>139</v>
      </c>
    </row>
    <row r="40" x14ac:dyDescent="0.25">
      <c r="A40" t="n">
        <v>25</v>
      </c>
      <c r="B40" t="s">
        <v>14</v>
      </c>
      <c r="C40" t="s">
        <v>15</v>
      </c>
      <c r="D40" s="2" t="s">
        <f>=HYPERLINK("https://main.knesset.gov.il/APPS/legislation/main/bills/1044596", "חוק לתיקון פקודת המועצות המקומיות (מס'  82),  התשפ""ו-2026")</f>
        <v>140</v>
      </c>
      <c r="E40" t="s">
        <v>140</v>
      </c>
      <c r="F40" t="s">
        <v>14</v>
      </c>
      <c r="G40" t="s">
        <v>141</v>
      </c>
      <c r="H40" t="n">
        <v>3545</v>
      </c>
      <c r="I40" t="s">
        <v>14</v>
      </c>
      <c r="J40" t="s">
        <v>18</v>
      </c>
      <c r="K40" t="s">
        <v>30</v>
      </c>
      <c r="L40" t="s">
        <v>20</v>
      </c>
      <c r="M40" t="s">
        <v>58</v>
      </c>
      <c r="N40" t="s">
        <v>142</v>
      </c>
    </row>
    <row r="41" x14ac:dyDescent="0.25">
      <c r="A41" t="n">
        <v>25</v>
      </c>
      <c r="B41" t="s">
        <v>14</v>
      </c>
      <c r="C41" t="s">
        <v>51</v>
      </c>
      <c r="D41" s="2" t="s">
        <f>=HYPERLINK("https://main.knesset.gov.il/APPS/legislation/main/bills/2198907", "חוק-יסוד: לימוד תורה")</f>
        <v>143</v>
      </c>
      <c r="E41" t="s">
        <v>143</v>
      </c>
      <c r="F41" t="s">
        <v>144</v>
      </c>
      <c r="G41" t="s">
        <v>145</v>
      </c>
      <c r="H41" t="n">
        <v>3543</v>
      </c>
      <c r="I41" t="s">
        <v>14</v>
      </c>
      <c r="J41" t="s">
        <v>18</v>
      </c>
      <c r="K41" t="s">
        <v>42</v>
      </c>
      <c r="L41" t="s">
        <v>20</v>
      </c>
      <c r="M41" t="s">
        <v>58</v>
      </c>
      <c r="N41" t="s">
        <v>146</v>
      </c>
    </row>
    <row r="42" x14ac:dyDescent="0.25">
      <c r="A42" t="n">
        <v>25</v>
      </c>
      <c r="B42" t="s">
        <v>14</v>
      </c>
      <c r="C42" t="s">
        <v>51</v>
      </c>
      <c r="D42" s="2" t="s">
        <f>=HYPERLINK("https://main.knesset.gov.il/APPS/legislation/main/bills/2240080", "הצעת חוק זכויות נפגעי עבירה (תיקון מס' 24) (הבעת עמדה לעניין איסור פרסום שמו של חשוד), התשפ""ו–2026")</f>
        <v>147</v>
      </c>
      <c r="E42" t="s">
        <v>147</v>
      </c>
      <c r="F42" t="s">
        <v>148</v>
      </c>
      <c r="G42" t="s">
        <v>149</v>
      </c>
      <c r="H42">
             </c>
      <c r="I42" t="s">
        <v>14</v>
      </c>
      <c r="J42" t="s">
        <v>38</v>
      </c>
      <c r="K42" t="s">
        <v>27</v>
      </c>
      <c r="L42" t="s">
        <v>20</v>
      </c>
      <c r="M42" t="s">
        <v>58</v>
      </c>
      <c r="N42" t="s">
        <v>14</v>
      </c>
    </row>
    <row r="43" x14ac:dyDescent="0.25">
      <c r="A43" t="n">
        <v>25</v>
      </c>
      <c r="B43" t="s">
        <v>14</v>
      </c>
      <c r="C43" t="s">
        <v>51</v>
      </c>
      <c r="D43" s="2" t="s">
        <f>=HYPERLINK("https://main.knesset.gov.il/APPS/legislation/main/bills/2238278", "הצעת חוק זכויות הסטודנט (תיקון - התאמות בהשכלה גבוהה לסטודנטים עקב מחלה קשה), התשפ""ו-2025")</f>
        <v>150</v>
      </c>
      <c r="E43" t="s">
        <v>150</v>
      </c>
      <c r="F43" t="s">
        <v>151</v>
      </c>
      <c r="G43" t="s">
        <v>14</v>
      </c>
      <c r="H43">
             </c>
      <c r="I43" t="s">
        <v>14</v>
      </c>
      <c r="J43" t="s">
        <v>152</v>
      </c>
      <c r="K43" t="s">
        <v>79</v>
      </c>
      <c r="L43" t="s">
        <v>20</v>
      </c>
      <c r="M43" t="s">
        <v>58</v>
      </c>
      <c r="N43" t="s">
        <v>14</v>
      </c>
    </row>
    <row r="44" x14ac:dyDescent="0.25">
      <c r="A44" t="n">
        <v>25</v>
      </c>
      <c r="B44" t="s">
        <v>14</v>
      </c>
      <c r="C44" t="s">
        <v>51</v>
      </c>
      <c r="D44" s="2" t="s">
        <f>=HYPERLINK("https://main.knesset.gov.il/APPS/legislation/main/bills/2233112", "הצעת חוק זכויות נפגעי עבירה (תיקון מס' 23) (שמירת ערכות ייעודיות ישנות במשטרת ישראל), התשפ""ו–2026")</f>
        <v>153</v>
      </c>
      <c r="E44" t="s">
        <v>153</v>
      </c>
      <c r="F44" t="s">
        <v>154</v>
      </c>
      <c r="G44" t="s">
        <v>155</v>
      </c>
      <c r="H44">
             </c>
      <c r="I44" t="s">
        <v>14</v>
      </c>
      <c r="J44" t="s">
        <v>38</v>
      </c>
      <c r="K44" t="s">
        <v>27</v>
      </c>
      <c r="L44" t="s">
        <v>20</v>
      </c>
      <c r="M44" t="s">
        <v>58</v>
      </c>
      <c r="N44" t="s">
        <v>14</v>
      </c>
    </row>
    <row r="45" x14ac:dyDescent="0.25">
      <c r="A45" t="n">
        <v>25</v>
      </c>
      <c r="B45" t="s">
        <v>14</v>
      </c>
      <c r="C45" t="s">
        <v>51</v>
      </c>
      <c r="D45" s="2" t="s">
        <f>=HYPERLINK("https://main.knesset.gov.il/APPS/legislation/main/bills/2232805", "הצעת חוק זכויות הסטודנט (תיקון מס' 12) (התאמות עקב מחלה קשה), התשפ""ו–2026")</f>
        <v>156</v>
      </c>
      <c r="E45" t="s">
        <v>156</v>
      </c>
      <c r="F45" t="s">
        <v>157</v>
      </c>
      <c r="G45" t="s">
        <v>158</v>
      </c>
      <c r="H45">
             </c>
      <c r="I45" t="s">
        <v>14</v>
      </c>
      <c r="J45" t="s">
        <v>38</v>
      </c>
      <c r="K45" t="s">
        <v>79</v>
      </c>
      <c r="L45" t="s">
        <v>20</v>
      </c>
      <c r="M45" t="s">
        <v>58</v>
      </c>
      <c r="N45" t="s">
        <v>14</v>
      </c>
    </row>
    <row r="46" x14ac:dyDescent="0.25">
      <c r="A46" t="n">
        <v>25</v>
      </c>
      <c r="B46" t="s">
        <v>14</v>
      </c>
      <c r="C46" t="s">
        <v>51</v>
      </c>
      <c r="D46" s="2" t="s">
        <f>=HYPERLINK("https://main.knesset.gov.il/APPS/legislation/main/bills/2221692", "הצעת חוק לגיבוש הערכת מודיעין חלופית להערכות גופי המודיעין, התשפ""ו–2026")</f>
        <v>159</v>
      </c>
      <c r="E46" t="s">
        <v>159</v>
      </c>
      <c r="F46" t="s">
        <v>160</v>
      </c>
      <c r="G46" t="s">
        <v>161</v>
      </c>
      <c r="H46">
             </c>
      <c r="I46" t="s">
        <v>14</v>
      </c>
      <c r="J46" t="s">
        <v>162</v>
      </c>
      <c r="K46" t="s">
        <v>39</v>
      </c>
      <c r="L46" t="s">
        <v>20</v>
      </c>
      <c r="M46" t="s">
        <v>58</v>
      </c>
      <c r="N46" t="s">
        <v>14</v>
      </c>
    </row>
    <row r="47" x14ac:dyDescent="0.25">
      <c r="A47" t="n">
        <v>25</v>
      </c>
      <c r="B47" t="s">
        <v>14</v>
      </c>
      <c r="C47" t="s">
        <v>51</v>
      </c>
      <c r="D47" s="2" t="s">
        <f>=HYPERLINK("https://main.knesset.gov.il/APPS/legislation/main/bills/2204004", "הצעת חוק תשלום בכרטיס אשראי בעד נסיעה בתחבורה ציבורית (תיקוני חקיקה), התשפ""ד–2024")</f>
        <v>163</v>
      </c>
      <c r="E47" t="s">
        <v>163</v>
      </c>
      <c r="F47" t="s">
        <v>164</v>
      </c>
      <c r="G47" t="s">
        <v>165</v>
      </c>
      <c r="H47">
             </c>
      <c r="I47" t="s">
        <v>166</v>
      </c>
      <c r="J47" t="s">
        <v>38</v>
      </c>
      <c r="K47" t="s">
        <v>84</v>
      </c>
      <c r="L47" t="s">
        <v>20</v>
      </c>
      <c r="M47" t="s">
        <v>58</v>
      </c>
      <c r="N47" t="s">
        <v>14</v>
      </c>
    </row>
    <row r="48" x14ac:dyDescent="0.25">
      <c r="A48" t="n">
        <v>25</v>
      </c>
      <c r="B48" t="s">
        <v>14</v>
      </c>
      <c r="C48" t="s">
        <v>15</v>
      </c>
      <c r="D48" s="2" t="s">
        <f>=HYPERLINK("https://main.knesset.gov.il/APPS/legislation/main/bills/1046412", "הצעת חוק הגנה על בריאות הציבור (מזון) (תיקון מס' 11), התשפ""ו-2026")</f>
        <v>167</v>
      </c>
      <c r="E48" t="s">
        <v>167</v>
      </c>
      <c r="F48" t="s">
        <v>14</v>
      </c>
      <c r="G48" t="s">
        <v>168</v>
      </c>
      <c r="H48">
             </c>
      <c r="I48" t="s">
        <v>14</v>
      </c>
      <c r="J48" t="s">
        <v>162</v>
      </c>
      <c r="K48" t="s">
        <v>14</v>
      </c>
      <c r="L48" t="s">
        <v>20</v>
      </c>
      <c r="M48" t="s">
        <v>58</v>
      </c>
      <c r="N48" t="s">
        <v>14</v>
      </c>
    </row>
    <row r="49" x14ac:dyDescent="0.25">
      <c r="A49" t="n">
        <v>25</v>
      </c>
      <c r="B49" t="s">
        <v>14</v>
      </c>
      <c r="C49" t="s">
        <v>15</v>
      </c>
      <c r="D49" s="2" t="s">
        <f>=HYPERLINK("https://main.knesset.gov.il/APPS/legislation/main/bills/1046414", "הצעת חוק לתיקון פקודת הרוקחים (מס' 40) (הסרת חסמים ביבוא וייצור תמרוקים), התשפ""ו-2026")</f>
        <v>169</v>
      </c>
      <c r="E49" t="s">
        <v>169</v>
      </c>
      <c r="F49" t="s">
        <v>14</v>
      </c>
      <c r="G49" t="s">
        <v>170</v>
      </c>
      <c r="H49">
             </c>
      <c r="I49" t="s">
        <v>14</v>
      </c>
      <c r="J49" t="s">
        <v>162</v>
      </c>
      <c r="K49" t="s">
        <v>14</v>
      </c>
      <c r="L49" t="s">
        <v>20</v>
      </c>
      <c r="M49" t="s">
        <v>58</v>
      </c>
      <c r="N49" t="s">
        <v>14</v>
      </c>
    </row>
    <row r="50" x14ac:dyDescent="0.25">
      <c r="A50" t="n">
        <v>25</v>
      </c>
      <c r="B50" t="s">
        <v>14</v>
      </c>
      <c r="C50" t="s">
        <v>51</v>
      </c>
      <c r="D50" s="2" t="s">
        <f>=HYPERLINK("https://main.knesset.gov.il/APPS/legislation/main/bills/2245052", "הצעת חוק היועץ המשפטי לממשלה והתובע הכללי (מינוי, כהונה, תפקידים וסמכויות), התשפ""ו–2026 ")</f>
        <v>171</v>
      </c>
      <c r="E50" t="s">
        <v>171</v>
      </c>
      <c r="F50" t="s">
        <v>60</v>
      </c>
      <c r="G50" t="s">
        <v>61</v>
      </c>
      <c r="H50">
             </c>
      <c r="I50" t="s">
        <v>14</v>
      </c>
      <c r="J50" t="s">
        <v>38</v>
      </c>
      <c r="K50" t="s">
        <v>27</v>
      </c>
      <c r="L50" t="s">
        <v>20</v>
      </c>
      <c r="M50" t="s">
        <v>172</v>
      </c>
      <c r="N50" t="s">
        <v>14</v>
      </c>
    </row>
    <row r="51" x14ac:dyDescent="0.25">
      <c r="A51" t="n">
        <v>25</v>
      </c>
      <c r="B51" t="s">
        <v>14</v>
      </c>
      <c r="C51" t="s">
        <v>51</v>
      </c>
      <c r="D51" s="2" t="s">
        <f>=HYPERLINK("https://main.knesset.gov.il/APPS/legislation/main/bills/2237486", "הצעת חוק מניעת רעש בלתי סביר של המואזין, התשפ״ו-2025")</f>
        <v>173</v>
      </c>
      <c r="E51" t="s">
        <v>173</v>
      </c>
      <c r="F51" t="s">
        <v>174</v>
      </c>
      <c r="G51" t="s">
        <v>14</v>
      </c>
      <c r="H51">
             </c>
      <c r="I51" t="s">
        <v>14</v>
      </c>
      <c r="J51" t="s">
        <v>152</v>
      </c>
      <c r="K51" t="s">
        <v>30</v>
      </c>
      <c r="L51" t="s">
        <v>20</v>
      </c>
      <c r="M51" t="s">
        <v>172</v>
      </c>
      <c r="N51" t="s">
        <v>14</v>
      </c>
    </row>
    <row r="52" x14ac:dyDescent="0.25">
      <c r="A52" t="n">
        <v>25</v>
      </c>
      <c r="B52" t="s">
        <v>14</v>
      </c>
      <c r="C52" t="s">
        <v>51</v>
      </c>
      <c r="D52" s="2" t="s">
        <f>=HYPERLINK("https://main.knesset.gov.il/APPS/legislation/main/bills/2197590", "הצעת חוק הדיור הציבורי (זכויות רכישה), התשפ""ו–2025")</f>
        <v>175</v>
      </c>
      <c r="E52" t="s">
        <v>175</v>
      </c>
      <c r="F52" t="s">
        <v>176</v>
      </c>
      <c r="G52" t="s">
        <v>177</v>
      </c>
      <c r="H52">
             </c>
      <c r="I52" t="s">
        <v>166</v>
      </c>
      <c r="J52" t="s">
        <v>38</v>
      </c>
      <c r="K52" t="s">
        <v>30</v>
      </c>
      <c r="L52" t="s">
        <v>20</v>
      </c>
      <c r="M52" t="s">
        <v>172</v>
      </c>
      <c r="N52" t="s">
        <v>14</v>
      </c>
    </row>
    <row r="53" x14ac:dyDescent="0.25">
      <c r="A53" t="n">
        <v>25</v>
      </c>
      <c r="B53" t="s">
        <v>14</v>
      </c>
      <c r="C53" t="s">
        <v>15</v>
      </c>
      <c r="D53" s="2" t="s">
        <f>=HYPERLINK("https://main.knesset.gov.il/APPS/legislation/main/bills/1057055", "הצעת חוק התכנון והבניה (תיקון מס' 169- הוראת שעה), התשפ""ו-2026")</f>
        <v>178</v>
      </c>
      <c r="E53" t="s">
        <v>178</v>
      </c>
      <c r="F53" t="s">
        <v>14</v>
      </c>
      <c r="G53" t="s">
        <v>179</v>
      </c>
      <c r="H53">
             </c>
      <c r="I53" t="s">
        <v>14</v>
      </c>
      <c r="J53" t="s">
        <v>180</v>
      </c>
      <c r="K53" t="s">
        <v>30</v>
      </c>
      <c r="L53" t="s">
        <v>20</v>
      </c>
      <c r="M53" t="s">
        <v>172</v>
      </c>
      <c r="N53" t="s">
        <v>14</v>
      </c>
    </row>
    <row r="54" x14ac:dyDescent="0.25">
      <c r="A54" t="n">
        <v>25</v>
      </c>
      <c r="B54" t="s">
        <v>14</v>
      </c>
      <c r="C54" t="s">
        <v>51</v>
      </c>
      <c r="D54" s="2" t="s">
        <f>=HYPERLINK("https://main.knesset.gov.il/APPS/legislation/main/bills/2240954", "הצעת חוק אומנה לילדים (תיקון - מתן הסכמה לטיפול פסיכיאטרי), התשפ""ו-2026")</f>
        <v>181</v>
      </c>
      <c r="E54" t="s">
        <v>181</v>
      </c>
      <c r="F54" t="s">
        <v>182</v>
      </c>
      <c r="G54" t="s">
        <v>14</v>
      </c>
      <c r="H54">
             </c>
      <c r="I54" t="s">
        <v>14</v>
      </c>
      <c r="J54" t="s">
        <v>183</v>
      </c>
      <c r="K54" t="s">
        <v>46</v>
      </c>
      <c r="L54" t="s">
        <v>20</v>
      </c>
      <c r="M54" t="s">
        <v>184</v>
      </c>
      <c r="N54" t="s">
        <v>14</v>
      </c>
    </row>
    <row r="55" x14ac:dyDescent="0.25">
      <c r="A55" t="n">
        <v>25</v>
      </c>
      <c r="B55" t="s">
        <v>14</v>
      </c>
      <c r="C55" t="s">
        <v>51</v>
      </c>
      <c r="D55" s="2" t="s">
        <f>=HYPERLINK("https://main.knesset.gov.il/APPS/legislation/main/bills/2240556", "הצעת חוק אומנה לילדים (תיקון - מתן הסכמה לטיפול פסיכיאטרי), התשפ""ו-2026")</f>
        <v>181</v>
      </c>
      <c r="E55" t="s">
        <v>181</v>
      </c>
      <c r="F55" t="s">
        <v>185</v>
      </c>
      <c r="G55" t="s">
        <v>14</v>
      </c>
      <c r="H55">
             </c>
      <c r="I55" t="s">
        <v>14</v>
      </c>
      <c r="J55" t="s">
        <v>183</v>
      </c>
      <c r="K55" t="s">
        <v>46</v>
      </c>
      <c r="L55" t="s">
        <v>20</v>
      </c>
      <c r="M55" t="s">
        <v>184</v>
      </c>
      <c r="N55" t="s">
        <v>14</v>
      </c>
    </row>
    <row r="56" x14ac:dyDescent="0.25">
      <c r="A56" t="n">
        <v>25</v>
      </c>
      <c r="B56" t="s">
        <v>14</v>
      </c>
      <c r="C56" t="s">
        <v>51</v>
      </c>
      <c r="D56" s="2" t="s">
        <f>=HYPERLINK("https://main.knesset.gov.il/APPS/legislation/main/bills/2244078", "הצעת חוק בינוי ופינוי של אזורי שיקום (כפר שלם), התשפ""ו-2026")</f>
        <v>186</v>
      </c>
      <c r="E56" t="s">
        <v>186</v>
      </c>
      <c r="F56" t="s">
        <v>187</v>
      </c>
      <c r="G56" t="s">
        <v>14</v>
      </c>
      <c r="H56">
             </c>
      <c r="I56" t="s">
        <v>14</v>
      </c>
      <c r="J56" t="s">
        <v>152</v>
      </c>
      <c r="K56" t="s">
        <v>30</v>
      </c>
      <c r="L56" t="s">
        <v>20</v>
      </c>
      <c r="M56" t="s">
        <v>188</v>
      </c>
      <c r="N56" t="s">
        <v>14</v>
      </c>
    </row>
    <row r="57" x14ac:dyDescent="0.25">
      <c r="A57" t="n">
        <v>25</v>
      </c>
      <c r="B57" t="s">
        <v>14</v>
      </c>
      <c r="C57" t="s">
        <v>51</v>
      </c>
      <c r="D57" s="2" t="s">
        <f>=HYPERLINK("https://main.knesset.gov.il/APPS/legislation/main/bills/2240893", "הצעת חוק איסור צריכת זנות (הוראת שעה ותיקון חקיקה) (תיקון - איסור צריכת תוכן מיני מקוון מותאם אישית), התשפ""ו-2026")</f>
        <v>189</v>
      </c>
      <c r="E57" t="s">
        <v>189</v>
      </c>
      <c r="F57" t="s">
        <v>190</v>
      </c>
      <c r="G57" t="s">
        <v>14</v>
      </c>
      <c r="H57">
             </c>
      <c r="I57" t="s">
        <v>14</v>
      </c>
      <c r="J57" t="s">
        <v>152</v>
      </c>
      <c r="K57" t="s">
        <v>27</v>
      </c>
      <c r="L57" t="s">
        <v>20</v>
      </c>
      <c r="M57" t="s">
        <v>188</v>
      </c>
      <c r="N57" t="s">
        <v>14</v>
      </c>
    </row>
    <row r="58" x14ac:dyDescent="0.25">
      <c r="A58" t="n">
        <v>25</v>
      </c>
      <c r="B58" t="s">
        <v>14</v>
      </c>
      <c r="C58" t="s">
        <v>51</v>
      </c>
      <c r="D58" s="2" t="s">
        <f>=HYPERLINK("https://main.knesset.gov.il/APPS/legislation/main/bills/2240319", "הצעת חוק התגמולים לנפגעי פעולות איבה (תיקון - פשעי שנאה), התשפ""ו-2026")</f>
        <v>191</v>
      </c>
      <c r="E58" t="s">
        <v>191</v>
      </c>
      <c r="F58" t="s">
        <v>192</v>
      </c>
      <c r="G58" t="s">
        <v>14</v>
      </c>
      <c r="H58">
             </c>
      <c r="I58" t="s">
        <v>14</v>
      </c>
      <c r="J58" t="s">
        <v>193</v>
      </c>
      <c r="K58" t="s">
        <v>14</v>
      </c>
      <c r="L58" t="s">
        <v>20</v>
      </c>
      <c r="M58" t="s">
        <v>188</v>
      </c>
      <c r="N58" t="s">
        <v>14</v>
      </c>
    </row>
    <row r="59" x14ac:dyDescent="0.25">
      <c r="A59" t="n">
        <v>25</v>
      </c>
      <c r="B59" t="s">
        <v>14</v>
      </c>
      <c r="C59" t="s">
        <v>51</v>
      </c>
      <c r="D59" s="2" t="s">
        <f>=HYPERLINK("https://main.knesset.gov.il/APPS/legislation/main/bills/2239229", "הצעת חוק הרשויות המקומיות (מימון בחירות) (תיקון - ייצוג נשים ברשות המקומית), התשפ""ו-2026")</f>
        <v>194</v>
      </c>
      <c r="E59" t="s">
        <v>194</v>
      </c>
      <c r="F59" t="s">
        <v>195</v>
      </c>
      <c r="G59" t="s">
        <v>14</v>
      </c>
      <c r="H59">
             </c>
      <c r="I59" t="s">
        <v>14</v>
      </c>
      <c r="J59" t="s">
        <v>193</v>
      </c>
      <c r="K59" t="s">
        <v>14</v>
      </c>
      <c r="L59" t="s">
        <v>20</v>
      </c>
      <c r="M59" t="s">
        <v>188</v>
      </c>
      <c r="N59" t="s">
        <v>14</v>
      </c>
    </row>
    <row r="60" x14ac:dyDescent="0.25">
      <c r="A60" t="n">
        <v>25</v>
      </c>
      <c r="B60" t="s">
        <v>14</v>
      </c>
      <c r="C60" t="s">
        <v>51</v>
      </c>
      <c r="D60" s="2" t="s">
        <f>=HYPERLINK("https://main.knesset.gov.il/APPS/legislation/main/bills/2238842", "הצעת חוק זכויות נפגעי עבירה (תיקון - הוספת סרסור והבאת אדם לידי זנות להגדרה עבירת מין או אלימות), התשפ""ו-2026")</f>
        <v>196</v>
      </c>
      <c r="E60" t="s">
        <v>196</v>
      </c>
      <c r="F60" t="s">
        <v>197</v>
      </c>
      <c r="G60" t="s">
        <v>14</v>
      </c>
      <c r="H60">
             </c>
      <c r="I60" t="s">
        <v>14</v>
      </c>
      <c r="J60" t="s">
        <v>193</v>
      </c>
      <c r="K60" t="s">
        <v>14</v>
      </c>
      <c r="L60" t="s">
        <v>20</v>
      </c>
      <c r="M60" t="s">
        <v>188</v>
      </c>
      <c r="N60" t="s">
        <v>14</v>
      </c>
    </row>
    <row r="61" x14ac:dyDescent="0.25">
      <c r="A61" t="n">
        <v>25</v>
      </c>
      <c r="B61" t="s">
        <v>14</v>
      </c>
      <c r="C61" t="s">
        <v>51</v>
      </c>
      <c r="D61" s="2" t="s">
        <f>=HYPERLINK("https://main.knesset.gov.il/APPS/legislation/main/bills/2238838", "הצעת חוק למניעת אלימות במשפחה (תיקון - הגדרת אלימות במשפחה), התשפ""ו-2026")</f>
        <v>198</v>
      </c>
      <c r="E61" t="s">
        <v>198</v>
      </c>
      <c r="F61" t="s">
        <v>199</v>
      </c>
      <c r="G61" t="s">
        <v>14</v>
      </c>
      <c r="H61">
             </c>
      <c r="I61" t="s">
        <v>14</v>
      </c>
      <c r="J61" t="s">
        <v>193</v>
      </c>
      <c r="K61" t="s">
        <v>14</v>
      </c>
      <c r="L61" t="s">
        <v>20</v>
      </c>
      <c r="M61" t="s">
        <v>188</v>
      </c>
      <c r="N61" t="s">
        <v>14</v>
      </c>
    </row>
    <row r="62" x14ac:dyDescent="0.25">
      <c r="A62" t="n">
        <v>25</v>
      </c>
      <c r="B62" t="s">
        <v>14</v>
      </c>
      <c r="C62" t="s">
        <v>51</v>
      </c>
      <c r="D62" s="2" t="s">
        <f>=HYPERLINK("https://main.knesset.gov.il/APPS/legislation/main/bills/2237423", "הצעת חוק שירותי אבטחה, התשפ""ו-2025")</f>
        <v>200</v>
      </c>
      <c r="E62" t="s">
        <v>200</v>
      </c>
      <c r="F62" t="s">
        <v>201</v>
      </c>
      <c r="G62" t="s">
        <v>14</v>
      </c>
      <c r="H62">
             </c>
      <c r="I62" t="s">
        <v>14</v>
      </c>
      <c r="J62" t="s">
        <v>202</v>
      </c>
      <c r="K62" t="s">
        <v>14</v>
      </c>
      <c r="L62" t="s">
        <v>20</v>
      </c>
      <c r="M62" t="s">
        <v>188</v>
      </c>
      <c r="N62" t="s">
        <v>14</v>
      </c>
    </row>
    <row r="63" x14ac:dyDescent="0.25">
      <c r="A63" t="n">
        <v>25</v>
      </c>
      <c r="B63" t="s">
        <v>14</v>
      </c>
      <c r="C63" t="s">
        <v>51</v>
      </c>
      <c r="D63" s="2" t="s">
        <f>=HYPERLINK("https://main.knesset.gov.il/APPS/legislation/main/bills/2234563", "הצעת חוק המרכז להנצחת מורשתו של הנשיא יצחק נבון, התשפ""ו-2025")</f>
        <v>203</v>
      </c>
      <c r="E63" t="s">
        <v>203</v>
      </c>
      <c r="F63" t="s">
        <v>204</v>
      </c>
      <c r="G63" t="s">
        <v>14</v>
      </c>
      <c r="H63">
             </c>
      <c r="I63" t="s">
        <v>14</v>
      </c>
      <c r="J63" t="s">
        <v>193</v>
      </c>
      <c r="K63" t="s">
        <v>14</v>
      </c>
      <c r="L63" t="s">
        <v>20</v>
      </c>
      <c r="M63" t="s">
        <v>188</v>
      </c>
      <c r="N63" t="s">
        <v>14</v>
      </c>
    </row>
    <row r="64" x14ac:dyDescent="0.25">
      <c r="A64" t="n">
        <v>25</v>
      </c>
      <c r="B64" t="s">
        <v>14</v>
      </c>
      <c r="C64" t="s">
        <v>51</v>
      </c>
      <c r="D64" s="2" t="s">
        <f>=HYPERLINK("https://main.knesset.gov.il/APPS/legislation/main/bills/2231885", "הצעת חוק להגנת חיית הבר (תיקון - חילוט כלי ציד), התשפ""ה-2025")</f>
        <v>205</v>
      </c>
      <c r="E64" t="s">
        <v>205</v>
      </c>
      <c r="F64" t="s">
        <v>206</v>
      </c>
      <c r="G64" t="s">
        <v>14</v>
      </c>
      <c r="H64">
             </c>
      <c r="I64" t="s">
        <v>14</v>
      </c>
      <c r="J64" t="s">
        <v>152</v>
      </c>
      <c r="K64" t="s">
        <v>30</v>
      </c>
      <c r="L64" t="s">
        <v>20</v>
      </c>
      <c r="M64" t="s">
        <v>188</v>
      </c>
      <c r="N64" t="s">
        <v>14</v>
      </c>
    </row>
    <row r="65" x14ac:dyDescent="0.25">
      <c r="A65" t="n">
        <v>25</v>
      </c>
      <c r="B65" t="s">
        <v>14</v>
      </c>
      <c r="C65" t="s">
        <v>51</v>
      </c>
      <c r="D65" s="2" t="s">
        <f>=HYPERLINK("https://main.knesset.gov.il/APPS/legislation/main/bills/2229997", "הצעת חוק מאבק בארגוני פשיעה (תיקון - הרחבת הנסיבה המחמירה לזיקה לארגון פשיעה), התשפ""ה-2025")</f>
        <v>207</v>
      </c>
      <c r="E65" t="s">
        <v>207</v>
      </c>
      <c r="F65" t="s">
        <v>208</v>
      </c>
      <c r="G65" t="s">
        <v>14</v>
      </c>
      <c r="H65">
             </c>
      <c r="I65" t="s">
        <v>14</v>
      </c>
      <c r="J65" t="s">
        <v>152</v>
      </c>
      <c r="K65" t="s">
        <v>19</v>
      </c>
      <c r="L65" t="s">
        <v>20</v>
      </c>
      <c r="M65" t="s">
        <v>188</v>
      </c>
      <c r="N65" t="s">
        <v>14</v>
      </c>
    </row>
    <row r="66" x14ac:dyDescent="0.25">
      <c r="A66" t="n">
        <v>25</v>
      </c>
      <c r="B66" t="s">
        <v>14</v>
      </c>
      <c r="C66" t="s">
        <v>51</v>
      </c>
      <c r="D66" s="2" t="s">
        <f>=HYPERLINK("https://main.knesset.gov.il/APPS/legislation/main/bills/2230390", "הצעת חוק להקפאה וניכוי של כספים ששילמה הרשות הפלסטינית בזיקה לטרור מהכספים המועברים אליה מממשלת ישראל (תיקון מס' 2) (כספים המועברים לרצועת עזה), התשפ""ו–2026")</f>
        <v>209</v>
      </c>
      <c r="E66" t="s">
        <v>209</v>
      </c>
      <c r="F66" t="s">
        <v>210</v>
      </c>
      <c r="G66" t="s">
        <v>211</v>
      </c>
      <c r="H66">
             </c>
      <c r="I66" t="s">
        <v>14</v>
      </c>
      <c r="J66" t="s">
        <v>38</v>
      </c>
      <c r="K66" t="s">
        <v>39</v>
      </c>
      <c r="L66" t="s">
        <v>20</v>
      </c>
      <c r="M66" t="s">
        <v>188</v>
      </c>
      <c r="N66" t="s">
        <v>14</v>
      </c>
    </row>
    <row r="67" x14ac:dyDescent="0.25">
      <c r="A67" t="n">
        <v>25</v>
      </c>
      <c r="B67" t="s">
        <v>14</v>
      </c>
      <c r="C67" t="s">
        <v>51</v>
      </c>
      <c r="D67" s="2" t="s">
        <f>=HYPERLINK("https://main.knesset.gov.il/APPS/legislation/main/bills/2222540", "הצעת חוק למניעת אלימות במשפחה (תיקון - הגדרת אלימות במשפחה), התשפ""ה-2024")</f>
        <v>212</v>
      </c>
      <c r="E67" t="s">
        <v>212</v>
      </c>
      <c r="F67" t="s">
        <v>213</v>
      </c>
      <c r="G67" t="s">
        <v>14</v>
      </c>
      <c r="H67">
             </c>
      <c r="I67" t="s">
        <v>14</v>
      </c>
      <c r="J67" t="s">
        <v>193</v>
      </c>
      <c r="K67" t="s">
        <v>14</v>
      </c>
      <c r="L67" t="s">
        <v>20</v>
      </c>
      <c r="M67" t="s">
        <v>188</v>
      </c>
      <c r="N67" t="s">
        <v>14</v>
      </c>
    </row>
    <row r="68" x14ac:dyDescent="0.25">
      <c r="A68" t="n">
        <v>25</v>
      </c>
      <c r="B68" t="s">
        <v>14</v>
      </c>
      <c r="C68" t="s">
        <v>51</v>
      </c>
      <c r="D68" s="2" t="s">
        <f>=HYPERLINK("https://main.knesset.gov.il/APPS/legislation/main/bills/2219182", "הצעת חוק להכרה, לחקר האמת, להנצחה ולפיצוי משפחות הנעדרים מפרשת ילדי תימן, המזרח והבלקן, התשפ""ד-2024")</f>
        <v>214</v>
      </c>
      <c r="E68" t="s">
        <v>214</v>
      </c>
      <c r="F68" t="s">
        <v>215</v>
      </c>
      <c r="G68" t="s">
        <v>14</v>
      </c>
      <c r="H68">
             </c>
      <c r="I68" t="s">
        <v>14</v>
      </c>
      <c r="J68" t="s">
        <v>193</v>
      </c>
      <c r="K68" t="s">
        <v>14</v>
      </c>
      <c r="L68" t="s">
        <v>20</v>
      </c>
      <c r="M68" t="s">
        <v>188</v>
      </c>
      <c r="N68" t="s">
        <v>14</v>
      </c>
    </row>
    <row r="69" x14ac:dyDescent="0.25">
      <c r="A69" t="n">
        <v>25</v>
      </c>
      <c r="B69" t="s">
        <v>14</v>
      </c>
      <c r="C69" t="s">
        <v>51</v>
      </c>
      <c r="D69" s="2" t="s">
        <f>=HYPERLINK("https://main.knesset.gov.il/APPS/legislation/main/bills/2217209", "הצעת חוק מאבק בארגוני פשיעה (תיקון - הרחבת הנסיבה המחמירה לזיקה בארגון פשיעה), התשפ""ד-2024")</f>
        <v>216</v>
      </c>
      <c r="E69" t="s">
        <v>216</v>
      </c>
      <c r="F69" t="s">
        <v>217</v>
      </c>
      <c r="G69" t="s">
        <v>14</v>
      </c>
      <c r="H69">
             </c>
      <c r="I69" t="s">
        <v>14</v>
      </c>
      <c r="J69" t="s">
        <v>152</v>
      </c>
      <c r="K69" t="s">
        <v>19</v>
      </c>
      <c r="L69" t="s">
        <v>20</v>
      </c>
      <c r="M69" t="s">
        <v>188</v>
      </c>
      <c r="N69" t="s">
        <v>14</v>
      </c>
    </row>
    <row r="70" x14ac:dyDescent="0.25">
      <c r="A70" t="n">
        <v>25</v>
      </c>
      <c r="B70" t="s">
        <v>14</v>
      </c>
      <c r="C70" t="s">
        <v>51</v>
      </c>
      <c r="D70" s="2" t="s">
        <f>=HYPERLINK("https://main.knesset.gov.il/APPS/legislation/main/bills/2216953", "הצעת חוק מעמדן של ההסתדרות הציונית העולמית ושל הסוכנות היהודית לארץ ישראל (תיקון - הסדרת מעמדה של החטיבה להתיישבות בקידום התיישבות כפרית ובעיירות פיתוח), התשפ""ד-2024")</f>
        <v>218</v>
      </c>
      <c r="E70" t="s">
        <v>218</v>
      </c>
      <c r="F70" t="s">
        <v>219</v>
      </c>
      <c r="G70" t="s">
        <v>14</v>
      </c>
      <c r="H70">
             </c>
      <c r="I70" t="s">
        <v>14</v>
      </c>
      <c r="J70" t="s">
        <v>193</v>
      </c>
      <c r="K70" t="s">
        <v>14</v>
      </c>
      <c r="L70" t="s">
        <v>20</v>
      </c>
      <c r="M70" t="s">
        <v>188</v>
      </c>
      <c r="N70" t="s">
        <v>14</v>
      </c>
    </row>
    <row r="71" x14ac:dyDescent="0.25">
      <c r="A71" t="n">
        <v>25</v>
      </c>
      <c r="B71" t="s">
        <v>14</v>
      </c>
      <c r="C71" t="s">
        <v>51</v>
      </c>
      <c r="D71" s="2" t="s">
        <f>=HYPERLINK("https://main.knesset.gov.il/APPS/legislation/main/bills/2210217", "הצעת חוק-יסוד: מגילת העצמאות")</f>
        <v>220</v>
      </c>
      <c r="E71" t="s">
        <v>220</v>
      </c>
      <c r="F71" t="s">
        <v>221</v>
      </c>
      <c r="G71" t="s">
        <v>14</v>
      </c>
      <c r="H71">
             </c>
      <c r="I71" t="s">
        <v>14</v>
      </c>
      <c r="J71" t="s">
        <v>193</v>
      </c>
      <c r="K71" t="s">
        <v>14</v>
      </c>
      <c r="L71" t="s">
        <v>20</v>
      </c>
      <c r="M71" t="s">
        <v>188</v>
      </c>
      <c r="N71" t="s">
        <v>14</v>
      </c>
    </row>
    <row r="72" x14ac:dyDescent="0.25">
      <c r="A72" t="n">
        <v>25</v>
      </c>
      <c r="B72" t="s">
        <v>14</v>
      </c>
      <c r="C72" t="s">
        <v>51</v>
      </c>
      <c r="D72" s="2" t="s">
        <f>=HYPERLINK("https://main.knesset.gov.il/APPS/legislation/main/bills/2202921", "הצעת חוק בינוי ופינוי של אזורי שיקום (כפר שלם), התשפ""ו–2026")</f>
        <v>222</v>
      </c>
      <c r="E72" t="s">
        <v>222</v>
      </c>
      <c r="F72" t="s">
        <v>223</v>
      </c>
      <c r="G72" t="s">
        <v>224</v>
      </c>
      <c r="H72">
             </c>
      <c r="I72" t="s">
        <v>14</v>
      </c>
      <c r="J72" t="s">
        <v>38</v>
      </c>
      <c r="K72" t="s">
        <v>30</v>
      </c>
      <c r="L72" t="s">
        <v>20</v>
      </c>
      <c r="M72" t="s">
        <v>188</v>
      </c>
      <c r="N72" t="s">
        <v>14</v>
      </c>
    </row>
    <row r="73" x14ac:dyDescent="0.25">
      <c r="A73" t="n">
        <v>25</v>
      </c>
      <c r="B73" t="s">
        <v>14</v>
      </c>
      <c r="C73" t="s">
        <v>51</v>
      </c>
      <c r="D73" s="2" t="s">
        <f>=HYPERLINK("https://main.knesset.gov.il/APPS/legislation/main/bills/2196375", "הצעת חוק התגמולים לנפגעי פעולות שנאה, התשפ""ג-2022")</f>
        <v>225</v>
      </c>
      <c r="E73" t="s">
        <v>225</v>
      </c>
      <c r="F73" t="s">
        <v>226</v>
      </c>
      <c r="G73" t="s">
        <v>14</v>
      </c>
      <c r="H73">
             </c>
      <c r="I73" t="s">
        <v>14</v>
      </c>
      <c r="J73" t="s">
        <v>193</v>
      </c>
      <c r="K73" t="s">
        <v>14</v>
      </c>
      <c r="L73" t="s">
        <v>20</v>
      </c>
      <c r="M73" t="s">
        <v>188</v>
      </c>
      <c r="N73" t="s">
        <v>14</v>
      </c>
    </row>
    <row r="74" x14ac:dyDescent="0.25">
      <c r="A74" t="n">
        <v>25</v>
      </c>
      <c r="B74" t="s">
        <v>14</v>
      </c>
      <c r="C74" t="s">
        <v>15</v>
      </c>
      <c r="D74" s="2" t="s">
        <f>=HYPERLINK("https://main.knesset.gov.il/APPS/legislation/main/bills/1046072", "הצעת חוק להסדרת מתן שירותי אבטחה ושמירה, התשפ""ו-2026")</f>
        <v>227</v>
      </c>
      <c r="E74" t="s">
        <v>227</v>
      </c>
      <c r="F74" t="s">
        <v>14</v>
      </c>
      <c r="G74" t="s">
        <v>228</v>
      </c>
      <c r="H74">
             </c>
      <c r="I74" t="s">
        <v>14</v>
      </c>
      <c r="J74" t="s">
        <v>162</v>
      </c>
      <c r="K74" t="s">
        <v>14</v>
      </c>
      <c r="L74" t="s">
        <v>20</v>
      </c>
      <c r="M74" t="s">
        <v>188</v>
      </c>
      <c r="N74" t="s">
        <v>14</v>
      </c>
    </row>
    <row r="75" x14ac:dyDescent="0.25">
      <c r="A75" t="n">
        <v>25</v>
      </c>
      <c r="B75" t="s">
        <v>14</v>
      </c>
      <c r="C75" t="s">
        <v>51</v>
      </c>
      <c r="D75" s="2" t="s">
        <f>=HYPERLINK("https://main.knesset.gov.il/APPS/legislation/main/bills/2210354", "הצעת חוק המרכז להנצחת מורשת הלוחם היהודי במלחמת העולם השנייה, התשפ""ו-2026")</f>
        <v>229</v>
      </c>
      <c r="E75" t="s">
        <v>229</v>
      </c>
      <c r="F75" t="s">
        <v>230</v>
      </c>
      <c r="G75" t="s">
        <v>231</v>
      </c>
      <c r="H75">
             </c>
      <c r="I75" t="s">
        <v>14</v>
      </c>
      <c r="J75" t="s">
        <v>232</v>
      </c>
      <c r="K75" t="s">
        <v>79</v>
      </c>
      <c r="L75" t="s">
        <v>20</v>
      </c>
      <c r="M75" t="s">
        <v>233</v>
      </c>
      <c r="N75" t="s">
        <v>14</v>
      </c>
    </row>
    <row r="76" x14ac:dyDescent="0.25">
      <c r="A76" t="n">
        <v>25</v>
      </c>
      <c r="B76" t="s">
        <v>14</v>
      </c>
      <c r="C76" t="s">
        <v>15</v>
      </c>
      <c r="D76" s="2" t="s">
        <f>=HYPERLINK("https://main.knesset.gov.il/APPS/legislation/main/bills/1057227", "הצעת חוק מאבק בארגוני פשיעה (תיקון מס' 9 והוראת שעה), התשפ""ו - 2026")</f>
        <v>234</v>
      </c>
      <c r="E76" t="s">
        <v>234</v>
      </c>
      <c r="F76" t="s">
        <v>14</v>
      </c>
      <c r="G76" t="s">
        <v>235</v>
      </c>
      <c r="H76">
             </c>
      <c r="I76" t="s">
        <v>14</v>
      </c>
      <c r="J76" t="s">
        <v>162</v>
      </c>
      <c r="K76" t="s">
        <v>14</v>
      </c>
      <c r="L76" t="s">
        <v>20</v>
      </c>
      <c r="M76" t="s">
        <v>233</v>
      </c>
      <c r="N76" t="s">
        <v>14</v>
      </c>
    </row>
    <row r="77" x14ac:dyDescent="0.25">
      <c r="A77" t="n">
        <v>25</v>
      </c>
      <c r="B77" t="s">
        <v>14</v>
      </c>
      <c r="C77" t="s">
        <v>15</v>
      </c>
      <c r="D77" s="2" t="s">
        <f>=HYPERLINK("https://main.knesset.gov.il/APPS/legislation/main/bills/2227218", "הצעת חוק רשויות תחבורה ציבורית (רשויות מטרופוליניות ורשות ארצית), התשפ""ו-2026")</f>
        <v>236</v>
      </c>
      <c r="E77" t="s">
        <v>236</v>
      </c>
      <c r="F77" t="s">
        <v>14</v>
      </c>
      <c r="G77" t="s">
        <v>237</v>
      </c>
      <c r="H77">
             </c>
      <c r="I77" t="s">
        <v>14</v>
      </c>
      <c r="J77" t="s">
        <v>180</v>
      </c>
      <c r="K77" t="s">
        <v>84</v>
      </c>
      <c r="L77" t="s">
        <v>20</v>
      </c>
      <c r="M77" t="s">
        <v>233</v>
      </c>
      <c r="N77" t="s">
        <v>14</v>
      </c>
    </row>
    <row r="78" x14ac:dyDescent="0.25">
      <c r="A78" t="n">
        <v>25</v>
      </c>
      <c r="B78" t="s">
        <v>14</v>
      </c>
      <c r="C78" t="s">
        <v>20</v>
      </c>
      <c r="D78" s="2" t="s">
        <f>=HYPERLINK("https://main.knesset.gov.il/APPS/legislation/main/bills/2243217", "הצעת חוק-יסוד: סמכות חקירה והעמדה לדין (תיקוני חקיקה)")</f>
        <v>238</v>
      </c>
      <c r="E78" t="s">
        <v>238</v>
      </c>
      <c r="F78" t="s">
        <v>14</v>
      </c>
      <c r="G78" t="s">
        <v>61</v>
      </c>
      <c r="H78">
             </c>
      <c r="I78" t="s">
        <v>14</v>
      </c>
      <c r="J78" t="s">
        <v>38</v>
      </c>
      <c r="K78" t="s">
        <v>27</v>
      </c>
      <c r="L78" t="s">
        <v>20</v>
      </c>
      <c r="M78" t="s">
        <v>239</v>
      </c>
      <c r="N78" t="s">
        <v>14</v>
      </c>
    </row>
    <row r="79" x14ac:dyDescent="0.25">
      <c r="A79" t="n">
        <v>25</v>
      </c>
      <c r="B79" t="s">
        <v>14</v>
      </c>
      <c r="C79" t="s">
        <v>51</v>
      </c>
      <c r="D79" s="2" t="s">
        <f>=HYPERLINK("https://main.knesset.gov.il/APPS/legislation/main/bills/2244522", "הצעת חוק אסדרת משק הפסולת בישראל והקמת הרשות הארצית לטיפול בפסולת,  התשפ""ו-2026")</f>
        <v>240</v>
      </c>
      <c r="E79" t="s">
        <v>240</v>
      </c>
      <c r="F79" t="s">
        <v>241</v>
      </c>
      <c r="G79" t="s">
        <v>14</v>
      </c>
      <c r="H79">
             </c>
      <c r="I79" t="s">
        <v>14</v>
      </c>
      <c r="J79" t="s">
        <v>242</v>
      </c>
      <c r="K79" t="s">
        <v>14</v>
      </c>
      <c r="L79" t="s">
        <v>20</v>
      </c>
      <c r="M79" t="s">
        <v>239</v>
      </c>
      <c r="N79" t="s">
        <v>14</v>
      </c>
    </row>
    <row r="80" x14ac:dyDescent="0.25">
      <c r="A80" t="n">
        <v>25</v>
      </c>
      <c r="B80" t="s">
        <v>14</v>
      </c>
      <c r="C80" t="s">
        <v>51</v>
      </c>
      <c r="D80" s="2" t="s">
        <f>=HYPERLINK("https://main.knesset.gov.il/APPS/legislation/main/bills/2244611", "הצעת חוק שוויון ההזדמנויות בעבודה (תיקון - זכויות הוריות במקרה של מחלת בן זוג), התשפ""ו-2026")</f>
        <v>243</v>
      </c>
      <c r="E80" t="s">
        <v>243</v>
      </c>
      <c r="F80" t="s">
        <v>244</v>
      </c>
      <c r="G80" t="s">
        <v>14</v>
      </c>
      <c r="H80">
             </c>
      <c r="I80" t="s">
        <v>14</v>
      </c>
      <c r="J80" t="s">
        <v>242</v>
      </c>
      <c r="K80" t="s">
        <v>14</v>
      </c>
      <c r="L80" t="s">
        <v>20</v>
      </c>
      <c r="M80" t="s">
        <v>239</v>
      </c>
      <c r="N80" t="s">
        <v>14</v>
      </c>
    </row>
    <row r="81" x14ac:dyDescent="0.25">
      <c r="A81" t="n">
        <v>25</v>
      </c>
      <c r="B81" t="s">
        <v>14</v>
      </c>
      <c r="C81" t="s">
        <v>51</v>
      </c>
      <c r="D81" s="2" t="s">
        <f>=HYPERLINK("https://main.knesset.gov.il/APPS/legislation/main/bills/2244737", "הצעת חוק בית הדין לעבודה (תיקון - סמכותו של בית הדין האזורי לעבודה לדון בתובענות בין ארגוני עובדים או בתובענות בין ארגוני מעסיקים), התשפ""ו-2026")</f>
        <v>245</v>
      </c>
      <c r="E81" t="s">
        <v>245</v>
      </c>
      <c r="F81" t="s">
        <v>246</v>
      </c>
      <c r="G81" t="s">
        <v>14</v>
      </c>
      <c r="H81">
             </c>
      <c r="I81" t="s">
        <v>14</v>
      </c>
      <c r="J81" t="s">
        <v>242</v>
      </c>
      <c r="K81" t="s">
        <v>14</v>
      </c>
      <c r="L81" t="s">
        <v>20</v>
      </c>
      <c r="M81" t="s">
        <v>239</v>
      </c>
      <c r="N81" t="s">
        <v>14</v>
      </c>
    </row>
    <row r="82" x14ac:dyDescent="0.25">
      <c r="A82" t="n">
        <v>25</v>
      </c>
      <c r="B82" t="s">
        <v>14</v>
      </c>
      <c r="C82" t="s">
        <v>51</v>
      </c>
      <c r="D82" s="2" t="s">
        <f>=HYPERLINK("https://main.knesset.gov.il/APPS/legislation/main/bills/2243224", "הצעת חוק הגבלת שימוש במקום לשם מניעת ביצוע עבירות (תיקון - הארכת צו בהיעדר התקדמות החקירה), התשפ""ו-2026")</f>
        <v>247</v>
      </c>
      <c r="E82" t="s">
        <v>247</v>
      </c>
      <c r="F82" t="s">
        <v>248</v>
      </c>
      <c r="G82" t="s">
        <v>14</v>
      </c>
      <c r="H82">
             </c>
      <c r="I82" t="s">
        <v>14</v>
      </c>
      <c r="J82" t="s">
        <v>242</v>
      </c>
      <c r="K82" t="s">
        <v>14</v>
      </c>
      <c r="L82" t="s">
        <v>20</v>
      </c>
      <c r="M82" t="s">
        <v>239</v>
      </c>
      <c r="N82" t="s">
        <v>14</v>
      </c>
    </row>
    <row r="83" x14ac:dyDescent="0.25">
      <c r="A83" t="n">
        <v>25</v>
      </c>
      <c r="B83" t="s">
        <v>14</v>
      </c>
      <c r="C83" t="s">
        <v>51</v>
      </c>
      <c r="D83" s="2" t="s">
        <f>=HYPERLINK("https://main.knesset.gov.il/APPS/legislation/main/bills/2243006", "הצעת חוק הקמת ועדת חקירה ממלכתית לאירועי 7 באוקטובר, התשפ""ו-2026")</f>
        <v>249</v>
      </c>
      <c r="E83" t="s">
        <v>249</v>
      </c>
      <c r="F83" t="s">
        <v>250</v>
      </c>
      <c r="G83" t="s">
        <v>14</v>
      </c>
      <c r="H83">
             </c>
      <c r="I83" t="s">
        <v>14</v>
      </c>
      <c r="J83" t="s">
        <v>242</v>
      </c>
      <c r="K83" t="s">
        <v>14</v>
      </c>
      <c r="L83" t="s">
        <v>20</v>
      </c>
      <c r="M83" t="s">
        <v>239</v>
      </c>
      <c r="N83" t="s">
        <v>14</v>
      </c>
    </row>
    <row r="84" x14ac:dyDescent="0.25">
      <c r="A84" t="n">
        <v>25</v>
      </c>
      <c r="B84" t="s">
        <v>14</v>
      </c>
      <c r="C84" t="s">
        <v>51</v>
      </c>
      <c r="D84" s="2" t="s">
        <f>=HYPERLINK("https://main.knesset.gov.il/APPS/legislation/main/bills/2243541", "הצעת חוק ביטוח בריאות ממלכתי (תיקון - בדיקה וטיפול על ידי קלינאי תקשורת בגן ילדים), התשפ""ו-2026")</f>
        <v>251</v>
      </c>
      <c r="E84" t="s">
        <v>251</v>
      </c>
      <c r="F84" t="s">
        <v>252</v>
      </c>
      <c r="G84" t="s">
        <v>14</v>
      </c>
      <c r="H84">
             </c>
      <c r="I84" t="s">
        <v>14</v>
      </c>
      <c r="J84" t="s">
        <v>242</v>
      </c>
      <c r="K84" t="s">
        <v>14</v>
      </c>
      <c r="L84" t="s">
        <v>20</v>
      </c>
      <c r="M84" t="s">
        <v>239</v>
      </c>
      <c r="N84" t="s">
        <v>14</v>
      </c>
    </row>
    <row r="85" x14ac:dyDescent="0.25">
      <c r="A85" t="n">
        <v>25</v>
      </c>
      <c r="B85" t="s">
        <v>14</v>
      </c>
      <c r="C85" t="s">
        <v>51</v>
      </c>
      <c r="D85" s="2" t="s">
        <f>=HYPERLINK("https://main.knesset.gov.il/APPS/legislation/main/bills/2243346", "הצעת חוק הפיקוח על מעונות יום לפעוטות (תיקון - מיגון תקני כתנאי לרישיון והשתתפות במימון התאמת מיגון), התשפ""ו-2026")</f>
        <v>253</v>
      </c>
      <c r="E85" t="s">
        <v>253</v>
      </c>
      <c r="F85" t="s">
        <v>254</v>
      </c>
      <c r="G85" t="s">
        <v>14</v>
      </c>
      <c r="H85">
             </c>
      <c r="I85" t="s">
        <v>14</v>
      </c>
      <c r="J85" t="s">
        <v>242</v>
      </c>
      <c r="K85" t="s">
        <v>14</v>
      </c>
      <c r="L85" t="s">
        <v>20</v>
      </c>
      <c r="M85" t="s">
        <v>239</v>
      </c>
      <c r="N85" t="s">
        <v>14</v>
      </c>
    </row>
    <row r="86" x14ac:dyDescent="0.25">
      <c r="A86" t="n">
        <v>25</v>
      </c>
      <c r="B86" t="s">
        <v>14</v>
      </c>
      <c r="C86" t="s">
        <v>51</v>
      </c>
      <c r="D86" s="2" t="s">
        <f>=HYPERLINK("https://main.knesset.gov.il/APPS/legislation/main/bills/2244624", "הצעת חוק דמי מחלה (היעדרות בשל מחלת בן זוג) (תיקון - זקיפת חלקי ימים והרחבת הזכאות), התשפ""ו-2026")</f>
        <v>255</v>
      </c>
      <c r="E86" t="s">
        <v>255</v>
      </c>
      <c r="F86" t="s">
        <v>256</v>
      </c>
      <c r="G86" t="s">
        <v>14</v>
      </c>
      <c r="H86">
             </c>
      <c r="I86" t="s">
        <v>14</v>
      </c>
      <c r="J86" t="s">
        <v>242</v>
      </c>
      <c r="K86" t="s">
        <v>14</v>
      </c>
      <c r="L86" t="s">
        <v>20</v>
      </c>
      <c r="M86" t="s">
        <v>239</v>
      </c>
      <c r="N86" t="s">
        <v>14</v>
      </c>
    </row>
    <row r="87" x14ac:dyDescent="0.25">
      <c r="A87" t="n">
        <v>25</v>
      </c>
      <c r="B87" t="s">
        <v>14</v>
      </c>
      <c r="C87" t="s">
        <v>51</v>
      </c>
      <c r="D87" s="2" t="s">
        <f>=HYPERLINK("https://main.knesset.gov.il/APPS/legislation/main/bills/2244243", "הצעת חוק הבחירות לכנסת (תיקון - הצבעת אנשי צוות אוויר), התשפ""ו-2026")</f>
        <v>257</v>
      </c>
      <c r="E87" t="s">
        <v>257</v>
      </c>
      <c r="F87" t="s">
        <v>258</v>
      </c>
      <c r="G87" t="s">
        <v>14</v>
      </c>
      <c r="H87">
             </c>
      <c r="I87" t="s">
        <v>14</v>
      </c>
      <c r="J87" t="s">
        <v>242</v>
      </c>
      <c r="K87" t="s">
        <v>14</v>
      </c>
      <c r="L87" t="s">
        <v>20</v>
      </c>
      <c r="M87" t="s">
        <v>239</v>
      </c>
      <c r="N87" t="s">
        <v>14</v>
      </c>
    </row>
    <row r="88" x14ac:dyDescent="0.25">
      <c r="A88" t="n">
        <v>25</v>
      </c>
      <c r="B88" t="s">
        <v>14</v>
      </c>
      <c r="C88" t="s">
        <v>51</v>
      </c>
      <c r="D88" s="2" t="s">
        <f>=HYPERLINK("https://main.knesset.gov.il/APPS/legislation/main/bills/2244033", "הצעת חוק לתיקון פקודת מסי העירייה ומסי הממשלה (פטורין) (פטור מארנונה למכללה טכנולוגית מוכרת), התשפ""ו-2026")</f>
        <v>259</v>
      </c>
      <c r="E88" t="s">
        <v>259</v>
      </c>
      <c r="F88" t="s">
        <v>260</v>
      </c>
      <c r="G88" t="s">
        <v>14</v>
      </c>
      <c r="H88">
             </c>
      <c r="I88" t="s">
        <v>14</v>
      </c>
      <c r="J88" t="s">
        <v>242</v>
      </c>
      <c r="K88" t="s">
        <v>14</v>
      </c>
      <c r="L88" t="s">
        <v>20</v>
      </c>
      <c r="M88" t="s">
        <v>239</v>
      </c>
      <c r="N88" t="s">
        <v>14</v>
      </c>
    </row>
    <row r="89" x14ac:dyDescent="0.25">
      <c r="A89" t="n">
        <v>25</v>
      </c>
      <c r="B89" t="s">
        <v>14</v>
      </c>
      <c r="C89" t="s">
        <v>51</v>
      </c>
      <c r="D89" s="2" t="s">
        <f>=HYPERLINK("https://main.knesset.gov.il/APPS/legislation/main/bills/2241135", "הצעת חוק שיווי זכויות האישה (תיקון - הרחבת מטרות המאגר), התשפ""ו-2026")</f>
        <v>261</v>
      </c>
      <c r="E89" t="s">
        <v>261</v>
      </c>
      <c r="F89" t="s">
        <v>262</v>
      </c>
      <c r="G89" t="s">
        <v>14</v>
      </c>
      <c r="H89">
             </c>
      <c r="I89" t="s">
        <v>14</v>
      </c>
      <c r="J89" t="s">
        <v>242</v>
      </c>
      <c r="K89" t="s">
        <v>14</v>
      </c>
      <c r="L89" t="s">
        <v>20</v>
      </c>
      <c r="M89" t="s">
        <v>239</v>
      </c>
      <c r="N89" t="s">
        <v>14</v>
      </c>
    </row>
    <row r="90" x14ac:dyDescent="0.25">
      <c r="A90" t="n">
        <v>25</v>
      </c>
      <c r="B90" t="s">
        <v>14</v>
      </c>
      <c r="C90" t="s">
        <v>51</v>
      </c>
      <c r="D90" s="2" t="s">
        <f>=HYPERLINK("https://main.knesset.gov.il/APPS/legislation/main/bills/2244445", "הצעת חוק חסינות חברי הכנסת, זכויותיהם וחובותיהם (תיקון - הצבעה חשאית בעניין חסינות), התשפ""ו-2026")</f>
        <v>263</v>
      </c>
      <c r="E90" t="s">
        <v>263</v>
      </c>
      <c r="F90" t="s">
        <v>264</v>
      </c>
      <c r="G90" t="s">
        <v>14</v>
      </c>
      <c r="H90">
             </c>
      <c r="I90" t="s">
        <v>14</v>
      </c>
      <c r="J90" t="s">
        <v>242</v>
      </c>
      <c r="K90" t="s">
        <v>14</v>
      </c>
      <c r="L90" t="s">
        <v>20</v>
      </c>
      <c r="M90" t="s">
        <v>239</v>
      </c>
      <c r="N90" t="s">
        <v>14</v>
      </c>
    </row>
    <row r="91" x14ac:dyDescent="0.25">
      <c r="A91" t="n">
        <v>25</v>
      </c>
      <c r="B91" t="s">
        <v>14</v>
      </c>
      <c r="C91" t="s">
        <v>51</v>
      </c>
      <c r="D91" s="2" t="s">
        <f>=HYPERLINK("https://main.knesset.gov.il/APPS/legislation/main/bills/2242913", "הצעת חוק צער בעלי חיים (הגנה על בעלי חיים) (תיקון - איסור עיסוק ברבייה ובמכירה של כלבים ללא היתר), התשפ""ו-2026")</f>
        <v>265</v>
      </c>
      <c r="E91" t="s">
        <v>265</v>
      </c>
      <c r="F91" t="s">
        <v>266</v>
      </c>
      <c r="G91" t="s">
        <v>14</v>
      </c>
      <c r="H91">
             </c>
      <c r="I91" t="s">
        <v>14</v>
      </c>
      <c r="J91" t="s">
        <v>242</v>
      </c>
      <c r="K91" t="s">
        <v>14</v>
      </c>
      <c r="L91" t="s">
        <v>20</v>
      </c>
      <c r="M91" t="s">
        <v>239</v>
      </c>
      <c r="N91" t="s">
        <v>14</v>
      </c>
    </row>
    <row r="92" x14ac:dyDescent="0.25">
      <c r="A92" t="n">
        <v>25</v>
      </c>
      <c r="B92" t="s">
        <v>14</v>
      </c>
      <c r="C92" t="s">
        <v>51</v>
      </c>
      <c r="D92" s="2" t="s">
        <f>=HYPERLINK("https://main.knesset.gov.il/APPS/legislation/main/bills/2244742", "הצעת חוק יום ממלכתי לציון הסכמי השלום של מדינת ישראל, התשפ""ו-2026")</f>
        <v>267</v>
      </c>
      <c r="E92" t="s">
        <v>267</v>
      </c>
      <c r="F92" t="s">
        <v>268</v>
      </c>
      <c r="G92" t="s">
        <v>14</v>
      </c>
      <c r="H92">
             </c>
      <c r="I92" t="s">
        <v>14</v>
      </c>
      <c r="J92" t="s">
        <v>242</v>
      </c>
      <c r="K92" t="s">
        <v>14</v>
      </c>
      <c r="L92" t="s">
        <v>20</v>
      </c>
      <c r="M92" t="s">
        <v>239</v>
      </c>
      <c r="N92" t="s">
        <v>14</v>
      </c>
    </row>
    <row r="93" x14ac:dyDescent="0.25">
      <c r="A93" t="n">
        <v>25</v>
      </c>
      <c r="B93" t="s">
        <v>14</v>
      </c>
      <c r="C93" t="s">
        <v>51</v>
      </c>
      <c r="D93" s="2" t="s">
        <f>=HYPERLINK("https://main.knesset.gov.il/APPS/legislation/main/bills/2244167", "הצעת חוק משק החשמל (תיקון - תעריפים מדורגים ומונים חכמים), התשפ""ו-2026")</f>
        <v>269</v>
      </c>
      <c r="E93" t="s">
        <v>269</v>
      </c>
      <c r="F93" t="s">
        <v>270</v>
      </c>
      <c r="G93" t="s">
        <v>14</v>
      </c>
      <c r="H93">
             </c>
      <c r="I93" t="s">
        <v>14</v>
      </c>
      <c r="J93" t="s">
        <v>242</v>
      </c>
      <c r="K93" t="s">
        <v>14</v>
      </c>
      <c r="L93" t="s">
        <v>20</v>
      </c>
      <c r="M93" t="s">
        <v>239</v>
      </c>
      <c r="N93" t="s">
        <v>14</v>
      </c>
    </row>
    <row r="94" x14ac:dyDescent="0.25">
      <c r="A94" t="n">
        <v>25</v>
      </c>
      <c r="B94" t="s">
        <v>14</v>
      </c>
      <c r="C94" t="s">
        <v>51</v>
      </c>
      <c r="D94" s="2" t="s">
        <f>=HYPERLINK("https://main.knesset.gov.il/APPS/legislation/main/bills/2237628", "הצעת חוק ועדת חקירה ממלכתית-לאומית לאירועי טבח שמיני עצרת התשפ״ד (טבח 7 באוקטובר 2023), התשפ""ו-2026")</f>
        <v>271</v>
      </c>
      <c r="E94" t="s">
        <v>271</v>
      </c>
      <c r="F94" t="s">
        <v>272</v>
      </c>
      <c r="G94" t="s">
        <v>273</v>
      </c>
      <c r="H94">
             </c>
      <c r="I94" t="s">
        <v>14</v>
      </c>
      <c r="J94" t="s">
        <v>38</v>
      </c>
      <c r="K94" t="s">
        <v>27</v>
      </c>
      <c r="L94" t="s">
        <v>20</v>
      </c>
      <c r="M94" t="s">
        <v>239</v>
      </c>
      <c r="N94" t="s">
        <v>14</v>
      </c>
    </row>
    <row r="95" x14ac:dyDescent="0.25">
      <c r="A95" t="n">
        <v>25</v>
      </c>
      <c r="B95" t="s">
        <v>14</v>
      </c>
      <c r="C95" t="s">
        <v>15</v>
      </c>
      <c r="D95" s="2" t="s">
        <f>=HYPERLINK("https://main.knesset.gov.il/APPS/legislation/main/bills/1057190", "הצעת חוק יד יצחק בן-צבי (תיקון מס' 4), התשפ""ו-2026")</f>
        <v>274</v>
      </c>
      <c r="E95" t="s">
        <v>274</v>
      </c>
      <c r="F95" t="s">
        <v>14</v>
      </c>
      <c r="G95" t="s">
        <v>275</v>
      </c>
      <c r="H95">
             </c>
      <c r="I95" t="s">
        <v>14</v>
      </c>
      <c r="J95" t="s">
        <v>162</v>
      </c>
      <c r="K95" t="s">
        <v>14</v>
      </c>
      <c r="L95" t="s">
        <v>20</v>
      </c>
      <c r="M95" t="s">
        <v>239</v>
      </c>
      <c r="N95" t="s">
        <v>14</v>
      </c>
    </row>
    <row r="96" x14ac:dyDescent="0.25">
      <c r="A96" t="n">
        <v>25</v>
      </c>
      <c r="B96" t="s">
        <v>14</v>
      </c>
      <c r="C96" t="s">
        <v>51</v>
      </c>
      <c r="D96" s="2" t="s">
        <f>=HYPERLINK("https://main.knesset.gov.il/APPS/legislation/main/bills/2234071", "הצעת חוק תאגידי מים וביוב (תיקון מס' 21) (הפעלת שירותי מים וביוב על ידי רשות מקומית), התשפ""ו–2026")</f>
        <v>276</v>
      </c>
      <c r="E96" t="s">
        <v>276</v>
      </c>
      <c r="F96" t="s">
        <v>277</v>
      </c>
      <c r="G96" t="s">
        <v>278</v>
      </c>
      <c r="H96">
             </c>
      <c r="I96" t="s">
        <v>14</v>
      </c>
      <c r="J96" t="s">
        <v>38</v>
      </c>
      <c r="K96" t="s">
        <v>84</v>
      </c>
      <c r="L96" t="s">
        <v>20</v>
      </c>
      <c r="M96" t="s">
        <v>279</v>
      </c>
      <c r="N96" t="s">
        <v>14</v>
      </c>
    </row>
    <row r="97" x14ac:dyDescent="0.25">
      <c r="A97" t="n">
        <v>25</v>
      </c>
      <c r="B97" t="s">
        <v>14</v>
      </c>
      <c r="C97" t="s">
        <v>51</v>
      </c>
      <c r="D97" s="2" t="s">
        <f>=HYPERLINK("https://main.knesset.gov.il/APPS/legislation/main/bills/2197981", "הצעת חוק תאגידי מים וביוב (תיקון מס' 20) (הפעלת שירותי מים וביוב על ידי רשות מקומית), התשפ""ו–2026")</f>
        <v>280</v>
      </c>
      <c r="E97" t="s">
        <v>280</v>
      </c>
      <c r="F97" t="s">
        <v>281</v>
      </c>
      <c r="G97" t="s">
        <v>278</v>
      </c>
      <c r="H97">
             </c>
      <c r="I97" t="s">
        <v>14</v>
      </c>
      <c r="J97" t="s">
        <v>38</v>
      </c>
      <c r="K97" t="s">
        <v>84</v>
      </c>
      <c r="L97" t="s">
        <v>20</v>
      </c>
      <c r="M97" t="s">
        <v>279</v>
      </c>
      <c r="N97" t="s">
        <v>14</v>
      </c>
    </row>
    <row r="98" x14ac:dyDescent="0.25">
      <c r="A98" t="n">
        <v>25</v>
      </c>
      <c r="B98" t="s">
        <v>14</v>
      </c>
      <c r="C98" t="s">
        <v>51</v>
      </c>
      <c r="D98" s="2" t="s">
        <f>=HYPERLINK("https://main.knesset.gov.il/APPS/legislation/main/bills/2236922", "חוק שיקום נרחב לחבל התקומה כאזור מיקוד לאומי וסיוע ליישובים הסמוכים אליו (תיקון מס' 2), התשפ""ו–2026")</f>
        <v>282</v>
      </c>
      <c r="E98" t="s">
        <v>282</v>
      </c>
      <c r="F98" t="s">
        <v>283</v>
      </c>
      <c r="G98" t="s">
        <v>284</v>
      </c>
      <c r="H98" t="n">
        <v>3542</v>
      </c>
      <c r="I98" t="s">
        <v>14</v>
      </c>
      <c r="J98" t="s">
        <v>18</v>
      </c>
      <c r="K98" t="s">
        <v>84</v>
      </c>
      <c r="L98" t="s">
        <v>20</v>
      </c>
      <c r="M98" t="s">
        <v>279</v>
      </c>
      <c r="N98" t="s">
        <v>285</v>
      </c>
    </row>
    <row r="99" x14ac:dyDescent="0.25">
      <c r="A99" t="n">
        <v>25</v>
      </c>
      <c r="B99" t="s">
        <v>14</v>
      </c>
      <c r="C99" t="s">
        <v>51</v>
      </c>
      <c r="D99" s="2" t="s">
        <f>=HYPERLINK("https://main.knesset.gov.il/APPS/legislation/main/bills/2242923", "הצעת חוק חינוך ממלכתי (תיקון - מועצה לחינוך ממלכתי כללי), התשפ""ו-2026")</f>
        <v>286</v>
      </c>
      <c r="E99" t="s">
        <v>286</v>
      </c>
      <c r="F99" t="s">
        <v>287</v>
      </c>
      <c r="G99" t="s">
        <v>14</v>
      </c>
      <c r="H99">
             </c>
      <c r="I99" t="s">
        <v>14</v>
      </c>
      <c r="J99" t="s">
        <v>193</v>
      </c>
      <c r="K99" t="s">
        <v>14</v>
      </c>
      <c r="L99" t="s">
        <v>20</v>
      </c>
      <c r="M99" t="s">
        <v>279</v>
      </c>
      <c r="N99" t="s">
        <v>14</v>
      </c>
    </row>
    <row r="100" x14ac:dyDescent="0.25">
      <c r="A100" t="n">
        <v>25</v>
      </c>
      <c r="B100" t="s">
        <v>14</v>
      </c>
      <c r="C100" t="s">
        <v>51</v>
      </c>
      <c r="D100" s="2" t="s">
        <f>=HYPERLINK("https://main.knesset.gov.il/APPS/legislation/main/bills/2241731", "הצעת חוק הבטחת חיים בכבוד לאזרחים ותיקים (תיקוני חקיקה), התשפ""ו-2026")</f>
        <v>288</v>
      </c>
      <c r="E100" t="s">
        <v>288</v>
      </c>
      <c r="F100" t="s">
        <v>289</v>
      </c>
      <c r="G100" t="s">
        <v>14</v>
      </c>
      <c r="H100">
             </c>
      <c r="I100" t="s">
        <v>14</v>
      </c>
      <c r="J100" t="s">
        <v>193</v>
      </c>
      <c r="K100" t="s">
        <v>14</v>
      </c>
      <c r="L100" t="s">
        <v>20</v>
      </c>
      <c r="M100" t="s">
        <v>279</v>
      </c>
      <c r="N100" t="s">
        <v>14</v>
      </c>
    </row>
    <row r="101" x14ac:dyDescent="0.25">
      <c r="A101" t="n">
        <v>25</v>
      </c>
      <c r="B101" t="s">
        <v>14</v>
      </c>
      <c r="C101" t="s">
        <v>51</v>
      </c>
      <c r="D101" s="2" t="s">
        <f>=HYPERLINK("https://main.knesset.gov.il/APPS/legislation/main/bills/2241572", "הצעת חוק לימוד חובה (תיקון - אחריות המדינה לחינוך בשעת חירום), התשפ""ו-2026")</f>
        <v>290</v>
      </c>
      <c r="E101" t="s">
        <v>290</v>
      </c>
      <c r="F101" t="s">
        <v>291</v>
      </c>
      <c r="G101" t="s">
        <v>14</v>
      </c>
      <c r="H101">
             </c>
      <c r="I101" t="s">
        <v>14</v>
      </c>
      <c r="J101" t="s">
        <v>193</v>
      </c>
      <c r="K101" t="s">
        <v>14</v>
      </c>
      <c r="L101" t="s">
        <v>20</v>
      </c>
      <c r="M101" t="s">
        <v>279</v>
      </c>
      <c r="N101" t="s">
        <v>14</v>
      </c>
    </row>
    <row r="102" x14ac:dyDescent="0.25">
      <c r="A102" t="n">
        <v>25</v>
      </c>
      <c r="B102" t="s">
        <v>14</v>
      </c>
      <c r="C102" t="s">
        <v>51</v>
      </c>
      <c r="D102" s="2" t="s">
        <f>=HYPERLINK("https://main.knesset.gov.il/APPS/legislation/main/bills/2240147", "הצעת חוק-יסוד: הכנסת (תיקון - ייצוג הולם לנשים ברשימת מועמדים לכנסת)")</f>
        <v>292</v>
      </c>
      <c r="E102" t="s">
        <v>292</v>
      </c>
      <c r="F102" t="s">
        <v>293</v>
      </c>
      <c r="G102" t="s">
        <v>14</v>
      </c>
      <c r="H102">
             </c>
      <c r="I102" t="s">
        <v>14</v>
      </c>
      <c r="J102" t="s">
        <v>193</v>
      </c>
      <c r="K102" t="s">
        <v>14</v>
      </c>
      <c r="L102" t="s">
        <v>20</v>
      </c>
      <c r="M102" t="s">
        <v>279</v>
      </c>
      <c r="N102" t="s">
        <v>14</v>
      </c>
    </row>
    <row r="103" x14ac:dyDescent="0.25">
      <c r="A103" t="n">
        <v>25</v>
      </c>
      <c r="B103" t="s">
        <v>14</v>
      </c>
      <c r="C103" t="s">
        <v>51</v>
      </c>
      <c r="D103" s="2" t="s">
        <f>=HYPERLINK("https://main.knesset.gov.il/APPS/legislation/main/bills/2237452", "הצעת חוק איסור הפליה במוצרים, בשירותים ובכניסה למקומות בידור ולמקומות ציבוריים (תיקון - הגדלת סכום הפיצוי בלא הוכחת נזק), התשפ""ו-2025")</f>
        <v>294</v>
      </c>
      <c r="E103" t="s">
        <v>294</v>
      </c>
      <c r="F103" t="s">
        <v>295</v>
      </c>
      <c r="G103" t="s">
        <v>14</v>
      </c>
      <c r="H103">
             </c>
      <c r="I103" t="s">
        <v>14</v>
      </c>
      <c r="J103" t="s">
        <v>193</v>
      </c>
      <c r="K103" t="s">
        <v>14</v>
      </c>
      <c r="L103" t="s">
        <v>20</v>
      </c>
      <c r="M103" t="s">
        <v>279</v>
      </c>
      <c r="N103" t="s">
        <v>14</v>
      </c>
    </row>
    <row r="104" x14ac:dyDescent="0.25">
      <c r="A104" t="n">
        <v>25</v>
      </c>
      <c r="B104" t="s">
        <v>14</v>
      </c>
      <c r="C104" t="s">
        <v>51</v>
      </c>
      <c r="D104" s="2" t="s">
        <f>=HYPERLINK("https://main.knesset.gov.il/APPS/legislation/main/bills/2237274", "הצעת חוק הקמת ועדת חקירה ממלכתית לאירועי 7 באוקטובר, התשפ""ו-2025")</f>
        <v>296</v>
      </c>
      <c r="E104" t="s">
        <v>296</v>
      </c>
      <c r="F104" t="s">
        <v>297</v>
      </c>
      <c r="G104" t="s">
        <v>14</v>
      </c>
      <c r="H104">
             </c>
      <c r="I104" t="s">
        <v>14</v>
      </c>
      <c r="J104" t="s">
        <v>193</v>
      </c>
      <c r="K104" t="s">
        <v>14</v>
      </c>
      <c r="L104" t="s">
        <v>20</v>
      </c>
      <c r="M104" t="s">
        <v>279</v>
      </c>
      <c r="N104" t="s">
        <v>14</v>
      </c>
    </row>
    <row r="105" x14ac:dyDescent="0.25">
      <c r="A105" t="n">
        <v>25</v>
      </c>
      <c r="B105" t="s">
        <v>14</v>
      </c>
      <c r="C105" t="s">
        <v>51</v>
      </c>
      <c r="D105" s="2" t="s">
        <f>=HYPERLINK("https://main.knesset.gov.il/APPS/legislation/main/bills/2236312", "הצעת חוק הקמת ועדת חקירה ממלכתית למחדלי 7 באוקטובר, התשפ""ו-2025 ")</f>
        <v>298</v>
      </c>
      <c r="E105" t="s">
        <v>298</v>
      </c>
      <c r="F105" t="s">
        <v>299</v>
      </c>
      <c r="G105" t="s">
        <v>14</v>
      </c>
      <c r="H105">
             </c>
      <c r="I105" t="s">
        <v>14</v>
      </c>
      <c r="J105" t="s">
        <v>193</v>
      </c>
      <c r="K105" t="s">
        <v>14</v>
      </c>
      <c r="L105" t="s">
        <v>20</v>
      </c>
      <c r="M105" t="s">
        <v>279</v>
      </c>
      <c r="N105" t="s">
        <v>14</v>
      </c>
    </row>
    <row r="106" x14ac:dyDescent="0.25">
      <c r="A106" t="n">
        <v>25</v>
      </c>
      <c r="B106" t="s">
        <v>14</v>
      </c>
      <c r="C106" t="s">
        <v>51</v>
      </c>
      <c r="D106" s="2" t="s">
        <f>=HYPERLINK("https://main.knesset.gov.il/APPS/legislation/main/bills/2236693", "הצעת חוק הקמת ועדת חקירה ממלכתית לאירועי 7 באוקטובר, התשפ""ו-2025")</f>
        <v>296</v>
      </c>
      <c r="E106" t="s">
        <v>296</v>
      </c>
      <c r="F106" t="s">
        <v>300</v>
      </c>
      <c r="G106" t="s">
        <v>14</v>
      </c>
      <c r="H106">
             </c>
      <c r="I106" t="s">
        <v>14</v>
      </c>
      <c r="J106" t="s">
        <v>193</v>
      </c>
      <c r="K106" t="s">
        <v>14</v>
      </c>
      <c r="L106" t="s">
        <v>20</v>
      </c>
      <c r="M106" t="s">
        <v>279</v>
      </c>
      <c r="N106" t="s">
        <v>14</v>
      </c>
    </row>
    <row r="107" x14ac:dyDescent="0.25">
      <c r="A107" t="n">
        <v>25</v>
      </c>
      <c r="B107" t="s">
        <v>14</v>
      </c>
      <c r="C107" t="s">
        <v>51</v>
      </c>
      <c r="D107" s="2" t="s">
        <f>=HYPERLINK("https://main.knesset.gov.il/APPS/legislation/main/bills/2231849", "הצעת חוק הרב יהודה עמיטל והרב אהרון ליכטנשטיין (ציון זכרם ופועלם), התשפ""ה-2025")</f>
        <v>301</v>
      </c>
      <c r="E107" t="s">
        <v>301</v>
      </c>
      <c r="F107" t="s">
        <v>302</v>
      </c>
      <c r="G107" t="s">
        <v>14</v>
      </c>
      <c r="H107">
             </c>
      <c r="I107" t="s">
        <v>14</v>
      </c>
      <c r="J107" t="s">
        <v>303</v>
      </c>
      <c r="K107" t="s">
        <v>14</v>
      </c>
      <c r="L107" t="s">
        <v>20</v>
      </c>
      <c r="M107" t="s">
        <v>279</v>
      </c>
      <c r="N107" t="s">
        <v>14</v>
      </c>
    </row>
    <row r="108" x14ac:dyDescent="0.25">
      <c r="A108" t="n">
        <v>25</v>
      </c>
      <c r="B108" t="s">
        <v>14</v>
      </c>
      <c r="C108" t="s">
        <v>51</v>
      </c>
      <c r="D108" s="2" t="s">
        <f>=HYPERLINK("https://main.knesset.gov.il/APPS/legislation/main/bills/2223787", "הצעת חוק צער בעלי חיים (הגנה על בעלי חיים) (תיקון - איסור שימוש בבעלי חיים במוסד חינוך או תרבות), התשפ""ה-2024")</f>
        <v>304</v>
      </c>
      <c r="E108" t="s">
        <v>304</v>
      </c>
      <c r="F108" t="s">
        <v>305</v>
      </c>
      <c r="G108" t="s">
        <v>14</v>
      </c>
      <c r="H108">
             </c>
      <c r="I108" t="s">
        <v>14</v>
      </c>
      <c r="J108" t="s">
        <v>193</v>
      </c>
      <c r="K108" t="s">
        <v>14</v>
      </c>
      <c r="L108" t="s">
        <v>20</v>
      </c>
      <c r="M108" t="s">
        <v>279</v>
      </c>
      <c r="N108" t="s">
        <v>14</v>
      </c>
    </row>
    <row r="109" x14ac:dyDescent="0.25">
      <c r="A109" t="n">
        <v>25</v>
      </c>
      <c r="B109" t="s">
        <v>14</v>
      </c>
      <c r="C109" t="s">
        <v>51</v>
      </c>
      <c r="D109" s="2" t="s">
        <f>=HYPERLINK("https://main.knesset.gov.il/APPS/legislation/main/bills/2201121", "הצעת חוק חזקת הסכמה לתרומת אברים (תיקוני חקיקה), התשפ""ג-2023")</f>
        <v>306</v>
      </c>
      <c r="E109" t="s">
        <v>306</v>
      </c>
      <c r="F109" t="s">
        <v>307</v>
      </c>
      <c r="G109" t="s">
        <v>14</v>
      </c>
      <c r="H109">
             </c>
      <c r="I109" t="s">
        <v>14</v>
      </c>
      <c r="J109" t="s">
        <v>193</v>
      </c>
      <c r="K109" t="s">
        <v>14</v>
      </c>
      <c r="L109" t="s">
        <v>20</v>
      </c>
      <c r="M109" t="s">
        <v>279</v>
      </c>
      <c r="N109" t="s">
        <v>14</v>
      </c>
    </row>
    <row r="110" x14ac:dyDescent="0.25">
      <c r="A110" t="n">
        <v>25</v>
      </c>
      <c r="B110" t="s">
        <v>14</v>
      </c>
      <c r="C110" t="s">
        <v>51</v>
      </c>
      <c r="D110" s="2" t="s">
        <f>=HYPERLINK("https://main.knesset.gov.il/APPS/legislation/main/bills/2198937", "הצעת חוק קביעת יום לציון הטבעת הספינה אלטלנה, התשפ""ג-2023")</f>
        <v>308</v>
      </c>
      <c r="E110" t="s">
        <v>308</v>
      </c>
      <c r="F110" t="s">
        <v>309</v>
      </c>
      <c r="G110" t="s">
        <v>14</v>
      </c>
      <c r="H110">
             </c>
      <c r="I110" t="s">
        <v>14</v>
      </c>
      <c r="J110" t="s">
        <v>152</v>
      </c>
      <c r="K110" t="s">
        <v>79</v>
      </c>
      <c r="L110" t="s">
        <v>20</v>
      </c>
      <c r="M110" t="s">
        <v>279</v>
      </c>
      <c r="N110" t="s">
        <v>14</v>
      </c>
    </row>
    <row r="111" x14ac:dyDescent="0.25">
      <c r="A111" t="n">
        <v>25</v>
      </c>
      <c r="B111" t="s">
        <v>14</v>
      </c>
      <c r="C111" t="s">
        <v>15</v>
      </c>
      <c r="D111" s="2" t="s">
        <f>=HYPERLINK("https://main.knesset.gov.il/APPS/legislation/main/bills/2227215", "סעיפים 9(12), 10, 12 (ארנונה לנכס הרוס) מתוך הצעת חוק התוכנית הכלכלית (תיקוני חקיקה ליישום המדיניות הכלכלית לשנת התקציב 2025), התשפ""ה-2024 [פוצל לפי סעיף 84(ב) לתקנון] ")</f>
        <v>310</v>
      </c>
      <c r="E111" t="s">
        <v>310</v>
      </c>
      <c r="F111" t="s">
        <v>14</v>
      </c>
      <c r="G111" t="s">
        <v>237</v>
      </c>
      <c r="H111">
             </c>
      <c r="I111" t="s">
        <v>14</v>
      </c>
      <c r="J111" t="s">
        <v>38</v>
      </c>
      <c r="K111" t="s">
        <v>24</v>
      </c>
      <c r="L111" t="s">
        <v>20</v>
      </c>
      <c r="M111" t="s">
        <v>311</v>
      </c>
      <c r="N111" t="s">
        <v>14</v>
      </c>
    </row>
    <row r="112" x14ac:dyDescent="0.25">
      <c r="A112" t="n">
        <v>25</v>
      </c>
      <c r="B112" t="s">
        <v>14</v>
      </c>
      <c r="C112" t="s">
        <v>51</v>
      </c>
      <c r="D112" s="2" t="s">
        <f>=HYPERLINK("https://main.knesset.gov.il/APPS/legislation/main/bills/2242906", "הצעת חוק לתיקון פקודת התעבורה (אכיפת עבירות תעבורה על ידי רשויות מקומיות),  התשפ""ו-2026")</f>
        <v>312</v>
      </c>
      <c r="E112" t="s">
        <v>312</v>
      </c>
      <c r="F112" t="s">
        <v>313</v>
      </c>
      <c r="G112" t="s">
        <v>14</v>
      </c>
      <c r="H112">
             </c>
      <c r="I112" t="s">
        <v>14</v>
      </c>
      <c r="J112" t="s">
        <v>152</v>
      </c>
      <c r="K112" t="s">
        <v>84</v>
      </c>
      <c r="L112" t="s">
        <v>20</v>
      </c>
      <c r="M112" t="s">
        <v>311</v>
      </c>
      <c r="N112" t="s">
        <v>14</v>
      </c>
    </row>
    <row r="113" x14ac:dyDescent="0.25">
      <c r="A113" t="n">
        <v>25</v>
      </c>
      <c r="B113" t="s">
        <v>14</v>
      </c>
      <c r="C113" t="s">
        <v>51</v>
      </c>
      <c r="D113" s="2" t="s">
        <f>=HYPERLINK("https://main.knesset.gov.il/APPS/legislation/main/bills/2197936", "חוק העונשין (תיקון מס' 155), התשפ""ו–2026")</f>
        <v>314</v>
      </c>
      <c r="E113" t="s">
        <v>314</v>
      </c>
      <c r="F113" t="s">
        <v>315</v>
      </c>
      <c r="G113" t="s">
        <v>316</v>
      </c>
      <c r="H113" t="n">
        <v>3541</v>
      </c>
      <c r="I113" t="s">
        <v>14</v>
      </c>
      <c r="J113" t="s">
        <v>18</v>
      </c>
      <c r="K113" t="s">
        <v>14</v>
      </c>
      <c r="L113" t="s">
        <v>20</v>
      </c>
      <c r="M113" t="s">
        <v>311</v>
      </c>
      <c r="N113" t="s">
        <v>14</v>
      </c>
    </row>
    <row r="114" x14ac:dyDescent="0.25">
      <c r="A114" t="n">
        <v>25</v>
      </c>
      <c r="B114" t="s">
        <v>14</v>
      </c>
      <c r="C114" t="s">
        <v>51</v>
      </c>
      <c r="D114" s="2" t="s">
        <f>=HYPERLINK("https://main.knesset.gov.il/APPS/legislation/main/bills/2243263", "הצעת חוק הוועדה המייעצת למינויים בכירים, התשפ״ו-2026")</f>
        <v>317</v>
      </c>
      <c r="E114" t="s">
        <v>317</v>
      </c>
      <c r="F114" t="s">
        <v>318</v>
      </c>
      <c r="G114" t="s">
        <v>14</v>
      </c>
      <c r="H114">
             </c>
      <c r="I114" t="s">
        <v>14</v>
      </c>
      <c r="J114" t="s">
        <v>242</v>
      </c>
      <c r="K114" t="s">
        <v>14</v>
      </c>
      <c r="L114" t="s">
        <v>20</v>
      </c>
      <c r="M114" t="s">
        <v>311</v>
      </c>
      <c r="N114" t="s">
        <v>14</v>
      </c>
    </row>
    <row r="115" x14ac:dyDescent="0.25">
      <c r="A115" t="n">
        <v>25</v>
      </c>
      <c r="B115" t="s">
        <v>14</v>
      </c>
      <c r="C115" t="s">
        <v>51</v>
      </c>
      <c r="D115" s="2" t="s">
        <f>=HYPERLINK("https://main.knesset.gov.il/APPS/legislation/main/bills/2243845", "הצעת חוק מערכת חינוך ממלכתית אחידה ושוויונית (תיקוני חקיקה), התשפ""ו-2026")</f>
        <v>319</v>
      </c>
      <c r="E115" t="s">
        <v>319</v>
      </c>
      <c r="F115" t="s">
        <v>320</v>
      </c>
      <c r="G115" t="s">
        <v>14</v>
      </c>
      <c r="H115">
             </c>
      <c r="I115" t="s">
        <v>14</v>
      </c>
      <c r="J115" t="s">
        <v>242</v>
      </c>
      <c r="K115" t="s">
        <v>14</v>
      </c>
      <c r="L115" t="s">
        <v>20</v>
      </c>
      <c r="M115" t="s">
        <v>311</v>
      </c>
      <c r="N115" t="s">
        <v>14</v>
      </c>
    </row>
    <row r="116" x14ac:dyDescent="0.25">
      <c r="A116" t="n">
        <v>25</v>
      </c>
      <c r="B116" t="s">
        <v>14</v>
      </c>
      <c r="C116" t="s">
        <v>51</v>
      </c>
      <c r="D116" s="2" t="s">
        <f>=HYPERLINK("https://main.knesset.gov.il/APPS/legislation/main/bills/2244563", "הצעת חוק הביטוח הלאומי (תיקון  - מניעת הטבות הנובעות מריבוי בני זוג), התשפ""ו-2026")</f>
        <v>321</v>
      </c>
      <c r="E116" t="s">
        <v>321</v>
      </c>
      <c r="F116" t="s">
        <v>322</v>
      </c>
      <c r="G116" t="s">
        <v>14</v>
      </c>
      <c r="H116">
             </c>
      <c r="I116" t="s">
        <v>14</v>
      </c>
      <c r="J116" t="s">
        <v>242</v>
      </c>
      <c r="K116" t="s">
        <v>14</v>
      </c>
      <c r="L116" t="s">
        <v>20</v>
      </c>
      <c r="M116" t="s">
        <v>311</v>
      </c>
      <c r="N116" t="s">
        <v>14</v>
      </c>
    </row>
    <row r="117" x14ac:dyDescent="0.25">
      <c r="A117" t="n">
        <v>25</v>
      </c>
      <c r="B117" t="s">
        <v>14</v>
      </c>
      <c r="C117" t="s">
        <v>51</v>
      </c>
      <c r="D117" s="2" t="s">
        <f>=HYPERLINK("https://main.knesset.gov.il/APPS/legislation/main/bills/2244447", "הצעת חוק אספקת החשמל, התשפ""ו-2026")</f>
        <v>323</v>
      </c>
      <c r="E117" t="s">
        <v>323</v>
      </c>
      <c r="F117" t="s">
        <v>324</v>
      </c>
      <c r="G117" t="s">
        <v>14</v>
      </c>
      <c r="H117">
             </c>
      <c r="I117" t="s">
        <v>14</v>
      </c>
      <c r="J117" t="s">
        <v>242</v>
      </c>
      <c r="K117" t="s">
        <v>14</v>
      </c>
      <c r="L117" t="s">
        <v>20</v>
      </c>
      <c r="M117" t="s">
        <v>311</v>
      </c>
      <c r="N117" t="s">
        <v>14</v>
      </c>
    </row>
    <row r="118" x14ac:dyDescent="0.25">
      <c r="A118" t="n">
        <v>25</v>
      </c>
      <c r="B118" t="s">
        <v>14</v>
      </c>
      <c r="C118" t="s">
        <v>51</v>
      </c>
      <c r="D118" s="2" t="s">
        <f>=HYPERLINK("https://main.knesset.gov.il/APPS/legislation/main/bills/2244405", "הצעת חוק לתיקון פקודת בתי הסוהר (מניעת כניסתם של נציגי ארגון הצלב האדום הבין־לאומי והעברת מידע לארגון), התשפ""ו-2026")</f>
        <v>325</v>
      </c>
      <c r="E118" t="s">
        <v>325</v>
      </c>
      <c r="F118" t="s">
        <v>326</v>
      </c>
      <c r="G118" t="s">
        <v>14</v>
      </c>
      <c r="H118">
             </c>
      <c r="I118" t="s">
        <v>14</v>
      </c>
      <c r="J118" t="s">
        <v>242</v>
      </c>
      <c r="K118" t="s">
        <v>14</v>
      </c>
      <c r="L118" t="s">
        <v>20</v>
      </c>
      <c r="M118" t="s">
        <v>311</v>
      </c>
      <c r="N118" t="s">
        <v>14</v>
      </c>
    </row>
    <row r="119" x14ac:dyDescent="0.25">
      <c r="A119" t="n">
        <v>25</v>
      </c>
      <c r="B119" t="s">
        <v>14</v>
      </c>
      <c r="C119" t="s">
        <v>51</v>
      </c>
      <c r="D119" s="2" t="s">
        <f>=HYPERLINK("https://main.knesset.gov.il/APPS/legislation/main/bills/2242065", "הצעת חוק הגנת הצומח (תיקון - שקילת שיקולי שמירה על ביטחון המזון), התשפ""ו-2026")</f>
        <v>327</v>
      </c>
      <c r="E119" t="s">
        <v>327</v>
      </c>
      <c r="F119" t="s">
        <v>328</v>
      </c>
      <c r="G119" t="s">
        <v>14</v>
      </c>
      <c r="H119">
             </c>
      <c r="I119" t="s">
        <v>14</v>
      </c>
      <c r="J119" t="s">
        <v>242</v>
      </c>
      <c r="K119" t="s">
        <v>14</v>
      </c>
      <c r="L119" t="s">
        <v>20</v>
      </c>
      <c r="M119" t="s">
        <v>311</v>
      </c>
      <c r="N119" t="s">
        <v>14</v>
      </c>
    </row>
    <row r="120" x14ac:dyDescent="0.25">
      <c r="A120" t="n">
        <v>25</v>
      </c>
      <c r="B120" t="s">
        <v>14</v>
      </c>
      <c r="C120" t="s">
        <v>51</v>
      </c>
      <c r="D120" s="2" t="s">
        <f>=HYPERLINK("https://main.knesset.gov.il/APPS/legislation/main/bills/2244378", "הצעת חוק הצבת מכשירי החייאה במקומות ציבוריים (תיקון - חובת הצבת מכשיר החייאה בבניין רב-קומות), התשפ""ו-2026")</f>
        <v>329</v>
      </c>
      <c r="E120" t="s">
        <v>329</v>
      </c>
      <c r="F120" t="s">
        <v>330</v>
      </c>
      <c r="G120" t="s">
        <v>14</v>
      </c>
      <c r="H120">
             </c>
      <c r="I120" t="s">
        <v>14</v>
      </c>
      <c r="J120" t="s">
        <v>242</v>
      </c>
      <c r="K120" t="s">
        <v>14</v>
      </c>
      <c r="L120" t="s">
        <v>20</v>
      </c>
      <c r="M120" t="s">
        <v>311</v>
      </c>
      <c r="N120" t="s">
        <v>14</v>
      </c>
    </row>
    <row r="121" x14ac:dyDescent="0.25">
      <c r="A121" t="n">
        <v>25</v>
      </c>
      <c r="B121" t="s">
        <v>14</v>
      </c>
      <c r="C121" t="s">
        <v>51</v>
      </c>
      <c r="D121" s="2" t="s">
        <f>=HYPERLINK("https://main.knesset.gov.il/APPS/legislation/main/bills/2211922", "הצעת חוק לתיקון פקודת בתי הסוהר (מס' 73) (מניעת כניסתם של נציגי ארגון הצלב האדום הבין-לאומי והעברת מידע לארגון), התשפ""ו–2026")</f>
        <v>331</v>
      </c>
      <c r="E121" t="s">
        <v>331</v>
      </c>
      <c r="F121" t="s">
        <v>332</v>
      </c>
      <c r="G121" t="s">
        <v>333</v>
      </c>
      <c r="H121">
             </c>
      <c r="I121" t="s">
        <v>14</v>
      </c>
      <c r="J121" t="s">
        <v>334</v>
      </c>
      <c r="K121" t="s">
        <v>19</v>
      </c>
      <c r="L121" t="s">
        <v>20</v>
      </c>
      <c r="M121" t="s">
        <v>311</v>
      </c>
      <c r="N121" t="s">
        <v>14</v>
      </c>
    </row>
    <row r="122" x14ac:dyDescent="0.25">
      <c r="A122" t="n">
        <v>25</v>
      </c>
      <c r="B122" t="s">
        <v>14</v>
      </c>
      <c r="C122" t="s">
        <v>15</v>
      </c>
      <c r="D122" s="2" t="s">
        <f>=HYPERLINK("https://main.knesset.gov.il/APPS/legislation/main/bills/2192797", "חוק הספורט (תיקון מס' 17), התשפ""ד-2024 ")</f>
        <v>335</v>
      </c>
      <c r="E122" t="s">
        <v>335</v>
      </c>
      <c r="F122" t="s">
        <v>14</v>
      </c>
      <c r="G122" t="s">
        <v>336</v>
      </c>
      <c r="H122" t="n">
        <v>3231</v>
      </c>
      <c r="I122" t="s">
        <v>14</v>
      </c>
      <c r="J122" t="s">
        <v>18</v>
      </c>
      <c r="K122" t="s">
        <v>79</v>
      </c>
      <c r="L122" t="s">
        <v>20</v>
      </c>
      <c r="M122" t="s">
        <v>337</v>
      </c>
      <c r="N122" t="s">
        <v>338</v>
      </c>
    </row>
    <row r="123" x14ac:dyDescent="0.25">
      <c r="A123" t="n">
        <v>25</v>
      </c>
      <c r="B123" t="s">
        <v>14</v>
      </c>
      <c r="C123" t="s">
        <v>15</v>
      </c>
      <c r="D123" s="2" t="s">
        <f>=HYPERLINK("https://main.knesset.gov.il/APPS/legislation/main/bills/1057297", "חוק כליאתם של לוחמים בלתי חוקיים (תיקון מס' 4 והוראת שעה – חרבות ברזל) (תיקון מס' 8), התשפ""ו-2026")</f>
        <v>339</v>
      </c>
      <c r="E123" t="s">
        <v>339</v>
      </c>
      <c r="F123" t="s">
        <v>14</v>
      </c>
      <c r="G123" t="s">
        <v>340</v>
      </c>
      <c r="H123" t="n">
        <v>3540</v>
      </c>
      <c r="I123" t="s">
        <v>14</v>
      </c>
      <c r="J123" t="s">
        <v>18</v>
      </c>
      <c r="K123" t="s">
        <v>39</v>
      </c>
      <c r="L123" t="s">
        <v>20</v>
      </c>
      <c r="M123" t="s">
        <v>341</v>
      </c>
      <c r="N123" t="s">
        <v>342</v>
      </c>
    </row>
    <row r="124" x14ac:dyDescent="0.25">
      <c r="A124" t="n">
        <v>25</v>
      </c>
      <c r="B124" t="s">
        <v>14</v>
      </c>
      <c r="C124" t="s">
        <v>51</v>
      </c>
      <c r="D124" s="2" t="s">
        <f>=HYPERLINK("https://main.knesset.gov.il/APPS/legislation/main/bills/2242177", "הצעת חוק המכינות הקדם-צבאיות (תיקון - תקציב ייעודי להנגשה ולשילוב חניכים עם מוגבלות), התשפ״ו-2026")</f>
        <v>343</v>
      </c>
      <c r="E124" t="s">
        <v>343</v>
      </c>
      <c r="F124" t="s">
        <v>344</v>
      </c>
      <c r="G124" t="s">
        <v>14</v>
      </c>
      <c r="H124">
             </c>
      <c r="I124" t="s">
        <v>14</v>
      </c>
      <c r="J124" t="s">
        <v>193</v>
      </c>
      <c r="K124" t="s">
        <v>14</v>
      </c>
      <c r="L124" t="s">
        <v>20</v>
      </c>
      <c r="M124" t="s">
        <v>341</v>
      </c>
      <c r="N124" t="s">
        <v>14</v>
      </c>
    </row>
    <row r="125" x14ac:dyDescent="0.25">
      <c r="A125" t="n">
        <v>25</v>
      </c>
      <c r="B125" t="s">
        <v>14</v>
      </c>
      <c r="C125" t="s">
        <v>51</v>
      </c>
      <c r="D125" s="2" t="s">
        <f>=HYPERLINK("https://main.knesset.gov.il/APPS/legislation/main/bills/2241153", "הצעת חוק ביטוח בריאות ממלכתי (תיקון - הפחתה בדמי ביטוח בריאות לתושבי הפריפריה), התשפ""ו-2026")</f>
        <v>345</v>
      </c>
      <c r="E125" t="s">
        <v>345</v>
      </c>
      <c r="F125" t="s">
        <v>346</v>
      </c>
      <c r="G125" t="s">
        <v>14</v>
      </c>
      <c r="H125">
             </c>
      <c r="I125" t="s">
        <v>14</v>
      </c>
      <c r="J125" t="s">
        <v>193</v>
      </c>
      <c r="K125" t="s">
        <v>14</v>
      </c>
      <c r="L125" t="s">
        <v>20</v>
      </c>
      <c r="M125" t="s">
        <v>341</v>
      </c>
      <c r="N125" t="s">
        <v>14</v>
      </c>
    </row>
    <row r="126" x14ac:dyDescent="0.25">
      <c r="A126" t="n">
        <v>25</v>
      </c>
      <c r="B126" t="s">
        <v>14</v>
      </c>
      <c r="C126" t="s">
        <v>51</v>
      </c>
      <c r="D126" s="2" t="s">
        <f>=HYPERLINK("https://main.knesset.gov.il/APPS/legislation/main/bills/2239100", "הצעת חוק סדר הדין הפלילי (סמכויות אכיפה - חיפוש בגוף ונטילת אמצעי זיהוי) (תיקון - הגדרת חיפוש בעירום מלא כחיפוש פנימי), התשפ""ו-2026")</f>
        <v>347</v>
      </c>
      <c r="E126" t="s">
        <v>347</v>
      </c>
      <c r="F126" t="s">
        <v>348</v>
      </c>
      <c r="G126" t="s">
        <v>14</v>
      </c>
      <c r="H126">
             </c>
      <c r="I126" t="s">
        <v>14</v>
      </c>
      <c r="J126" t="s">
        <v>193</v>
      </c>
      <c r="K126" t="s">
        <v>14</v>
      </c>
      <c r="L126" t="s">
        <v>20</v>
      </c>
      <c r="M126" t="s">
        <v>341</v>
      </c>
      <c r="N126" t="s">
        <v>14</v>
      </c>
    </row>
    <row r="127" x14ac:dyDescent="0.25">
      <c r="A127" t="n">
        <v>25</v>
      </c>
      <c r="B127" t="s">
        <v>14</v>
      </c>
      <c r="C127" t="s">
        <v>51</v>
      </c>
      <c r="D127" s="2" t="s">
        <f>=HYPERLINK("https://main.knesset.gov.il/APPS/legislation/main/bills/2239690", " הצעת חוק הביטוח הלאומי (תיקון - שיקום בעלי חיים כעבודה מועדפת),   התשפ""ו-2026")</f>
        <v>349</v>
      </c>
      <c r="E127" t="s">
        <v>349</v>
      </c>
      <c r="F127" t="s">
        <v>350</v>
      </c>
      <c r="G127" t="s">
        <v>14</v>
      </c>
      <c r="H127">
             </c>
      <c r="I127" t="s">
        <v>14</v>
      </c>
      <c r="J127" t="s">
        <v>193</v>
      </c>
      <c r="K127" t="s">
        <v>14</v>
      </c>
      <c r="L127" t="s">
        <v>20</v>
      </c>
      <c r="M127" t="s">
        <v>341</v>
      </c>
      <c r="N127" t="s">
        <v>14</v>
      </c>
    </row>
    <row r="128" x14ac:dyDescent="0.25">
      <c r="A128" t="n">
        <v>25</v>
      </c>
      <c r="B128" t="s">
        <v>14</v>
      </c>
      <c r="C128" t="s">
        <v>51</v>
      </c>
      <c r="D128" s="2" t="s">
        <f>=HYPERLINK("https://main.knesset.gov.il/APPS/legislation/main/bills/2239094", "הצעת חוק להשבת כפיפות בתי הדין למשרד המשפטים, התשפ״ו-2026")</f>
        <v>351</v>
      </c>
      <c r="E128" t="s">
        <v>351</v>
      </c>
      <c r="F128" t="s">
        <v>352</v>
      </c>
      <c r="G128" t="s">
        <v>14</v>
      </c>
      <c r="H128">
             </c>
      <c r="I128" t="s">
        <v>14</v>
      </c>
      <c r="J128" t="s">
        <v>193</v>
      </c>
      <c r="K128" t="s">
        <v>14</v>
      </c>
      <c r="L128" t="s">
        <v>20</v>
      </c>
      <c r="M128" t="s">
        <v>341</v>
      </c>
      <c r="N128" t="s">
        <v>14</v>
      </c>
    </row>
    <row r="129" x14ac:dyDescent="0.25">
      <c r="A129" t="n">
        <v>25</v>
      </c>
      <c r="B129" t="s">
        <v>14</v>
      </c>
      <c r="C129" t="s">
        <v>51</v>
      </c>
      <c r="D129" s="2" t="s">
        <f>=HYPERLINK("https://main.knesset.gov.il/APPS/legislation/main/bills/2224833", "הצעת חוק שירות המילואים (תיקון - טיפול נפשי וזוגי לבני משפחות משרתי המילואים) (הוראת שעה - חרבות ברזל), התשפ""ה-2024")</f>
        <v>353</v>
      </c>
      <c r="E129" t="s">
        <v>353</v>
      </c>
      <c r="F129" t="s">
        <v>354</v>
      </c>
      <c r="G129" t="s">
        <v>14</v>
      </c>
      <c r="H129">
             </c>
      <c r="I129" t="s">
        <v>14</v>
      </c>
      <c r="J129" t="s">
        <v>193</v>
      </c>
      <c r="K129" t="s">
        <v>14</v>
      </c>
      <c r="L129" t="s">
        <v>20</v>
      </c>
      <c r="M129" t="s">
        <v>341</v>
      </c>
      <c r="N129" t="s">
        <v>14</v>
      </c>
    </row>
    <row r="130" x14ac:dyDescent="0.25">
      <c r="A130" t="n">
        <v>25</v>
      </c>
      <c r="B130" t="s">
        <v>14</v>
      </c>
      <c r="C130" t="s">
        <v>51</v>
      </c>
      <c r="D130" s="2" t="s">
        <f>=HYPERLINK("https://main.knesset.gov.il/APPS/legislation/main/bills/2225121", "הצעת חוק פיקוח על רווחי שיווק בתוצרת חקלאית, התשפ""ה-2024")</f>
        <v>355</v>
      </c>
      <c r="E130" t="s">
        <v>355</v>
      </c>
      <c r="F130" t="s">
        <v>356</v>
      </c>
      <c r="G130" t="s">
        <v>14</v>
      </c>
      <c r="H130">
             </c>
      <c r="I130" t="s">
        <v>14</v>
      </c>
      <c r="J130" t="s">
        <v>193</v>
      </c>
      <c r="K130" t="s">
        <v>14</v>
      </c>
      <c r="L130" t="s">
        <v>20</v>
      </c>
      <c r="M130" t="s">
        <v>341</v>
      </c>
      <c r="N130" t="s">
        <v>14</v>
      </c>
    </row>
    <row r="131" x14ac:dyDescent="0.25">
      <c r="A131" t="n">
        <v>25</v>
      </c>
      <c r="B131" t="s">
        <v>14</v>
      </c>
      <c r="C131" t="s">
        <v>51</v>
      </c>
      <c r="D131" s="2" t="s">
        <f>=HYPERLINK("https://main.knesset.gov.il/APPS/legislation/main/bills/2220457", "הצעת חוק שירות אזרחי (תיקון - שירות מילואים אזרחי לבוגרי שירות לאומי ושירות אזרחי בעיתות חירום), התשפ""ד-2024")</f>
        <v>357</v>
      </c>
      <c r="E131" t="s">
        <v>357</v>
      </c>
      <c r="F131" t="s">
        <v>358</v>
      </c>
      <c r="G131" t="s">
        <v>14</v>
      </c>
      <c r="H131">
             </c>
      <c r="I131" t="s">
        <v>14</v>
      </c>
      <c r="J131" t="s">
        <v>193</v>
      </c>
      <c r="K131" t="s">
        <v>14</v>
      </c>
      <c r="L131" t="s">
        <v>20</v>
      </c>
      <c r="M131" t="s">
        <v>341</v>
      </c>
      <c r="N131" t="s">
        <v>14</v>
      </c>
    </row>
    <row r="132" x14ac:dyDescent="0.25">
      <c r="A132" t="n">
        <v>25</v>
      </c>
      <c r="B132" t="s">
        <v>14</v>
      </c>
      <c r="C132" t="s">
        <v>15</v>
      </c>
      <c r="D132" s="2" t="s">
        <f>=HYPERLINK("https://main.knesset.gov.il/APPS/legislation/main/bills/2193186", "חוק הסדרת העיסוק במקצועות הבריאות (תיקון מס' 8), התשפ""ג-2023 ")</f>
        <v>359</v>
      </c>
      <c r="E132" t="s">
        <v>359</v>
      </c>
      <c r="F132" t="s">
        <v>14</v>
      </c>
      <c r="G132" t="s">
        <v>360</v>
      </c>
      <c r="H132" t="n">
        <v>3087</v>
      </c>
      <c r="I132" t="s">
        <v>14</v>
      </c>
      <c r="J132" t="s">
        <v>18</v>
      </c>
      <c r="K132" t="s">
        <v>361</v>
      </c>
      <c r="L132" t="s">
        <v>20</v>
      </c>
      <c r="M132" t="s">
        <v>362</v>
      </c>
      <c r="N132" t="s">
        <v>363</v>
      </c>
    </row>
    <row r="133" x14ac:dyDescent="0.25">
      <c r="A133" t="n">
        <v>25</v>
      </c>
      <c r="B133" t="s">
        <v>14</v>
      </c>
      <c r="C133" t="s">
        <v>15</v>
      </c>
      <c r="D133" s="2" t="s">
        <f>=HYPERLINK("https://main.knesset.gov.il/APPS/legislation/main/bills/1046714", "הצעת חוק הגנת הסייבר הלאומית, התשפ""ו-2026")</f>
        <v>364</v>
      </c>
      <c r="E133" t="s">
        <v>364</v>
      </c>
      <c r="F133" t="s">
        <v>14</v>
      </c>
      <c r="G133" t="s">
        <v>365</v>
      </c>
      <c r="H133">
             </c>
      <c r="I133" t="s">
        <v>14</v>
      </c>
      <c r="J133" t="s">
        <v>38</v>
      </c>
      <c r="K133" t="s">
        <v>39</v>
      </c>
      <c r="L133" t="s">
        <v>20</v>
      </c>
      <c r="M133" t="s">
        <v>366</v>
      </c>
      <c r="N133" t="s">
        <v>14</v>
      </c>
    </row>
    <row r="134" x14ac:dyDescent="0.25">
      <c r="A134" t="n">
        <v>25</v>
      </c>
      <c r="B134" t="s">
        <v>14</v>
      </c>
      <c r="C134" t="s">
        <v>51</v>
      </c>
      <c r="D134" s="2" t="s">
        <f>=HYPERLINK("https://main.knesset.gov.il/APPS/legislation/main/bills/2243520", "הצעת חוק המאבק בחרמות ובנידוי חברתי בקרב ילדים ובני נוער, התשפ""ו-2026")</f>
        <v>367</v>
      </c>
      <c r="E134" t="s">
        <v>367</v>
      </c>
      <c r="F134" t="s">
        <v>368</v>
      </c>
      <c r="G134" t="s">
        <v>14</v>
      </c>
      <c r="H134">
             </c>
      <c r="I134" t="s">
        <v>14</v>
      </c>
      <c r="J134" t="s">
        <v>242</v>
      </c>
      <c r="K134" t="s">
        <v>14</v>
      </c>
      <c r="L134" t="s">
        <v>20</v>
      </c>
      <c r="M134" t="s">
        <v>366</v>
      </c>
      <c r="N134" t="s">
        <v>14</v>
      </c>
    </row>
    <row r="135" x14ac:dyDescent="0.25">
      <c r="A135" t="n">
        <v>25</v>
      </c>
      <c r="B135" t="s">
        <v>14</v>
      </c>
      <c r="C135" t="s">
        <v>51</v>
      </c>
      <c r="D135" s="2" t="s">
        <f>=HYPERLINK("https://main.knesset.gov.il/APPS/legislation/main/bills/2243319", "הצעת חוק חובת גילוי תוכן מטעה מבוסס בינה מלאכותית, התשפ״ו-2026")</f>
        <v>369</v>
      </c>
      <c r="E135" t="s">
        <v>369</v>
      </c>
      <c r="F135" t="s">
        <v>370</v>
      </c>
      <c r="G135" t="s">
        <v>14</v>
      </c>
      <c r="H135">
             </c>
      <c r="I135" t="s">
        <v>14</v>
      </c>
      <c r="J135" t="s">
        <v>242</v>
      </c>
      <c r="K135" t="s">
        <v>14</v>
      </c>
      <c r="L135" t="s">
        <v>20</v>
      </c>
      <c r="M135" t="s">
        <v>366</v>
      </c>
      <c r="N135" t="s">
        <v>14</v>
      </c>
    </row>
    <row r="136" x14ac:dyDescent="0.25">
      <c r="A136" t="n">
        <v>25</v>
      </c>
      <c r="B136" t="s">
        <v>14</v>
      </c>
      <c r="C136" t="s">
        <v>51</v>
      </c>
      <c r="D136" s="2" t="s">
        <f>=HYPERLINK("https://main.knesset.gov.il/APPS/legislation/main/bills/2243525", "הצעת חוק התכנון והבנייה (תיקון - ערעור ברשות לחברי ועדה מחוזית), התשפ""ו-2026")</f>
        <v>371</v>
      </c>
      <c r="E136" t="s">
        <v>371</v>
      </c>
      <c r="F136" t="s">
        <v>372</v>
      </c>
      <c r="G136" t="s">
        <v>14</v>
      </c>
      <c r="H136">
             </c>
      <c r="I136" t="s">
        <v>14</v>
      </c>
      <c r="J136" t="s">
        <v>242</v>
      </c>
      <c r="K136" t="s">
        <v>14</v>
      </c>
      <c r="L136" t="s">
        <v>20</v>
      </c>
      <c r="M136" t="s">
        <v>366</v>
      </c>
      <c r="N136" t="s">
        <v>14</v>
      </c>
    </row>
    <row r="137" x14ac:dyDescent="0.25">
      <c r="A137" t="n">
        <v>25</v>
      </c>
      <c r="B137" t="s">
        <v>14</v>
      </c>
      <c r="C137" t="s">
        <v>51</v>
      </c>
      <c r="D137" s="2" t="s">
        <f>=HYPERLINK("https://main.knesset.gov.il/APPS/legislation/main/bills/2244193", "הצעת חוק העונשין (תיקון - החמרת הענישה על תקיפת שופט), התשפ""ו-2026")</f>
        <v>373</v>
      </c>
      <c r="E137" t="s">
        <v>373</v>
      </c>
      <c r="F137" t="s">
        <v>374</v>
      </c>
      <c r="G137" t="s">
        <v>14</v>
      </c>
      <c r="H137">
             </c>
      <c r="I137" t="s">
        <v>14</v>
      </c>
      <c r="J137" t="s">
        <v>242</v>
      </c>
      <c r="K137" t="s">
        <v>14</v>
      </c>
      <c r="L137" t="s">
        <v>20</v>
      </c>
      <c r="M137" t="s">
        <v>366</v>
      </c>
      <c r="N137" t="s">
        <v>14</v>
      </c>
    </row>
    <row r="138" x14ac:dyDescent="0.25">
      <c r="A138" t="n">
        <v>25</v>
      </c>
      <c r="B138" t="s">
        <v>14</v>
      </c>
      <c r="C138" t="s">
        <v>51</v>
      </c>
      <c r="D138" s="2" t="s">
        <f>=HYPERLINK("https://main.knesset.gov.il/APPS/legislation/main/bills/2242240", "הצעת חוק הזכות לתקן, התשפ""ו-2026")</f>
        <v>375</v>
      </c>
      <c r="E138" t="s">
        <v>375</v>
      </c>
      <c r="F138" t="s">
        <v>376</v>
      </c>
      <c r="G138" t="s">
        <v>14</v>
      </c>
      <c r="H138">
             </c>
      <c r="I138" t="s">
        <v>14</v>
      </c>
      <c r="J138" t="s">
        <v>242</v>
      </c>
      <c r="K138" t="s">
        <v>14</v>
      </c>
      <c r="L138" t="s">
        <v>20</v>
      </c>
      <c r="M138" t="s">
        <v>366</v>
      </c>
      <c r="N138" t="s">
        <v>14</v>
      </c>
    </row>
    <row r="139" x14ac:dyDescent="0.25">
      <c r="A139" t="n">
        <v>25</v>
      </c>
      <c r="B139" t="s">
        <v>14</v>
      </c>
      <c r="C139" t="s">
        <v>51</v>
      </c>
      <c r="D139" s="2" t="s">
        <f>=HYPERLINK("https://main.knesset.gov.il/APPS/legislation/main/bills/2241746", "הצעת חוק מוזאון יד מרדכי והמכון להוראת השואה והגבורה, התשפ""ו-2026")</f>
        <v>377</v>
      </c>
      <c r="E139" t="s">
        <v>377</v>
      </c>
      <c r="F139" t="s">
        <v>378</v>
      </c>
      <c r="G139" t="s">
        <v>14</v>
      </c>
      <c r="H139">
             </c>
      <c r="I139" t="s">
        <v>14</v>
      </c>
      <c r="J139" t="s">
        <v>242</v>
      </c>
      <c r="K139" t="s">
        <v>14</v>
      </c>
      <c r="L139" t="s">
        <v>20</v>
      </c>
      <c r="M139" t="s">
        <v>366</v>
      </c>
      <c r="N139" t="s">
        <v>14</v>
      </c>
    </row>
    <row r="140" x14ac:dyDescent="0.25">
      <c r="A140" t="n">
        <v>25</v>
      </c>
      <c r="B140" t="s">
        <v>14</v>
      </c>
      <c r="C140" t="s">
        <v>51</v>
      </c>
      <c r="D140" s="2" t="s">
        <f>=HYPERLINK("https://main.knesset.gov.il/APPS/legislation/main/bills/2243937", "הצעת חוק דמי מחלה (היעדרות בשל טיפול בהורה או בבן זוג החולה בדמנציה) (תיקוני חקיקה), התשפ""ו-2026")</f>
        <v>379</v>
      </c>
      <c r="E140" t="s">
        <v>379</v>
      </c>
      <c r="F140" t="s">
        <v>380</v>
      </c>
      <c r="G140" t="s">
        <v>14</v>
      </c>
      <c r="H140">
             </c>
      <c r="I140" t="s">
        <v>14</v>
      </c>
      <c r="J140" t="s">
        <v>242</v>
      </c>
      <c r="K140" t="s">
        <v>14</v>
      </c>
      <c r="L140" t="s">
        <v>20</v>
      </c>
      <c r="M140" t="s">
        <v>366</v>
      </c>
      <c r="N140" t="s">
        <v>14</v>
      </c>
    </row>
    <row r="141" x14ac:dyDescent="0.25">
      <c r="A141" t="n">
        <v>25</v>
      </c>
      <c r="B141" t="s">
        <v>14</v>
      </c>
      <c r="C141" t="s">
        <v>51</v>
      </c>
      <c r="D141" s="2" t="s">
        <f>=HYPERLINK("https://main.knesset.gov.il/APPS/legislation/main/bills/2244101", "הצעת חוק מעמד המשרת בשירות צבאי, התשפ""ו-2026")</f>
        <v>381</v>
      </c>
      <c r="E141" t="s">
        <v>381</v>
      </c>
      <c r="F141" t="s">
        <v>382</v>
      </c>
      <c r="G141" t="s">
        <v>14</v>
      </c>
      <c r="H141">
             </c>
      <c r="I141" t="s">
        <v>14</v>
      </c>
      <c r="J141" t="s">
        <v>242</v>
      </c>
      <c r="K141" t="s">
        <v>14</v>
      </c>
      <c r="L141" t="s">
        <v>20</v>
      </c>
      <c r="M141" t="s">
        <v>366</v>
      </c>
      <c r="N141" t="s">
        <v>14</v>
      </c>
    </row>
    <row r="142" x14ac:dyDescent="0.25">
      <c r="A142" t="n">
        <v>25</v>
      </c>
      <c r="B142" t="s">
        <v>14</v>
      </c>
      <c r="C142" t="s">
        <v>51</v>
      </c>
      <c r="D142" s="2" t="s">
        <f>=HYPERLINK("https://main.knesset.gov.il/APPS/legislation/main/bills/2243834", "הצעת חוק הבנקאות (שירות ללקוח) (תיקון - שמירה על הסדר הלוואה לאחר פיגור זמני בתשלום), התשפ""ו-2026")</f>
        <v>383</v>
      </c>
      <c r="E142" t="s">
        <v>383</v>
      </c>
      <c r="F142" t="s">
        <v>384</v>
      </c>
      <c r="G142" t="s">
        <v>14</v>
      </c>
      <c r="H142">
             </c>
      <c r="I142" t="s">
        <v>14</v>
      </c>
      <c r="J142" t="s">
        <v>242</v>
      </c>
      <c r="K142" t="s">
        <v>14</v>
      </c>
      <c r="L142" t="s">
        <v>20</v>
      </c>
      <c r="M142" t="s">
        <v>366</v>
      </c>
      <c r="N142" t="s">
        <v>14</v>
      </c>
    </row>
    <row r="143" x14ac:dyDescent="0.25">
      <c r="A143" t="n">
        <v>25</v>
      </c>
      <c r="B143" t="s">
        <v>14</v>
      </c>
      <c r="C143" t="s">
        <v>51</v>
      </c>
      <c r="D143" s="2" t="s">
        <f>=HYPERLINK("https://main.knesset.gov.il/APPS/legislation/main/bills/2243769", "הצעת חוק הגנת הצרכן (תיקון - ביטול החרגת תאגידים בנקאיים וביטוחיים), התשפ""ו-2026")</f>
        <v>385</v>
      </c>
      <c r="E143" t="s">
        <v>385</v>
      </c>
      <c r="F143" t="s">
        <v>386</v>
      </c>
      <c r="G143" t="s">
        <v>14</v>
      </c>
      <c r="H143">
             </c>
      <c r="I143" t="s">
        <v>14</v>
      </c>
      <c r="J143" t="s">
        <v>242</v>
      </c>
      <c r="K143" t="s">
        <v>14</v>
      </c>
      <c r="L143" t="s">
        <v>20</v>
      </c>
      <c r="M143" t="s">
        <v>366</v>
      </c>
      <c r="N143" t="s">
        <v>14</v>
      </c>
    </row>
    <row r="144" x14ac:dyDescent="0.25">
      <c r="A144" t="n">
        <v>25</v>
      </c>
      <c r="B144" t="s">
        <v>14</v>
      </c>
      <c r="C144" t="s">
        <v>15</v>
      </c>
      <c r="D144" s="2" t="s">
        <f>=HYPERLINK("https://main.knesset.gov.il/APPS/legislation/main/bills/1046179", "הצעת חוק חדלות פירעון ושיקום כלכלי (תיקון מס' 10) (הליכי חדלות פירעון לגבי יחיד בעל חובות בסכום נמוך), התשפ""ו–2026")</f>
        <v>387</v>
      </c>
      <c r="E144" t="s">
        <v>387</v>
      </c>
      <c r="F144" t="s">
        <v>14</v>
      </c>
      <c r="G144" t="s">
        <v>388</v>
      </c>
      <c r="H144">
             </c>
      <c r="I144" t="s">
        <v>14</v>
      </c>
      <c r="J144" t="s">
        <v>162</v>
      </c>
      <c r="K144" t="s">
        <v>14</v>
      </c>
      <c r="L144" t="s">
        <v>20</v>
      </c>
      <c r="M144" t="s">
        <v>366</v>
      </c>
      <c r="N144" t="s">
        <v>14</v>
      </c>
    </row>
    <row r="145" x14ac:dyDescent="0.25">
      <c r="A145" t="n">
        <v>25</v>
      </c>
      <c r="B145" t="s">
        <v>14</v>
      </c>
      <c r="C145" t="s">
        <v>51</v>
      </c>
      <c r="D145" s="2" t="s">
        <f>=HYPERLINK("https://main.knesset.gov.il/APPS/legislation/main/bills/2201009", "חוק המאבק בכלי הנשק הבלתי חוקיים (תיקון חקיקה והוראת שעה), התשפ""ג–2023")</f>
        <v>389</v>
      </c>
      <c r="E145" t="s">
        <v>389</v>
      </c>
      <c r="F145" t="s">
        <v>390</v>
      </c>
      <c r="G145" t="s">
        <v>391</v>
      </c>
      <c r="H145" t="n">
        <v>3035</v>
      </c>
      <c r="I145" t="s">
        <v>14</v>
      </c>
      <c r="J145" t="s">
        <v>18</v>
      </c>
      <c r="K145" t="s">
        <v>14</v>
      </c>
      <c r="L145" t="s">
        <v>20</v>
      </c>
      <c r="M145" t="s">
        <v>392</v>
      </c>
      <c r="N145" t="s">
        <v>393</v>
      </c>
    </row>
    <row r="146" x14ac:dyDescent="0.25">
      <c r="A146" t="n">
        <v>25</v>
      </c>
      <c r="B146" t="s">
        <v>14</v>
      </c>
      <c r="C146" t="s">
        <v>51</v>
      </c>
      <c r="D146" s="2" t="s">
        <f>=HYPERLINK("https://main.knesset.gov.il/APPS/legislation/main/bills/2242174", "הצעת חוק הבנקאות (שירות ללקוח) (תיקון - קורס חינוך פיננסי ללקוח בחריגה ממסגרת האשראי או בחריגה תזרימית), התשפ""ו-2026")</f>
        <v>394</v>
      </c>
      <c r="E146" t="s">
        <v>394</v>
      </c>
      <c r="F146" t="s">
        <v>395</v>
      </c>
      <c r="G146" t="s">
        <v>14</v>
      </c>
      <c r="H146">
             </c>
      <c r="I146" t="s">
        <v>14</v>
      </c>
      <c r="J146" t="s">
        <v>152</v>
      </c>
      <c r="K146" t="s">
        <v>84</v>
      </c>
      <c r="L146" t="s">
        <v>20</v>
      </c>
      <c r="M146" t="s">
        <v>392</v>
      </c>
      <c r="N146" t="s">
        <v>14</v>
      </c>
    </row>
    <row r="147" x14ac:dyDescent="0.25">
      <c r="A147" t="n">
        <v>25</v>
      </c>
      <c r="B147" t="s">
        <v>14</v>
      </c>
      <c r="C147" t="s">
        <v>51</v>
      </c>
      <c r="D147" s="2" t="s">
        <f>=HYPERLINK("https://main.knesset.gov.il/APPS/legislation/main/bills/2234320", "הצעת חוק הביטוח הלאומי (תיקון - תשלום קצבת שארים לעגונה ולמסורבי גט שהתאלמנו), התשפ""ה-2025")</f>
        <v>396</v>
      </c>
      <c r="E147" t="s">
        <v>396</v>
      </c>
      <c r="F147" t="s">
        <v>397</v>
      </c>
      <c r="G147" t="s">
        <v>14</v>
      </c>
      <c r="H147">
             </c>
      <c r="I147" t="s">
        <v>14</v>
      </c>
      <c r="J147" t="s">
        <v>152</v>
      </c>
      <c r="K147" t="s">
        <v>46</v>
      </c>
      <c r="L147" t="s">
        <v>20</v>
      </c>
      <c r="M147" t="s">
        <v>392</v>
      </c>
      <c r="N147" t="s">
        <v>14</v>
      </c>
    </row>
    <row r="148" x14ac:dyDescent="0.25">
      <c r="A148" t="n">
        <v>25</v>
      </c>
      <c r="B148" t="s">
        <v>14</v>
      </c>
      <c r="C148" t="s">
        <v>15</v>
      </c>
      <c r="D148" s="2" t="s">
        <f>=HYPERLINK("https://main.knesset.gov.il/APPS/legislation/main/bills/2198282", "הצעת חוק העונשין (תיקון מס' 156) התשפ""ו-2026")</f>
        <v>398</v>
      </c>
      <c r="E148" t="s">
        <v>398</v>
      </c>
      <c r="F148" t="s">
        <v>14</v>
      </c>
      <c r="G148" t="s">
        <v>399</v>
      </c>
      <c r="H148">
             </c>
      <c r="I148" t="s">
        <v>14</v>
      </c>
      <c r="J148" t="s">
        <v>180</v>
      </c>
      <c r="K148" t="s">
        <v>27</v>
      </c>
      <c r="L148" t="s">
        <v>20</v>
      </c>
      <c r="M148" t="s">
        <v>392</v>
      </c>
      <c r="N148" t="s">
        <v>14</v>
      </c>
    </row>
    <row r="149" x14ac:dyDescent="0.25">
      <c r="A149" t="n">
        <v>25</v>
      </c>
      <c r="B149" t="s">
        <v>14</v>
      </c>
      <c r="C149" t="s">
        <v>15</v>
      </c>
      <c r="D149" s="2" t="s">
        <f>=HYPERLINK("https://main.knesset.gov.il/APPS/legislation/main/bills/2240506", "פרק י""ג (ייעול וקידום התחרות במשק הדלק) מתוך הצעת חוק התוכנית הכלכלית (תיקוני חקיקה ליישום המדיניות הכלכלית לשנת התקציב 2026), התשפ""ו-2026 [פוצלה לפי סעיף 84(ב) לתקנון]")</f>
        <v>400</v>
      </c>
      <c r="E149" t="s">
        <v>400</v>
      </c>
      <c r="F149" t="s">
        <v>14</v>
      </c>
      <c r="G149" t="s">
        <v>29</v>
      </c>
      <c r="H149">
             </c>
      <c r="I149" t="s">
        <v>14</v>
      </c>
      <c r="J149" t="s">
        <v>38</v>
      </c>
      <c r="K149" t="s">
        <v>84</v>
      </c>
      <c r="L149" t="s">
        <v>20</v>
      </c>
      <c r="M149" t="s">
        <v>392</v>
      </c>
      <c r="N149" t="s">
        <v>14</v>
      </c>
    </row>
    <row r="150" x14ac:dyDescent="0.25">
      <c r="A150" t="n">
        <v>25</v>
      </c>
      <c r="B150" t="s">
        <v>14</v>
      </c>
      <c r="C150" t="s">
        <v>51</v>
      </c>
      <c r="D150" s="2" t="s">
        <f>=HYPERLINK("https://main.knesset.gov.il/APPS/legislation/main/bills/2239531", "הצעת חוק-יסוד: הממשלה (תיקון - מינויים בכירים בשירות המדינה)")</f>
        <v>401</v>
      </c>
      <c r="E150" t="s">
        <v>401</v>
      </c>
      <c r="F150" t="s">
        <v>402</v>
      </c>
      <c r="G150" t="s">
        <v>14</v>
      </c>
      <c r="H150">
             </c>
      <c r="I150" t="s">
        <v>14</v>
      </c>
      <c r="J150" t="s">
        <v>152</v>
      </c>
      <c r="K150" t="s">
        <v>27</v>
      </c>
      <c r="L150" t="s">
        <v>20</v>
      </c>
      <c r="M150" t="s">
        <v>403</v>
      </c>
      <c r="N150" t="s">
        <v>14</v>
      </c>
    </row>
    <row r="151" x14ac:dyDescent="0.25">
      <c r="A151" t="n">
        <v>25</v>
      </c>
      <c r="B151" t="s">
        <v>14</v>
      </c>
      <c r="C151" t="s">
        <v>51</v>
      </c>
      <c r="D151" s="2" t="s">
        <f>=HYPERLINK("https://main.knesset.gov.il/APPS/legislation/main/bills/2233407", "הצעת חוק העונשין (תיקון - ביטול עבירת המטרד על ידי עיסוק בזנות), התשפ""ה-2025")</f>
        <v>404</v>
      </c>
      <c r="E151" t="s">
        <v>404</v>
      </c>
      <c r="F151" t="s">
        <v>405</v>
      </c>
      <c r="G151" t="s">
        <v>14</v>
      </c>
      <c r="H151">
             </c>
      <c r="I151" t="s">
        <v>14</v>
      </c>
      <c r="J151" t="s">
        <v>303</v>
      </c>
      <c r="K151" t="s">
        <v>14</v>
      </c>
      <c r="L151" t="s">
        <v>20</v>
      </c>
      <c r="M151" t="s">
        <v>403</v>
      </c>
      <c r="N151" t="s">
        <v>14</v>
      </c>
    </row>
    <row r="152" x14ac:dyDescent="0.25">
      <c r="A152" t="n">
        <v>25</v>
      </c>
      <c r="B152" t="s">
        <v>14</v>
      </c>
      <c r="C152" t="s">
        <v>51</v>
      </c>
      <c r="D152" s="2" t="s">
        <f>=HYPERLINK("https://main.knesset.gov.il/APPS/legislation/main/bills/2215396", "הצעת חוק הרשות השנייה לטלוויזיה ורדיו (תיקון - הנגשת רדיו בשפה הערבית בכל הארץ), התשפ""ד-2024")</f>
        <v>406</v>
      </c>
      <c r="E152" t="s">
        <v>406</v>
      </c>
      <c r="F152" t="s">
        <v>407</v>
      </c>
      <c r="G152" t="s">
        <v>14</v>
      </c>
      <c r="H152">
             </c>
      <c r="I152" t="s">
        <v>14</v>
      </c>
      <c r="J152" t="s">
        <v>183</v>
      </c>
      <c r="K152" t="s">
        <v>84</v>
      </c>
      <c r="L152" t="s">
        <v>20</v>
      </c>
      <c r="M152" t="s">
        <v>408</v>
      </c>
      <c r="N152" t="s">
        <v>14</v>
      </c>
    </row>
    <row r="153" x14ac:dyDescent="0.25">
      <c r="A153" t="n">
        <v>25</v>
      </c>
      <c r="B153" t="s">
        <v>14</v>
      </c>
      <c r="C153" t="s">
        <v>51</v>
      </c>
      <c r="D153" s="2" t="s">
        <f>=HYPERLINK("https://main.knesset.gov.il/APPS/legislation/main/bills/2241185", " הצעת חוק הקמת תחנות נוחות בכבישים בין-עירוניים (תיקוני חקיקה), התשפ""ו-2026")</f>
        <v>409</v>
      </c>
      <c r="E153" t="s">
        <v>409</v>
      </c>
      <c r="F153" t="s">
        <v>410</v>
      </c>
      <c r="G153" t="s">
        <v>14</v>
      </c>
      <c r="H153">
             </c>
      <c r="I153" t="s">
        <v>14</v>
      </c>
      <c r="J153" t="s">
        <v>242</v>
      </c>
      <c r="K153" t="s">
        <v>14</v>
      </c>
      <c r="L153" t="s">
        <v>20</v>
      </c>
      <c r="M153" t="s">
        <v>408</v>
      </c>
      <c r="N153" t="s">
        <v>14</v>
      </c>
    </row>
    <row r="154" x14ac:dyDescent="0.25">
      <c r="A154" t="n">
        <v>25</v>
      </c>
      <c r="B154" t="s">
        <v>14</v>
      </c>
      <c r="C154" t="s">
        <v>51</v>
      </c>
      <c r="D154" s="2" t="s">
        <f>=HYPERLINK("https://main.knesset.gov.il/APPS/legislation/main/bills/2243905", "הצעת חוק חופש הנחת תפילין, התשפ""ו-2026")</f>
        <v>411</v>
      </c>
      <c r="E154" t="s">
        <v>411</v>
      </c>
      <c r="F154" t="s">
        <v>412</v>
      </c>
      <c r="G154" t="s">
        <v>14</v>
      </c>
      <c r="H154">
             </c>
      <c r="I154" t="s">
        <v>14</v>
      </c>
      <c r="J154" t="s">
        <v>242</v>
      </c>
      <c r="K154" t="s">
        <v>14</v>
      </c>
      <c r="L154" t="s">
        <v>20</v>
      </c>
      <c r="M154" t="s">
        <v>408</v>
      </c>
      <c r="N154" t="s">
        <v>14</v>
      </c>
    </row>
    <row r="155" x14ac:dyDescent="0.25">
      <c r="A155" t="n">
        <v>25</v>
      </c>
      <c r="B155" t="s">
        <v>14</v>
      </c>
      <c r="C155" t="s">
        <v>51</v>
      </c>
      <c r="D155" s="2" t="s">
        <f>=HYPERLINK("https://main.knesset.gov.il/APPS/legislation/main/bills/2243242", "הצעת חוק הרשות הארצית למדידה ולהערכה בחינוך, התשפ""ו-2026")</f>
        <v>413</v>
      </c>
      <c r="E155" t="s">
        <v>413</v>
      </c>
      <c r="F155" t="s">
        <v>414</v>
      </c>
      <c r="G155" t="s">
        <v>14</v>
      </c>
      <c r="H155">
             </c>
      <c r="I155" t="s">
        <v>14</v>
      </c>
      <c r="J155" t="s">
        <v>242</v>
      </c>
      <c r="K155" t="s">
        <v>14</v>
      </c>
      <c r="L155" t="s">
        <v>20</v>
      </c>
      <c r="M155" t="s">
        <v>408</v>
      </c>
      <c r="N155" t="s">
        <v>14</v>
      </c>
    </row>
    <row r="156" x14ac:dyDescent="0.25">
      <c r="A156" t="n">
        <v>25</v>
      </c>
      <c r="B156" t="s">
        <v>14</v>
      </c>
      <c r="C156" t="s">
        <v>51</v>
      </c>
      <c r="D156" s="2" t="s">
        <f>=HYPERLINK("https://main.knesset.gov.il/APPS/legislation/main/bills/2243813", "הצעת חוק המרכז להנצחת מורשתו של הנשיא יצחק נבון, התשפ""ו-2026")</f>
        <v>415</v>
      </c>
      <c r="E156" t="s">
        <v>415</v>
      </c>
      <c r="F156" t="s">
        <v>416</v>
      </c>
      <c r="G156" t="s">
        <v>14</v>
      </c>
      <c r="H156">
             </c>
      <c r="I156" t="s">
        <v>14</v>
      </c>
      <c r="J156" t="s">
        <v>242</v>
      </c>
      <c r="K156" t="s">
        <v>14</v>
      </c>
      <c r="L156" t="s">
        <v>20</v>
      </c>
      <c r="M156" t="s">
        <v>408</v>
      </c>
      <c r="N156" t="s">
        <v>14</v>
      </c>
    </row>
    <row r="157" x14ac:dyDescent="0.25">
      <c r="A157" t="n">
        <v>25</v>
      </c>
      <c r="B157" t="s">
        <v>14</v>
      </c>
      <c r="C157" t="s">
        <v>51</v>
      </c>
      <c r="D157" s="2" t="s">
        <f>=HYPERLINK("https://main.knesset.gov.il/APPS/legislation/main/bills/2197937", "חוק לתיקון פקודת המשטרה (מס' 45), התשפ""ו–2026")</f>
        <v>417</v>
      </c>
      <c r="E157" t="s">
        <v>417</v>
      </c>
      <c r="F157" t="s">
        <v>418</v>
      </c>
      <c r="G157" t="s">
        <v>419</v>
      </c>
      <c r="H157" t="n">
        <v>3537</v>
      </c>
      <c r="I157" t="s">
        <v>14</v>
      </c>
      <c r="J157" t="s">
        <v>18</v>
      </c>
      <c r="K157" t="s">
        <v>14</v>
      </c>
      <c r="L157" t="s">
        <v>20</v>
      </c>
      <c r="M157" t="s">
        <v>420</v>
      </c>
      <c r="N157" t="s">
        <v>421</v>
      </c>
    </row>
    <row r="158" x14ac:dyDescent="0.25">
      <c r="A158" t="n">
        <v>25</v>
      </c>
      <c r="B158" t="s">
        <v>14</v>
      </c>
      <c r="C158" t="s">
        <v>51</v>
      </c>
      <c r="D158" s="2" t="s">
        <f>=HYPERLINK("https://main.knesset.gov.il/APPS/legislation/main/bills/2242922", "הצעת חוק בתי המשפט (תיקון - חוות דעת פסיכיאטר לעניין איסור פרסומים), התשפ""ו-2026")</f>
        <v>422</v>
      </c>
      <c r="E158" t="s">
        <v>422</v>
      </c>
      <c r="F158" t="s">
        <v>423</v>
      </c>
      <c r="G158" t="s">
        <v>14</v>
      </c>
      <c r="H158">
             </c>
      <c r="I158" t="s">
        <v>14</v>
      </c>
      <c r="J158" t="s">
        <v>152</v>
      </c>
      <c r="K158" t="s">
        <v>27</v>
      </c>
      <c r="L158" t="s">
        <v>20</v>
      </c>
      <c r="M158" t="s">
        <v>420</v>
      </c>
      <c r="N158" t="s">
        <v>14</v>
      </c>
    </row>
    <row r="159" x14ac:dyDescent="0.25">
      <c r="A159" t="n">
        <v>25</v>
      </c>
      <c r="B159" t="s">
        <v>14</v>
      </c>
      <c r="C159" t="s">
        <v>51</v>
      </c>
      <c r="D159" s="2" t="s">
        <f>=HYPERLINK("https://main.knesset.gov.il/APPS/legislation/main/bills/2240689", "הצעת חוק לימוד חובה (תיקון - חובת דיווח על אירועי אלימות על רקע גזעני), התשפ""ו-2026")</f>
        <v>424</v>
      </c>
      <c r="E159" t="s">
        <v>424</v>
      </c>
      <c r="F159" t="s">
        <v>425</v>
      </c>
      <c r="G159" t="s">
        <v>14</v>
      </c>
      <c r="H159">
             </c>
      <c r="I159" t="s">
        <v>14</v>
      </c>
      <c r="J159" t="s">
        <v>193</v>
      </c>
      <c r="K159" t="s">
        <v>14</v>
      </c>
      <c r="L159" t="s">
        <v>20</v>
      </c>
      <c r="M159" t="s">
        <v>420</v>
      </c>
      <c r="N159" t="s">
        <v>14</v>
      </c>
    </row>
    <row r="160" x14ac:dyDescent="0.25">
      <c r="A160" t="n">
        <v>25</v>
      </c>
      <c r="B160" t="s">
        <v>14</v>
      </c>
      <c r="C160" t="s">
        <v>51</v>
      </c>
      <c r="D160" s="2" t="s">
        <f>=HYPERLINK("https://main.knesset.gov.il/APPS/legislation/main/bills/2239526", "הצעת חוק שירות המדינה (מינויים) (תיקון - מינויים בכירים בשירות המדינה), התשפ""ו-2026")</f>
        <v>426</v>
      </c>
      <c r="E160" t="s">
        <v>426</v>
      </c>
      <c r="F160" t="s">
        <v>427</v>
      </c>
      <c r="G160" t="s">
        <v>14</v>
      </c>
      <c r="H160">
             </c>
      <c r="I160" t="s">
        <v>14</v>
      </c>
      <c r="J160" t="s">
        <v>152</v>
      </c>
      <c r="K160" t="s">
        <v>27</v>
      </c>
      <c r="L160" t="s">
        <v>20</v>
      </c>
      <c r="M160" t="s">
        <v>420</v>
      </c>
      <c r="N160" t="s">
        <v>14</v>
      </c>
    </row>
    <row r="161" x14ac:dyDescent="0.25">
      <c r="A161" t="n">
        <v>25</v>
      </c>
      <c r="B161" t="s">
        <v>14</v>
      </c>
      <c r="C161" t="s">
        <v>51</v>
      </c>
      <c r="D161" s="2" t="s">
        <f>=HYPERLINK("https://main.knesset.gov.il/APPS/legislation/main/bills/2238166", "הצעת חוק העונשין (תיקון - החמרת ענישה על פגיעה בקטין או בחסר ישע), התשפ""ו-2026")</f>
        <v>428</v>
      </c>
      <c r="E161" t="s">
        <v>428</v>
      </c>
      <c r="F161" t="s">
        <v>429</v>
      </c>
      <c r="G161" t="s">
        <v>14</v>
      </c>
      <c r="H161">
             </c>
      <c r="I161" t="s">
        <v>14</v>
      </c>
      <c r="J161" t="s">
        <v>193</v>
      </c>
      <c r="K161" t="s">
        <v>14</v>
      </c>
      <c r="L161" t="s">
        <v>20</v>
      </c>
      <c r="M161" t="s">
        <v>420</v>
      </c>
      <c r="N161" t="s">
        <v>14</v>
      </c>
    </row>
    <row r="162" x14ac:dyDescent="0.25">
      <c r="A162" t="n">
        <v>25</v>
      </c>
      <c r="B162" t="s">
        <v>14</v>
      </c>
      <c r="C162" t="s">
        <v>51</v>
      </c>
      <c r="D162" s="2" t="s">
        <f>=HYPERLINK("https://main.knesset.gov.il/APPS/legislation/main/bills/2237182", "הצעת חוק מס ערך מוסף (תיקון - מס בשיעור אפס על ספרי לימוד וחומרי לימוד), התשפ""ו-2025")</f>
        <v>430</v>
      </c>
      <c r="E162" t="s">
        <v>430</v>
      </c>
      <c r="F162" t="s">
        <v>431</v>
      </c>
      <c r="G162" t="s">
        <v>14</v>
      </c>
      <c r="H162">
             </c>
      <c r="I162" t="s">
        <v>14</v>
      </c>
      <c r="J162" t="s">
        <v>432</v>
      </c>
      <c r="K162" t="s">
        <v>14</v>
      </c>
      <c r="L162" t="s">
        <v>20</v>
      </c>
      <c r="M162" t="s">
        <v>420</v>
      </c>
      <c r="N162" t="s">
        <v>14</v>
      </c>
    </row>
    <row r="163" x14ac:dyDescent="0.25">
      <c r="A163" t="n">
        <v>25</v>
      </c>
      <c r="B163" t="s">
        <v>14</v>
      </c>
      <c r="C163" t="s">
        <v>51</v>
      </c>
      <c r="D163" s="2" t="s">
        <f>=HYPERLINK("https://main.knesset.gov.il/APPS/legislation/main/bills/2230805", "הצעת חוק שירות המדינה (תיקון - דרך המינוי), התשפ""ה-2025")</f>
        <v>433</v>
      </c>
      <c r="E163" t="s">
        <v>433</v>
      </c>
      <c r="F163" t="s">
        <v>434</v>
      </c>
      <c r="G163" t="s">
        <v>14</v>
      </c>
      <c r="H163">
             </c>
      <c r="I163" t="s">
        <v>14</v>
      </c>
      <c r="J163" t="s">
        <v>152</v>
      </c>
      <c r="K163" t="s">
        <v>27</v>
      </c>
      <c r="L163" t="s">
        <v>20</v>
      </c>
      <c r="M163" t="s">
        <v>420</v>
      </c>
      <c r="N163" t="s">
        <v>14</v>
      </c>
    </row>
    <row r="164" x14ac:dyDescent="0.25">
      <c r="A164" t="n">
        <v>25</v>
      </c>
      <c r="B164" t="s">
        <v>14</v>
      </c>
      <c r="C164" t="s">
        <v>51</v>
      </c>
      <c r="D164" s="2" t="s">
        <f>=HYPERLINK("https://main.knesset.gov.il/APPS/legislation/main/bills/2229752", "הצעת חוק הפסקת כהונה של נושאי משרה בכירים בתקופת הכהונה הראשונית של ממשלה חדשה, התשפ""ה-2025")</f>
        <v>435</v>
      </c>
      <c r="E164" t="s">
        <v>435</v>
      </c>
      <c r="F164" t="s">
        <v>436</v>
      </c>
      <c r="G164" t="s">
        <v>14</v>
      </c>
      <c r="H164">
             </c>
      <c r="I164" t="s">
        <v>14</v>
      </c>
      <c r="J164" t="s">
        <v>152</v>
      </c>
      <c r="K164" t="s">
        <v>27</v>
      </c>
      <c r="L164" t="s">
        <v>20</v>
      </c>
      <c r="M164" t="s">
        <v>420</v>
      </c>
      <c r="N164" t="s">
        <v>14</v>
      </c>
    </row>
    <row r="165" x14ac:dyDescent="0.25">
      <c r="A165" t="n">
        <v>25</v>
      </c>
      <c r="B165" t="s">
        <v>14</v>
      </c>
      <c r="C165" t="s">
        <v>51</v>
      </c>
      <c r="D165" s="2" t="s">
        <f>=HYPERLINK("https://main.knesset.gov.il/APPS/legislation/main/bills/2225422", "הצעת חוק לתיקון פקודת מס הכנסה (תרומה למוסד ציבורי באזורי עדיפות לאומית), התשפ""ה-2025")</f>
        <v>437</v>
      </c>
      <c r="E165" t="s">
        <v>437</v>
      </c>
      <c r="F165" t="s">
        <v>438</v>
      </c>
      <c r="G165" t="s">
        <v>14</v>
      </c>
      <c r="H165">
             </c>
      <c r="I165" t="s">
        <v>14</v>
      </c>
      <c r="J165" t="s">
        <v>193</v>
      </c>
      <c r="K165" t="s">
        <v>14</v>
      </c>
      <c r="L165" t="s">
        <v>20</v>
      </c>
      <c r="M165" t="s">
        <v>420</v>
      </c>
      <c r="N165" t="s">
        <v>14</v>
      </c>
    </row>
    <row r="166" x14ac:dyDescent="0.25">
      <c r="A166" t="n">
        <v>25</v>
      </c>
      <c r="B166" t="s">
        <v>14</v>
      </c>
      <c r="C166" t="s">
        <v>51</v>
      </c>
      <c r="D166" s="2" t="s">
        <f>=HYPERLINK("https://main.knesset.gov.il/APPS/legislation/main/bills/2225065", "הצעת חוק לעידוד השקעות הון (תיקון - תחולה על מפעל תעשייתי ביישובים הסמוכים לגבול העימות בצפון, בשדרות וביישובי עוטף עזה), התשפ""ה-2024")</f>
        <v>439</v>
      </c>
      <c r="E166" t="s">
        <v>439</v>
      </c>
      <c r="F166" t="s">
        <v>440</v>
      </c>
      <c r="G166" t="s">
        <v>14</v>
      </c>
      <c r="H166">
             </c>
      <c r="I166" t="s">
        <v>14</v>
      </c>
      <c r="J166" t="s">
        <v>193</v>
      </c>
      <c r="K166" t="s">
        <v>14</v>
      </c>
      <c r="L166" t="s">
        <v>20</v>
      </c>
      <c r="M166" t="s">
        <v>420</v>
      </c>
      <c r="N166" t="s">
        <v>14</v>
      </c>
    </row>
    <row r="167" x14ac:dyDescent="0.25">
      <c r="A167" t="n">
        <v>25</v>
      </c>
      <c r="B167" t="s">
        <v>14</v>
      </c>
      <c r="C167" t="s">
        <v>51</v>
      </c>
      <c r="D167" s="2" t="s">
        <f>=HYPERLINK("https://main.knesset.gov.il/APPS/legislation/main/bills/2220799", "ההצעת חוק קבלת ילד למעון יום והשתתפות המדינה בעלות שכר הלימוד בו, התשפ""ו–2026")</f>
        <v>441</v>
      </c>
      <c r="E167" t="s">
        <v>441</v>
      </c>
      <c r="F167" t="s">
        <v>442</v>
      </c>
      <c r="G167" t="s">
        <v>443</v>
      </c>
      <c r="H167">
             </c>
      <c r="I167" t="s">
        <v>14</v>
      </c>
      <c r="J167" t="s">
        <v>334</v>
      </c>
      <c r="K167" t="s">
        <v>24</v>
      </c>
      <c r="L167" t="s">
        <v>20</v>
      </c>
      <c r="M167" t="s">
        <v>420</v>
      </c>
      <c r="N167" t="s">
        <v>14</v>
      </c>
    </row>
    <row r="168" x14ac:dyDescent="0.25">
      <c r="A168" t="n">
        <v>25</v>
      </c>
      <c r="B168" t="s">
        <v>14</v>
      </c>
      <c r="C168" t="s">
        <v>51</v>
      </c>
      <c r="D168" s="2" t="s">
        <f>=HYPERLINK("https://main.knesset.gov.il/APPS/legislation/main/bills/2229701", "הצעת חוק הגשמת הזהות היהודית במרחב הציבורי, התשפ""ה-2025")</f>
        <v>444</v>
      </c>
      <c r="E168" t="s">
        <v>444</v>
      </c>
      <c r="F168" t="s">
        <v>445</v>
      </c>
      <c r="G168" t="s">
        <v>14</v>
      </c>
      <c r="H168">
             </c>
      <c r="I168" t="s">
        <v>14</v>
      </c>
      <c r="J168" t="s">
        <v>152</v>
      </c>
      <c r="K168" t="s">
        <v>27</v>
      </c>
      <c r="L168" t="s">
        <v>20</v>
      </c>
      <c r="M168" t="s">
        <v>446</v>
      </c>
      <c r="N168" t="s">
        <v>14</v>
      </c>
    </row>
    <row r="169" x14ac:dyDescent="0.25">
      <c r="A169" t="n">
        <v>25</v>
      </c>
      <c r="B169" t="s">
        <v>14</v>
      </c>
      <c r="C169" t="s">
        <v>51</v>
      </c>
      <c r="D169" s="2" t="s">
        <f>=HYPERLINK("https://main.knesset.gov.il/APPS/legislation/main/bills/2202076", "הצעת חוק ההתיישנות (תיקון - הרחבת הגדרת בן משפחה לעניין תקופת ההתיישנות של תביעה בשל תקיפה מינית או התעללות), התשפ""ג-2023")</f>
        <v>447</v>
      </c>
      <c r="E169" t="s">
        <v>447</v>
      </c>
      <c r="F169" t="s">
        <v>448</v>
      </c>
      <c r="G169" t="s">
        <v>14</v>
      </c>
      <c r="H169">
             </c>
      <c r="I169" t="s">
        <v>14</v>
      </c>
      <c r="J169" t="s">
        <v>183</v>
      </c>
      <c r="K169" t="s">
        <v>27</v>
      </c>
      <c r="L169" t="s">
        <v>20</v>
      </c>
      <c r="M169" t="s">
        <v>446</v>
      </c>
      <c r="N169" t="s">
        <v>14</v>
      </c>
    </row>
    <row r="170" x14ac:dyDescent="0.25">
      <c r="A170" t="n">
        <v>25</v>
      </c>
      <c r="B170" t="s">
        <v>14</v>
      </c>
      <c r="C170" t="s">
        <v>15</v>
      </c>
      <c r="D170" s="2" t="s">
        <f>=HYPERLINK("https://main.knesset.gov.il/APPS/legislation/main/bills/2217079", "חוק הגבלת שכר טרחה (נכי צבא הגנה לישראל וכוחות הביטחון ונפגעי פעולות איבה), התשפ""ו-2026")</f>
        <v>449</v>
      </c>
      <c r="E170" t="s">
        <v>449</v>
      </c>
      <c r="F170" t="s">
        <v>14</v>
      </c>
      <c r="G170" t="s">
        <v>450</v>
      </c>
      <c r="H170" t="n">
        <v>3538</v>
      </c>
      <c r="I170" t="s">
        <v>14</v>
      </c>
      <c r="J170" t="s">
        <v>18</v>
      </c>
      <c r="K170" t="s">
        <v>46</v>
      </c>
      <c r="L170" t="s">
        <v>20</v>
      </c>
      <c r="M170" t="s">
        <v>446</v>
      </c>
      <c r="N170" t="s">
        <v>451</v>
      </c>
    </row>
    <row r="171" x14ac:dyDescent="0.25">
      <c r="A171" t="n">
        <v>25</v>
      </c>
      <c r="B171" t="s">
        <v>14</v>
      </c>
      <c r="C171" t="s">
        <v>51</v>
      </c>
      <c r="D171" s="2" t="s">
        <f>=HYPERLINK("https://main.knesset.gov.il/APPS/legislation/main/bills/2217042", "חוק הכרה בתרומתם של כלבים ששירתו בגופים ביטחוניים, התשפ""ו–2026")</f>
        <v>452</v>
      </c>
      <c r="E171" t="s">
        <v>452</v>
      </c>
      <c r="F171" t="s">
        <v>453</v>
      </c>
      <c r="G171" t="s">
        <v>454</v>
      </c>
      <c r="H171" t="n">
        <v>3536</v>
      </c>
      <c r="I171" t="s">
        <v>14</v>
      </c>
      <c r="J171" t="s">
        <v>18</v>
      </c>
      <c r="K171" t="s">
        <v>39</v>
      </c>
      <c r="L171" t="s">
        <v>20</v>
      </c>
      <c r="M171" t="s">
        <v>446</v>
      </c>
      <c r="N171" t="s">
        <v>455</v>
      </c>
    </row>
    <row r="172" x14ac:dyDescent="0.25">
      <c r="A172" t="n">
        <v>25</v>
      </c>
      <c r="B172" t="s">
        <v>14</v>
      </c>
      <c r="C172" t="s">
        <v>51</v>
      </c>
      <c r="D172" s="2" t="s">
        <f>=HYPERLINK("https://main.knesset.gov.il/APPS/legislation/main/bills/2197107", "חוק בתי המשפט (תיקון מס' 107), התשפ""ו–2026")</f>
        <v>456</v>
      </c>
      <c r="E172" t="s">
        <v>456</v>
      </c>
      <c r="F172" t="s">
        <v>457</v>
      </c>
      <c r="G172" t="s">
        <v>458</v>
      </c>
      <c r="H172" t="n">
        <v>3535</v>
      </c>
      <c r="I172" t="s">
        <v>14</v>
      </c>
      <c r="J172" t="s">
        <v>18</v>
      </c>
      <c r="K172" t="s">
        <v>27</v>
      </c>
      <c r="L172" t="s">
        <v>20</v>
      </c>
      <c r="M172" t="s">
        <v>446</v>
      </c>
      <c r="N172" t="s">
        <v>14</v>
      </c>
    </row>
    <row r="173" x14ac:dyDescent="0.25">
      <c r="A173" t="n">
        <v>25</v>
      </c>
      <c r="B173" t="s">
        <v>14</v>
      </c>
      <c r="C173" t="s">
        <v>51</v>
      </c>
      <c r="D173" s="2" t="s">
        <f>=HYPERLINK("https://main.knesset.gov.il/APPS/legislation/main/bills/2228758", "הצעת חוק שכר נושאי משרה ברשויות השלטון, התשפ""ו–2026")</f>
        <v>459</v>
      </c>
      <c r="E173" t="s">
        <v>459</v>
      </c>
      <c r="F173" t="s">
        <v>460</v>
      </c>
      <c r="G173" t="s">
        <v>461</v>
      </c>
      <c r="H173">
             </c>
      <c r="I173" t="s">
        <v>14</v>
      </c>
      <c r="J173" t="s">
        <v>162</v>
      </c>
      <c r="K173" t="s">
        <v>42</v>
      </c>
      <c r="L173" t="s">
        <v>20</v>
      </c>
      <c r="M173" t="s">
        <v>446</v>
      </c>
      <c r="N173" t="s">
        <v>14</v>
      </c>
    </row>
    <row r="174" x14ac:dyDescent="0.25">
      <c r="A174" t="n">
        <v>25</v>
      </c>
      <c r="B174" t="s">
        <v>14</v>
      </c>
      <c r="C174" t="s">
        <v>51</v>
      </c>
      <c r="D174" s="2" t="s">
        <f>=HYPERLINK("https://main.knesset.gov.il/APPS/legislation/main/bills/2220111", "חוק להקפאת כספים ששילמה הרשות הפלסטינית בזיקה לטרור מהכספים המועברים אליה מממשלת ישראל (תיקון), התשפ""ו–2026")</f>
        <v>462</v>
      </c>
      <c r="E174" t="s">
        <v>462</v>
      </c>
      <c r="F174" t="s">
        <v>463</v>
      </c>
      <c r="G174" t="s">
        <v>464</v>
      </c>
      <c r="H174" t="n">
        <v>3534</v>
      </c>
      <c r="I174" t="s">
        <v>14</v>
      </c>
      <c r="J174" t="s">
        <v>18</v>
      </c>
      <c r="K174" t="s">
        <v>39</v>
      </c>
      <c r="L174" t="s">
        <v>20</v>
      </c>
      <c r="M174" t="s">
        <v>465</v>
      </c>
      <c r="N174" t="s">
        <v>466</v>
      </c>
    </row>
    <row r="175" x14ac:dyDescent="0.25">
      <c r="A175" t="n">
        <v>25</v>
      </c>
      <c r="B175" t="s">
        <v>14</v>
      </c>
      <c r="C175" t="s">
        <v>51</v>
      </c>
      <c r="D175" s="2" t="s">
        <f>=HYPERLINK("https://main.knesset.gov.il/APPS/legislation/main/bills/2229413", "חוק הכרה בשפת הסימנים הישראלית, התשפ""ו-2026")</f>
        <v>467</v>
      </c>
      <c r="E175" t="s">
        <v>467</v>
      </c>
      <c r="F175" t="s">
        <v>468</v>
      </c>
      <c r="G175" t="s">
        <v>469</v>
      </c>
      <c r="H175" t="n">
        <v>3533</v>
      </c>
      <c r="I175" t="s">
        <v>14</v>
      </c>
      <c r="J175" t="s">
        <v>18</v>
      </c>
      <c r="K175" t="s">
        <v>79</v>
      </c>
      <c r="L175" t="s">
        <v>20</v>
      </c>
      <c r="M175" t="s">
        <v>465</v>
      </c>
      <c r="N175" t="s">
        <v>470</v>
      </c>
    </row>
    <row r="176" x14ac:dyDescent="0.25">
      <c r="A176" t="n">
        <v>25</v>
      </c>
      <c r="B176" t="s">
        <v>14</v>
      </c>
      <c r="C176" t="s">
        <v>15</v>
      </c>
      <c r="D176" s="2" t="s">
        <f>=HYPERLINK("https://main.knesset.gov.il/APPS/legislation/main/bills/1046296", "חוק העונשין (תיקון מס' 154), התשפ""ו-2026")</f>
        <v>471</v>
      </c>
      <c r="E176" t="s">
        <v>471</v>
      </c>
      <c r="F176" t="s">
        <v>14</v>
      </c>
      <c r="G176" t="s">
        <v>472</v>
      </c>
      <c r="H176" t="n">
        <v>3532</v>
      </c>
      <c r="I176" t="s">
        <v>14</v>
      </c>
      <c r="J176" t="s">
        <v>18</v>
      </c>
      <c r="K176" t="s">
        <v>39</v>
      </c>
      <c r="L176" t="s">
        <v>20</v>
      </c>
      <c r="M176" t="s">
        <v>465</v>
      </c>
      <c r="N176" t="s">
        <v>473</v>
      </c>
    </row>
    <row r="177" x14ac:dyDescent="0.25">
      <c r="A177" t="n">
        <v>25</v>
      </c>
      <c r="B177" t="s">
        <v>14</v>
      </c>
      <c r="C177" t="s">
        <v>51</v>
      </c>
      <c r="D177" s="2" t="s">
        <f>=HYPERLINK("https://main.knesset.gov.il/APPS/legislation/main/bills/2243137", "הצעת חוק העונשין (תיקון - איסור פרסום הסתה לעוינות כלפי ציבור), התשפ""ו-2026")</f>
        <v>474</v>
      </c>
      <c r="E177" t="s">
        <v>474</v>
      </c>
      <c r="F177" t="s">
        <v>475</v>
      </c>
      <c r="G177" t="s">
        <v>14</v>
      </c>
      <c r="H177">
             </c>
      <c r="I177" t="s">
        <v>14</v>
      </c>
      <c r="J177" t="s">
        <v>242</v>
      </c>
      <c r="K177" t="s">
        <v>14</v>
      </c>
      <c r="L177" t="s">
        <v>20</v>
      </c>
      <c r="M177" t="s">
        <v>465</v>
      </c>
      <c r="N177" t="s">
        <v>14</v>
      </c>
    </row>
    <row r="178" x14ac:dyDescent="0.25">
      <c r="A178" t="n">
        <v>25</v>
      </c>
      <c r="B178" t="s">
        <v>14</v>
      </c>
      <c r="C178" t="s">
        <v>51</v>
      </c>
      <c r="D178" s="2" t="s">
        <f>=HYPERLINK("https://main.knesset.gov.il/APPS/legislation/main/bills/2243096", "הצעת חוק המאבק בנטילת דמי חסות (תיקוני חקיקה), התשפ""ו-2026")</f>
        <v>476</v>
      </c>
      <c r="E178" t="s">
        <v>476</v>
      </c>
      <c r="F178" t="s">
        <v>477</v>
      </c>
      <c r="G178" t="s">
        <v>14</v>
      </c>
      <c r="H178">
             </c>
      <c r="I178" t="s">
        <v>14</v>
      </c>
      <c r="J178" t="s">
        <v>242</v>
      </c>
      <c r="K178" t="s">
        <v>14</v>
      </c>
      <c r="L178" t="s">
        <v>20</v>
      </c>
      <c r="M178" t="s">
        <v>465</v>
      </c>
      <c r="N178" t="s">
        <v>14</v>
      </c>
    </row>
    <row r="179" x14ac:dyDescent="0.25">
      <c r="A179" t="n">
        <v>25</v>
      </c>
      <c r="B179" t="s">
        <v>14</v>
      </c>
      <c r="C179" t="s">
        <v>51</v>
      </c>
      <c r="D179" s="2" t="s">
        <f>=HYPERLINK("https://main.knesset.gov.il/APPS/legislation/main/bills/2243163", "הצעת חוק המפלגות (תיקון - איסור תרומה על ידי שדלן), התשפ""ו-2026")</f>
        <v>478</v>
      </c>
      <c r="E179" t="s">
        <v>478</v>
      </c>
      <c r="F179" t="s">
        <v>479</v>
      </c>
      <c r="G179" t="s">
        <v>14</v>
      </c>
      <c r="H179">
             </c>
      <c r="I179" t="s">
        <v>14</v>
      </c>
      <c r="J179" t="s">
        <v>242</v>
      </c>
      <c r="K179" t="s">
        <v>14</v>
      </c>
      <c r="L179" t="s">
        <v>20</v>
      </c>
      <c r="M179" t="s">
        <v>465</v>
      </c>
      <c r="N179" t="s">
        <v>14</v>
      </c>
    </row>
    <row r="180" x14ac:dyDescent="0.25">
      <c r="A180" t="n">
        <v>25</v>
      </c>
      <c r="B180" t="s">
        <v>14</v>
      </c>
      <c r="C180" t="s">
        <v>51</v>
      </c>
      <c r="D180" s="2" t="s">
        <f>=HYPERLINK("https://main.knesset.gov.il/APPS/legislation/main/bills/2242178", "הצעת חוק סדר הדין הפלילי (תיקון - המצאה מלאה), התשפ""ו-2026")</f>
        <v>480</v>
      </c>
      <c r="E180" t="s">
        <v>480</v>
      </c>
      <c r="F180" t="s">
        <v>481</v>
      </c>
      <c r="G180" t="s">
        <v>14</v>
      </c>
      <c r="H180">
             </c>
      <c r="I180" t="s">
        <v>14</v>
      </c>
      <c r="J180" t="s">
        <v>242</v>
      </c>
      <c r="K180" t="s">
        <v>14</v>
      </c>
      <c r="L180" t="s">
        <v>20</v>
      </c>
      <c r="M180" t="s">
        <v>465</v>
      </c>
      <c r="N180" t="s">
        <v>14</v>
      </c>
    </row>
    <row r="181" x14ac:dyDescent="0.25">
      <c r="A181" t="n">
        <v>25</v>
      </c>
      <c r="B181" t="s">
        <v>14</v>
      </c>
      <c r="C181" t="s">
        <v>51</v>
      </c>
      <c r="D181" s="2" t="s">
        <f>=HYPERLINK("https://main.knesset.gov.il/APPS/legislation/main/bills/2236329", "הצעת חוק הקמת מאגר מידע גנטי לכלבים (תיקון - הסמכת מפקחים, אכיפה ועונשין), התשפ""ו-2026")</f>
        <v>482</v>
      </c>
      <c r="E181" t="s">
        <v>482</v>
      </c>
      <c r="F181" t="s">
        <v>483</v>
      </c>
      <c r="G181" t="s">
        <v>14</v>
      </c>
      <c r="H181">
             </c>
      <c r="I181" t="s">
        <v>14</v>
      </c>
      <c r="J181" t="s">
        <v>242</v>
      </c>
      <c r="K181" t="s">
        <v>14</v>
      </c>
      <c r="L181" t="s">
        <v>20</v>
      </c>
      <c r="M181" t="s">
        <v>465</v>
      </c>
      <c r="N181" t="s">
        <v>14</v>
      </c>
    </row>
    <row r="182" x14ac:dyDescent="0.25">
      <c r="A182" t="n">
        <v>25</v>
      </c>
      <c r="B182" t="s">
        <v>14</v>
      </c>
      <c r="C182" t="s">
        <v>51</v>
      </c>
      <c r="D182" s="2" t="s">
        <f>=HYPERLINK("https://main.knesset.gov.il/APPS/legislation/main/bills/2243257", "הצעת חוק הדרכונים (תיקון - מתן דרכון לעולה), התשפ״ו-2026")</f>
        <v>484</v>
      </c>
      <c r="E182" t="s">
        <v>484</v>
      </c>
      <c r="F182" t="s">
        <v>485</v>
      </c>
      <c r="G182" t="s">
        <v>14</v>
      </c>
      <c r="H182">
             </c>
      <c r="I182" t="s">
        <v>14</v>
      </c>
      <c r="J182" t="s">
        <v>242</v>
      </c>
      <c r="K182" t="s">
        <v>14</v>
      </c>
      <c r="L182" t="s">
        <v>20</v>
      </c>
      <c r="M182" t="s">
        <v>465</v>
      </c>
      <c r="N182" t="s">
        <v>14</v>
      </c>
    </row>
    <row r="183" x14ac:dyDescent="0.25">
      <c r="A183" t="n">
        <v>25</v>
      </c>
      <c r="B183" t="s">
        <v>14</v>
      </c>
      <c r="C183" t="s">
        <v>51</v>
      </c>
      <c r="D183" s="2" t="s">
        <f>=HYPERLINK("https://main.knesset.gov.il/APPS/legislation/main/bills/2243800", "הצעת חוק-יסוד: לימוד תורה")</f>
        <v>486</v>
      </c>
      <c r="E183" t="s">
        <v>486</v>
      </c>
      <c r="F183" t="s">
        <v>487</v>
      </c>
      <c r="G183" t="s">
        <v>14</v>
      </c>
      <c r="H183">
             </c>
      <c r="I183" t="s">
        <v>14</v>
      </c>
      <c r="J183" t="s">
        <v>202</v>
      </c>
      <c r="K183" t="s">
        <v>14</v>
      </c>
      <c r="L183" t="s">
        <v>20</v>
      </c>
      <c r="M183" t="s">
        <v>465</v>
      </c>
      <c r="N183" t="s">
        <v>14</v>
      </c>
    </row>
    <row r="184" x14ac:dyDescent="0.25">
      <c r="A184" t="n">
        <v>25</v>
      </c>
      <c r="B184" t="s">
        <v>14</v>
      </c>
      <c r="C184" t="s">
        <v>51</v>
      </c>
      <c r="D184" s="2" t="s">
        <f>=HYPERLINK("https://main.knesset.gov.il/APPS/legislation/main/bills/2243238", "הצעת חוק הרשויות המקומיות (בחירות) (תיקון - הארכת תקופת הכהונה), התשפ""ו-2026")</f>
        <v>488</v>
      </c>
      <c r="E184" t="s">
        <v>488</v>
      </c>
      <c r="F184" t="s">
        <v>489</v>
      </c>
      <c r="G184" t="s">
        <v>14</v>
      </c>
      <c r="H184">
             </c>
      <c r="I184" t="s">
        <v>14</v>
      </c>
      <c r="J184" t="s">
        <v>242</v>
      </c>
      <c r="K184" t="s">
        <v>14</v>
      </c>
      <c r="L184" t="s">
        <v>20</v>
      </c>
      <c r="M184" t="s">
        <v>465</v>
      </c>
      <c r="N184" t="s">
        <v>14</v>
      </c>
    </row>
    <row r="185" x14ac:dyDescent="0.25">
      <c r="A185" t="n">
        <v>25</v>
      </c>
      <c r="B185" t="s">
        <v>14</v>
      </c>
      <c r="C185" t="s">
        <v>51</v>
      </c>
      <c r="D185" s="2" t="s">
        <f>=HYPERLINK("https://main.knesset.gov.il/APPS/legislation/main/bills/2243493", "הצעת חוק משפחות חיילים שנספו במערכה (תגמולים ושיקום) (תיקון - הכרה במי ששלח יד בנפשו כחייל שנספה במערכה) (הוראת שעה - חרבות ברזל), התשפ""ו-2026")</f>
        <v>490</v>
      </c>
      <c r="E185" t="s">
        <v>490</v>
      </c>
      <c r="F185" t="s">
        <v>491</v>
      </c>
      <c r="G185" t="s">
        <v>14</v>
      </c>
      <c r="H185">
             </c>
      <c r="I185" t="s">
        <v>14</v>
      </c>
      <c r="J185" t="s">
        <v>242</v>
      </c>
      <c r="K185" t="s">
        <v>14</v>
      </c>
      <c r="L185" t="s">
        <v>20</v>
      </c>
      <c r="M185" t="s">
        <v>465</v>
      </c>
      <c r="N185" t="s">
        <v>14</v>
      </c>
    </row>
    <row r="186" x14ac:dyDescent="0.25">
      <c r="A186" t="n">
        <v>25</v>
      </c>
      <c r="B186" t="s">
        <v>14</v>
      </c>
      <c r="C186" t="s">
        <v>51</v>
      </c>
      <c r="D186" s="2" t="s">
        <f>=HYPERLINK("https://main.knesset.gov.il/APPS/legislation/main/bills/2243169", "הצעת חוק הרשות השנייה לטלוויזיה ורדיו (תיקון - תקופת זיכיון), התשפ""ו-2026")</f>
        <v>492</v>
      </c>
      <c r="E186" t="s">
        <v>492</v>
      </c>
      <c r="F186" t="s">
        <v>493</v>
      </c>
      <c r="G186" t="s">
        <v>14</v>
      </c>
      <c r="H186">
             </c>
      <c r="I186" t="s">
        <v>14</v>
      </c>
      <c r="J186" t="s">
        <v>242</v>
      </c>
      <c r="K186" t="s">
        <v>14</v>
      </c>
      <c r="L186" t="s">
        <v>20</v>
      </c>
      <c r="M186" t="s">
        <v>465</v>
      </c>
      <c r="N186" t="s">
        <v>14</v>
      </c>
    </row>
    <row r="187" x14ac:dyDescent="0.25">
      <c r="A187" t="n">
        <v>25</v>
      </c>
      <c r="B187" t="s">
        <v>14</v>
      </c>
      <c r="C187" t="s">
        <v>51</v>
      </c>
      <c r="D187" s="2" t="s">
        <f>=HYPERLINK("https://main.knesset.gov.il/APPS/legislation/main/bills/2243540", "הצעת חוק משפחות חיילים שנספו במערכה (תגמולים ושיקום) (תיקון - זכאות להיתר העסקת עובד זר למשפחות שכולות), התשפ""ו-2026")</f>
        <v>494</v>
      </c>
      <c r="E187" t="s">
        <v>494</v>
      </c>
      <c r="F187" t="s">
        <v>495</v>
      </c>
      <c r="G187" t="s">
        <v>14</v>
      </c>
      <c r="H187">
             </c>
      <c r="I187" t="s">
        <v>14</v>
      </c>
      <c r="J187" t="s">
        <v>242</v>
      </c>
      <c r="K187" t="s">
        <v>14</v>
      </c>
      <c r="L187" t="s">
        <v>20</v>
      </c>
      <c r="M187" t="s">
        <v>465</v>
      </c>
      <c r="N187" t="s">
        <v>14</v>
      </c>
    </row>
    <row r="188" x14ac:dyDescent="0.25">
      <c r="A188" t="n">
        <v>25</v>
      </c>
      <c r="B188" t="s">
        <v>14</v>
      </c>
      <c r="C188" t="s">
        <v>51</v>
      </c>
      <c r="D188" s="2" t="s">
        <f>=HYPERLINK("https://main.knesset.gov.il/APPS/legislation/main/bills/2243158", "הצעת חוק הרשויות המקומיות (בחירות) (תיקון - הגבלת הזכות להיבחר בשל כתב אישום),  התשפ""ו-2026")</f>
        <v>496</v>
      </c>
      <c r="E188" t="s">
        <v>496</v>
      </c>
      <c r="F188" t="s">
        <v>497</v>
      </c>
      <c r="G188" t="s">
        <v>14</v>
      </c>
      <c r="H188">
             </c>
      <c r="I188" t="s">
        <v>14</v>
      </c>
      <c r="J188" t="s">
        <v>242</v>
      </c>
      <c r="K188" t="s">
        <v>14</v>
      </c>
      <c r="L188" t="s">
        <v>20</v>
      </c>
      <c r="M188" t="s">
        <v>465</v>
      </c>
      <c r="N188" t="s">
        <v>14</v>
      </c>
    </row>
    <row r="189" x14ac:dyDescent="0.25">
      <c r="A189" t="n">
        <v>25</v>
      </c>
      <c r="B189" t="s">
        <v>14</v>
      </c>
      <c r="C189" t="s">
        <v>51</v>
      </c>
      <c r="D189" s="2" t="s">
        <f>=HYPERLINK("https://main.knesset.gov.il/APPS/legislation/main/bills/2243802", "הצעת חוק משפחות חיילים שנספו במערכה (תגמולים ושיקום) (תיקון - השוואת זכויות של יתום עצמאי ליתום משני הורים), התשפ""ו-2026")</f>
        <v>498</v>
      </c>
      <c r="E189" t="s">
        <v>498</v>
      </c>
      <c r="F189" t="s">
        <v>499</v>
      </c>
      <c r="G189" t="s">
        <v>14</v>
      </c>
      <c r="H189">
             </c>
      <c r="I189" t="s">
        <v>14</v>
      </c>
      <c r="J189" t="s">
        <v>242</v>
      </c>
      <c r="K189" t="s">
        <v>14</v>
      </c>
      <c r="L189" t="s">
        <v>20</v>
      </c>
      <c r="M189" t="s">
        <v>465</v>
      </c>
      <c r="N189" t="s">
        <v>14</v>
      </c>
    </row>
    <row r="190" x14ac:dyDescent="0.25">
      <c r="A190" t="n">
        <v>25</v>
      </c>
      <c r="B190" t="s">
        <v>14</v>
      </c>
      <c r="C190" t="s">
        <v>51</v>
      </c>
      <c r="D190" s="2" t="s">
        <f>=HYPERLINK("https://main.knesset.gov.il/APPS/legislation/main/bills/2220194", "הצעת חוק הסדרת העיסוק בייעוץ משכנתאות, התשפ""ו–2026")</f>
        <v>500</v>
      </c>
      <c r="E190" t="s">
        <v>500</v>
      </c>
      <c r="F190" t="s">
        <v>501</v>
      </c>
      <c r="G190" t="s">
        <v>502</v>
      </c>
      <c r="H190">
             </c>
      <c r="I190" t="s">
        <v>14</v>
      </c>
      <c r="J190" t="s">
        <v>162</v>
      </c>
      <c r="K190" t="s">
        <v>84</v>
      </c>
      <c r="L190" t="s">
        <v>20</v>
      </c>
      <c r="M190" t="s">
        <v>465</v>
      </c>
      <c r="N190" t="s">
        <v>14</v>
      </c>
    </row>
    <row r="191" x14ac:dyDescent="0.25">
      <c r="A191" t="n">
        <v>25</v>
      </c>
      <c r="B191" t="s">
        <v>14</v>
      </c>
      <c r="C191" t="s">
        <v>15</v>
      </c>
      <c r="D191" s="2" t="s">
        <f>=HYPERLINK("https://main.knesset.gov.il/APPS/legislation/main/bills/2240507", "פרק י""ד (שדות תעופה בשיתוף המגזר הפרטי) מתוך הצעת חוק התוכנית הכלכלית (תיקוני חקיקה ליישום המדיניות הכלכלית לשנת התקציב 2026), התשפ""ו-2026 [פוצלה לפי סעיף 84(ב) לתקנון]")</f>
        <v>503</v>
      </c>
      <c r="E191" t="s">
        <v>503</v>
      </c>
      <c r="F191" t="s">
        <v>14</v>
      </c>
      <c r="G191" t="s">
        <v>29</v>
      </c>
      <c r="H191">
             </c>
      <c r="I191" t="s">
        <v>14</v>
      </c>
      <c r="J191" t="s">
        <v>38</v>
      </c>
      <c r="K191" t="s">
        <v>84</v>
      </c>
      <c r="L191" t="s">
        <v>20</v>
      </c>
      <c r="M191" t="s">
        <v>504</v>
      </c>
      <c r="N191" t="s">
        <v>14</v>
      </c>
    </row>
    <row r="192" x14ac:dyDescent="0.25">
      <c r="A192" t="n">
        <v>25</v>
      </c>
      <c r="B192" t="s">
        <v>14</v>
      </c>
      <c r="C192" t="s">
        <v>51</v>
      </c>
      <c r="D192" s="2" t="s">
        <f>=HYPERLINK("https://main.knesset.gov.il/APPS/legislation/main/bills/2232339", "חוק הטבות מס ליישוב אזור קו עימות מזרחי (הוראת שעה), התשפ""ו–2026")</f>
        <v>505</v>
      </c>
      <c r="E192" t="s">
        <v>505</v>
      </c>
      <c r="F192" t="s">
        <v>506</v>
      </c>
      <c r="G192" t="s">
        <v>507</v>
      </c>
      <c r="H192" t="n">
        <v>3531</v>
      </c>
      <c r="I192" t="s">
        <v>14</v>
      </c>
      <c r="J192" t="s">
        <v>18</v>
      </c>
      <c r="K192" t="s">
        <v>24</v>
      </c>
      <c r="L192" t="s">
        <v>20</v>
      </c>
      <c r="M192" t="s">
        <v>508</v>
      </c>
      <c r="N192" t="s">
        <v>14</v>
      </c>
    </row>
    <row r="193" x14ac:dyDescent="0.25">
      <c r="A193" t="n">
        <v>25</v>
      </c>
      <c r="B193" t="s">
        <v>14</v>
      </c>
      <c r="C193" t="s">
        <v>51</v>
      </c>
      <c r="D193" s="2" t="s">
        <f>=HYPERLINK("https://main.knesset.gov.il/APPS/legislation/main/bills/2239466", "הצעת חוק כלי הירייה (תיקון - הודעה על מסוכנות על ידי משרד הרווחה והביטחון החברתי), התשפ""ו-2026 ")</f>
        <v>509</v>
      </c>
      <c r="E193" t="s">
        <v>509</v>
      </c>
      <c r="F193" t="s">
        <v>510</v>
      </c>
      <c r="G193" t="s">
        <v>14</v>
      </c>
      <c r="H193">
             </c>
      <c r="I193" t="s">
        <v>14</v>
      </c>
      <c r="J193" t="s">
        <v>193</v>
      </c>
      <c r="K193" t="s">
        <v>14</v>
      </c>
      <c r="L193" t="s">
        <v>20</v>
      </c>
      <c r="M193" t="s">
        <v>508</v>
      </c>
      <c r="N193" t="s">
        <v>14</v>
      </c>
    </row>
    <row r="194" x14ac:dyDescent="0.25">
      <c r="A194" t="n">
        <v>25</v>
      </c>
      <c r="B194" t="s">
        <v>14</v>
      </c>
      <c r="C194" t="s">
        <v>51</v>
      </c>
      <c r="D194" s="2" t="s">
        <f>=HYPERLINK("https://main.knesset.gov.il/APPS/legislation/main/bills/2240133", "הצעת חוק האזרחים הוותיקים (תיקון - תגמול מחיה לאזרחים ותיקים), התשפ""ו-2026")</f>
        <v>511</v>
      </c>
      <c r="E194" t="s">
        <v>511</v>
      </c>
      <c r="F194" t="s">
        <v>512</v>
      </c>
      <c r="G194" t="s">
        <v>14</v>
      </c>
      <c r="H194">
             </c>
      <c r="I194" t="s">
        <v>14</v>
      </c>
      <c r="J194" t="s">
        <v>193</v>
      </c>
      <c r="K194" t="s">
        <v>14</v>
      </c>
      <c r="L194" t="s">
        <v>20</v>
      </c>
      <c r="M194" t="s">
        <v>508</v>
      </c>
      <c r="N194" t="s">
        <v>14</v>
      </c>
    </row>
    <row r="195" x14ac:dyDescent="0.25">
      <c r="A195" t="n">
        <v>25</v>
      </c>
      <c r="B195" t="s">
        <v>14</v>
      </c>
      <c r="C195" t="s">
        <v>51</v>
      </c>
      <c r="D195" s="2" t="s">
        <f>=HYPERLINK("https://main.knesset.gov.il/APPS/legislation/main/bills/2240625", "הצעת חוק חסינות חברי הכנסת, זכויותיהם וחובותיהם (תיקון - סייג לחסינות בפני מעצר בשל אי-התייצבות לחקירה), התשפ""ו-2026")</f>
        <v>513</v>
      </c>
      <c r="E195" t="s">
        <v>513</v>
      </c>
      <c r="F195" t="s">
        <v>514</v>
      </c>
      <c r="G195" t="s">
        <v>14</v>
      </c>
      <c r="H195">
             </c>
      <c r="I195" t="s">
        <v>14</v>
      </c>
      <c r="J195" t="s">
        <v>193</v>
      </c>
      <c r="K195" t="s">
        <v>14</v>
      </c>
      <c r="L195" t="s">
        <v>20</v>
      </c>
      <c r="M195" t="s">
        <v>508</v>
      </c>
      <c r="N195" t="s">
        <v>14</v>
      </c>
    </row>
    <row r="196" x14ac:dyDescent="0.25">
      <c r="A196" t="n">
        <v>25</v>
      </c>
      <c r="B196" t="s">
        <v>14</v>
      </c>
      <c r="C196" t="s">
        <v>51</v>
      </c>
      <c r="D196" s="2" t="s">
        <f>=HYPERLINK("https://main.knesset.gov.il/APPS/legislation/main/bills/2237848", "הצעת חוק הרשתות החברתיות והגנה על קטינים, התשפ""ו-2026")</f>
        <v>515</v>
      </c>
      <c r="E196" t="s">
        <v>515</v>
      </c>
      <c r="F196" t="s">
        <v>516</v>
      </c>
      <c r="G196" t="s">
        <v>14</v>
      </c>
      <c r="H196">
             </c>
      <c r="I196" t="s">
        <v>14</v>
      </c>
      <c r="J196" t="s">
        <v>193</v>
      </c>
      <c r="K196" t="s">
        <v>14</v>
      </c>
      <c r="L196" t="s">
        <v>20</v>
      </c>
      <c r="M196" t="s">
        <v>508</v>
      </c>
      <c r="N196" t="s">
        <v>14</v>
      </c>
    </row>
    <row r="197" x14ac:dyDescent="0.25">
      <c r="A197" t="n">
        <v>25</v>
      </c>
      <c r="B197" t="s">
        <v>14</v>
      </c>
      <c r="C197" t="s">
        <v>51</v>
      </c>
      <c r="D197" s="2" t="s">
        <f>=HYPERLINK("https://main.knesset.gov.il/APPS/legislation/main/bills/2238892", "הצעת חוק לעידוד השימוש בתחבורה ציבורית על ידי עובדים (תיקוני חקיקה), התשפ""ו-2026")</f>
        <v>517</v>
      </c>
      <c r="E197" t="s">
        <v>517</v>
      </c>
      <c r="F197" t="s">
        <v>518</v>
      </c>
      <c r="G197" t="s">
        <v>14</v>
      </c>
      <c r="H197">
             </c>
      <c r="I197" t="s">
        <v>14</v>
      </c>
      <c r="J197" t="s">
        <v>193</v>
      </c>
      <c r="K197" t="s">
        <v>14</v>
      </c>
      <c r="L197" t="s">
        <v>20</v>
      </c>
      <c r="M197" t="s">
        <v>508</v>
      </c>
      <c r="N197" t="s">
        <v>14</v>
      </c>
    </row>
    <row r="198" x14ac:dyDescent="0.25">
      <c r="A198" t="n">
        <v>25</v>
      </c>
      <c r="B198" t="s">
        <v>14</v>
      </c>
      <c r="C198" t="s">
        <v>51</v>
      </c>
      <c r="D198" s="2" t="s">
        <f>=HYPERLINK("https://main.knesset.gov.il/APPS/legislation/main/bills/2233581", "הצעת חוק העונשין (תיקון - ביטול עבירת המטרד על ידי עיסוק בזנות), התשפ""ה-2025")</f>
        <v>404</v>
      </c>
      <c r="E198" t="s">
        <v>404</v>
      </c>
      <c r="F198" t="s">
        <v>519</v>
      </c>
      <c r="G198" t="s">
        <v>14</v>
      </c>
      <c r="H198">
             </c>
      <c r="I198" t="s">
        <v>14</v>
      </c>
      <c r="J198" t="s">
        <v>152</v>
      </c>
      <c r="K198" t="s">
        <v>27</v>
      </c>
      <c r="L198" t="s">
        <v>20</v>
      </c>
      <c r="M198" t="s">
        <v>508</v>
      </c>
      <c r="N198" t="s">
        <v>14</v>
      </c>
    </row>
    <row r="199" x14ac:dyDescent="0.25">
      <c r="A199" t="n">
        <v>25</v>
      </c>
      <c r="B199" t="s">
        <v>14</v>
      </c>
      <c r="C199" t="s">
        <v>51</v>
      </c>
      <c r="D199" s="2" t="s">
        <f>=HYPERLINK("https://main.knesset.gov.il/APPS/legislation/main/bills/2233474", "הצעת חוק העונשין (תיקון - ביטול עבירת המטרד על ידי עיסוק בזנות), התשפ""ה-2025")</f>
        <v>404</v>
      </c>
      <c r="E199" t="s">
        <v>404</v>
      </c>
      <c r="F199" t="s">
        <v>520</v>
      </c>
      <c r="G199" t="s">
        <v>14</v>
      </c>
      <c r="H199">
             </c>
      <c r="I199" t="s">
        <v>14</v>
      </c>
      <c r="J199" t="s">
        <v>152</v>
      </c>
      <c r="K199" t="s">
        <v>27</v>
      </c>
      <c r="L199" t="s">
        <v>20</v>
      </c>
      <c r="M199" t="s">
        <v>508</v>
      </c>
      <c r="N199" t="s">
        <v>14</v>
      </c>
    </row>
    <row r="200" x14ac:dyDescent="0.25">
      <c r="A200" t="n">
        <v>25</v>
      </c>
      <c r="B200" t="s">
        <v>14</v>
      </c>
      <c r="C200" t="s">
        <v>51</v>
      </c>
      <c r="D200" s="2" t="s">
        <f>=HYPERLINK("https://main.knesset.gov.il/APPS/legislation/main/bills/2226389", "הצעת חוק קרן לאזרחי ישראל (תיקון - הבטחת תקצוב הנגב), התשפ""ה-2025")</f>
        <v>521</v>
      </c>
      <c r="E200" t="s">
        <v>521</v>
      </c>
      <c r="F200" t="s">
        <v>522</v>
      </c>
      <c r="G200" t="s">
        <v>14</v>
      </c>
      <c r="H200">
             </c>
      <c r="I200" t="s">
        <v>14</v>
      </c>
      <c r="J200" t="s">
        <v>193</v>
      </c>
      <c r="K200" t="s">
        <v>14</v>
      </c>
      <c r="L200" t="s">
        <v>20</v>
      </c>
      <c r="M200" t="s">
        <v>508</v>
      </c>
      <c r="N200" t="s">
        <v>14</v>
      </c>
    </row>
    <row r="201" x14ac:dyDescent="0.25">
      <c r="A201" t="n">
        <v>25</v>
      </c>
      <c r="B201" t="s">
        <v>14</v>
      </c>
      <c r="C201" t="s">
        <v>51</v>
      </c>
      <c r="D201" s="2" t="s">
        <f>=HYPERLINK("https://main.knesset.gov.il/APPS/legislation/main/bills/2200223", "הצעת חוק החקלאות, התשפ""ג-2023")</f>
        <v>523</v>
      </c>
      <c r="E201" t="s">
        <v>523</v>
      </c>
      <c r="F201" t="s">
        <v>524</v>
      </c>
      <c r="G201" t="s">
        <v>14</v>
      </c>
      <c r="H201">
             </c>
      <c r="I201" t="s">
        <v>14</v>
      </c>
      <c r="J201" t="s">
        <v>193</v>
      </c>
      <c r="K201" t="s">
        <v>14</v>
      </c>
      <c r="L201" t="s">
        <v>20</v>
      </c>
      <c r="M201" t="s">
        <v>508</v>
      </c>
      <c r="N201" t="s">
        <v>14</v>
      </c>
    </row>
    <row r="202" x14ac:dyDescent="0.25">
      <c r="A202" t="n">
        <v>25</v>
      </c>
      <c r="B202" t="s">
        <v>14</v>
      </c>
      <c r="C202" t="s">
        <v>51</v>
      </c>
      <c r="D202" s="2" t="s">
        <f>=HYPERLINK("https://main.knesset.gov.il/APPS/legislation/main/bills/2199810", "הצעת חוק צער בעלי חיים (הגנה על בעלי חיים) (תיקון - קביעת עונש מינימום בגין התעללות בבעלי חיים), התשפ""ג-2023")</f>
        <v>525</v>
      </c>
      <c r="E202" t="s">
        <v>525</v>
      </c>
      <c r="F202" t="s">
        <v>526</v>
      </c>
      <c r="G202" t="s">
        <v>14</v>
      </c>
      <c r="H202">
             </c>
      <c r="I202" t="s">
        <v>14</v>
      </c>
      <c r="J202" t="s">
        <v>193</v>
      </c>
      <c r="K202" t="s">
        <v>14</v>
      </c>
      <c r="L202" t="s">
        <v>20</v>
      </c>
      <c r="M202" t="s">
        <v>508</v>
      </c>
      <c r="N202" t="s">
        <v>14</v>
      </c>
    </row>
    <row r="203" x14ac:dyDescent="0.25">
      <c r="A203" t="n">
        <v>25</v>
      </c>
      <c r="B203" t="s">
        <v>14</v>
      </c>
      <c r="C203" t="s">
        <v>51</v>
      </c>
      <c r="D203" s="2" t="s">
        <f>=HYPERLINK("https://main.knesset.gov.il/APPS/legislation/main/bills/2197076", "הצעת חוק העונשין (תיקון - ביטול עבירת המטרד על ידי עיסוק בזנות), התשפ""ג-2023")</f>
        <v>527</v>
      </c>
      <c r="E203" t="s">
        <v>527</v>
      </c>
      <c r="F203" t="s">
        <v>528</v>
      </c>
      <c r="G203" t="s">
        <v>14</v>
      </c>
      <c r="H203">
             </c>
      <c r="I203" t="s">
        <v>14</v>
      </c>
      <c r="J203" t="s">
        <v>152</v>
      </c>
      <c r="K203" t="s">
        <v>27</v>
      </c>
      <c r="L203" t="s">
        <v>20</v>
      </c>
      <c r="M203" t="s">
        <v>508</v>
      </c>
      <c r="N203" t="s">
        <v>14</v>
      </c>
    </row>
    <row r="204" x14ac:dyDescent="0.25">
      <c r="A204" t="n">
        <v>25</v>
      </c>
      <c r="B204" t="s">
        <v>14</v>
      </c>
      <c r="C204" t="s">
        <v>51</v>
      </c>
      <c r="D204" s="2" t="s">
        <f>=HYPERLINK("https://main.knesset.gov.il/APPS/legislation/main/bills/2198403", "הצעת חוק בתי המשפט (תיקון - קביעת הרכבים בבית המשפט העליון וקביעת דיון נוסף), התשפ""ה-2025")</f>
        <v>529</v>
      </c>
      <c r="E204" t="s">
        <v>529</v>
      </c>
      <c r="F204" t="s">
        <v>530</v>
      </c>
      <c r="G204" t="s">
        <v>14</v>
      </c>
      <c r="H204">
             </c>
      <c r="I204" t="s">
        <v>14</v>
      </c>
      <c r="J204" t="s">
        <v>152</v>
      </c>
      <c r="K204" t="s">
        <v>27</v>
      </c>
      <c r="L204" t="s">
        <v>20</v>
      </c>
      <c r="M204" t="s">
        <v>531</v>
      </c>
      <c r="N204" t="s">
        <v>14</v>
      </c>
    </row>
    <row r="205" x14ac:dyDescent="0.25">
      <c r="A205" t="n">
        <v>25</v>
      </c>
      <c r="B205" t="s">
        <v>14</v>
      </c>
      <c r="C205" t="s">
        <v>51</v>
      </c>
      <c r="D205" s="2" t="s">
        <f>=HYPERLINK("https://main.knesset.gov.il/APPS/legislation/main/bills/2200570", "הצעת חוק רשות המורשת ביהודה והשומרון, התשפ""ו–2026")</f>
        <v>532</v>
      </c>
      <c r="E205" t="s">
        <v>532</v>
      </c>
      <c r="F205" t="s">
        <v>533</v>
      </c>
      <c r="G205" t="s">
        <v>534</v>
      </c>
      <c r="H205">
             </c>
      <c r="I205" t="s">
        <v>14</v>
      </c>
      <c r="J205" t="s">
        <v>38</v>
      </c>
      <c r="K205" t="s">
        <v>79</v>
      </c>
      <c r="L205" t="s">
        <v>20</v>
      </c>
      <c r="M205" t="s">
        <v>535</v>
      </c>
      <c r="N205" t="s">
        <v>14</v>
      </c>
    </row>
    <row r="206" x14ac:dyDescent="0.25">
      <c r="A206" t="n">
        <v>25</v>
      </c>
      <c r="B206" t="s">
        <v>14</v>
      </c>
      <c r="C206" t="s">
        <v>51</v>
      </c>
      <c r="D206" s="2" t="s">
        <f>=HYPERLINK("https://main.knesset.gov.il/APPS/legislation/main/bills/2229315", "הצעת חוק לתיקון פקודת מס הכנסה (הטבות במס ליישוב מאוים ביהודה והשומרון), התשפ""ה-2025")</f>
        <v>536</v>
      </c>
      <c r="E206" t="s">
        <v>536</v>
      </c>
      <c r="F206" t="s">
        <v>537</v>
      </c>
      <c r="G206" t="s">
        <v>14</v>
      </c>
      <c r="H206">
             </c>
      <c r="I206" t="s">
        <v>14</v>
      </c>
      <c r="J206" t="s">
        <v>183</v>
      </c>
      <c r="K206" t="s">
        <v>24</v>
      </c>
      <c r="L206" t="s">
        <v>20</v>
      </c>
      <c r="M206" t="s">
        <v>535</v>
      </c>
      <c r="N206" t="s">
        <v>14</v>
      </c>
    </row>
    <row r="207" x14ac:dyDescent="0.25">
      <c r="A207" t="n">
        <v>25</v>
      </c>
      <c r="B207" t="s">
        <v>14</v>
      </c>
      <c r="C207" t="s">
        <v>51</v>
      </c>
      <c r="D207" s="2" t="s">
        <f>=HYPERLINK("https://main.knesset.gov.il/APPS/legislation/main/bills/2240684", "הצעת חוק התפזרות הכנסת העשרים וחמש, התשפ""ו-2026")</f>
        <v>538</v>
      </c>
      <c r="E207" t="s">
        <v>538</v>
      </c>
      <c r="F207" t="s">
        <v>539</v>
      </c>
      <c r="G207" t="s">
        <v>14</v>
      </c>
      <c r="H207">
             </c>
      <c r="I207" t="s">
        <v>14</v>
      </c>
      <c r="J207" t="s">
        <v>152</v>
      </c>
      <c r="K207" t="s">
        <v>42</v>
      </c>
      <c r="L207" t="s">
        <v>20</v>
      </c>
      <c r="M207" t="s">
        <v>535</v>
      </c>
      <c r="N207" t="s">
        <v>14</v>
      </c>
    </row>
    <row r="208" x14ac:dyDescent="0.25">
      <c r="A208" t="n">
        <v>25</v>
      </c>
      <c r="B208" t="s">
        <v>14</v>
      </c>
      <c r="C208" t="s">
        <v>51</v>
      </c>
      <c r="D208" s="2" t="s">
        <f>=HYPERLINK("https://main.knesset.gov.il/APPS/legislation/main/bills/2243179", "הצעת חוק התפזרות הכנסת העשרים וחמש, התשפ""ו-2026")</f>
        <v>538</v>
      </c>
      <c r="E208" t="s">
        <v>538</v>
      </c>
      <c r="F208" t="s">
        <v>540</v>
      </c>
      <c r="G208" t="s">
        <v>541</v>
      </c>
      <c r="H208">
             </c>
      <c r="I208" t="s">
        <v>14</v>
      </c>
      <c r="J208" t="s">
        <v>38</v>
      </c>
      <c r="K208" t="s">
        <v>42</v>
      </c>
      <c r="L208" t="s">
        <v>20</v>
      </c>
      <c r="M208" t="s">
        <v>535</v>
      </c>
      <c r="N208" t="s">
        <v>14</v>
      </c>
    </row>
    <row r="209" x14ac:dyDescent="0.25">
      <c r="A209" t="n">
        <v>25</v>
      </c>
      <c r="B209" t="s">
        <v>14</v>
      </c>
      <c r="C209" t="s">
        <v>51</v>
      </c>
      <c r="D209" s="2" t="s">
        <f>=HYPERLINK("https://main.knesset.gov.il/APPS/legislation/main/bills/2233960", "הצעת חוק התפזרות הכנסת העשרים וחמש, התשפ""ה-2025")</f>
        <v>542</v>
      </c>
      <c r="E209" t="s">
        <v>542</v>
      </c>
      <c r="F209" t="s">
        <v>543</v>
      </c>
      <c r="G209" t="s">
        <v>14</v>
      </c>
      <c r="H209">
             </c>
      <c r="I209" t="s">
        <v>14</v>
      </c>
      <c r="J209" t="s">
        <v>152</v>
      </c>
      <c r="K209" t="s">
        <v>42</v>
      </c>
      <c r="L209" t="s">
        <v>20</v>
      </c>
      <c r="M209" t="s">
        <v>535</v>
      </c>
      <c r="N209" t="s">
        <v>14</v>
      </c>
    </row>
    <row r="210" x14ac:dyDescent="0.25">
      <c r="A210" t="n">
        <v>25</v>
      </c>
      <c r="B210" t="s">
        <v>14</v>
      </c>
      <c r="C210" t="s">
        <v>51</v>
      </c>
      <c r="D210" s="2" t="s">
        <f>=HYPERLINK("https://main.knesset.gov.il/APPS/legislation/main/bills/2219404", "הצעת חוק הבחירות לכנסת (תיקון - ייצוג נשים ברשימות מועמדים), התשפ״ו-2026")</f>
        <v>544</v>
      </c>
      <c r="E210" t="s">
        <v>544</v>
      </c>
      <c r="F210" t="s">
        <v>545</v>
      </c>
      <c r="G210" t="s">
        <v>14</v>
      </c>
      <c r="H210">
             </c>
      <c r="I210" t="s">
        <v>14</v>
      </c>
      <c r="J210" t="s">
        <v>242</v>
      </c>
      <c r="K210" t="s">
        <v>14</v>
      </c>
      <c r="L210" t="s">
        <v>20</v>
      </c>
      <c r="M210" t="s">
        <v>535</v>
      </c>
      <c r="N210" t="s">
        <v>14</v>
      </c>
    </row>
    <row r="211" x14ac:dyDescent="0.25">
      <c r="A211" t="n">
        <v>25</v>
      </c>
      <c r="B211" t="s">
        <v>14</v>
      </c>
      <c r="C211" t="s">
        <v>51</v>
      </c>
      <c r="D211" s="2" t="s">
        <f>=HYPERLINK("https://main.knesset.gov.il/APPS/legislation/main/bills/2243278", "הצעת חוק העונשין (תיקון - השחתת מודעות על רקע מגדר), התשפ""ו-2026")</f>
        <v>546</v>
      </c>
      <c r="E211" t="s">
        <v>546</v>
      </c>
      <c r="F211" t="s">
        <v>547</v>
      </c>
      <c r="G211" t="s">
        <v>14</v>
      </c>
      <c r="H211">
             </c>
      <c r="I211" t="s">
        <v>14</v>
      </c>
      <c r="J211" t="s">
        <v>242</v>
      </c>
      <c r="K211" t="s">
        <v>14</v>
      </c>
      <c r="L211" t="s">
        <v>20</v>
      </c>
      <c r="M211" t="s">
        <v>535</v>
      </c>
      <c r="N211" t="s">
        <v>14</v>
      </c>
    </row>
    <row r="212" x14ac:dyDescent="0.25">
      <c r="A212" t="n">
        <v>25</v>
      </c>
      <c r="B212" t="s">
        <v>14</v>
      </c>
      <c r="C212" t="s">
        <v>51</v>
      </c>
      <c r="D212" s="2" t="s">
        <f>=HYPERLINK("https://main.knesset.gov.il/APPS/legislation/main/bills/2242372", "הצעת חוק החמרת ענישה למורשעים במגע עם סוכן חוץ מטעם מדינת איראן, התשפ""ו-2026")</f>
        <v>548</v>
      </c>
      <c r="E212" t="s">
        <v>548</v>
      </c>
      <c r="F212" t="s">
        <v>549</v>
      </c>
      <c r="G212" t="s">
        <v>14</v>
      </c>
      <c r="H212">
             </c>
      <c r="I212" t="s">
        <v>14</v>
      </c>
      <c r="J212" t="s">
        <v>242</v>
      </c>
      <c r="K212" t="s">
        <v>14</v>
      </c>
      <c r="L212" t="s">
        <v>20</v>
      </c>
      <c r="M212" t="s">
        <v>535</v>
      </c>
      <c r="N212" t="s">
        <v>14</v>
      </c>
    </row>
    <row r="213" x14ac:dyDescent="0.25">
      <c r="A213" t="n">
        <v>25</v>
      </c>
      <c r="B213" t="s">
        <v>14</v>
      </c>
      <c r="C213" t="s">
        <v>51</v>
      </c>
      <c r="D213" s="2" t="s">
        <f>=HYPERLINK("https://main.knesset.gov.il/APPS/legislation/main/bills/2242747", "הצעת חוק העונשין (תיקון - ביטול סעיף העלבת עובד ציבור), התשפ""ו-2026")</f>
        <v>550</v>
      </c>
      <c r="E213" t="s">
        <v>550</v>
      </c>
      <c r="F213" t="s">
        <v>551</v>
      </c>
      <c r="G213" t="s">
        <v>14</v>
      </c>
      <c r="H213">
             </c>
      <c r="I213" t="s">
        <v>14</v>
      </c>
      <c r="J213" t="s">
        <v>242</v>
      </c>
      <c r="K213" t="s">
        <v>14</v>
      </c>
      <c r="L213" t="s">
        <v>20</v>
      </c>
      <c r="M213" t="s">
        <v>535</v>
      </c>
      <c r="N213" t="s">
        <v>14</v>
      </c>
    </row>
    <row r="214" x14ac:dyDescent="0.25">
      <c r="A214" t="n">
        <v>25</v>
      </c>
      <c r="B214" t="s">
        <v>14</v>
      </c>
      <c r="C214" t="s">
        <v>51</v>
      </c>
      <c r="D214" s="2" t="s">
        <f>=HYPERLINK("https://main.knesset.gov.il/APPS/legislation/main/bills/2242718", "הצעת חוק העונשין (תיקון - הפקרה אחרי אירוע אלים), התשפ״ו-2026")</f>
        <v>552</v>
      </c>
      <c r="E214" t="s">
        <v>552</v>
      </c>
      <c r="F214" t="s">
        <v>553</v>
      </c>
      <c r="G214" t="s">
        <v>14</v>
      </c>
      <c r="H214">
             </c>
      <c r="I214" t="s">
        <v>14</v>
      </c>
      <c r="J214" t="s">
        <v>242</v>
      </c>
      <c r="K214" t="s">
        <v>14</v>
      </c>
      <c r="L214" t="s">
        <v>20</v>
      </c>
      <c r="M214" t="s">
        <v>535</v>
      </c>
      <c r="N214" t="s">
        <v>14</v>
      </c>
    </row>
    <row r="215" x14ac:dyDescent="0.25">
      <c r="A215" t="n">
        <v>25</v>
      </c>
      <c r="B215" t="s">
        <v>14</v>
      </c>
      <c r="C215" t="s">
        <v>51</v>
      </c>
      <c r="D215" s="2" t="s">
        <f>=HYPERLINK("https://main.knesset.gov.il/APPS/legislation/main/bills/2242743", "הצעת חוק מרשם האוכלוסין (תיקון - רישום בן זוג שנפטר בספח תעודת הזהות), התשפ""ו-2026")</f>
        <v>554</v>
      </c>
      <c r="E215" t="s">
        <v>554</v>
      </c>
      <c r="F215" t="s">
        <v>555</v>
      </c>
      <c r="G215" t="s">
        <v>14</v>
      </c>
      <c r="H215">
             </c>
      <c r="I215" t="s">
        <v>14</v>
      </c>
      <c r="J215" t="s">
        <v>242</v>
      </c>
      <c r="K215" t="s">
        <v>14</v>
      </c>
      <c r="L215" t="s">
        <v>20</v>
      </c>
      <c r="M215" t="s">
        <v>535</v>
      </c>
      <c r="N215" t="s">
        <v>14</v>
      </c>
    </row>
    <row r="216" x14ac:dyDescent="0.25">
      <c r="A216" t="n">
        <v>25</v>
      </c>
      <c r="B216" t="s">
        <v>14</v>
      </c>
      <c r="C216" t="s">
        <v>51</v>
      </c>
      <c r="D216" s="2" t="s">
        <f>=HYPERLINK("https://main.knesset.gov.il/APPS/legislation/main/bills/2242621", "הצעת חוק-יסוד: הכנסת (תיקון - תמיכה במדינת אויב בעת מאבק מזוין) ")</f>
        <v>556</v>
      </c>
      <c r="E216" t="s">
        <v>556</v>
      </c>
      <c r="F216" t="s">
        <v>557</v>
      </c>
      <c r="G216" t="s">
        <v>14</v>
      </c>
      <c r="H216">
             </c>
      <c r="I216" t="s">
        <v>14</v>
      </c>
      <c r="J216" t="s">
        <v>242</v>
      </c>
      <c r="K216" t="s">
        <v>14</v>
      </c>
      <c r="L216" t="s">
        <v>20</v>
      </c>
      <c r="M216" t="s">
        <v>535</v>
      </c>
      <c r="N216" t="s">
        <v>14</v>
      </c>
    </row>
    <row r="217" x14ac:dyDescent="0.25">
      <c r="A217" t="n">
        <v>25</v>
      </c>
      <c r="B217" t="s">
        <v>14</v>
      </c>
      <c r="C217" t="s">
        <v>51</v>
      </c>
      <c r="D217" s="2" t="s">
        <f>=HYPERLINK("https://main.knesset.gov.il/APPS/legislation/main/bills/2243011", "הצעת חוק-יסוד: הממשלה (תיקון - קביעת ממלא מקום ראש הממשלה)")</f>
        <v>558</v>
      </c>
      <c r="E217" t="s">
        <v>558</v>
      </c>
      <c r="F217" t="s">
        <v>559</v>
      </c>
      <c r="G217" t="s">
        <v>14</v>
      </c>
      <c r="H217">
             </c>
      <c r="I217" t="s">
        <v>14</v>
      </c>
      <c r="J217" t="s">
        <v>242</v>
      </c>
      <c r="K217" t="s">
        <v>14</v>
      </c>
      <c r="L217" t="s">
        <v>20</v>
      </c>
      <c r="M217" t="s">
        <v>535</v>
      </c>
      <c r="N217" t="s">
        <v>14</v>
      </c>
    </row>
    <row r="218" x14ac:dyDescent="0.25">
      <c r="A218" t="n">
        <v>25</v>
      </c>
      <c r="B218" t="s">
        <v>14</v>
      </c>
      <c r="C218" t="s">
        <v>51</v>
      </c>
      <c r="D218" s="2" t="s">
        <f>=HYPERLINK("https://main.knesset.gov.il/APPS/legislation/main/bills/2243353", "הצעת חוק הבטחת קשר בין ילדים והוריהם, התשפ""ו-2026")</f>
        <v>560</v>
      </c>
      <c r="E218" t="s">
        <v>560</v>
      </c>
      <c r="F218" t="s">
        <v>561</v>
      </c>
      <c r="G218" t="s">
        <v>14</v>
      </c>
      <c r="H218">
             </c>
      <c r="I218" t="s">
        <v>14</v>
      </c>
      <c r="J218" t="s">
        <v>242</v>
      </c>
      <c r="K218" t="s">
        <v>14</v>
      </c>
      <c r="L218" t="s">
        <v>20</v>
      </c>
      <c r="M218" t="s">
        <v>535</v>
      </c>
      <c r="N218" t="s">
        <v>14</v>
      </c>
    </row>
    <row r="219" x14ac:dyDescent="0.25">
      <c r="A219" t="n">
        <v>25</v>
      </c>
      <c r="B219" t="s">
        <v>14</v>
      </c>
      <c r="C219" t="s">
        <v>51</v>
      </c>
      <c r="D219" s="2" t="s">
        <f>=HYPERLINK("https://main.knesset.gov.il/APPS/legislation/main/bills/2243087", "הצעת חוק העונשין (תיקון - אלימות קבוצתית כנסיבה מחמירה של רצח והחמרת ענישה על המתה בקלות דעת), התשפ""ו-2026")</f>
        <v>562</v>
      </c>
      <c r="E219" t="s">
        <v>562</v>
      </c>
      <c r="F219" t="s">
        <v>563</v>
      </c>
      <c r="G219" t="s">
        <v>14</v>
      </c>
      <c r="H219">
             </c>
      <c r="I219" t="s">
        <v>14</v>
      </c>
      <c r="J219" t="s">
        <v>242</v>
      </c>
      <c r="K219" t="s">
        <v>14</v>
      </c>
      <c r="L219" t="s">
        <v>20</v>
      </c>
      <c r="M219" t="s">
        <v>535</v>
      </c>
      <c r="N219" t="s">
        <v>14</v>
      </c>
    </row>
    <row r="220" x14ac:dyDescent="0.25">
      <c r="A220" t="n">
        <v>25</v>
      </c>
      <c r="B220" t="s">
        <v>14</v>
      </c>
      <c r="C220" t="s">
        <v>51</v>
      </c>
      <c r="D220" s="2" t="s">
        <f>=HYPERLINK("https://main.knesset.gov.il/APPS/legislation/main/bills/2243236", "הצעת חוק-יסוד: חובת שירות לכל")</f>
        <v>564</v>
      </c>
      <c r="E220" t="s">
        <v>564</v>
      </c>
      <c r="F220" t="s">
        <v>565</v>
      </c>
      <c r="G220" t="s">
        <v>14</v>
      </c>
      <c r="H220">
             </c>
      <c r="I220" t="s">
        <v>14</v>
      </c>
      <c r="J220" t="s">
        <v>242</v>
      </c>
      <c r="K220" t="s">
        <v>14</v>
      </c>
      <c r="L220" t="s">
        <v>20</v>
      </c>
      <c r="M220" t="s">
        <v>535</v>
      </c>
      <c r="N220" t="s">
        <v>14</v>
      </c>
    </row>
    <row r="221" x14ac:dyDescent="0.25">
      <c r="A221" t="n">
        <v>25</v>
      </c>
      <c r="B221" t="s">
        <v>14</v>
      </c>
      <c r="C221" t="s">
        <v>51</v>
      </c>
      <c r="D221" s="2" t="s">
        <f>=HYPERLINK("https://main.knesset.gov.il/APPS/legislation/main/bills/2242927", "הצעת חוק העונשין (תיקון - ביטול עבירת המטרד על ידי עיסוק בזנות), התשפ""ו-2026")</f>
        <v>566</v>
      </c>
      <c r="E221" t="s">
        <v>566</v>
      </c>
      <c r="F221" t="s">
        <v>567</v>
      </c>
      <c r="G221" t="s">
        <v>14</v>
      </c>
      <c r="H221">
             </c>
      <c r="I221" t="s">
        <v>14</v>
      </c>
      <c r="J221" t="s">
        <v>242</v>
      </c>
      <c r="K221" t="s">
        <v>14</v>
      </c>
      <c r="L221" t="s">
        <v>20</v>
      </c>
      <c r="M221" t="s">
        <v>535</v>
      </c>
      <c r="N221" t="s">
        <v>14</v>
      </c>
    </row>
    <row r="222" x14ac:dyDescent="0.25">
      <c r="A222" t="n">
        <v>25</v>
      </c>
      <c r="B222" t="s">
        <v>14</v>
      </c>
      <c r="C222" t="s">
        <v>51</v>
      </c>
      <c r="D222" s="2" t="s">
        <f>=HYPERLINK("https://main.knesset.gov.il/APPS/legislation/main/bills/2243214", "הצעת חוק זכויות נפגעי עבירה (תיקון - התרת פרסום שמו של פוגע), התשפ""ו-2026")</f>
        <v>568</v>
      </c>
      <c r="E222" t="s">
        <v>568</v>
      </c>
      <c r="F222" t="s">
        <v>569</v>
      </c>
      <c r="G222" t="s">
        <v>14</v>
      </c>
      <c r="H222">
             </c>
      <c r="I222" t="s">
        <v>14</v>
      </c>
      <c r="J222" t="s">
        <v>242</v>
      </c>
      <c r="K222" t="s">
        <v>14</v>
      </c>
      <c r="L222" t="s">
        <v>20</v>
      </c>
      <c r="M222" t="s">
        <v>535</v>
      </c>
      <c r="N222" t="s">
        <v>14</v>
      </c>
    </row>
    <row r="223" x14ac:dyDescent="0.25">
      <c r="A223" t="n">
        <v>25</v>
      </c>
      <c r="B223" t="s">
        <v>14</v>
      </c>
      <c r="C223" t="s">
        <v>51</v>
      </c>
      <c r="D223" s="2" t="s">
        <f>=HYPERLINK("https://main.knesset.gov.il/APPS/legislation/main/bills/2238516", "הצעת חוק שיקום נרחב לחבל תנופה כאזור מיקוד לאומי, התשפ""ו-2026")</f>
        <v>570</v>
      </c>
      <c r="E223" t="s">
        <v>570</v>
      </c>
      <c r="F223" t="s">
        <v>571</v>
      </c>
      <c r="G223" t="s">
        <v>14</v>
      </c>
      <c r="H223">
             </c>
      <c r="I223" t="s">
        <v>14</v>
      </c>
      <c r="J223" t="s">
        <v>242</v>
      </c>
      <c r="K223" t="s">
        <v>14</v>
      </c>
      <c r="L223" t="s">
        <v>20</v>
      </c>
      <c r="M223" t="s">
        <v>535</v>
      </c>
      <c r="N223" t="s">
        <v>14</v>
      </c>
    </row>
    <row r="224" x14ac:dyDescent="0.25">
      <c r="A224" t="n">
        <v>25</v>
      </c>
      <c r="B224" t="s">
        <v>14</v>
      </c>
      <c r="C224" t="s">
        <v>51</v>
      </c>
      <c r="D224" s="2" t="s">
        <f>=HYPERLINK("https://main.knesset.gov.il/APPS/legislation/main/bills/2243325", "הצעת חוק הפיקוח על שירותים פיננסיים (ביטוח) (תיקון - כתב שירות ללא מעורבות מבטח) (הוראת שעה), התשפ""ו-2026")</f>
        <v>572</v>
      </c>
      <c r="E224" t="s">
        <v>572</v>
      </c>
      <c r="F224" t="s">
        <v>573</v>
      </c>
      <c r="G224" t="s">
        <v>14</v>
      </c>
      <c r="H224">
             </c>
      <c r="I224" t="s">
        <v>14</v>
      </c>
      <c r="J224" t="s">
        <v>242</v>
      </c>
      <c r="K224" t="s">
        <v>14</v>
      </c>
      <c r="L224" t="s">
        <v>20</v>
      </c>
      <c r="M224" t="s">
        <v>535</v>
      </c>
      <c r="N224" t="s">
        <v>14</v>
      </c>
    </row>
    <row r="225" x14ac:dyDescent="0.25">
      <c r="A225" t="n">
        <v>25</v>
      </c>
      <c r="B225" t="s">
        <v>14</v>
      </c>
      <c r="C225" t="s">
        <v>51</v>
      </c>
      <c r="D225" s="2" t="s">
        <f>=HYPERLINK("https://main.knesset.gov.il/APPS/legislation/main/bills/2243387", "הצעת חוק התפזרות הכנסת העשרים וחמש, התשפ""ו-2026")</f>
        <v>538</v>
      </c>
      <c r="E225" t="s">
        <v>538</v>
      </c>
      <c r="F225" t="s">
        <v>574</v>
      </c>
      <c r="G225" t="s">
        <v>14</v>
      </c>
      <c r="H225">
             </c>
      <c r="I225" t="s">
        <v>14</v>
      </c>
      <c r="J225" t="s">
        <v>242</v>
      </c>
      <c r="K225" t="s">
        <v>14</v>
      </c>
      <c r="L225" t="s">
        <v>20</v>
      </c>
      <c r="M225" t="s">
        <v>535</v>
      </c>
      <c r="N225" t="s">
        <v>14</v>
      </c>
    </row>
    <row r="226" x14ac:dyDescent="0.25">
      <c r="A226" t="n">
        <v>25</v>
      </c>
      <c r="B226" t="s">
        <v>14</v>
      </c>
      <c r="C226" t="s">
        <v>51</v>
      </c>
      <c r="D226" s="2" t="s">
        <f>=HYPERLINK("https://main.knesset.gov.il/APPS/legislation/main/bills/2243017", "הצעת חוק הפעלת תחבורה ציבורית בשבת, התשפ""ו-2026")</f>
        <v>575</v>
      </c>
      <c r="E226" t="s">
        <v>575</v>
      </c>
      <c r="F226" t="s">
        <v>576</v>
      </c>
      <c r="G226" t="s">
        <v>14</v>
      </c>
      <c r="H226">
             </c>
      <c r="I226" t="s">
        <v>14</v>
      </c>
      <c r="J226" t="s">
        <v>242</v>
      </c>
      <c r="K226" t="s">
        <v>14</v>
      </c>
      <c r="L226" t="s">
        <v>20</v>
      </c>
      <c r="M226" t="s">
        <v>535</v>
      </c>
      <c r="N226" t="s">
        <v>14</v>
      </c>
    </row>
    <row r="227" x14ac:dyDescent="0.25">
      <c r="A227" t="n">
        <v>25</v>
      </c>
      <c r="B227" t="s">
        <v>14</v>
      </c>
      <c r="C227" t="s">
        <v>51</v>
      </c>
      <c r="D227" s="2" t="s">
        <f>=HYPERLINK("https://main.knesset.gov.il/APPS/legislation/main/bills/2243083", "הצעת חוק אמצעי מצוקה לאנשים עם מוגבלות ואזרחים ותיקים (תיקוני חקיקה), התשפ""ו-2026")</f>
        <v>577</v>
      </c>
      <c r="E227" t="s">
        <v>577</v>
      </c>
      <c r="F227" t="s">
        <v>578</v>
      </c>
      <c r="G227" t="s">
        <v>14</v>
      </c>
      <c r="H227">
             </c>
      <c r="I227" t="s">
        <v>14</v>
      </c>
      <c r="J227" t="s">
        <v>242</v>
      </c>
      <c r="K227" t="s">
        <v>14</v>
      </c>
      <c r="L227" t="s">
        <v>20</v>
      </c>
      <c r="M227" t="s">
        <v>535</v>
      </c>
      <c r="N227" t="s">
        <v>14</v>
      </c>
    </row>
    <row r="228" x14ac:dyDescent="0.25">
      <c r="A228" t="n">
        <v>25</v>
      </c>
      <c r="B228" t="s">
        <v>14</v>
      </c>
      <c r="C228" t="s">
        <v>51</v>
      </c>
      <c r="D228" s="2" t="s">
        <f>=HYPERLINK("https://main.knesset.gov.il/APPS/legislation/main/bills/2243116", "הצעת חוק קרן לאזרחי ישראל (תיקון - הבטחת תקצוב הנגב), התשפ""ו-2026")</f>
        <v>579</v>
      </c>
      <c r="E228" t="s">
        <v>579</v>
      </c>
      <c r="F228" t="s">
        <v>580</v>
      </c>
      <c r="G228" t="s">
        <v>14</v>
      </c>
      <c r="H228">
             </c>
      <c r="I228" t="s">
        <v>14</v>
      </c>
      <c r="J228" t="s">
        <v>242</v>
      </c>
      <c r="K228" t="s">
        <v>14</v>
      </c>
      <c r="L228" t="s">
        <v>20</v>
      </c>
      <c r="M228" t="s">
        <v>535</v>
      </c>
      <c r="N228" t="s">
        <v>14</v>
      </c>
    </row>
    <row r="229" x14ac:dyDescent="0.25">
      <c r="A229" t="n">
        <v>25</v>
      </c>
      <c r="B229" t="s">
        <v>14</v>
      </c>
      <c r="C229" t="s">
        <v>51</v>
      </c>
      <c r="D229" s="2" t="s">
        <f>=HYPERLINK("https://main.knesset.gov.il/APPS/legislation/main/bills/2242907", "הצעת חוק ההתנתקות והפיצויים לנפגעיה (תיקון - נוכחות וחופש תנועה לישראלים בחבל עזה), התשפ""ו-2026 ")</f>
        <v>581</v>
      </c>
      <c r="E229" t="s">
        <v>581</v>
      </c>
      <c r="F229" t="s">
        <v>582</v>
      </c>
      <c r="G229" t="s">
        <v>14</v>
      </c>
      <c r="H229">
             </c>
      <c r="I229" t="s">
        <v>14</v>
      </c>
      <c r="J229" t="s">
        <v>242</v>
      </c>
      <c r="K229" t="s">
        <v>14</v>
      </c>
      <c r="L229" t="s">
        <v>20</v>
      </c>
      <c r="M229" t="s">
        <v>535</v>
      </c>
      <c r="N229" t="s">
        <v>14</v>
      </c>
    </row>
    <row r="230" x14ac:dyDescent="0.25">
      <c r="A230" t="n">
        <v>25</v>
      </c>
      <c r="B230" t="s">
        <v>14</v>
      </c>
      <c r="C230" t="s">
        <v>51</v>
      </c>
      <c r="D230" s="2" t="s">
        <f>=HYPERLINK("https://main.knesset.gov.il/APPS/legislation/main/bills/2242337", " הצעת חוק ההתגוננות האזרחית (תיקון - פיקוח על מחירי הבנייה של מרחבים מוגנים דירתיים), התשפ""ו-2026")</f>
        <v>583</v>
      </c>
      <c r="E230" t="s">
        <v>583</v>
      </c>
      <c r="F230" t="s">
        <v>584</v>
      </c>
      <c r="G230" t="s">
        <v>14</v>
      </c>
      <c r="H230">
             </c>
      <c r="I230" t="s">
        <v>14</v>
      </c>
      <c r="J230" t="s">
        <v>242</v>
      </c>
      <c r="K230" t="s">
        <v>14</v>
      </c>
      <c r="L230" t="s">
        <v>20</v>
      </c>
      <c r="M230" t="s">
        <v>535</v>
      </c>
      <c r="N230" t="s">
        <v>14</v>
      </c>
    </row>
    <row r="231" x14ac:dyDescent="0.25">
      <c r="A231" t="n">
        <v>25</v>
      </c>
      <c r="B231" t="s">
        <v>14</v>
      </c>
      <c r="C231" t="s">
        <v>51</v>
      </c>
      <c r="D231" s="2" t="s">
        <f>=HYPERLINK("https://main.knesset.gov.il/APPS/legislation/main/bills/2243028", "הצעת חוק לטיפול בכתות פוגעניות, התשפ""ו-2026")</f>
        <v>585</v>
      </c>
      <c r="E231" t="s">
        <v>585</v>
      </c>
      <c r="F231" t="s">
        <v>586</v>
      </c>
      <c r="G231" t="s">
        <v>14</v>
      </c>
      <c r="H231">
             </c>
      <c r="I231" t="s">
        <v>14</v>
      </c>
      <c r="J231" t="s">
        <v>242</v>
      </c>
      <c r="K231" t="s">
        <v>14</v>
      </c>
      <c r="L231" t="s">
        <v>20</v>
      </c>
      <c r="M231" t="s">
        <v>535</v>
      </c>
      <c r="N231" t="s">
        <v>14</v>
      </c>
    </row>
    <row r="232" x14ac:dyDescent="0.25">
      <c r="A232" t="n">
        <v>25</v>
      </c>
      <c r="B232" t="s">
        <v>14</v>
      </c>
      <c r="C232" t="s">
        <v>51</v>
      </c>
      <c r="D232" s="2" t="s">
        <f>=HYPERLINK("https://main.knesset.gov.il/APPS/legislation/main/bills/2221686", "הצעת חוק רשויות מרחביות לתחבורה, התשפ""ו-2026")</f>
        <v>587</v>
      </c>
      <c r="E232" t="s">
        <v>587</v>
      </c>
      <c r="F232" t="s">
        <v>588</v>
      </c>
      <c r="G232" t="s">
        <v>14</v>
      </c>
      <c r="H232">
             </c>
      <c r="I232" t="s">
        <v>14</v>
      </c>
      <c r="J232" t="s">
        <v>242</v>
      </c>
      <c r="K232" t="s">
        <v>14</v>
      </c>
      <c r="L232" t="s">
        <v>20</v>
      </c>
      <c r="M232" t="s">
        <v>535</v>
      </c>
      <c r="N232" t="s">
        <v>14</v>
      </c>
    </row>
    <row r="233" x14ac:dyDescent="0.25">
      <c r="A233" t="n">
        <v>25</v>
      </c>
      <c r="B233" t="s">
        <v>14</v>
      </c>
      <c r="C233" t="s">
        <v>51</v>
      </c>
      <c r="D233" s="2" t="s">
        <f>=HYPERLINK("https://main.knesset.gov.il/APPS/legislation/main/bills/2243012", "הצעת חוק ההוצאה לפועל (תיקון - השהיית הליך ואי-נקיטתו כלפי אסירים משוחררים), התשפ""ו-2026")</f>
        <v>589</v>
      </c>
      <c r="E233" t="s">
        <v>589</v>
      </c>
      <c r="F233" t="s">
        <v>590</v>
      </c>
      <c r="G233" t="s">
        <v>14</v>
      </c>
      <c r="H233">
             </c>
      <c r="I233" t="s">
        <v>14</v>
      </c>
      <c r="J233" t="s">
        <v>242</v>
      </c>
      <c r="K233" t="s">
        <v>14</v>
      </c>
      <c r="L233" t="s">
        <v>20</v>
      </c>
      <c r="M233" t="s">
        <v>535</v>
      </c>
      <c r="N233" t="s">
        <v>14</v>
      </c>
    </row>
    <row r="234" x14ac:dyDescent="0.25">
      <c r="A234" t="n">
        <v>25</v>
      </c>
      <c r="B234" t="s">
        <v>14</v>
      </c>
      <c r="C234" t="s">
        <v>51</v>
      </c>
      <c r="D234" s="2" t="s">
        <f>=HYPERLINK("https://main.knesset.gov.il/APPS/legislation/main/bills/2243030", "הצעת חוק ארגון הפיקוח על העבודה (תיקון - הארכת הוראת שעה), התשפ""ו-2026")</f>
        <v>591</v>
      </c>
      <c r="E234" t="s">
        <v>591</v>
      </c>
      <c r="F234" t="s">
        <v>592</v>
      </c>
      <c r="G234" t="s">
        <v>14</v>
      </c>
      <c r="H234">
             </c>
      <c r="I234" t="s">
        <v>14</v>
      </c>
      <c r="J234" t="s">
        <v>242</v>
      </c>
      <c r="K234" t="s">
        <v>14</v>
      </c>
      <c r="L234" t="s">
        <v>20</v>
      </c>
      <c r="M234" t="s">
        <v>535</v>
      </c>
      <c r="N234" t="s">
        <v>14</v>
      </c>
    </row>
    <row r="235" x14ac:dyDescent="0.25">
      <c r="A235" t="n">
        <v>25</v>
      </c>
      <c r="B235" t="s">
        <v>14</v>
      </c>
      <c r="C235" t="s">
        <v>51</v>
      </c>
      <c r="D235" s="2" t="s">
        <f>=HYPERLINK("https://main.knesset.gov.il/APPS/legislation/main/bills/2243271", "הצעת חוק לתיקון פקודת המשטרה (חיזוק עצמאות המשטרה והגבלת המעורבות הפוליטית בעבודתה), התשפ״ו-2026")</f>
        <v>593</v>
      </c>
      <c r="E235" t="s">
        <v>593</v>
      </c>
      <c r="F235" t="s">
        <v>594</v>
      </c>
      <c r="G235" t="s">
        <v>14</v>
      </c>
      <c r="H235">
             </c>
      <c r="I235" t="s">
        <v>14</v>
      </c>
      <c r="J235" t="s">
        <v>242</v>
      </c>
      <c r="K235" t="s">
        <v>14</v>
      </c>
      <c r="L235" t="s">
        <v>20</v>
      </c>
      <c r="M235" t="s">
        <v>535</v>
      </c>
      <c r="N235" t="s">
        <v>14</v>
      </c>
    </row>
    <row r="236" x14ac:dyDescent="0.25">
      <c r="A236" t="n">
        <v>25</v>
      </c>
      <c r="B236" t="s">
        <v>14</v>
      </c>
      <c r="C236" t="s">
        <v>51</v>
      </c>
      <c r="D236" s="2" t="s">
        <f>=HYPERLINK("https://main.knesset.gov.il/APPS/legislation/main/bills/2243018", "הצעת חוק הממשלה (תיקון - קיום מסיבת עיתונאים עיתית לגופי התקשורת בישראל), התשפ""ו-2026")</f>
        <v>595</v>
      </c>
      <c r="E236" t="s">
        <v>595</v>
      </c>
      <c r="F236" t="s">
        <v>596</v>
      </c>
      <c r="G236" t="s">
        <v>14</v>
      </c>
      <c r="H236">
             </c>
      <c r="I236" t="s">
        <v>14</v>
      </c>
      <c r="J236" t="s">
        <v>242</v>
      </c>
      <c r="K236" t="s">
        <v>14</v>
      </c>
      <c r="L236" t="s">
        <v>20</v>
      </c>
      <c r="M236" t="s">
        <v>535</v>
      </c>
      <c r="N236" t="s">
        <v>14</v>
      </c>
    </row>
    <row r="237" x14ac:dyDescent="0.25">
      <c r="A237" t="n">
        <v>25</v>
      </c>
      <c r="B237" t="s">
        <v>14</v>
      </c>
      <c r="C237" t="s">
        <v>51</v>
      </c>
      <c r="D237" s="2" t="s">
        <f>=HYPERLINK("https://main.knesset.gov.il/APPS/legislation/main/bills/2243008", "הצעת חוק קידום החקלאות, התשפ""ו-2026")</f>
        <v>597</v>
      </c>
      <c r="E237" t="s">
        <v>597</v>
      </c>
      <c r="F237" t="s">
        <v>598</v>
      </c>
      <c r="G237" t="s">
        <v>14</v>
      </c>
      <c r="H237">
             </c>
      <c r="I237" t="s">
        <v>14</v>
      </c>
      <c r="J237" t="s">
        <v>242</v>
      </c>
      <c r="K237" t="s">
        <v>14</v>
      </c>
      <c r="L237" t="s">
        <v>20</v>
      </c>
      <c r="M237" t="s">
        <v>535</v>
      </c>
      <c r="N237" t="s">
        <v>14</v>
      </c>
    </row>
    <row r="238" x14ac:dyDescent="0.25">
      <c r="A238" t="n">
        <v>25</v>
      </c>
      <c r="B238" t="s">
        <v>14</v>
      </c>
      <c r="C238" t="s">
        <v>51</v>
      </c>
      <c r="D238" s="2" t="s">
        <f>=HYPERLINK("https://main.knesset.gov.il/APPS/legislation/main/bills/2243016", "הצעת חוק העונשין (תיקון - תקיפת עיתונאים), התשפ""ו-2026")</f>
        <v>599</v>
      </c>
      <c r="E238" t="s">
        <v>599</v>
      </c>
      <c r="F238" t="s">
        <v>600</v>
      </c>
      <c r="G238" t="s">
        <v>14</v>
      </c>
      <c r="H238">
             </c>
      <c r="I238" t="s">
        <v>14</v>
      </c>
      <c r="J238" t="s">
        <v>242</v>
      </c>
      <c r="K238" t="s">
        <v>14</v>
      </c>
      <c r="L238" t="s">
        <v>20</v>
      </c>
      <c r="M238" t="s">
        <v>535</v>
      </c>
      <c r="N238" t="s">
        <v>14</v>
      </c>
    </row>
    <row r="239" x14ac:dyDescent="0.25">
      <c r="A239" t="n">
        <v>25</v>
      </c>
      <c r="B239" t="s">
        <v>14</v>
      </c>
      <c r="C239" t="s">
        <v>51</v>
      </c>
      <c r="D239" s="2" t="s">
        <f>=HYPERLINK("https://main.knesset.gov.il/APPS/legislation/main/bills/2243358", "הצעת חוק למניעת חרם חברתי בבתי ספר, התשפ""ו-2026")</f>
        <v>601</v>
      </c>
      <c r="E239" t="s">
        <v>601</v>
      </c>
      <c r="F239" t="s">
        <v>602</v>
      </c>
      <c r="G239" t="s">
        <v>14</v>
      </c>
      <c r="H239">
             </c>
      <c r="I239" t="s">
        <v>14</v>
      </c>
      <c r="J239" t="s">
        <v>242</v>
      </c>
      <c r="K239" t="s">
        <v>14</v>
      </c>
      <c r="L239" t="s">
        <v>20</v>
      </c>
      <c r="M239" t="s">
        <v>535</v>
      </c>
      <c r="N239" t="s">
        <v>14</v>
      </c>
    </row>
    <row r="240" x14ac:dyDescent="0.25">
      <c r="A240" t="n">
        <v>25</v>
      </c>
      <c r="B240" t="s">
        <v>14</v>
      </c>
      <c r="C240" t="s">
        <v>51</v>
      </c>
      <c r="D240" s="2" t="s">
        <f>=HYPERLINK("https://main.knesset.gov.il/APPS/legislation/main/bills/2243484", "הצעת חוק משפחות חיילים שנספו במערכה (תגמולים ושיקום) (תיקון - השוואת זכויות של יתום עצמאי ליתום משני הורים), התשפ""ו-2026")</f>
        <v>498</v>
      </c>
      <c r="E240" t="s">
        <v>498</v>
      </c>
      <c r="F240" t="s">
        <v>603</v>
      </c>
      <c r="G240" t="s">
        <v>14</v>
      </c>
      <c r="H240">
             </c>
      <c r="I240" t="s">
        <v>14</v>
      </c>
      <c r="J240" t="s">
        <v>242</v>
      </c>
      <c r="K240" t="s">
        <v>14</v>
      </c>
      <c r="L240" t="s">
        <v>20</v>
      </c>
      <c r="M240" t="s">
        <v>535</v>
      </c>
      <c r="N240" t="s">
        <v>14</v>
      </c>
    </row>
    <row r="241" x14ac:dyDescent="0.25">
      <c r="A241" t="n">
        <v>25</v>
      </c>
      <c r="B241" t="s">
        <v>14</v>
      </c>
      <c r="C241" t="s">
        <v>51</v>
      </c>
      <c r="D241" s="2" t="s">
        <f>=HYPERLINK("https://main.knesset.gov.il/APPS/legislation/main/bills/2197130", "הצעת חוק הבנקאות (שירות ללקוח) (תיקון מס' 41), התשפ""ו–2026")</f>
        <v>604</v>
      </c>
      <c r="E241" t="s">
        <v>604</v>
      </c>
      <c r="F241" t="s">
        <v>605</v>
      </c>
      <c r="G241" t="s">
        <v>606</v>
      </c>
      <c r="H241">
             </c>
      <c r="I241" t="s">
        <v>166</v>
      </c>
      <c r="J241" t="s">
        <v>232</v>
      </c>
      <c r="K241" t="s">
        <v>84</v>
      </c>
      <c r="L241" t="s">
        <v>20</v>
      </c>
      <c r="M241" t="s">
        <v>535</v>
      </c>
      <c r="N241" t="s">
        <v>14</v>
      </c>
    </row>
    <row r="242" x14ac:dyDescent="0.25">
      <c r="A242" t="n">
        <v>25</v>
      </c>
      <c r="B242" t="s">
        <v>14</v>
      </c>
      <c r="C242" t="s">
        <v>51</v>
      </c>
      <c r="D242" s="2" t="s">
        <f>=HYPERLINK("https://main.knesset.gov.il/APPS/legislation/main/bills/2230560", "הצעת חוק שלילת הטבות מבכירים במערכת הביטחון, התשפ""ה-2025")</f>
        <v>607</v>
      </c>
      <c r="E242" t="s">
        <v>607</v>
      </c>
      <c r="F242" t="s">
        <v>608</v>
      </c>
      <c r="G242" t="s">
        <v>14</v>
      </c>
      <c r="H242">
             </c>
      <c r="I242" t="s">
        <v>14</v>
      </c>
      <c r="J242" t="s">
        <v>152</v>
      </c>
      <c r="K242" t="s">
        <v>39</v>
      </c>
      <c r="L242" t="s">
        <v>20</v>
      </c>
      <c r="M242" t="s">
        <v>609</v>
      </c>
      <c r="N242" t="s">
        <v>14</v>
      </c>
    </row>
    <row r="243" x14ac:dyDescent="0.25">
      <c r="A243" t="n">
        <v>25</v>
      </c>
      <c r="B243" t="s">
        <v>14</v>
      </c>
      <c r="C243" t="s">
        <v>51</v>
      </c>
      <c r="D243" s="2" t="s">
        <f>=HYPERLINK("https://main.knesset.gov.il/APPS/legislation/main/bills/2227066", "הצעת חוק שלילת הטבות מבכירים במערכת הביטחון, התשפ""ה-2025 ")</f>
        <v>610</v>
      </c>
      <c r="E243" t="s">
        <v>610</v>
      </c>
      <c r="F243" t="s">
        <v>611</v>
      </c>
      <c r="G243" t="s">
        <v>14</v>
      </c>
      <c r="H243">
             </c>
      <c r="I243" t="s">
        <v>14</v>
      </c>
      <c r="J243" t="s">
        <v>152</v>
      </c>
      <c r="K243" t="s">
        <v>39</v>
      </c>
      <c r="L243" t="s">
        <v>20</v>
      </c>
      <c r="M243" t="s">
        <v>609</v>
      </c>
      <c r="N243" t="s">
        <v>14</v>
      </c>
    </row>
    <row r="244" x14ac:dyDescent="0.25">
      <c r="A244" t="n">
        <v>25</v>
      </c>
      <c r="B244" t="s">
        <v>14</v>
      </c>
      <c r="C244" t="s">
        <v>15</v>
      </c>
      <c r="D244" s="2" t="s">
        <f>=HYPERLINK("https://main.knesset.gov.il/APPS/legislation/main/bills/2234108", "הצעת חוק עסקאות גופים ציבוריים (תיקון מס' 12) (איסור התקשרות עם ספק בשל מעורבות בפשיעה חמורה), התשפ""ה-2025 ")</f>
        <v>612</v>
      </c>
      <c r="E244" t="s">
        <v>612</v>
      </c>
      <c r="F244" t="s">
        <v>14</v>
      </c>
      <c r="G244" t="s">
        <v>613</v>
      </c>
      <c r="H244">
             </c>
      <c r="I244" t="s">
        <v>14</v>
      </c>
      <c r="J244" t="s">
        <v>38</v>
      </c>
      <c r="K244" t="s">
        <v>27</v>
      </c>
      <c r="L244" t="s">
        <v>20</v>
      </c>
      <c r="M244" t="s">
        <v>609</v>
      </c>
      <c r="N244" t="s">
        <v>14</v>
      </c>
    </row>
    <row r="245" x14ac:dyDescent="0.25">
      <c r="A245" t="n">
        <v>25</v>
      </c>
      <c r="B245" t="s">
        <v>14</v>
      </c>
      <c r="C245" t="s">
        <v>51</v>
      </c>
      <c r="D245" s="2" t="s">
        <f>=HYPERLINK("https://main.knesset.gov.il/APPS/legislation/main/bills/2240442", "הצעת חוק חוסן לישראל - הרשות הלאומית לחוסן נפשי ולטראומה, התשפ""ו-2026")</f>
        <v>614</v>
      </c>
      <c r="E245" t="s">
        <v>614</v>
      </c>
      <c r="F245" t="s">
        <v>615</v>
      </c>
      <c r="G245" t="s">
        <v>14</v>
      </c>
      <c r="H245">
             </c>
      <c r="I245" t="s">
        <v>14</v>
      </c>
      <c r="J245" t="s">
        <v>193</v>
      </c>
      <c r="K245" t="s">
        <v>14</v>
      </c>
      <c r="L245" t="s">
        <v>20</v>
      </c>
      <c r="M245" t="s">
        <v>609</v>
      </c>
      <c r="N245" t="s">
        <v>14</v>
      </c>
    </row>
    <row r="246" x14ac:dyDescent="0.25">
      <c r="A246" t="n">
        <v>25</v>
      </c>
      <c r="B246" t="s">
        <v>14</v>
      </c>
      <c r="C246" t="s">
        <v>51</v>
      </c>
      <c r="D246" s="2" t="s">
        <f>=HYPERLINK("https://main.knesset.gov.il/APPS/legislation/main/bills/2239563", "הצעת חוק מחיקת חובות שמקורם בתגמולי מילואים במלחמת חרבות ברזל (תיקוני חקיקה), התשפ""ו-2026")</f>
        <v>616</v>
      </c>
      <c r="E246" t="s">
        <v>616</v>
      </c>
      <c r="F246" t="s">
        <v>617</v>
      </c>
      <c r="G246" t="s">
        <v>14</v>
      </c>
      <c r="H246">
             </c>
      <c r="I246" t="s">
        <v>14</v>
      </c>
      <c r="J246" t="s">
        <v>193</v>
      </c>
      <c r="K246" t="s">
        <v>14</v>
      </c>
      <c r="L246" t="s">
        <v>20</v>
      </c>
      <c r="M246" t="s">
        <v>609</v>
      </c>
      <c r="N246" t="s">
        <v>14</v>
      </c>
    </row>
    <row r="247" x14ac:dyDescent="0.25">
      <c r="A247" t="n">
        <v>25</v>
      </c>
      <c r="B247" t="s">
        <v>14</v>
      </c>
      <c r="C247" t="s">
        <v>51</v>
      </c>
      <c r="D247" s="2" t="s">
        <f>=HYPERLINK("https://main.knesset.gov.il/APPS/legislation/main/bills/2220379", "הצעת חוק השידור הציבורי הישראלי (תיקון מס' 11) (תקציב תאגיד השידור הישראלי),  התשפ""ו–2026")</f>
        <v>618</v>
      </c>
      <c r="E247" t="s">
        <v>618</v>
      </c>
      <c r="F247" t="s">
        <v>619</v>
      </c>
      <c r="G247" t="s">
        <v>620</v>
      </c>
      <c r="H247">
             </c>
      <c r="I247" t="s">
        <v>14</v>
      </c>
      <c r="J247" t="s">
        <v>162</v>
      </c>
      <c r="K247" t="s">
        <v>24</v>
      </c>
      <c r="L247" t="s">
        <v>20</v>
      </c>
      <c r="M247" t="s">
        <v>609</v>
      </c>
      <c r="N247" t="s">
        <v>14</v>
      </c>
    </row>
    <row r="248" x14ac:dyDescent="0.25">
      <c r="A248" t="n">
        <v>25</v>
      </c>
      <c r="B248" t="s">
        <v>14</v>
      </c>
      <c r="C248" t="s">
        <v>51</v>
      </c>
      <c r="D248" s="2" t="s">
        <f>=HYPERLINK("https://main.knesset.gov.il/APPS/legislation/main/bills/2220905", "הצעת חוק העונשין (תיקון - איסור הנפת דגל של מדינת אויב או של הרשות הפלסטינית בגופים המתוקצבים או הנתמכים על ידי המדינה), התשפ""ד-2024")</f>
        <v>621</v>
      </c>
      <c r="E248" t="s">
        <v>621</v>
      </c>
      <c r="F248" t="s">
        <v>622</v>
      </c>
      <c r="G248" t="s">
        <v>14</v>
      </c>
      <c r="H248">
             </c>
      <c r="I248" t="s">
        <v>14</v>
      </c>
      <c r="J248" t="s">
        <v>152</v>
      </c>
      <c r="K248" t="s">
        <v>27</v>
      </c>
      <c r="L248" t="s">
        <v>20</v>
      </c>
      <c r="M248" t="s">
        <v>623</v>
      </c>
      <c r="N248" t="s">
        <v>14</v>
      </c>
    </row>
    <row r="249" x14ac:dyDescent="0.25">
      <c r="A249" t="n">
        <v>25</v>
      </c>
      <c r="B249" t="s">
        <v>14</v>
      </c>
      <c r="C249" t="s">
        <v>51</v>
      </c>
      <c r="D249" s="2" t="s">
        <f>=HYPERLINK("https://main.knesset.gov.il/APPS/legislation/main/bills/2202585", "הצעת חוק השמירה על המקומות הקדושים (תיקון - ייעוץ הרבנות הראשית), התשפ""ג-2023")</f>
        <v>624</v>
      </c>
      <c r="E249" t="s">
        <v>624</v>
      </c>
      <c r="F249" t="s">
        <v>625</v>
      </c>
      <c r="G249" t="s">
        <v>14</v>
      </c>
      <c r="H249">
             </c>
      <c r="I249" t="s">
        <v>14</v>
      </c>
      <c r="J249" t="s">
        <v>152</v>
      </c>
      <c r="K249" t="s">
        <v>27</v>
      </c>
      <c r="L249" t="s">
        <v>20</v>
      </c>
      <c r="M249" t="s">
        <v>626</v>
      </c>
      <c r="N249" t="s">
        <v>14</v>
      </c>
    </row>
    <row r="250" x14ac:dyDescent="0.25">
      <c r="A250" t="n">
        <v>25</v>
      </c>
      <c r="B250" t="s">
        <v>14</v>
      </c>
      <c r="C250" t="s">
        <v>51</v>
      </c>
      <c r="D250" s="2" t="s">
        <f>=HYPERLINK("https://main.knesset.gov.il/APPS/legislation/main/bills/2225412", "חוק הכניסה לישראל (תיקון מס' 41), התשפ""ה–2025")</f>
        <v>627</v>
      </c>
      <c r="E250" t="s">
        <v>627</v>
      </c>
      <c r="F250" t="s">
        <v>628</v>
      </c>
      <c r="G250" t="s">
        <v>629</v>
      </c>
      <c r="H250" t="n">
        <v>3425</v>
      </c>
      <c r="I250" t="s">
        <v>14</v>
      </c>
      <c r="J250" t="s">
        <v>18</v>
      </c>
      <c r="K250" t="s">
        <v>30</v>
      </c>
      <c r="L250" t="s">
        <v>20</v>
      </c>
      <c r="M250" t="s">
        <v>626</v>
      </c>
      <c r="N250" t="s">
        <v>630</v>
      </c>
    </row>
    <row r="251" x14ac:dyDescent="0.25">
      <c r="A251" t="n">
        <v>25</v>
      </c>
      <c r="B251" t="s">
        <v>14</v>
      </c>
      <c r="C251" t="s">
        <v>51</v>
      </c>
      <c r="D251" s="2" t="s">
        <f>=HYPERLINK("https://main.knesset.gov.il/APPS/legislation/main/bills/2217182", "חוק התכנון והבנייה (תיקון מס' 162 - הוראת שעה), התשפ""ה-2025")</f>
        <v>631</v>
      </c>
      <c r="E251" t="s">
        <v>631</v>
      </c>
      <c r="F251" t="s">
        <v>632</v>
      </c>
      <c r="G251" t="s">
        <v>633</v>
      </c>
      <c r="H251" t="n">
        <v>3440</v>
      </c>
      <c r="I251" t="s">
        <v>14</v>
      </c>
      <c r="J251" t="s">
        <v>18</v>
      </c>
      <c r="K251" t="s">
        <v>30</v>
      </c>
      <c r="L251" t="s">
        <v>20</v>
      </c>
      <c r="M251" t="s">
        <v>626</v>
      </c>
      <c r="N251" t="s">
        <v>634</v>
      </c>
    </row>
    <row r="252" x14ac:dyDescent="0.25">
      <c r="A252" t="n">
        <v>25</v>
      </c>
      <c r="B252" t="s">
        <v>14</v>
      </c>
      <c r="C252" t="s">
        <v>51</v>
      </c>
      <c r="D252" s="2" t="s">
        <f>=HYPERLINK("https://main.knesset.gov.il/APPS/legislation/main/bills/2242893", "הצעת חוק פינוי ובינוי של אזורי שיקום (הוראת שעה - כפר שלם), התשפ""ו-2026 ")</f>
        <v>635</v>
      </c>
      <c r="E252" t="s">
        <v>635</v>
      </c>
      <c r="F252" t="s">
        <v>636</v>
      </c>
      <c r="G252" t="s">
        <v>14</v>
      </c>
      <c r="H252">
             </c>
      <c r="I252" t="s">
        <v>14</v>
      </c>
      <c r="J252" t="s">
        <v>202</v>
      </c>
      <c r="K252" t="s">
        <v>14</v>
      </c>
      <c r="L252" t="s">
        <v>20</v>
      </c>
      <c r="M252" t="s">
        <v>626</v>
      </c>
      <c r="N252" t="s">
        <v>14</v>
      </c>
    </row>
    <row r="253" x14ac:dyDescent="0.25">
      <c r="A253" t="n">
        <v>25</v>
      </c>
      <c r="B253" t="s">
        <v>14</v>
      </c>
      <c r="C253" t="s">
        <v>51</v>
      </c>
      <c r="D253" s="2" t="s">
        <f>=HYPERLINK("https://main.knesset.gov.il/APPS/legislation/main/bills/2243285", "הצעת חוק עובדים זרים (תיקון - זכאות להיתר להעסקת עובד זר בסיעוד ליחיד שמלאו לו 85 שנים),  התשפ""ו-2026")</f>
        <v>637</v>
      </c>
      <c r="E253" t="s">
        <v>637</v>
      </c>
      <c r="F253" t="s">
        <v>638</v>
      </c>
      <c r="G253" t="s">
        <v>14</v>
      </c>
      <c r="H253">
             </c>
      <c r="I253" t="s">
        <v>14</v>
      </c>
      <c r="J253" t="s">
        <v>242</v>
      </c>
      <c r="K253" t="s">
        <v>14</v>
      </c>
      <c r="L253" t="s">
        <v>20</v>
      </c>
      <c r="M253" t="s">
        <v>626</v>
      </c>
      <c r="N253" t="s">
        <v>14</v>
      </c>
    </row>
    <row r="254" x14ac:dyDescent="0.25">
      <c r="A254" t="n">
        <v>25</v>
      </c>
      <c r="B254" t="s">
        <v>14</v>
      </c>
      <c r="C254" t="s">
        <v>51</v>
      </c>
      <c r="D254" s="2" t="s">
        <f>=HYPERLINK("https://main.knesset.gov.il/APPS/legislation/main/bills/2243015", "הצעת חוק מלחמת שמחת תורה, התשפ""ו-2026")</f>
        <v>639</v>
      </c>
      <c r="E254" t="s">
        <v>639</v>
      </c>
      <c r="F254" t="s">
        <v>640</v>
      </c>
      <c r="G254" t="s">
        <v>14</v>
      </c>
      <c r="H254">
             </c>
      <c r="I254" t="s">
        <v>14</v>
      </c>
      <c r="J254" t="s">
        <v>242</v>
      </c>
      <c r="K254" t="s">
        <v>14</v>
      </c>
      <c r="L254" t="s">
        <v>20</v>
      </c>
      <c r="M254" t="s">
        <v>626</v>
      </c>
      <c r="N254" t="s">
        <v>14</v>
      </c>
    </row>
    <row r="255" x14ac:dyDescent="0.25">
      <c r="A255" t="n">
        <v>25</v>
      </c>
      <c r="B255" t="s">
        <v>14</v>
      </c>
      <c r="C255" t="s">
        <v>51</v>
      </c>
      <c r="D255" s="2" t="s">
        <f>=HYPERLINK("https://main.knesset.gov.il/APPS/legislation/main/bills/2235117", "הצעת חוק לתיקון פקודת האגודות השיתופיות (זכויות חבר שאינו מתגורר בתחום האגודה), התשפ""ו-2026")</f>
        <v>641</v>
      </c>
      <c r="E255" t="s">
        <v>641</v>
      </c>
      <c r="F255" t="s">
        <v>642</v>
      </c>
      <c r="G255" t="s">
        <v>14</v>
      </c>
      <c r="H255">
             </c>
      <c r="I255" t="s">
        <v>14</v>
      </c>
      <c r="J255" t="s">
        <v>242</v>
      </c>
      <c r="K255" t="s">
        <v>14</v>
      </c>
      <c r="L255" t="s">
        <v>20</v>
      </c>
      <c r="M255" t="s">
        <v>626</v>
      </c>
      <c r="N255" t="s">
        <v>14</v>
      </c>
    </row>
    <row r="256" x14ac:dyDescent="0.25">
      <c r="A256" t="n">
        <v>25</v>
      </c>
      <c r="B256" t="s">
        <v>14</v>
      </c>
      <c r="C256" t="s">
        <v>51</v>
      </c>
      <c r="D256" s="2" t="s">
        <f>=HYPERLINK("https://main.knesset.gov.il/APPS/legislation/main/bills/2243164", "הצעת חוק לתיקון פקודת המשטרה (חובת לבישת מדים בהפגנות), התשפ""ו-2026")</f>
        <v>643</v>
      </c>
      <c r="E256" t="s">
        <v>643</v>
      </c>
      <c r="F256" t="s">
        <v>644</v>
      </c>
      <c r="G256" t="s">
        <v>14</v>
      </c>
      <c r="H256">
             </c>
      <c r="I256" t="s">
        <v>14</v>
      </c>
      <c r="J256" t="s">
        <v>242</v>
      </c>
      <c r="K256" t="s">
        <v>14</v>
      </c>
      <c r="L256" t="s">
        <v>20</v>
      </c>
      <c r="M256" t="s">
        <v>626</v>
      </c>
      <c r="N256" t="s">
        <v>14</v>
      </c>
    </row>
    <row r="257" x14ac:dyDescent="0.25">
      <c r="A257" t="n">
        <v>25</v>
      </c>
      <c r="B257" t="s">
        <v>14</v>
      </c>
      <c r="C257" t="s">
        <v>51</v>
      </c>
      <c r="D257" s="2" t="s">
        <f>=HYPERLINK("https://main.knesset.gov.il/APPS/legislation/main/bills/2242921", "הצעת חוק השבות (תיקון - הוספת המילה כהלכה), התשפ""ו-2026")</f>
        <v>645</v>
      </c>
      <c r="E257" t="s">
        <v>645</v>
      </c>
      <c r="F257" t="s">
        <v>646</v>
      </c>
      <c r="G257" t="s">
        <v>14</v>
      </c>
      <c r="H257">
             </c>
      <c r="I257" t="s">
        <v>14</v>
      </c>
      <c r="J257" t="s">
        <v>242</v>
      </c>
      <c r="K257" t="s">
        <v>14</v>
      </c>
      <c r="L257" t="s">
        <v>20</v>
      </c>
      <c r="M257" t="s">
        <v>626</v>
      </c>
      <c r="N257" t="s">
        <v>14</v>
      </c>
    </row>
    <row r="258" x14ac:dyDescent="0.25">
      <c r="A258" t="n">
        <v>25</v>
      </c>
      <c r="B258" t="s">
        <v>14</v>
      </c>
      <c r="C258" t="s">
        <v>51</v>
      </c>
      <c r="D258" s="2" t="s">
        <f>=HYPERLINK("https://main.knesset.gov.il/APPS/legislation/main/bills/2241082", "הצעת חוק השיפוט הצבאי (תיקון - הארכת תחולת החוק על עבירות מין), התשפ""ו-2026")</f>
        <v>647</v>
      </c>
      <c r="E258" t="s">
        <v>647</v>
      </c>
      <c r="F258" t="s">
        <v>648</v>
      </c>
      <c r="G258" t="s">
        <v>14</v>
      </c>
      <c r="H258">
             </c>
      <c r="I258" t="s">
        <v>14</v>
      </c>
      <c r="J258" t="s">
        <v>242</v>
      </c>
      <c r="K258" t="s">
        <v>14</v>
      </c>
      <c r="L258" t="s">
        <v>20</v>
      </c>
      <c r="M258" t="s">
        <v>626</v>
      </c>
      <c r="N258" t="s">
        <v>14</v>
      </c>
    </row>
    <row r="259" x14ac:dyDescent="0.25">
      <c r="A259" t="n">
        <v>25</v>
      </c>
      <c r="B259" t="s">
        <v>14</v>
      </c>
      <c r="C259" t="s">
        <v>51</v>
      </c>
      <c r="D259" s="2" t="s">
        <f>=HYPERLINK("https://main.knesset.gov.il/APPS/legislation/main/bills/2243014", "הצעת חוק לתיקון פקודת המשטרה (מינוי קצינים), התשפ""ו-2026")</f>
        <v>649</v>
      </c>
      <c r="E259" t="s">
        <v>649</v>
      </c>
      <c r="F259" t="s">
        <v>650</v>
      </c>
      <c r="G259" t="s">
        <v>14</v>
      </c>
      <c r="H259">
             </c>
      <c r="I259" t="s">
        <v>14</v>
      </c>
      <c r="J259" t="s">
        <v>242</v>
      </c>
      <c r="K259" t="s">
        <v>14</v>
      </c>
      <c r="L259" t="s">
        <v>20</v>
      </c>
      <c r="M259" t="s">
        <v>626</v>
      </c>
      <c r="N259" t="s">
        <v>14</v>
      </c>
    </row>
    <row r="260" x14ac:dyDescent="0.25">
      <c r="A260" t="n">
        <v>25</v>
      </c>
      <c r="B260" t="s">
        <v>14</v>
      </c>
      <c r="C260" t="s">
        <v>51</v>
      </c>
      <c r="D260" s="2" t="s">
        <f>=HYPERLINK("https://main.knesset.gov.il/APPS/legislation/main/bills/2243165", "הצעת חוק שקיפות אינטרסים כספיים וגילוי עניינים של חברי הכנסת והשרים, התשפ""ו-2026")</f>
        <v>651</v>
      </c>
      <c r="E260" t="s">
        <v>651</v>
      </c>
      <c r="F260" t="s">
        <v>652</v>
      </c>
      <c r="G260" t="s">
        <v>14</v>
      </c>
      <c r="H260">
             </c>
      <c r="I260" t="s">
        <v>14</v>
      </c>
      <c r="J260" t="s">
        <v>242</v>
      </c>
      <c r="K260" t="s">
        <v>14</v>
      </c>
      <c r="L260" t="s">
        <v>20</v>
      </c>
      <c r="M260" t="s">
        <v>626</v>
      </c>
      <c r="N260" t="s">
        <v>14</v>
      </c>
    </row>
    <row r="261" x14ac:dyDescent="0.25">
      <c r="A261" t="n">
        <v>25</v>
      </c>
      <c r="B261" t="s">
        <v>14</v>
      </c>
      <c r="C261" t="s">
        <v>51</v>
      </c>
      <c r="D261" s="2" t="s">
        <f>=HYPERLINK("https://main.knesset.gov.il/APPS/legislation/main/bills/2242438", "הצעת חוק שיקום נזקי מלחמה בדרך של התחדשות עירונית (תיקון - מימון בניית מרחב מוגן והוראות נוספות), התשפ""ו-2026")</f>
        <v>653</v>
      </c>
      <c r="E261" t="s">
        <v>653</v>
      </c>
      <c r="F261" t="s">
        <v>654</v>
      </c>
      <c r="G261" t="s">
        <v>14</v>
      </c>
      <c r="H261">
             </c>
      <c r="I261" t="s">
        <v>14</v>
      </c>
      <c r="J261" t="s">
        <v>242</v>
      </c>
      <c r="K261" t="s">
        <v>14</v>
      </c>
      <c r="L261" t="s">
        <v>20</v>
      </c>
      <c r="M261" t="s">
        <v>626</v>
      </c>
      <c r="N261" t="s">
        <v>14</v>
      </c>
    </row>
    <row r="262" x14ac:dyDescent="0.25">
      <c r="A262" t="n">
        <v>25</v>
      </c>
      <c r="B262" t="s">
        <v>14</v>
      </c>
      <c r="C262" t="s">
        <v>51</v>
      </c>
      <c r="D262" s="2" t="s">
        <f>=HYPERLINK("https://main.knesset.gov.il/APPS/legislation/main/bills/2242114", "הצעת חוק השיפוט הצבאי (תיקון - הבטחת תנאי דת לעצורים ולכלואים), התשפ""ו-2026")</f>
        <v>655</v>
      </c>
      <c r="E262" t="s">
        <v>655</v>
      </c>
      <c r="F262" t="s">
        <v>656</v>
      </c>
      <c r="G262" t="s">
        <v>14</v>
      </c>
      <c r="H262">
             </c>
      <c r="I262" t="s">
        <v>14</v>
      </c>
      <c r="J262" t="s">
        <v>242</v>
      </c>
      <c r="K262" t="s">
        <v>14</v>
      </c>
      <c r="L262" t="s">
        <v>20</v>
      </c>
      <c r="M262" t="s">
        <v>626</v>
      </c>
      <c r="N262" t="s">
        <v>14</v>
      </c>
    </row>
    <row r="263" x14ac:dyDescent="0.25">
      <c r="A263" t="n">
        <v>25</v>
      </c>
      <c r="B263" t="s">
        <v>14</v>
      </c>
      <c r="C263" t="s">
        <v>51</v>
      </c>
      <c r="D263" s="2" t="s">
        <f>=HYPERLINK("https://main.knesset.gov.il/APPS/legislation/main/bills/2243009", "הצעת חוק מימון הוצאות למשפחות שבויים, חטופים ונעדרים (תיקון - מענקי סיוע לטובת שיקום), התשפ""ו-2026")</f>
        <v>657</v>
      </c>
      <c r="E263" t="s">
        <v>657</v>
      </c>
      <c r="F263" t="s">
        <v>658</v>
      </c>
      <c r="G263" t="s">
        <v>14</v>
      </c>
      <c r="H263">
             </c>
      <c r="I263" t="s">
        <v>14</v>
      </c>
      <c r="J263" t="s">
        <v>242</v>
      </c>
      <c r="K263" t="s">
        <v>14</v>
      </c>
      <c r="L263" t="s">
        <v>20</v>
      </c>
      <c r="M263" t="s">
        <v>626</v>
      </c>
      <c r="N263" t="s">
        <v>14</v>
      </c>
    </row>
    <row r="264" x14ac:dyDescent="0.25">
      <c r="A264" t="n">
        <v>25</v>
      </c>
      <c r="B264" t="s">
        <v>14</v>
      </c>
      <c r="C264" t="s">
        <v>51</v>
      </c>
      <c r="D264" s="2" t="s">
        <f>=HYPERLINK("https://main.knesset.gov.il/APPS/legislation/main/bills/2242925", "הצעת חוק מעונות יום שיקומיים (תיקון - הוספת טיפול רגשי לפעוטות עם מוגבלות), התשפ""ו-2026")</f>
        <v>659</v>
      </c>
      <c r="E264" t="s">
        <v>659</v>
      </c>
      <c r="F264" t="s">
        <v>660</v>
      </c>
      <c r="G264" t="s">
        <v>14</v>
      </c>
      <c r="H264">
             </c>
      <c r="I264" t="s">
        <v>14</v>
      </c>
      <c r="J264" t="s">
        <v>242</v>
      </c>
      <c r="K264" t="s">
        <v>14</v>
      </c>
      <c r="L264" t="s">
        <v>20</v>
      </c>
      <c r="M264" t="s">
        <v>626</v>
      </c>
      <c r="N264" t="s">
        <v>14</v>
      </c>
    </row>
    <row r="265" x14ac:dyDescent="0.25">
      <c r="A265" t="n">
        <v>25</v>
      </c>
      <c r="B265" t="s">
        <v>14</v>
      </c>
      <c r="C265" t="s">
        <v>15</v>
      </c>
      <c r="D265" s="2" t="s">
        <f>=HYPERLINK("https://main.knesset.gov.il/APPS/legislation/main/bills/1046282", "הצעת חוק הכשרות המשפטית והאפוטרופסות (תיקון מס' 25), התשפ""ו-2026")</f>
        <v>661</v>
      </c>
      <c r="E265" t="s">
        <v>661</v>
      </c>
      <c r="F265" t="s">
        <v>14</v>
      </c>
      <c r="G265" t="s">
        <v>662</v>
      </c>
      <c r="H265">
             </c>
      <c r="I265" t="s">
        <v>14</v>
      </c>
      <c r="J265" t="s">
        <v>162</v>
      </c>
      <c r="K265" t="s">
        <v>14</v>
      </c>
      <c r="L265" t="s">
        <v>20</v>
      </c>
      <c r="M265" t="s">
        <v>626</v>
      </c>
      <c r="N265" t="s">
        <v>14</v>
      </c>
    </row>
    <row r="266" x14ac:dyDescent="0.25">
      <c r="A266" t="n">
        <v>25</v>
      </c>
      <c r="B266" t="s">
        <v>14</v>
      </c>
      <c r="C266" t="s">
        <v>15</v>
      </c>
      <c r="D266" s="2" t="s">
        <f>=HYPERLINK("https://main.knesset.gov.il/APPS/legislation/main/bills/1046345", "הצעת חוק לתיקון פקודת הרופאים (תיקון מס' 19), התשפ""ו-2026")</f>
        <v>663</v>
      </c>
      <c r="E266" t="s">
        <v>663</v>
      </c>
      <c r="F266" t="s">
        <v>14</v>
      </c>
      <c r="G266" t="s">
        <v>664</v>
      </c>
      <c r="H266">
             </c>
      <c r="I266" t="s">
        <v>14</v>
      </c>
      <c r="J266" t="s">
        <v>162</v>
      </c>
      <c r="K266" t="s">
        <v>14</v>
      </c>
      <c r="L266" t="s">
        <v>20</v>
      </c>
      <c r="M266" t="s">
        <v>626</v>
      </c>
      <c r="N266" t="s">
        <v>14</v>
      </c>
    </row>
    <row r="267" x14ac:dyDescent="0.25">
      <c r="A267" t="n">
        <v>25</v>
      </c>
      <c r="B267" t="s">
        <v>14</v>
      </c>
      <c r="C267" t="s">
        <v>15</v>
      </c>
      <c r="D267" s="2" t="s">
        <f>=HYPERLINK("https://main.knesset.gov.il/APPS/legislation/main/bills/1046535", "הצעת חוק לתיקון פקודת הסמים המסוכנים (מס' 23)(חילוט סם מסוכן והשמדתו), התשפ""ו–2026")</f>
        <v>665</v>
      </c>
      <c r="E267" t="s">
        <v>665</v>
      </c>
      <c r="F267" t="s">
        <v>14</v>
      </c>
      <c r="G267" t="s">
        <v>666</v>
      </c>
      <c r="H267">
             </c>
      <c r="I267" t="s">
        <v>14</v>
      </c>
      <c r="J267" t="s">
        <v>162</v>
      </c>
      <c r="K267" t="s">
        <v>14</v>
      </c>
      <c r="L267" t="s">
        <v>20</v>
      </c>
      <c r="M267" t="s">
        <v>626</v>
      </c>
      <c r="N267" t="s">
        <v>14</v>
      </c>
    </row>
    <row r="268" x14ac:dyDescent="0.25">
      <c r="A268" t="n">
        <v>25</v>
      </c>
      <c r="B268" t="s">
        <v>14</v>
      </c>
      <c r="C268" t="s">
        <v>51</v>
      </c>
      <c r="D268" s="2" t="s">
        <f>=HYPERLINK("https://main.knesset.gov.il/APPS/legislation/main/bills/2237901", "הצעת חוק יום לציון עליית יהודי מרוקו לישראל ולהנצחת זכרם של הנספים בדרך לישראל, התשפ""ו-2025")</f>
        <v>667</v>
      </c>
      <c r="E268" t="s">
        <v>667</v>
      </c>
      <c r="F268" t="s">
        <v>668</v>
      </c>
      <c r="G268" t="s">
        <v>14</v>
      </c>
      <c r="H268">
             </c>
      <c r="I268" t="s">
        <v>14</v>
      </c>
      <c r="J268" t="s">
        <v>183</v>
      </c>
      <c r="K268" t="s">
        <v>79</v>
      </c>
      <c r="L268" t="s">
        <v>20</v>
      </c>
      <c r="M268" t="s">
        <v>669</v>
      </c>
      <c r="N268" t="s">
        <v>14</v>
      </c>
    </row>
    <row r="269" x14ac:dyDescent="0.25">
      <c r="A269" t="n">
        <v>25</v>
      </c>
      <c r="B269" t="s">
        <v>14</v>
      </c>
      <c r="C269" t="s">
        <v>51</v>
      </c>
      <c r="D269" s="2" t="s">
        <f>=HYPERLINK("https://main.knesset.gov.il/APPS/legislation/main/bills/2220981", "הצעת חוק רשות העתיקות (תיקון - סמכות רשות העתיקות ביהודה והשומרון), התשפ""ד-2024")</f>
        <v>670</v>
      </c>
      <c r="E269" t="s">
        <v>670</v>
      </c>
      <c r="F269" t="s">
        <v>671</v>
      </c>
      <c r="G269" t="s">
        <v>14</v>
      </c>
      <c r="H269">
             </c>
      <c r="I269" t="s">
        <v>14</v>
      </c>
      <c r="J269" t="s">
        <v>152</v>
      </c>
      <c r="K269" t="s">
        <v>79</v>
      </c>
      <c r="L269" t="s">
        <v>20</v>
      </c>
      <c r="M269" t="s">
        <v>672</v>
      </c>
      <c r="N269" t="s">
        <v>14</v>
      </c>
    </row>
    <row r="270" x14ac:dyDescent="0.25">
      <c r="A270" t="n">
        <v>25</v>
      </c>
      <c r="B270" t="s">
        <v>14</v>
      </c>
      <c r="C270" t="s">
        <v>51</v>
      </c>
      <c r="D270" s="2" t="s">
        <f>=HYPERLINK("https://main.knesset.gov.il/APPS/legislation/main/bills/2220439", "חוק סיוע לבני משפחה של נעדרים, התשפ""ו–2026")</f>
        <v>673</v>
      </c>
      <c r="E270" t="s">
        <v>673</v>
      </c>
      <c r="F270" t="s">
        <v>674</v>
      </c>
      <c r="G270" t="s">
        <v>675</v>
      </c>
      <c r="H270" t="n">
        <v>3530</v>
      </c>
      <c r="I270" t="s">
        <v>14</v>
      </c>
      <c r="J270" t="s">
        <v>18</v>
      </c>
      <c r="K270" t="s">
        <v>19</v>
      </c>
      <c r="L270" t="s">
        <v>20</v>
      </c>
      <c r="M270" t="s">
        <v>672</v>
      </c>
      <c r="N270" t="s">
        <v>676</v>
      </c>
    </row>
    <row r="271" x14ac:dyDescent="0.25">
      <c r="A271" t="n">
        <v>25</v>
      </c>
      <c r="B271" t="s">
        <v>14</v>
      </c>
      <c r="C271" t="s">
        <v>51</v>
      </c>
      <c r="D271" s="2" t="s">
        <f>=HYPERLINK("https://main.knesset.gov.il/APPS/legislation/main/bills/2240123", "הצעת חוק קידום הליכי הקמת יישוב חדש, התשפ""ו-2026")</f>
        <v>677</v>
      </c>
      <c r="E271" t="s">
        <v>677</v>
      </c>
      <c r="F271" t="s">
        <v>678</v>
      </c>
      <c r="G271" t="s">
        <v>14</v>
      </c>
      <c r="H271">
             </c>
      <c r="I271" t="s">
        <v>14</v>
      </c>
      <c r="J271" t="s">
        <v>202</v>
      </c>
      <c r="K271" t="s">
        <v>14</v>
      </c>
      <c r="L271" t="s">
        <v>20</v>
      </c>
      <c r="M271" t="s">
        <v>672</v>
      </c>
      <c r="N271" t="s">
        <v>14</v>
      </c>
    </row>
    <row r="272" x14ac:dyDescent="0.25">
      <c r="A272" t="n">
        <v>25</v>
      </c>
      <c r="B272" t="s">
        <v>14</v>
      </c>
      <c r="C272" t="s">
        <v>51</v>
      </c>
      <c r="D272" s="2" t="s">
        <f>=HYPERLINK("https://main.knesset.gov.il/APPS/legislation/main/bills/2240429", "הצעת חוק התפזרות הכנסת העשרים וחמש, התשפ""ו-2026")</f>
        <v>538</v>
      </c>
      <c r="E272" t="s">
        <v>538</v>
      </c>
      <c r="F272" t="s">
        <v>679</v>
      </c>
      <c r="G272" t="s">
        <v>14</v>
      </c>
      <c r="H272">
             </c>
      <c r="I272" t="s">
        <v>14</v>
      </c>
      <c r="J272" t="s">
        <v>193</v>
      </c>
      <c r="K272" t="s">
        <v>14</v>
      </c>
      <c r="L272" t="s">
        <v>20</v>
      </c>
      <c r="M272" t="s">
        <v>672</v>
      </c>
      <c r="N272" t="s">
        <v>14</v>
      </c>
    </row>
    <row r="273" x14ac:dyDescent="0.25">
      <c r="A273" t="n">
        <v>25</v>
      </c>
      <c r="B273" t="s">
        <v>14</v>
      </c>
      <c r="C273" t="s">
        <v>51</v>
      </c>
      <c r="D273" s="2" t="s">
        <f>=HYPERLINK("https://main.knesset.gov.il/APPS/legislation/main/bills/2238654", "הצעת חוק הפיקוח על שירותים פיננסיים (שירותים פיננסיים מוסדרים) (תיקון - מתן רישיון לנותן שירות זר),  התשפ""ו-2026")</f>
        <v>680</v>
      </c>
      <c r="E273" t="s">
        <v>680</v>
      </c>
      <c r="F273" t="s">
        <v>681</v>
      </c>
      <c r="G273" t="s">
        <v>14</v>
      </c>
      <c r="H273">
             </c>
      <c r="I273" t="s">
        <v>14</v>
      </c>
      <c r="J273" t="s">
        <v>193</v>
      </c>
      <c r="K273" t="s">
        <v>14</v>
      </c>
      <c r="L273" t="s">
        <v>20</v>
      </c>
      <c r="M273" t="s">
        <v>672</v>
      </c>
      <c r="N273" t="s">
        <v>14</v>
      </c>
    </row>
    <row r="274" x14ac:dyDescent="0.25">
      <c r="A274" t="n">
        <v>25</v>
      </c>
      <c r="B274" t="s">
        <v>14</v>
      </c>
      <c r="C274" t="s">
        <v>51</v>
      </c>
      <c r="D274" s="2" t="s">
        <f>=HYPERLINK("https://main.knesset.gov.il/APPS/legislation/main/bills/2233741", "הצעת חוק הליכים מזורזים להקמת יישובים חדשים (תיקוני חקיקה), התשפ""ה-2025")</f>
        <v>682</v>
      </c>
      <c r="E274" t="s">
        <v>682</v>
      </c>
      <c r="F274" t="s">
        <v>683</v>
      </c>
      <c r="G274" t="s">
        <v>14</v>
      </c>
      <c r="H274">
             </c>
      <c r="I274" t="s">
        <v>14</v>
      </c>
      <c r="J274" t="s">
        <v>202</v>
      </c>
      <c r="K274" t="s">
        <v>14</v>
      </c>
      <c r="L274" t="s">
        <v>20</v>
      </c>
      <c r="M274" t="s">
        <v>672</v>
      </c>
      <c r="N274" t="s">
        <v>14</v>
      </c>
    </row>
    <row r="275" x14ac:dyDescent="0.25">
      <c r="A275" t="n">
        <v>25</v>
      </c>
      <c r="B275" t="s">
        <v>14</v>
      </c>
      <c r="C275" t="s">
        <v>51</v>
      </c>
      <c r="D275" s="2" t="s">
        <f>=HYPERLINK("https://main.knesset.gov.il/APPS/legislation/main/bills/2233782", "הצעת חוק התפזרות הכנסת העשרים וחמש, התשפ""ה-2025")</f>
        <v>542</v>
      </c>
      <c r="E275" t="s">
        <v>542</v>
      </c>
      <c r="F275" t="s">
        <v>684</v>
      </c>
      <c r="G275" t="s">
        <v>14</v>
      </c>
      <c r="H275">
             </c>
      <c r="I275" t="s">
        <v>14</v>
      </c>
      <c r="J275" t="s">
        <v>193</v>
      </c>
      <c r="K275" t="s">
        <v>14</v>
      </c>
      <c r="L275" t="s">
        <v>20</v>
      </c>
      <c r="M275" t="s">
        <v>672</v>
      </c>
      <c r="N275" t="s">
        <v>14</v>
      </c>
    </row>
    <row r="276" x14ac:dyDescent="0.25">
      <c r="A276" t="n">
        <v>25</v>
      </c>
      <c r="B276" t="s">
        <v>14</v>
      </c>
      <c r="C276" t="s">
        <v>51</v>
      </c>
      <c r="D276" s="2" t="s">
        <f>=HYPERLINK("https://main.knesset.gov.il/APPS/legislation/main/bills/2232923", "הצעת חוק התפזרות הכנסת העשרים וחמש, התשפ""ה-2025")</f>
        <v>542</v>
      </c>
      <c r="E276" t="s">
        <v>542</v>
      </c>
      <c r="F276" t="s">
        <v>685</v>
      </c>
      <c r="G276" t="s">
        <v>14</v>
      </c>
      <c r="H276">
             </c>
      <c r="I276" t="s">
        <v>14</v>
      </c>
      <c r="J276" t="s">
        <v>193</v>
      </c>
      <c r="K276" t="s">
        <v>14</v>
      </c>
      <c r="L276" t="s">
        <v>20</v>
      </c>
      <c r="M276" t="s">
        <v>672</v>
      </c>
      <c r="N276" t="s">
        <v>14</v>
      </c>
    </row>
    <row r="277" x14ac:dyDescent="0.25">
      <c r="A277" t="n">
        <v>25</v>
      </c>
      <c r="B277" t="s">
        <v>14</v>
      </c>
      <c r="C277" t="s">
        <v>51</v>
      </c>
      <c r="D277" s="2" t="s">
        <f>=HYPERLINK("https://main.knesset.gov.il/APPS/legislation/main/bills/2233051", "הצעת חוק התפזרות הכנסת העשרים וחמש, התשפ""ה-2025")</f>
        <v>542</v>
      </c>
      <c r="E277" t="s">
        <v>542</v>
      </c>
      <c r="F277" t="s">
        <v>686</v>
      </c>
      <c r="G277" t="s">
        <v>14</v>
      </c>
      <c r="H277">
             </c>
      <c r="I277" t="s">
        <v>14</v>
      </c>
      <c r="J277" t="s">
        <v>193</v>
      </c>
      <c r="K277" t="s">
        <v>14</v>
      </c>
      <c r="L277" t="s">
        <v>20</v>
      </c>
      <c r="M277" t="s">
        <v>672</v>
      </c>
      <c r="N277" t="s">
        <v>14</v>
      </c>
    </row>
    <row r="278" x14ac:dyDescent="0.25">
      <c r="A278" t="n">
        <v>25</v>
      </c>
      <c r="B278" t="s">
        <v>14</v>
      </c>
      <c r="C278" t="s">
        <v>51</v>
      </c>
      <c r="D278" s="2" t="s">
        <f>=HYPERLINK("https://main.knesset.gov.il/APPS/legislation/main/bills/2233048", "הצעת חוק התפזרות הכנסת העשרים וחמש, התשפ""ה-2025")</f>
        <v>542</v>
      </c>
      <c r="E278" t="s">
        <v>542</v>
      </c>
      <c r="F278" t="s">
        <v>687</v>
      </c>
      <c r="G278" t="s">
        <v>14</v>
      </c>
      <c r="H278">
             </c>
      <c r="I278" t="s">
        <v>14</v>
      </c>
      <c r="J278" t="s">
        <v>193</v>
      </c>
      <c r="K278" t="s">
        <v>14</v>
      </c>
      <c r="L278" t="s">
        <v>20</v>
      </c>
      <c r="M278" t="s">
        <v>672</v>
      </c>
      <c r="N278" t="s">
        <v>14</v>
      </c>
    </row>
    <row r="279" x14ac:dyDescent="0.25">
      <c r="A279" t="n">
        <v>25</v>
      </c>
      <c r="B279" t="s">
        <v>14</v>
      </c>
      <c r="C279" t="s">
        <v>51</v>
      </c>
      <c r="D279" s="2" t="s">
        <f>=HYPERLINK("https://main.knesset.gov.il/APPS/legislation/main/bills/2211834", "הצעת חוק התפזרות הכנסת העשרים וחמש, התשפ""ד-2023")</f>
        <v>688</v>
      </c>
      <c r="E279" t="s">
        <v>688</v>
      </c>
      <c r="F279" t="s">
        <v>689</v>
      </c>
      <c r="G279" t="s">
        <v>14</v>
      </c>
      <c r="H279">
             </c>
      <c r="I279" t="s">
        <v>14</v>
      </c>
      <c r="J279" t="s">
        <v>193</v>
      </c>
      <c r="K279" t="s">
        <v>14</v>
      </c>
      <c r="L279" t="s">
        <v>20</v>
      </c>
      <c r="M279" t="s">
        <v>672</v>
      </c>
      <c r="N279" t="s">
        <v>14</v>
      </c>
    </row>
    <row r="280" x14ac:dyDescent="0.25">
      <c r="A280" t="n">
        <v>25</v>
      </c>
      <c r="B280" t="s">
        <v>14</v>
      </c>
      <c r="C280" t="s">
        <v>51</v>
      </c>
      <c r="D280" s="2" t="s">
        <f>=HYPERLINK("https://main.knesset.gov.il/APPS/legislation/main/bills/2211431", "הצעת חוק התפזרות הכנסת העשרים וחמש, התשפ""ד-2023")</f>
        <v>688</v>
      </c>
      <c r="E280" t="s">
        <v>688</v>
      </c>
      <c r="F280" t="s">
        <v>690</v>
      </c>
      <c r="G280" t="s">
        <v>14</v>
      </c>
      <c r="H280">
             </c>
      <c r="I280" t="s">
        <v>14</v>
      </c>
      <c r="J280" t="s">
        <v>193</v>
      </c>
      <c r="K280" t="s">
        <v>14</v>
      </c>
      <c r="L280" t="s">
        <v>20</v>
      </c>
      <c r="M280" t="s">
        <v>672</v>
      </c>
      <c r="N280" t="s">
        <v>14</v>
      </c>
    </row>
    <row r="281" x14ac:dyDescent="0.25">
      <c r="A281" t="n">
        <v>25</v>
      </c>
      <c r="B281" t="s">
        <v>14</v>
      </c>
      <c r="C281" t="s">
        <v>51</v>
      </c>
      <c r="D281" s="2" t="s">
        <f>=HYPERLINK("https://main.knesset.gov.il/APPS/legislation/main/bills/2201198", "הצעת חוק התפזרות הכנסת העשרים וחמש, התשפ""ג-2023")</f>
        <v>691</v>
      </c>
      <c r="E281" t="s">
        <v>691</v>
      </c>
      <c r="F281" t="s">
        <v>692</v>
      </c>
      <c r="G281" t="s">
        <v>14</v>
      </c>
      <c r="H281">
             </c>
      <c r="I281" t="s">
        <v>14</v>
      </c>
      <c r="J281" t="s">
        <v>193</v>
      </c>
      <c r="K281" t="s">
        <v>14</v>
      </c>
      <c r="L281" t="s">
        <v>20</v>
      </c>
      <c r="M281" t="s">
        <v>672</v>
      </c>
      <c r="N281" t="s">
        <v>14</v>
      </c>
    </row>
    <row r="282" x14ac:dyDescent="0.25">
      <c r="A282" t="n">
        <v>25</v>
      </c>
      <c r="B282" t="s">
        <v>14</v>
      </c>
      <c r="C282" t="s">
        <v>51</v>
      </c>
      <c r="D282" s="2" t="s">
        <f>=HYPERLINK("https://main.knesset.gov.il/APPS/legislation/main/bills/2197638", "הצעת חוק התפזרות הכנסת העשרים וחמש, התשפ""ג-2022")</f>
        <v>693</v>
      </c>
      <c r="E282" t="s">
        <v>693</v>
      </c>
      <c r="F282" t="s">
        <v>694</v>
      </c>
      <c r="G282" t="s">
        <v>14</v>
      </c>
      <c r="H282">
             </c>
      <c r="I282" t="s">
        <v>14</v>
      </c>
      <c r="J282" t="s">
        <v>193</v>
      </c>
      <c r="K282" t="s">
        <v>14</v>
      </c>
      <c r="L282" t="s">
        <v>20</v>
      </c>
      <c r="M282" t="s">
        <v>672</v>
      </c>
      <c r="N282" t="s">
        <v>14</v>
      </c>
    </row>
    <row r="283" x14ac:dyDescent="0.25">
      <c r="A283" t="n">
        <v>25</v>
      </c>
      <c r="B283" t="s">
        <v>14</v>
      </c>
      <c r="C283" t="s">
        <v>51</v>
      </c>
      <c r="D283" s="2" t="s">
        <f>=HYPERLINK("https://main.knesset.gov.il/APPS/legislation/main/bills/2226845", "הצעת חוק פיצול תפקיד היועץ המשפטי לממשלה, התשפ""ה-2025")</f>
        <v>695</v>
      </c>
      <c r="E283" t="s">
        <v>695</v>
      </c>
      <c r="F283" t="s">
        <v>696</v>
      </c>
      <c r="G283" t="s">
        <v>14</v>
      </c>
      <c r="H283">
             </c>
      <c r="I283" t="s">
        <v>14</v>
      </c>
      <c r="J283" t="s">
        <v>183</v>
      </c>
      <c r="K283" t="s">
        <v>27</v>
      </c>
      <c r="L283" t="s">
        <v>20</v>
      </c>
      <c r="M283" t="s">
        <v>697</v>
      </c>
      <c r="N283" t="s">
        <v>14</v>
      </c>
    </row>
    <row r="284" x14ac:dyDescent="0.25">
      <c r="A284" t="n">
        <v>25</v>
      </c>
      <c r="B284" t="s">
        <v>14</v>
      </c>
      <c r="C284" t="s">
        <v>51</v>
      </c>
      <c r="D284" s="2" t="s">
        <f>=HYPERLINK("https://main.knesset.gov.il/APPS/legislation/main/bills/2229802", "הצעת חוק עצמאות היועץ המשפטי של משרד ממשלתי, מעמדו וסמכויותיו, התשפ""ה-2025")</f>
        <v>698</v>
      </c>
      <c r="E284" t="s">
        <v>698</v>
      </c>
      <c r="F284" t="s">
        <v>699</v>
      </c>
      <c r="G284" t="s">
        <v>14</v>
      </c>
      <c r="H284">
             </c>
      <c r="I284" t="s">
        <v>14</v>
      </c>
      <c r="J284" t="s">
        <v>183</v>
      </c>
      <c r="K284" t="s">
        <v>27</v>
      </c>
      <c r="L284" t="s">
        <v>20</v>
      </c>
      <c r="M284" t="s">
        <v>700</v>
      </c>
      <c r="N284" t="s">
        <v>14</v>
      </c>
    </row>
    <row r="285" x14ac:dyDescent="0.25">
      <c r="A285" t="n">
        <v>25</v>
      </c>
      <c r="B285" t="s">
        <v>14</v>
      </c>
      <c r="C285" t="s">
        <v>51</v>
      </c>
      <c r="D285" s="2" t="s">
        <f>=HYPERLINK("https://main.knesset.gov.il/APPS/legislation/main/bills/2226047", "הצעת חוק פיצול תפקיד היועץ המשפטי לממשלה, התשפ""ה-2024")</f>
        <v>701</v>
      </c>
      <c r="E285" t="s">
        <v>701</v>
      </c>
      <c r="F285" t="s">
        <v>702</v>
      </c>
      <c r="G285" t="s">
        <v>14</v>
      </c>
      <c r="H285">
             </c>
      <c r="I285" t="s">
        <v>14</v>
      </c>
      <c r="J285" t="s">
        <v>183</v>
      </c>
      <c r="K285" t="s">
        <v>27</v>
      </c>
      <c r="L285" t="s">
        <v>20</v>
      </c>
      <c r="M285" t="s">
        <v>700</v>
      </c>
      <c r="N285" t="s">
        <v>14</v>
      </c>
    </row>
    <row r="286" x14ac:dyDescent="0.25">
      <c r="A286" t="n">
        <v>25</v>
      </c>
      <c r="B286" t="s">
        <v>14</v>
      </c>
      <c r="C286" t="s">
        <v>51</v>
      </c>
      <c r="D286" s="2" t="s">
        <f>=HYPERLINK("https://main.knesset.gov.il/APPS/legislation/main/bills/2225635", "הצעת חוק פיצול תפקיד היועץ המשפטי לממשלה, התשפ""ה-2024")</f>
        <v>701</v>
      </c>
      <c r="E286" t="s">
        <v>701</v>
      </c>
      <c r="F286" t="s">
        <v>703</v>
      </c>
      <c r="G286" t="s">
        <v>14</v>
      </c>
      <c r="H286">
             </c>
      <c r="I286" t="s">
        <v>14</v>
      </c>
      <c r="J286" t="s">
        <v>183</v>
      </c>
      <c r="K286" t="s">
        <v>27</v>
      </c>
      <c r="L286" t="s">
        <v>20</v>
      </c>
      <c r="M286" t="s">
        <v>700</v>
      </c>
      <c r="N286" t="s">
        <v>14</v>
      </c>
    </row>
    <row r="287" x14ac:dyDescent="0.25">
      <c r="A287" t="n">
        <v>25</v>
      </c>
      <c r="B287" t="s">
        <v>14</v>
      </c>
      <c r="C287" t="s">
        <v>51</v>
      </c>
      <c r="D287" s="2" t="s">
        <f>=HYPERLINK("https://main.knesset.gov.il/APPS/legislation/main/bills/2225483", "הצעת חוק פיצול תפקיד היועץ המשפטי לממשלה, התשפ""ה-2024")</f>
        <v>701</v>
      </c>
      <c r="E287" t="s">
        <v>701</v>
      </c>
      <c r="F287" t="s">
        <v>704</v>
      </c>
      <c r="G287" t="s">
        <v>14</v>
      </c>
      <c r="H287">
             </c>
      <c r="I287" t="s">
        <v>14</v>
      </c>
      <c r="J287" t="s">
        <v>183</v>
      </c>
      <c r="K287" t="s">
        <v>27</v>
      </c>
      <c r="L287" t="s">
        <v>20</v>
      </c>
      <c r="M287" t="s">
        <v>700</v>
      </c>
      <c r="N287" t="s">
        <v>14</v>
      </c>
    </row>
    <row r="288" x14ac:dyDescent="0.25">
      <c r="A288" t="n">
        <v>25</v>
      </c>
      <c r="B288" t="s">
        <v>14</v>
      </c>
      <c r="C288" t="s">
        <v>51</v>
      </c>
      <c r="D288" s="2" t="s">
        <f>=HYPERLINK("https://main.knesset.gov.il/APPS/legislation/main/bills/2218869", "הצעת חוק פיצול תפקיד היועץ המשפטי לממשלה, התשפ""ד-2024")</f>
        <v>705</v>
      </c>
      <c r="E288" t="s">
        <v>705</v>
      </c>
      <c r="F288" t="s">
        <v>706</v>
      </c>
      <c r="G288" t="s">
        <v>14</v>
      </c>
      <c r="H288">
             </c>
      <c r="I288" t="s">
        <v>14</v>
      </c>
      <c r="J288" t="s">
        <v>183</v>
      </c>
      <c r="K288" t="s">
        <v>27</v>
      </c>
      <c r="L288" t="s">
        <v>20</v>
      </c>
      <c r="M288" t="s">
        <v>700</v>
      </c>
      <c r="N288" t="s">
        <v>14</v>
      </c>
    </row>
    <row r="289" x14ac:dyDescent="0.25">
      <c r="A289" t="n">
        <v>25</v>
      </c>
      <c r="B289" t="s">
        <v>14</v>
      </c>
      <c r="C289" t="s">
        <v>51</v>
      </c>
      <c r="D289" s="2" t="s">
        <f>=HYPERLINK("https://main.knesset.gov.il/APPS/legislation/main/bills/2208895", "הצעת חוק פיצול תפקיד היועץ המשפטי לממשלה, התשפ""ג-2023")</f>
        <v>707</v>
      </c>
      <c r="E289" t="s">
        <v>707</v>
      </c>
      <c r="F289" t="s">
        <v>708</v>
      </c>
      <c r="G289" t="s">
        <v>14</v>
      </c>
      <c r="H289">
             </c>
      <c r="I289" t="s">
        <v>14</v>
      </c>
      <c r="J289" t="s">
        <v>183</v>
      </c>
      <c r="K289" t="s">
        <v>27</v>
      </c>
      <c r="L289" t="s">
        <v>20</v>
      </c>
      <c r="M289" t="s">
        <v>700</v>
      </c>
      <c r="N289" t="s">
        <v>14</v>
      </c>
    </row>
    <row r="290" x14ac:dyDescent="0.25">
      <c r="A290" t="n">
        <v>25</v>
      </c>
      <c r="B290" t="s">
        <v>14</v>
      </c>
      <c r="C290" t="s">
        <v>51</v>
      </c>
      <c r="D290" s="2" t="s">
        <f>=HYPERLINK("https://main.knesset.gov.il/APPS/legislation/main/bills/2204025", "הצעת חוק התובע הכללי, התשפ""ג-2023")</f>
        <v>709</v>
      </c>
      <c r="E290" t="s">
        <v>709</v>
      </c>
      <c r="F290" t="s">
        <v>710</v>
      </c>
      <c r="G290" t="s">
        <v>14</v>
      </c>
      <c r="H290">
             </c>
      <c r="I290" t="s">
        <v>14</v>
      </c>
      <c r="J290" t="s">
        <v>183</v>
      </c>
      <c r="K290" t="s">
        <v>27</v>
      </c>
      <c r="L290" t="s">
        <v>20</v>
      </c>
      <c r="M290" t="s">
        <v>700</v>
      </c>
      <c r="N290" t="s">
        <v>14</v>
      </c>
    </row>
    <row r="291" x14ac:dyDescent="0.25">
      <c r="A291" t="n">
        <v>25</v>
      </c>
      <c r="B291" t="s">
        <v>14</v>
      </c>
      <c r="C291" t="s">
        <v>51</v>
      </c>
      <c r="D291" s="2" t="s">
        <f>=HYPERLINK("https://main.knesset.gov.il/APPS/legislation/main/bills/2202706", "הצעת חוק התובע הכללי, התשפ""ג-2023")</f>
        <v>709</v>
      </c>
      <c r="E291" t="s">
        <v>709</v>
      </c>
      <c r="F291" t="s">
        <v>711</v>
      </c>
      <c r="G291" t="s">
        <v>14</v>
      </c>
      <c r="H291">
             </c>
      <c r="I291" t="s">
        <v>14</v>
      </c>
      <c r="J291" t="s">
        <v>183</v>
      </c>
      <c r="K291" t="s">
        <v>27</v>
      </c>
      <c r="L291" t="s">
        <v>20</v>
      </c>
      <c r="M291" t="s">
        <v>700</v>
      </c>
      <c r="N291" t="s">
        <v>14</v>
      </c>
    </row>
    <row r="292" x14ac:dyDescent="0.25">
      <c r="A292" t="n">
        <v>25</v>
      </c>
      <c r="B292" t="s">
        <v>14</v>
      </c>
      <c r="C292" t="s">
        <v>51</v>
      </c>
      <c r="D292" s="2" t="s">
        <f>=HYPERLINK("https://main.knesset.gov.il/APPS/legislation/main/bills/2238901", "הצעת חוק שירותי הדת היהודיים (תיקון - התקנת תקנות באישור ועדה), התשפ""ו-2026")</f>
        <v>712</v>
      </c>
      <c r="E292" t="s">
        <v>712</v>
      </c>
      <c r="F292" t="s">
        <v>713</v>
      </c>
      <c r="G292" t="s">
        <v>14</v>
      </c>
      <c r="H292">
             </c>
      <c r="I292" t="s">
        <v>14</v>
      </c>
      <c r="J292" t="s">
        <v>242</v>
      </c>
      <c r="K292" t="s">
        <v>14</v>
      </c>
      <c r="L292" t="s">
        <v>20</v>
      </c>
      <c r="M292" t="s">
        <v>700</v>
      </c>
      <c r="N292" t="s">
        <v>14</v>
      </c>
    </row>
    <row r="293" x14ac:dyDescent="0.25">
      <c r="A293" t="n">
        <v>25</v>
      </c>
      <c r="B293" t="s">
        <v>14</v>
      </c>
      <c r="C293" t="s">
        <v>51</v>
      </c>
      <c r="D293" s="2" t="s">
        <f>=HYPERLINK("https://main.knesset.gov.il/APPS/legislation/main/bills/2242994", "הצעת חוק הרבנות הראשית לישראל (תיקון - סמכות לעריכת בחינות), התשפ""ו-2026")</f>
        <v>714</v>
      </c>
      <c r="E293" t="s">
        <v>714</v>
      </c>
      <c r="F293" t="s">
        <v>715</v>
      </c>
      <c r="G293" t="s">
        <v>14</v>
      </c>
      <c r="H293">
             </c>
      <c r="I293" t="s">
        <v>14</v>
      </c>
      <c r="J293" t="s">
        <v>242</v>
      </c>
      <c r="K293" t="s">
        <v>14</v>
      </c>
      <c r="L293" t="s">
        <v>20</v>
      </c>
      <c r="M293" t="s">
        <v>700</v>
      </c>
      <c r="N293" t="s">
        <v>14</v>
      </c>
    </row>
    <row r="294" x14ac:dyDescent="0.25">
      <c r="A294" t="n">
        <v>25</v>
      </c>
      <c r="B294" t="s">
        <v>14</v>
      </c>
      <c r="C294" t="s">
        <v>51</v>
      </c>
      <c r="D294" s="2" t="s">
        <f>=HYPERLINK("https://main.knesset.gov.il/APPS/legislation/main/bills/2242995", "הצעת חוק הביטוח הלאומי (תיקון - הבטחת רצף זכאות לקצבת שאירים ליתומים צעירים), התשפ""ו-2026")</f>
        <v>716</v>
      </c>
      <c r="E294" t="s">
        <v>716</v>
      </c>
      <c r="F294" t="s">
        <v>717</v>
      </c>
      <c r="G294" t="s">
        <v>14</v>
      </c>
      <c r="H294">
             </c>
      <c r="I294" t="s">
        <v>14</v>
      </c>
      <c r="J294" t="s">
        <v>242</v>
      </c>
      <c r="K294" t="s">
        <v>14</v>
      </c>
      <c r="L294" t="s">
        <v>20</v>
      </c>
      <c r="M294" t="s">
        <v>700</v>
      </c>
      <c r="N294" t="s">
        <v>14</v>
      </c>
    </row>
    <row r="295" x14ac:dyDescent="0.25">
      <c r="A295" t="n">
        <v>25</v>
      </c>
      <c r="B295" t="s">
        <v>14</v>
      </c>
      <c r="C295" t="s">
        <v>51</v>
      </c>
      <c r="D295" s="2" t="s">
        <f>=HYPERLINK("https://main.knesset.gov.il/APPS/legislation/main/bills/2232958", "הצעת חוק ייצוג ארגונים וגופים ציבוריים, התשפ""ו-2026")</f>
        <v>718</v>
      </c>
      <c r="E295" t="s">
        <v>718</v>
      </c>
      <c r="F295" t="s">
        <v>719</v>
      </c>
      <c r="G295" t="s">
        <v>14</v>
      </c>
      <c r="H295">
             </c>
      <c r="I295" t="s">
        <v>14</v>
      </c>
      <c r="J295" t="s">
        <v>242</v>
      </c>
      <c r="K295" t="s">
        <v>14</v>
      </c>
      <c r="L295" t="s">
        <v>20</v>
      </c>
      <c r="M295" t="s">
        <v>700</v>
      </c>
      <c r="N295" t="s">
        <v>14</v>
      </c>
    </row>
    <row r="296" x14ac:dyDescent="0.25">
      <c r="A296" t="n">
        <v>25</v>
      </c>
      <c r="B296" t="s">
        <v>14</v>
      </c>
      <c r="C296" t="s">
        <v>51</v>
      </c>
      <c r="D296" s="2" t="s">
        <f>=HYPERLINK("https://main.knesset.gov.il/APPS/legislation/main/bills/2241882", "הצעת חוק הפסיכולוגים (תיקון - הכרה בפסיכולוגים מחוץ לישראל על בסיס ניסיון מקצועי), התשפ״ו-2026")</f>
        <v>720</v>
      </c>
      <c r="E296" t="s">
        <v>720</v>
      </c>
      <c r="F296" t="s">
        <v>721</v>
      </c>
      <c r="G296" t="s">
        <v>14</v>
      </c>
      <c r="H296">
             </c>
      <c r="I296" t="s">
        <v>14</v>
      </c>
      <c r="J296" t="s">
        <v>242</v>
      </c>
      <c r="K296" t="s">
        <v>14</v>
      </c>
      <c r="L296" t="s">
        <v>20</v>
      </c>
      <c r="M296" t="s">
        <v>700</v>
      </c>
      <c r="N296" t="s">
        <v>14</v>
      </c>
    </row>
    <row r="297" x14ac:dyDescent="0.25">
      <c r="A297" t="n">
        <v>25</v>
      </c>
      <c r="B297" t="s">
        <v>14</v>
      </c>
      <c r="C297" t="s">
        <v>51</v>
      </c>
      <c r="D297" s="2" t="s">
        <f>=HYPERLINK("https://main.knesset.gov.il/APPS/legislation/main/bills/2243025", "הצעת חוק משפחות חיילים שנספו במערכה (תגמולים ושיקום) (תיקון - הטבות לאח הנספה), התשפ""ו-2026")</f>
        <v>722</v>
      </c>
      <c r="E297" t="s">
        <v>722</v>
      </c>
      <c r="F297" t="s">
        <v>723</v>
      </c>
      <c r="G297" t="s">
        <v>14</v>
      </c>
      <c r="H297">
             </c>
      <c r="I297" t="s">
        <v>14</v>
      </c>
      <c r="J297" t="s">
        <v>242</v>
      </c>
      <c r="K297" t="s">
        <v>14</v>
      </c>
      <c r="L297" t="s">
        <v>20</v>
      </c>
      <c r="M297" t="s">
        <v>700</v>
      </c>
      <c r="N297" t="s">
        <v>14</v>
      </c>
    </row>
    <row r="298" x14ac:dyDescent="0.25">
      <c r="A298" t="n">
        <v>25</v>
      </c>
      <c r="B298" t="s">
        <v>14</v>
      </c>
      <c r="C298" t="s">
        <v>51</v>
      </c>
      <c r="D298" s="2" t="s">
        <f>=HYPERLINK("https://main.knesset.gov.il/APPS/legislation/main/bills/2242559", "הצעת חוק איסור טיפול המרה לקטין, התשפ""ו-2026")</f>
        <v>724</v>
      </c>
      <c r="E298" t="s">
        <v>724</v>
      </c>
      <c r="F298" t="s">
        <v>725</v>
      </c>
      <c r="G298" t="s">
        <v>14</v>
      </c>
      <c r="H298">
             </c>
      <c r="I298" t="s">
        <v>14</v>
      </c>
      <c r="J298" t="s">
        <v>242</v>
      </c>
      <c r="K298" t="s">
        <v>14</v>
      </c>
      <c r="L298" t="s">
        <v>20</v>
      </c>
      <c r="M298" t="s">
        <v>700</v>
      </c>
      <c r="N298" t="s">
        <v>14</v>
      </c>
    </row>
    <row r="299" x14ac:dyDescent="0.25">
      <c r="A299" t="n">
        <v>25</v>
      </c>
      <c r="B299" t="s">
        <v>14</v>
      </c>
      <c r="C299" t="s">
        <v>51</v>
      </c>
      <c r="D299" s="2" t="s">
        <f>=HYPERLINK("https://main.knesset.gov.il/APPS/legislation/main/bills/2240517", "הצעת חוק תאגידי מים וביוב (תיקון - הנחה בתשלום דמי הקמה לתאגיד שהוא מוסד ללא כוונת רווח), התשפ""ו-2026")</f>
        <v>726</v>
      </c>
      <c r="E299" t="s">
        <v>726</v>
      </c>
      <c r="F299" t="s">
        <v>727</v>
      </c>
      <c r="G299" t="s">
        <v>14</v>
      </c>
      <c r="H299">
             </c>
      <c r="I299" t="s">
        <v>14</v>
      </c>
      <c r="J299" t="s">
        <v>242</v>
      </c>
      <c r="K299" t="s">
        <v>14</v>
      </c>
      <c r="L299" t="s">
        <v>20</v>
      </c>
      <c r="M299" t="s">
        <v>700</v>
      </c>
      <c r="N299" t="s">
        <v>14</v>
      </c>
    </row>
    <row r="300" x14ac:dyDescent="0.25">
      <c r="A300" t="n">
        <v>25</v>
      </c>
      <c r="B300" t="s">
        <v>14</v>
      </c>
      <c r="C300" t="s">
        <v>51</v>
      </c>
      <c r="D300" s="2" t="s">
        <f>=HYPERLINK("https://main.knesset.gov.il/APPS/legislation/main/bills/2241579", "הצעת חוק הגנת הצרכן (תיקון - הגנה על אזרחי ישראל מפני טובין מהרשות הפלסטינית), התשפ״ו-2026")</f>
        <v>728</v>
      </c>
      <c r="E300" t="s">
        <v>728</v>
      </c>
      <c r="F300" t="s">
        <v>729</v>
      </c>
      <c r="G300" t="s">
        <v>14</v>
      </c>
      <c r="H300">
             </c>
      <c r="I300" t="s">
        <v>14</v>
      </c>
      <c r="J300" t="s">
        <v>242</v>
      </c>
      <c r="K300" t="s">
        <v>14</v>
      </c>
      <c r="L300" t="s">
        <v>20</v>
      </c>
      <c r="M300" t="s">
        <v>700</v>
      </c>
      <c r="N300" t="s">
        <v>14</v>
      </c>
    </row>
    <row r="301" x14ac:dyDescent="0.25">
      <c r="A301" t="n">
        <v>25</v>
      </c>
      <c r="B301" t="s">
        <v>14</v>
      </c>
      <c r="C301" t="s">
        <v>51</v>
      </c>
      <c r="D301" s="2" t="s">
        <f>=HYPERLINK("https://main.knesset.gov.il/APPS/legislation/main/bills/2241236", "הצעת חוק מס ערך מוסף (תיקון - הפחתת שיעור המס), התשפ""ו-2026")</f>
        <v>730</v>
      </c>
      <c r="E301" t="s">
        <v>730</v>
      </c>
      <c r="F301" t="s">
        <v>731</v>
      </c>
      <c r="G301" t="s">
        <v>14</v>
      </c>
      <c r="H301">
             </c>
      <c r="I301" t="s">
        <v>14</v>
      </c>
      <c r="J301" t="s">
        <v>242</v>
      </c>
      <c r="K301" t="s">
        <v>14</v>
      </c>
      <c r="L301" t="s">
        <v>20</v>
      </c>
      <c r="M301" t="s">
        <v>700</v>
      </c>
      <c r="N301" t="s">
        <v>14</v>
      </c>
    </row>
    <row r="302" x14ac:dyDescent="0.25">
      <c r="A302" t="n">
        <v>25</v>
      </c>
      <c r="B302" t="s">
        <v>14</v>
      </c>
      <c r="C302" t="s">
        <v>51</v>
      </c>
      <c r="D302" s="2" t="s">
        <f>=HYPERLINK("https://main.knesset.gov.il/APPS/legislation/main/bills/2242529", "הצעת חוק הפיקוח על שירותים פיננסיים (קופות גמל) (תיקון - מסלול הלכה), התשפ""ו-2026")</f>
        <v>732</v>
      </c>
      <c r="E302" t="s">
        <v>732</v>
      </c>
      <c r="F302" t="s">
        <v>733</v>
      </c>
      <c r="G302" t="s">
        <v>14</v>
      </c>
      <c r="H302">
             </c>
      <c r="I302" t="s">
        <v>14</v>
      </c>
      <c r="J302" t="s">
        <v>242</v>
      </c>
      <c r="K302" t="s">
        <v>14</v>
      </c>
      <c r="L302" t="s">
        <v>20</v>
      </c>
      <c r="M302" t="s">
        <v>700</v>
      </c>
      <c r="N302" t="s">
        <v>14</v>
      </c>
    </row>
    <row r="303" x14ac:dyDescent="0.25">
      <c r="A303" t="n">
        <v>25</v>
      </c>
      <c r="B303" t="s">
        <v>14</v>
      </c>
      <c r="C303" t="s">
        <v>51</v>
      </c>
      <c r="D303" s="2" t="s">
        <f>=HYPERLINK("https://main.knesset.gov.il/APPS/legislation/main/bills/2236918", "הצעת חוק זכות יוצרים (תיקון - שימוש אדם בתצלום בו הוא מופיע ופסיקת פיצויים על הפרת זכות יוצרים), התשפ״ו-2026")</f>
        <v>734</v>
      </c>
      <c r="E303" t="s">
        <v>734</v>
      </c>
      <c r="F303" t="s">
        <v>735</v>
      </c>
      <c r="G303" t="s">
        <v>14</v>
      </c>
      <c r="H303">
             </c>
      <c r="I303" t="s">
        <v>14</v>
      </c>
      <c r="J303" t="s">
        <v>242</v>
      </c>
      <c r="K303" t="s">
        <v>14</v>
      </c>
      <c r="L303" t="s">
        <v>20</v>
      </c>
      <c r="M303" t="s">
        <v>700</v>
      </c>
      <c r="N303" t="s">
        <v>14</v>
      </c>
    </row>
    <row r="304" x14ac:dyDescent="0.25">
      <c r="A304" t="n">
        <v>25</v>
      </c>
      <c r="B304" t="s">
        <v>14</v>
      </c>
      <c r="C304" t="s">
        <v>51</v>
      </c>
      <c r="D304" s="2" t="s">
        <f>=HYPERLINK("https://main.knesset.gov.il/APPS/legislation/main/bills/2242211", "הצעת חוק רשות מקרקעי ישראל (תיקון - הרחבת ייעודי הקרן לשמירה על שטחים פתוחים), התשפ""ו-2026")</f>
        <v>736</v>
      </c>
      <c r="E304" t="s">
        <v>736</v>
      </c>
      <c r="F304" t="s">
        <v>737</v>
      </c>
      <c r="G304" t="s">
        <v>14</v>
      </c>
      <c r="H304">
             </c>
      <c r="I304" t="s">
        <v>14</v>
      </c>
      <c r="J304" t="s">
        <v>242</v>
      </c>
      <c r="K304" t="s">
        <v>14</v>
      </c>
      <c r="L304" t="s">
        <v>20</v>
      </c>
      <c r="M304" t="s">
        <v>700</v>
      </c>
      <c r="N304" t="s">
        <v>14</v>
      </c>
    </row>
    <row r="305" x14ac:dyDescent="0.25">
      <c r="A305" t="n">
        <v>25</v>
      </c>
      <c r="B305" t="s">
        <v>14</v>
      </c>
      <c r="C305" t="s">
        <v>51</v>
      </c>
      <c r="D305" s="2" t="s">
        <f>=HYPERLINK("https://main.knesset.gov.il/APPS/legislation/main/bills/2238844", "הצעת חוק לתיקון פקודת מס הכנסה (פטור ממס על מלגות קיום לספורטאי הישג פאראלימפיים), התשפ""ו-2026")</f>
        <v>738</v>
      </c>
      <c r="E305" t="s">
        <v>738</v>
      </c>
      <c r="F305" t="s">
        <v>739</v>
      </c>
      <c r="G305" t="s">
        <v>14</v>
      </c>
      <c r="H305">
             </c>
      <c r="I305" t="s">
        <v>14</v>
      </c>
      <c r="J305" t="s">
        <v>242</v>
      </c>
      <c r="K305" t="s">
        <v>14</v>
      </c>
      <c r="L305" t="s">
        <v>20</v>
      </c>
      <c r="M305" t="s">
        <v>700</v>
      </c>
      <c r="N305" t="s">
        <v>14</v>
      </c>
    </row>
    <row r="306" x14ac:dyDescent="0.25">
      <c r="A306" t="n">
        <v>25</v>
      </c>
      <c r="B306" t="s">
        <v>14</v>
      </c>
      <c r="C306" t="s">
        <v>51</v>
      </c>
      <c r="D306" s="2" t="s">
        <f>=HYPERLINK("https://main.knesset.gov.il/APPS/legislation/main/bills/2242757", "הצעת חוק הביטוח הלאומי (תיקון - גמלת ניידות לילד מונשם מגיל שלושה חודשים), התשפ""ו-2026")</f>
        <v>740</v>
      </c>
      <c r="E306" t="s">
        <v>740</v>
      </c>
      <c r="F306" t="s">
        <v>741</v>
      </c>
      <c r="G306" t="s">
        <v>14</v>
      </c>
      <c r="H306">
             </c>
      <c r="I306" t="s">
        <v>14</v>
      </c>
      <c r="J306" t="s">
        <v>242</v>
      </c>
      <c r="K306" t="s">
        <v>14</v>
      </c>
      <c r="L306" t="s">
        <v>20</v>
      </c>
      <c r="M306" t="s">
        <v>700</v>
      </c>
      <c r="N306" t="s">
        <v>14</v>
      </c>
    </row>
    <row r="307" x14ac:dyDescent="0.25">
      <c r="A307" t="n">
        <v>25</v>
      </c>
      <c r="B307" t="s">
        <v>14</v>
      </c>
      <c r="C307" t="s">
        <v>51</v>
      </c>
      <c r="D307" s="2" t="s">
        <f>=HYPERLINK("https://main.knesset.gov.il/APPS/legislation/main/bills/2239228", "הצעת חוק העסקת עובדים על ידי קבלני כוח אדם (תיקון - תגמול מבוסס איכות בענף ההעסקה הקבלנית), התשפ״ו-2026")</f>
        <v>742</v>
      </c>
      <c r="E307" t="s">
        <v>742</v>
      </c>
      <c r="F307" t="s">
        <v>743</v>
      </c>
      <c r="G307" t="s">
        <v>14</v>
      </c>
      <c r="H307">
             </c>
      <c r="I307" t="s">
        <v>14</v>
      </c>
      <c r="J307" t="s">
        <v>242</v>
      </c>
      <c r="K307" t="s">
        <v>14</v>
      </c>
      <c r="L307" t="s">
        <v>20</v>
      </c>
      <c r="M307" t="s">
        <v>700</v>
      </c>
      <c r="N307" t="s">
        <v>14</v>
      </c>
    </row>
    <row r="308" x14ac:dyDescent="0.25">
      <c r="A308" t="n">
        <v>25</v>
      </c>
      <c r="B308" t="s">
        <v>14</v>
      </c>
      <c r="C308" t="s">
        <v>51</v>
      </c>
      <c r="D308" s="2" t="s">
        <f>=HYPERLINK("https://main.knesset.gov.il/APPS/legislation/main/bills/2242066", "הצעת חוק לימוד חובה (תיקון - מספר תלמידים מרבי בכיתה בבית ספר יסודי), התשפ""ו-2026")</f>
        <v>744</v>
      </c>
      <c r="E308" t="s">
        <v>744</v>
      </c>
      <c r="F308" t="s">
        <v>745</v>
      </c>
      <c r="G308" t="s">
        <v>14</v>
      </c>
      <c r="H308">
             </c>
      <c r="I308" t="s">
        <v>14</v>
      </c>
      <c r="J308" t="s">
        <v>242</v>
      </c>
      <c r="K308" t="s">
        <v>14</v>
      </c>
      <c r="L308" t="s">
        <v>20</v>
      </c>
      <c r="M308" t="s">
        <v>700</v>
      </c>
      <c r="N308" t="s">
        <v>14</v>
      </c>
    </row>
    <row r="309" x14ac:dyDescent="0.25">
      <c r="A309" t="n">
        <v>25</v>
      </c>
      <c r="B309" t="s">
        <v>14</v>
      </c>
      <c r="C309" t="s">
        <v>51</v>
      </c>
      <c r="D309" s="2" t="s">
        <f>=HYPERLINK("https://main.knesset.gov.il/APPS/legislation/main/bills/2242654", "הצעת חוק רשות העתיקות (תיקון - סמכות רשות העתיקות ביהודה והשומרון), התשפ""ו-2026")</f>
        <v>746</v>
      </c>
      <c r="E309" t="s">
        <v>746</v>
      </c>
      <c r="F309" t="s">
        <v>747</v>
      </c>
      <c r="G309" t="s">
        <v>14</v>
      </c>
      <c r="H309">
             </c>
      <c r="I309" t="s">
        <v>14</v>
      </c>
      <c r="J309" t="s">
        <v>242</v>
      </c>
      <c r="K309" t="s">
        <v>14</v>
      </c>
      <c r="L309" t="s">
        <v>20</v>
      </c>
      <c r="M309" t="s">
        <v>700</v>
      </c>
      <c r="N309" t="s">
        <v>14</v>
      </c>
    </row>
    <row r="310" x14ac:dyDescent="0.25">
      <c r="A310" t="n">
        <v>25</v>
      </c>
      <c r="B310" t="s">
        <v>14</v>
      </c>
      <c r="C310" t="s">
        <v>51</v>
      </c>
      <c r="D310" s="2" t="s">
        <f>=HYPERLINK("https://main.knesset.gov.il/APPS/legislation/main/bills/2233987", "הצעת חוק סמכויות מיוחדות למאבק בארגוני פשיעה (הוראות שעה), התשפ""ו–2026")</f>
        <v>748</v>
      </c>
      <c r="E310" t="s">
        <v>748</v>
      </c>
      <c r="F310" t="s">
        <v>749</v>
      </c>
      <c r="G310" t="s">
        <v>750</v>
      </c>
      <c r="H310">
             </c>
      <c r="I310" t="s">
        <v>14</v>
      </c>
      <c r="J310" t="s">
        <v>162</v>
      </c>
      <c r="K310" t="s">
        <v>19</v>
      </c>
      <c r="L310" t="s">
        <v>20</v>
      </c>
      <c r="M310" t="s">
        <v>700</v>
      </c>
      <c r="N310" t="s">
        <v>14</v>
      </c>
    </row>
    <row r="311" x14ac:dyDescent="0.25">
      <c r="A311" t="n">
        <v>25</v>
      </c>
      <c r="B311" t="s">
        <v>14</v>
      </c>
      <c r="C311" t="s">
        <v>51</v>
      </c>
      <c r="D311" s="2" t="s">
        <f>=HYPERLINK("https://main.knesset.gov.il/APPS/legislation/main/bills/2230569", "הצעת חוק שמירה על גבולות המדינה (תיקוני חקיקה), התשפ""ה-2025")</f>
        <v>751</v>
      </c>
      <c r="E311" t="s">
        <v>751</v>
      </c>
      <c r="F311" t="s">
        <v>752</v>
      </c>
      <c r="G311" t="s">
        <v>14</v>
      </c>
      <c r="H311">
             </c>
      <c r="I311" t="s">
        <v>14</v>
      </c>
      <c r="J311" t="s">
        <v>183</v>
      </c>
      <c r="K311" t="s">
        <v>39</v>
      </c>
      <c r="L311" t="s">
        <v>20</v>
      </c>
      <c r="M311" t="s">
        <v>753</v>
      </c>
      <c r="N311" t="s">
        <v>14</v>
      </c>
    </row>
    <row r="312" x14ac:dyDescent="0.25">
      <c r="A312" t="n">
        <v>25</v>
      </c>
      <c r="B312" t="s">
        <v>14</v>
      </c>
      <c r="C312" t="s">
        <v>51</v>
      </c>
      <c r="D312" s="2" t="s">
        <f>=HYPERLINK("https://main.knesset.gov.il/APPS/legislation/main/bills/2203845", "חוק זכויות מבצעים ומשדרים (תיקון מס' 10), התשפ""ו–2026")</f>
        <v>754</v>
      </c>
      <c r="E312" t="s">
        <v>754</v>
      </c>
      <c r="F312" t="s">
        <v>755</v>
      </c>
      <c r="G312" t="s">
        <v>756</v>
      </c>
      <c r="H312" t="n">
        <v>3529</v>
      </c>
      <c r="I312" t="s">
        <v>14</v>
      </c>
      <c r="J312" t="s">
        <v>18</v>
      </c>
      <c r="K312" t="s">
        <v>84</v>
      </c>
      <c r="L312" t="s">
        <v>20</v>
      </c>
      <c r="M312" t="s">
        <v>757</v>
      </c>
      <c r="N312" t="s">
        <v>758</v>
      </c>
    </row>
    <row r="313" x14ac:dyDescent="0.25">
      <c r="A313" t="n">
        <v>25</v>
      </c>
      <c r="B313" t="s">
        <v>14</v>
      </c>
      <c r="C313" t="s">
        <v>51</v>
      </c>
      <c r="D313" s="2" t="s">
        <f>=HYPERLINK("https://main.knesset.gov.il/APPS/legislation/main/bills/2195995", "חוק ביטוח בריאות ממלכתי (תיקון מס' 75), התשפ""ו–2026")</f>
        <v>759</v>
      </c>
      <c r="E313" t="s">
        <v>759</v>
      </c>
      <c r="F313" t="s">
        <v>760</v>
      </c>
      <c r="G313" t="s">
        <v>761</v>
      </c>
      <c r="H313" t="n">
        <v>3528</v>
      </c>
      <c r="I313" t="s">
        <v>14</v>
      </c>
      <c r="J313" t="s">
        <v>18</v>
      </c>
      <c r="K313" t="s">
        <v>361</v>
      </c>
      <c r="L313" t="s">
        <v>20</v>
      </c>
      <c r="M313" t="s">
        <v>757</v>
      </c>
      <c r="N313" t="s">
        <v>14</v>
      </c>
    </row>
    <row r="314" x14ac:dyDescent="0.25">
      <c r="A314" t="n">
        <v>25</v>
      </c>
      <c r="B314" t="s">
        <v>14</v>
      </c>
      <c r="C314" t="s">
        <v>51</v>
      </c>
      <c r="D314" s="2" t="s">
        <f>=HYPERLINK("https://main.knesset.gov.il/APPS/legislation/main/bills/2232225", "הצעת חוק דחיית מועדים (תשלומים של בעל עסק המשרת בשירות מילואים פעיל), התשפ""ה-2025")</f>
        <v>762</v>
      </c>
      <c r="E314" t="s">
        <v>762</v>
      </c>
      <c r="F314" t="s">
        <v>763</v>
      </c>
      <c r="G314" t="s">
        <v>14</v>
      </c>
      <c r="H314">
             </c>
      <c r="I314" t="s">
        <v>14</v>
      </c>
      <c r="J314" t="s">
        <v>193</v>
      </c>
      <c r="K314" t="s">
        <v>14</v>
      </c>
      <c r="L314" t="s">
        <v>20</v>
      </c>
      <c r="M314" t="s">
        <v>757</v>
      </c>
      <c r="N314" t="s">
        <v>14</v>
      </c>
    </row>
    <row r="315" x14ac:dyDescent="0.25">
      <c r="A315" t="n">
        <v>25</v>
      </c>
      <c r="B315" t="s">
        <v>14</v>
      </c>
      <c r="C315" t="s">
        <v>51</v>
      </c>
      <c r="D315" s="2" t="s">
        <f>=HYPERLINK("https://main.knesset.gov.il/APPS/legislation/main/bills/2225466", "הצעת חוק לתיקון פקודת מס הכנסה (נקודות זיכוי להורי חיילים), התשפ""ה-2024")</f>
        <v>764</v>
      </c>
      <c r="E315" t="s">
        <v>764</v>
      </c>
      <c r="F315" t="s">
        <v>765</v>
      </c>
      <c r="G315" t="s">
        <v>14</v>
      </c>
      <c r="H315">
             </c>
      <c r="I315" t="s">
        <v>14</v>
      </c>
      <c r="J315" t="s">
        <v>193</v>
      </c>
      <c r="K315" t="s">
        <v>14</v>
      </c>
      <c r="L315" t="s">
        <v>20</v>
      </c>
      <c r="M315" t="s">
        <v>757</v>
      </c>
      <c r="N315" t="s">
        <v>14</v>
      </c>
    </row>
    <row r="316" x14ac:dyDescent="0.25">
      <c r="A316" t="n">
        <v>25</v>
      </c>
      <c r="B316" t="s">
        <v>14</v>
      </c>
      <c r="C316" t="s">
        <v>51</v>
      </c>
      <c r="D316" s="2" t="s">
        <f>=HYPERLINK("https://main.knesset.gov.il/APPS/legislation/main/bills/2220804", "חוק כלי הירייה (תיקון מס' 25), התשפ""ה–2025")</f>
        <v>766</v>
      </c>
      <c r="E316" t="s">
        <v>766</v>
      </c>
      <c r="F316" t="s">
        <v>767</v>
      </c>
      <c r="G316" t="s">
        <v>768</v>
      </c>
      <c r="H316" t="n">
        <v>3379</v>
      </c>
      <c r="I316" t="s">
        <v>14</v>
      </c>
      <c r="J316" t="s">
        <v>18</v>
      </c>
      <c r="K316" t="s">
        <v>19</v>
      </c>
      <c r="L316" t="s">
        <v>20</v>
      </c>
      <c r="M316" t="s">
        <v>769</v>
      </c>
      <c r="N316" t="s">
        <v>770</v>
      </c>
    </row>
    <row r="317" x14ac:dyDescent="0.25">
      <c r="A317" t="n">
        <v>25</v>
      </c>
      <c r="B317" t="s">
        <v>14</v>
      </c>
      <c r="C317" t="s">
        <v>51</v>
      </c>
      <c r="D317" s="2" t="s">
        <f>=HYPERLINK("https://main.knesset.gov.il/APPS/legislation/main/bills/2196997", "חוק דיווח לכנסת על הטרדות מיניות בכוחות הביטחון והטיפול בהן (תיקוני חקיקה), התשפ""ו-2025")</f>
        <v>771</v>
      </c>
      <c r="E317" t="s">
        <v>771</v>
      </c>
      <c r="F317" t="s">
        <v>772</v>
      </c>
      <c r="G317" t="s">
        <v>773</v>
      </c>
      <c r="H317" t="n">
        <v>3468</v>
      </c>
      <c r="I317" t="s">
        <v>14</v>
      </c>
      <c r="J317" t="s">
        <v>18</v>
      </c>
      <c r="K317" t="s">
        <v>19</v>
      </c>
      <c r="L317" t="s">
        <v>20</v>
      </c>
      <c r="M317" t="s">
        <v>769</v>
      </c>
      <c r="N317" t="s">
        <v>774</v>
      </c>
    </row>
    <row r="318" x14ac:dyDescent="0.25">
      <c r="A318" t="n">
        <v>25</v>
      </c>
      <c r="B318" t="s">
        <v>14</v>
      </c>
      <c r="C318" t="s">
        <v>15</v>
      </c>
      <c r="D318" s="2" t="s">
        <f>=HYPERLINK("https://main.knesset.gov.il/APPS/legislation/main/bills/2240463", "פרק י""ב (פיקוח על מוצרי עישון לצורכי מס) מתוך הצעת חוק התוכנית הכלכלית (תיקוני חקיקה ליישום המדיניות הכלכלית לשנת התקציב 2026), התשפ""ו-2026")</f>
        <v>775</v>
      </c>
      <c r="E318" t="s">
        <v>775</v>
      </c>
      <c r="F318" t="s">
        <v>14</v>
      </c>
      <c r="G318" t="s">
        <v>29</v>
      </c>
      <c r="H318">
             </c>
      <c r="I318" t="s">
        <v>14</v>
      </c>
      <c r="J318" t="s">
        <v>38</v>
      </c>
      <c r="K318" t="s">
        <v>24</v>
      </c>
      <c r="L318" t="s">
        <v>20</v>
      </c>
      <c r="M318" t="s">
        <v>776</v>
      </c>
      <c r="N318" t="s">
        <v>14</v>
      </c>
    </row>
    <row r="319" x14ac:dyDescent="0.25">
      <c r="A319" t="n">
        <v>25</v>
      </c>
      <c r="B319" t="s">
        <v>14</v>
      </c>
      <c r="C319" t="s">
        <v>51</v>
      </c>
      <c r="D319" s="2" t="s">
        <f>=HYPERLINK("https://main.knesset.gov.il/APPS/legislation/main/bills/2222852", "חוק העמדה לדין בשל אירועי טבח 7 באוקטובר 2023 (טבח שמיני עצרת), התשפ""ו–2026")</f>
        <v>777</v>
      </c>
      <c r="E319" t="s">
        <v>777</v>
      </c>
      <c r="F319" t="s">
        <v>778</v>
      </c>
      <c r="G319" t="s">
        <v>779</v>
      </c>
      <c r="H319" t="n">
        <v>3527</v>
      </c>
      <c r="I319" t="s">
        <v>14</v>
      </c>
      <c r="J319" t="s">
        <v>18</v>
      </c>
      <c r="K319" t="s">
        <v>27</v>
      </c>
      <c r="L319" t="s">
        <v>20</v>
      </c>
      <c r="M319" t="s">
        <v>776</v>
      </c>
      <c r="N319" t="s">
        <v>780</v>
      </c>
    </row>
    <row r="320" x14ac:dyDescent="0.25">
      <c r="A320" t="n">
        <v>25</v>
      </c>
      <c r="B320" t="s">
        <v>14</v>
      </c>
      <c r="C320" t="s">
        <v>51</v>
      </c>
      <c r="D320" s="2" t="s">
        <f>=HYPERLINK("https://main.knesset.gov.il/APPS/legislation/main/bills/2219199", "חוק לתיקון פקודת המשטרה (מס' 44), התשפ""ו-2026")</f>
        <v>781</v>
      </c>
      <c r="E320" t="s">
        <v>781</v>
      </c>
      <c r="F320" t="s">
        <v>782</v>
      </c>
      <c r="G320" t="s">
        <v>783</v>
      </c>
      <c r="H320" t="n">
        <v>3526</v>
      </c>
      <c r="I320" t="s">
        <v>14</v>
      </c>
      <c r="J320" t="s">
        <v>18</v>
      </c>
      <c r="K320" t="s">
        <v>19</v>
      </c>
      <c r="L320" t="s">
        <v>20</v>
      </c>
      <c r="M320" t="s">
        <v>776</v>
      </c>
      <c r="N320" t="s">
        <v>784</v>
      </c>
    </row>
    <row r="321" x14ac:dyDescent="0.25">
      <c r="A321" t="n">
        <v>25</v>
      </c>
      <c r="B321" t="s">
        <v>14</v>
      </c>
      <c r="C321" t="s">
        <v>51</v>
      </c>
      <c r="D321" s="2" t="s">
        <f>=HYPERLINK("https://main.knesset.gov.il/APPS/legislation/main/bills/2238362", "הצעת חוק חובת גילוי בדבר עוצמת הקרינה מכלי רכב בפרסומות ובעסקים, התשפ""ו-2026")</f>
        <v>785</v>
      </c>
      <c r="E321" t="s">
        <v>785</v>
      </c>
      <c r="F321" t="s">
        <v>786</v>
      </c>
      <c r="G321" t="s">
        <v>14</v>
      </c>
      <c r="H321">
             </c>
      <c r="I321" t="s">
        <v>14</v>
      </c>
      <c r="J321" t="s">
        <v>242</v>
      </c>
      <c r="K321" t="s">
        <v>14</v>
      </c>
      <c r="L321" t="s">
        <v>20</v>
      </c>
      <c r="M321" t="s">
        <v>776</v>
      </c>
      <c r="N321" t="s">
        <v>14</v>
      </c>
    </row>
    <row r="322" x14ac:dyDescent="0.25">
      <c r="A322" t="n">
        <v>25</v>
      </c>
      <c r="B322" t="s">
        <v>14</v>
      </c>
      <c r="C322" t="s">
        <v>51</v>
      </c>
      <c r="D322" s="2" t="s">
        <f>=HYPERLINK("https://main.knesset.gov.il/APPS/legislation/main/bills/2242444", "הצעת חוק עבודת נשים (תיקון - הרחבת הזכות להיעדר מעבודה במקרים של הורות משותפת עם משרת מילואים), התשפ""ו-2026")</f>
        <v>787</v>
      </c>
      <c r="E322" t="s">
        <v>787</v>
      </c>
      <c r="F322" t="s">
        <v>788</v>
      </c>
      <c r="G322" t="s">
        <v>14</v>
      </c>
      <c r="H322">
             </c>
      <c r="I322" t="s">
        <v>14</v>
      </c>
      <c r="J322" t="s">
        <v>242</v>
      </c>
      <c r="K322" t="s">
        <v>14</v>
      </c>
      <c r="L322" t="s">
        <v>20</v>
      </c>
      <c r="M322" t="s">
        <v>776</v>
      </c>
      <c r="N322" t="s">
        <v>14</v>
      </c>
    </row>
    <row r="323" x14ac:dyDescent="0.25">
      <c r="A323" t="n">
        <v>25</v>
      </c>
      <c r="B323" t="s">
        <v>14</v>
      </c>
      <c r="C323" t="s">
        <v>51</v>
      </c>
      <c r="D323" s="2" t="s">
        <f>=HYPERLINK("https://main.knesset.gov.il/APPS/legislation/main/bills/2242619", "הצעת חוק סיוע למשפחות אזרחים נעדרים, התשפ""ו-2026")</f>
        <v>789</v>
      </c>
      <c r="E323" t="s">
        <v>789</v>
      </c>
      <c r="F323" t="s">
        <v>790</v>
      </c>
      <c r="G323" t="s">
        <v>14</v>
      </c>
      <c r="H323">
             </c>
      <c r="I323" t="s">
        <v>14</v>
      </c>
      <c r="J323" t="s">
        <v>242</v>
      </c>
      <c r="K323" t="s">
        <v>14</v>
      </c>
      <c r="L323" t="s">
        <v>20</v>
      </c>
      <c r="M323" t="s">
        <v>776</v>
      </c>
      <c r="N323" t="s">
        <v>14</v>
      </c>
    </row>
    <row r="324" x14ac:dyDescent="0.25">
      <c r="A324" t="n">
        <v>25</v>
      </c>
      <c r="B324" t="s">
        <v>14</v>
      </c>
      <c r="C324" t="s">
        <v>51</v>
      </c>
      <c r="D324" s="2" t="s">
        <f>=HYPERLINK("https://main.knesset.gov.il/APPS/legislation/main/bills/2242493", "הצעת חוק שלילת הטבות מאדם שלא מילא חובת שירות, התשפ""ו-2026")</f>
        <v>791</v>
      </c>
      <c r="E324" t="s">
        <v>791</v>
      </c>
      <c r="F324" t="s">
        <v>792</v>
      </c>
      <c r="G324" t="s">
        <v>14</v>
      </c>
      <c r="H324">
             </c>
      <c r="I324" t="s">
        <v>14</v>
      </c>
      <c r="J324" t="s">
        <v>242</v>
      </c>
      <c r="K324" t="s">
        <v>14</v>
      </c>
      <c r="L324" t="s">
        <v>20</v>
      </c>
      <c r="M324" t="s">
        <v>776</v>
      </c>
      <c r="N324" t="s">
        <v>14</v>
      </c>
    </row>
    <row r="325" x14ac:dyDescent="0.25">
      <c r="A325" t="n">
        <v>25</v>
      </c>
      <c r="B325" t="s">
        <v>14</v>
      </c>
      <c r="C325" t="s">
        <v>51</v>
      </c>
      <c r="D325" s="2" t="s">
        <f>=HYPERLINK("https://main.knesset.gov.il/APPS/legislation/main/bills/2242129", "הצעת חוק הכרזה על תנועת האחים המוסלמים ועל הפלג הדרומי בתנועה האסלאמית כארגוני טרור ומחיקת מפלגות התומכות בטרור מפנקס המפלגות, התשפ""ו-2026")</f>
        <v>793</v>
      </c>
      <c r="E325" t="s">
        <v>793</v>
      </c>
      <c r="F325" t="s">
        <v>794</v>
      </c>
      <c r="G325" t="s">
        <v>14</v>
      </c>
      <c r="H325">
             </c>
      <c r="I325" t="s">
        <v>14</v>
      </c>
      <c r="J325" t="s">
        <v>242</v>
      </c>
      <c r="K325" t="s">
        <v>14</v>
      </c>
      <c r="L325" t="s">
        <v>20</v>
      </c>
      <c r="M325" t="s">
        <v>776</v>
      </c>
      <c r="N325" t="s">
        <v>14</v>
      </c>
    </row>
    <row r="326" x14ac:dyDescent="0.25">
      <c r="A326" t="n">
        <v>25</v>
      </c>
      <c r="B326" t="s">
        <v>14</v>
      </c>
      <c r="C326" t="s">
        <v>51</v>
      </c>
      <c r="D326" s="2" t="s">
        <f>=HYPERLINK("https://main.knesset.gov.il/APPS/legislation/main/bills/2240736", "הצעת חוק קידום החקלאות, התשפ""ו-2026")</f>
        <v>597</v>
      </c>
      <c r="E326" t="s">
        <v>597</v>
      </c>
      <c r="F326" t="s">
        <v>795</v>
      </c>
      <c r="G326" t="s">
        <v>14</v>
      </c>
      <c r="H326">
             </c>
      <c r="I326" t="s">
        <v>14</v>
      </c>
      <c r="J326" t="s">
        <v>242</v>
      </c>
      <c r="K326" t="s">
        <v>14</v>
      </c>
      <c r="L326" t="s">
        <v>20</v>
      </c>
      <c r="M326" t="s">
        <v>776</v>
      </c>
      <c r="N326" t="s">
        <v>14</v>
      </c>
    </row>
    <row r="327" x14ac:dyDescent="0.25">
      <c r="A327" t="n">
        <v>25</v>
      </c>
      <c r="B327" t="s">
        <v>14</v>
      </c>
      <c r="C327" t="s">
        <v>51</v>
      </c>
      <c r="D327" s="2" t="s">
        <f>=HYPERLINK("https://main.knesset.gov.il/APPS/legislation/main/bills/2242406", "הצעת חוק עיטור הפציעה הקרבית, התשפ""ו-2026")</f>
        <v>796</v>
      </c>
      <c r="E327" t="s">
        <v>796</v>
      </c>
      <c r="F327" t="s">
        <v>797</v>
      </c>
      <c r="G327" t="s">
        <v>14</v>
      </c>
      <c r="H327">
             </c>
      <c r="I327" t="s">
        <v>14</v>
      </c>
      <c r="J327" t="s">
        <v>242</v>
      </c>
      <c r="K327" t="s">
        <v>14</v>
      </c>
      <c r="L327" t="s">
        <v>20</v>
      </c>
      <c r="M327" t="s">
        <v>776</v>
      </c>
      <c r="N327" t="s">
        <v>14</v>
      </c>
    </row>
    <row r="328" x14ac:dyDescent="0.25">
      <c r="A328" t="n">
        <v>25</v>
      </c>
      <c r="B328" t="s">
        <v>14</v>
      </c>
      <c r="C328" t="s">
        <v>51</v>
      </c>
      <c r="D328" s="2" t="s">
        <f>=HYPERLINK("https://main.knesset.gov.il/APPS/legislation/main/bills/2242653", "הצעת חוק ההתנתקות והפיצויים לנפגעיה (תיקון - נוכחות וחופש תנועה לישראלים בחבל עזה), התשפ""ו-2026 ")</f>
        <v>581</v>
      </c>
      <c r="E328" t="s">
        <v>581</v>
      </c>
      <c r="F328" t="s">
        <v>798</v>
      </c>
      <c r="G328" t="s">
        <v>14</v>
      </c>
      <c r="H328">
             </c>
      <c r="I328" t="s">
        <v>14</v>
      </c>
      <c r="J328" t="s">
        <v>242</v>
      </c>
      <c r="K328" t="s">
        <v>14</v>
      </c>
      <c r="L328" t="s">
        <v>20</v>
      </c>
      <c r="M328" t="s">
        <v>776</v>
      </c>
      <c r="N328" t="s">
        <v>14</v>
      </c>
    </row>
    <row r="329" x14ac:dyDescent="0.25">
      <c r="A329" t="n">
        <v>25</v>
      </c>
      <c r="B329" t="s">
        <v>14</v>
      </c>
      <c r="C329" t="s">
        <v>51</v>
      </c>
      <c r="D329" s="2" t="s">
        <f>=HYPERLINK("https://main.knesset.gov.il/APPS/legislation/main/bills/2241472", "הצעת חוק חישוב התשלום בעד נסיעה בתחבורה ציבורית (תיקוני חקיקה), התשפ""ו-2026")</f>
        <v>799</v>
      </c>
      <c r="E329" t="s">
        <v>799</v>
      </c>
      <c r="F329" t="s">
        <v>800</v>
      </c>
      <c r="G329" t="s">
        <v>14</v>
      </c>
      <c r="H329">
             </c>
      <c r="I329" t="s">
        <v>14</v>
      </c>
      <c r="J329" t="s">
        <v>242</v>
      </c>
      <c r="K329" t="s">
        <v>14</v>
      </c>
      <c r="L329" t="s">
        <v>20</v>
      </c>
      <c r="M329" t="s">
        <v>776</v>
      </c>
      <c r="N329" t="s">
        <v>14</v>
      </c>
    </row>
    <row r="330" x14ac:dyDescent="0.25">
      <c r="A330" t="n">
        <v>25</v>
      </c>
      <c r="B330" t="s">
        <v>14</v>
      </c>
      <c r="C330" t="s">
        <v>51</v>
      </c>
      <c r="D330" s="2" t="s">
        <f>=HYPERLINK("https://main.knesset.gov.il/APPS/legislation/main/bills/2233346", "הצעת חוק קידום החקלאות, התשפ""ו-2026")</f>
        <v>597</v>
      </c>
      <c r="E330" t="s">
        <v>597</v>
      </c>
      <c r="F330" t="s">
        <v>801</v>
      </c>
      <c r="G330" t="s">
        <v>14</v>
      </c>
      <c r="H330">
             </c>
      <c r="I330" t="s">
        <v>14</v>
      </c>
      <c r="J330" t="s">
        <v>242</v>
      </c>
      <c r="K330" t="s">
        <v>14</v>
      </c>
      <c r="L330" t="s">
        <v>20</v>
      </c>
      <c r="M330" t="s">
        <v>776</v>
      </c>
      <c r="N330" t="s">
        <v>14</v>
      </c>
    </row>
    <row r="331" x14ac:dyDescent="0.25">
      <c r="A331" t="n">
        <v>25</v>
      </c>
      <c r="B331" t="s">
        <v>14</v>
      </c>
      <c r="C331" t="s">
        <v>51</v>
      </c>
      <c r="D331" s="2" t="s">
        <f>=HYPERLINK("https://main.knesset.gov.il/APPS/legislation/main/bills/2241277", "הצעת חוק למאבק באלימות במוסד חינוכי (תיקוני חקיקה), התשפ""ו-2026")</f>
        <v>802</v>
      </c>
      <c r="E331" t="s">
        <v>802</v>
      </c>
      <c r="F331" t="s">
        <v>803</v>
      </c>
      <c r="G331" t="s">
        <v>14</v>
      </c>
      <c r="H331">
             </c>
      <c r="I331" t="s">
        <v>14</v>
      </c>
      <c r="J331" t="s">
        <v>242</v>
      </c>
      <c r="K331" t="s">
        <v>14</v>
      </c>
      <c r="L331" t="s">
        <v>20</v>
      </c>
      <c r="M331" t="s">
        <v>776</v>
      </c>
      <c r="N331" t="s">
        <v>14</v>
      </c>
    </row>
    <row r="332" x14ac:dyDescent="0.25">
      <c r="A332" t="n">
        <v>25</v>
      </c>
      <c r="B332" t="s">
        <v>14</v>
      </c>
      <c r="C332" t="s">
        <v>51</v>
      </c>
      <c r="D332" s="2" t="s">
        <f>=HYPERLINK("https://main.knesset.gov.il/APPS/legislation/main/bills/2239797", "הצעת חוק עיגון החלטות ממשלה ארוכות טווח, התשפ״ו-2026 ")</f>
        <v>804</v>
      </c>
      <c r="E332" t="s">
        <v>804</v>
      </c>
      <c r="F332" t="s">
        <v>805</v>
      </c>
      <c r="G332" t="s">
        <v>14</v>
      </c>
      <c r="H332">
             </c>
      <c r="I332" t="s">
        <v>14</v>
      </c>
      <c r="J332" t="s">
        <v>242</v>
      </c>
      <c r="K332" t="s">
        <v>14</v>
      </c>
      <c r="L332" t="s">
        <v>20</v>
      </c>
      <c r="M332" t="s">
        <v>776</v>
      </c>
      <c r="N332" t="s">
        <v>14</v>
      </c>
    </row>
    <row r="333" x14ac:dyDescent="0.25">
      <c r="A333" t="n">
        <v>25</v>
      </c>
      <c r="B333" t="s">
        <v>14</v>
      </c>
      <c r="C333" t="s">
        <v>51</v>
      </c>
      <c r="D333" s="2" t="s">
        <f>=HYPERLINK("https://main.knesset.gov.il/APPS/legislation/main/bills/2239981", "הצעת חוק ההוצאה לפועל (תיקון - מתן הפטר לחייב מוגבל באמצעים) (הוראת שעה), התשפ""ו-2026")</f>
        <v>806</v>
      </c>
      <c r="E333" t="s">
        <v>806</v>
      </c>
      <c r="F333" t="s">
        <v>807</v>
      </c>
      <c r="G333" t="s">
        <v>14</v>
      </c>
      <c r="H333">
             </c>
      <c r="I333" t="s">
        <v>14</v>
      </c>
      <c r="J333" t="s">
        <v>242</v>
      </c>
      <c r="K333" t="s">
        <v>14</v>
      </c>
      <c r="L333" t="s">
        <v>20</v>
      </c>
      <c r="M333" t="s">
        <v>776</v>
      </c>
      <c r="N333" t="s">
        <v>14</v>
      </c>
    </row>
    <row r="334" x14ac:dyDescent="0.25">
      <c r="A334" t="n">
        <v>25</v>
      </c>
      <c r="B334" t="s">
        <v>14</v>
      </c>
      <c r="C334" t="s">
        <v>51</v>
      </c>
      <c r="D334" s="2" t="s">
        <f>=HYPERLINK("https://main.knesset.gov.il/APPS/legislation/main/bills/2240673", "הצעת חוק העונשין (תיקון - פיצויים בגין הרשעה בעבירות מין ואלימות חמורה), התשפ""ו-2026")</f>
        <v>808</v>
      </c>
      <c r="E334" t="s">
        <v>808</v>
      </c>
      <c r="F334" t="s">
        <v>809</v>
      </c>
      <c r="G334" t="s">
        <v>14</v>
      </c>
      <c r="H334">
             </c>
      <c r="I334" t="s">
        <v>14</v>
      </c>
      <c r="J334" t="s">
        <v>242</v>
      </c>
      <c r="K334" t="s">
        <v>14</v>
      </c>
      <c r="L334" t="s">
        <v>20</v>
      </c>
      <c r="M334" t="s">
        <v>776</v>
      </c>
      <c r="N334" t="s">
        <v>14</v>
      </c>
    </row>
    <row r="335" x14ac:dyDescent="0.25">
      <c r="A335" t="n">
        <v>25</v>
      </c>
      <c r="B335" t="s">
        <v>14</v>
      </c>
      <c r="C335" t="s">
        <v>51</v>
      </c>
      <c r="D335" s="2" t="s">
        <f>=HYPERLINK("https://main.knesset.gov.il/APPS/legislation/main/bills/2242558", "הצעת חוק האקלים, התשפ""ו-2026")</f>
        <v>810</v>
      </c>
      <c r="E335" t="s">
        <v>810</v>
      </c>
      <c r="F335" t="s">
        <v>811</v>
      </c>
      <c r="G335" t="s">
        <v>14</v>
      </c>
      <c r="H335">
             </c>
      <c r="I335" t="s">
        <v>14</v>
      </c>
      <c r="J335" t="s">
        <v>242</v>
      </c>
      <c r="K335" t="s">
        <v>14</v>
      </c>
      <c r="L335" t="s">
        <v>20</v>
      </c>
      <c r="M335" t="s">
        <v>776</v>
      </c>
      <c r="N335" t="s">
        <v>14</v>
      </c>
    </row>
    <row r="336" x14ac:dyDescent="0.25">
      <c r="A336" t="n">
        <v>25</v>
      </c>
      <c r="B336" t="s">
        <v>14</v>
      </c>
      <c r="C336" t="s">
        <v>51</v>
      </c>
      <c r="D336" s="2" t="s">
        <f>=HYPERLINK("https://main.knesset.gov.il/APPS/legislation/main/bills/2242567", "הצעת חוק משפחות חיילים שנספו במערכה (תגמולים ושיקום) (תיקון - השוואת זכויות של יתום עצמאי ליתום משני הורים), התשפ""ו-2026")</f>
        <v>498</v>
      </c>
      <c r="E336" t="s">
        <v>498</v>
      </c>
      <c r="F336" t="s">
        <v>812</v>
      </c>
      <c r="G336" t="s">
        <v>14</v>
      </c>
      <c r="H336">
             </c>
      <c r="I336" t="s">
        <v>14</v>
      </c>
      <c r="J336" t="s">
        <v>242</v>
      </c>
      <c r="K336" t="s">
        <v>14</v>
      </c>
      <c r="L336" t="s">
        <v>20</v>
      </c>
      <c r="M336" t="s">
        <v>776</v>
      </c>
      <c r="N336" t="s">
        <v>14</v>
      </c>
    </row>
    <row r="337" x14ac:dyDescent="0.25">
      <c r="A337" t="n">
        <v>25</v>
      </c>
      <c r="B337" t="s">
        <v>14</v>
      </c>
      <c r="C337" t="s">
        <v>51</v>
      </c>
      <c r="D337" s="2" t="s">
        <f>=HYPERLINK("https://main.knesset.gov.il/APPS/legislation/main/bills/2242131", "הצעת חוק מניעת רעש בלתי סביר של המואזין, התשפ״ו-2026")</f>
        <v>813</v>
      </c>
      <c r="E337" t="s">
        <v>813</v>
      </c>
      <c r="F337" t="s">
        <v>814</v>
      </c>
      <c r="G337" t="s">
        <v>14</v>
      </c>
      <c r="H337">
             </c>
      <c r="I337" t="s">
        <v>14</v>
      </c>
      <c r="J337" t="s">
        <v>242</v>
      </c>
      <c r="K337" t="s">
        <v>14</v>
      </c>
      <c r="L337" t="s">
        <v>20</v>
      </c>
      <c r="M337" t="s">
        <v>776</v>
      </c>
      <c r="N337" t="s">
        <v>14</v>
      </c>
    </row>
    <row r="338" x14ac:dyDescent="0.25">
      <c r="A338" t="n">
        <v>25</v>
      </c>
      <c r="B338" t="s">
        <v>14</v>
      </c>
      <c r="C338" t="s">
        <v>51</v>
      </c>
      <c r="D338" s="2" t="s">
        <f>=HYPERLINK("https://main.knesset.gov.il/APPS/legislation/main/bills/2242610", "הצעת חוק מניעת סבל מחסרי חוליות מסוימים  (תיקוני חקיקה), התשפ""ו-2026")</f>
        <v>815</v>
      </c>
      <c r="E338" t="s">
        <v>815</v>
      </c>
      <c r="F338" t="s">
        <v>816</v>
      </c>
      <c r="G338" t="s">
        <v>14</v>
      </c>
      <c r="H338">
             </c>
      <c r="I338" t="s">
        <v>14</v>
      </c>
      <c r="J338" t="s">
        <v>242</v>
      </c>
      <c r="K338" t="s">
        <v>14</v>
      </c>
      <c r="L338" t="s">
        <v>20</v>
      </c>
      <c r="M338" t="s">
        <v>776</v>
      </c>
      <c r="N338" t="s">
        <v>14</v>
      </c>
    </row>
    <row r="339" x14ac:dyDescent="0.25">
      <c r="A339" t="n">
        <v>25</v>
      </c>
      <c r="B339" t="s">
        <v>14</v>
      </c>
      <c r="C339" t="s">
        <v>51</v>
      </c>
      <c r="D339" s="2" t="s">
        <f>=HYPERLINK("https://main.knesset.gov.il/APPS/legislation/main/bills/2242180", "הצעת חוק לתיקון פקודת התעבורה (הסדר חניה לאופנוע - איסור העמדה במקביל למדרכה), התשפ""ו-2026")</f>
        <v>817</v>
      </c>
      <c r="E339" t="s">
        <v>817</v>
      </c>
      <c r="F339" t="s">
        <v>818</v>
      </c>
      <c r="G339" t="s">
        <v>14</v>
      </c>
      <c r="H339">
             </c>
      <c r="I339" t="s">
        <v>14</v>
      </c>
      <c r="J339" t="s">
        <v>242</v>
      </c>
      <c r="K339" t="s">
        <v>14</v>
      </c>
      <c r="L339" t="s">
        <v>20</v>
      </c>
      <c r="M339" t="s">
        <v>776</v>
      </c>
      <c r="N339" t="s">
        <v>14</v>
      </c>
    </row>
    <row r="340" x14ac:dyDescent="0.25">
      <c r="A340" t="n">
        <v>25</v>
      </c>
      <c r="B340" t="s">
        <v>14</v>
      </c>
      <c r="C340" t="s">
        <v>51</v>
      </c>
      <c r="D340" s="2" t="s">
        <f>=HYPERLINK("https://main.knesset.gov.il/APPS/legislation/main/bills/2239460", "הצעת חוק להגברת האכיפה של דיני העבודה (תיקון - אחריות מזמיני שירות וקבלנים בשרשורי העסקה), התשפ""ו-2026")</f>
        <v>819</v>
      </c>
      <c r="E340" t="s">
        <v>819</v>
      </c>
      <c r="F340" t="s">
        <v>820</v>
      </c>
      <c r="G340" t="s">
        <v>14</v>
      </c>
      <c r="H340">
             </c>
      <c r="I340" t="s">
        <v>14</v>
      </c>
      <c r="J340" t="s">
        <v>242</v>
      </c>
      <c r="K340" t="s">
        <v>14</v>
      </c>
      <c r="L340" t="s">
        <v>20</v>
      </c>
      <c r="M340" t="s">
        <v>776</v>
      </c>
      <c r="N340" t="s">
        <v>14</v>
      </c>
    </row>
    <row r="341" x14ac:dyDescent="0.25">
      <c r="A341" t="n">
        <v>25</v>
      </c>
      <c r="B341" t="s">
        <v>14</v>
      </c>
      <c r="C341" t="s">
        <v>51</v>
      </c>
      <c r="D341" s="2" t="s">
        <f>=HYPERLINK("https://main.knesset.gov.il/APPS/legislation/main/bills/2240977", "הצעת חוק עידוד הקמת יקבים בקרקעות חקלאיות, התשפ""ו-2026")</f>
        <v>821</v>
      </c>
      <c r="E341" t="s">
        <v>821</v>
      </c>
      <c r="F341" t="s">
        <v>822</v>
      </c>
      <c r="G341" t="s">
        <v>14</v>
      </c>
      <c r="H341">
             </c>
      <c r="I341" t="s">
        <v>14</v>
      </c>
      <c r="J341" t="s">
        <v>242</v>
      </c>
      <c r="K341" t="s">
        <v>14</v>
      </c>
      <c r="L341" t="s">
        <v>20</v>
      </c>
      <c r="M341" t="s">
        <v>776</v>
      </c>
      <c r="N341" t="s">
        <v>14</v>
      </c>
    </row>
    <row r="342" x14ac:dyDescent="0.25">
      <c r="A342" t="n">
        <v>25</v>
      </c>
      <c r="B342" t="s">
        <v>14</v>
      </c>
      <c r="C342" t="s">
        <v>51</v>
      </c>
      <c r="D342" s="2" t="s">
        <f>=HYPERLINK("https://main.knesset.gov.il/APPS/legislation/main/bills/2240408", "הצעת חוק העובדים הסוציאליים (תיקון - איסור העסקת בוגרי הרשות הפלסטינית), התשפ""ו-2026")</f>
        <v>823</v>
      </c>
      <c r="E342" t="s">
        <v>823</v>
      </c>
      <c r="F342" t="s">
        <v>824</v>
      </c>
      <c r="G342" t="s">
        <v>14</v>
      </c>
      <c r="H342">
             </c>
      <c r="I342" t="s">
        <v>14</v>
      </c>
      <c r="J342" t="s">
        <v>242</v>
      </c>
      <c r="K342" t="s">
        <v>14</v>
      </c>
      <c r="L342" t="s">
        <v>20</v>
      </c>
      <c r="M342" t="s">
        <v>776</v>
      </c>
      <c r="N342" t="s">
        <v>14</v>
      </c>
    </row>
    <row r="343" x14ac:dyDescent="0.25">
      <c r="A343" t="n">
        <v>25</v>
      </c>
      <c r="B343" t="s">
        <v>14</v>
      </c>
      <c r="C343" t="s">
        <v>51</v>
      </c>
      <c r="D343" s="2" t="s">
        <f>=HYPERLINK("https://main.knesset.gov.il/APPS/legislation/main/bills/2241297", "הצעת חוק להסדרת הפיקוח על כלבים (תיקון - הסדרת עיסוק באילוף כלבים), התשפ""ו-2026")</f>
        <v>825</v>
      </c>
      <c r="E343" t="s">
        <v>825</v>
      </c>
      <c r="F343" t="s">
        <v>826</v>
      </c>
      <c r="G343" t="s">
        <v>14</v>
      </c>
      <c r="H343">
             </c>
      <c r="I343" t="s">
        <v>14</v>
      </c>
      <c r="J343" t="s">
        <v>242</v>
      </c>
      <c r="K343" t="s">
        <v>14</v>
      </c>
      <c r="L343" t="s">
        <v>20</v>
      </c>
      <c r="M343" t="s">
        <v>776</v>
      </c>
      <c r="N343" t="s">
        <v>14</v>
      </c>
    </row>
    <row r="344" x14ac:dyDescent="0.25">
      <c r="A344" t="n">
        <v>25</v>
      </c>
      <c r="B344" t="s">
        <v>14</v>
      </c>
      <c r="C344" t="s">
        <v>51</v>
      </c>
      <c r="D344" s="2" t="s">
        <f>=HYPERLINK("https://main.knesset.gov.il/APPS/legislation/main/bills/2239845", "הצעת חוק לתיקון פקודת התעבורה (מתן עדיפות תכנונית לקווי אוטובוס שבהם שיעור הנוסעים גבוה), התשפ""ו-2026")</f>
        <v>827</v>
      </c>
      <c r="E344" t="s">
        <v>827</v>
      </c>
      <c r="F344" t="s">
        <v>828</v>
      </c>
      <c r="G344" t="s">
        <v>14</v>
      </c>
      <c r="H344">
             </c>
      <c r="I344" t="s">
        <v>14</v>
      </c>
      <c r="J344" t="s">
        <v>242</v>
      </c>
      <c r="K344" t="s">
        <v>14</v>
      </c>
      <c r="L344" t="s">
        <v>20</v>
      </c>
      <c r="M344" t="s">
        <v>776</v>
      </c>
      <c r="N344" t="s">
        <v>14</v>
      </c>
    </row>
    <row r="345" x14ac:dyDescent="0.25">
      <c r="A345" t="n">
        <v>25</v>
      </c>
      <c r="B345" t="s">
        <v>14</v>
      </c>
      <c r="C345" t="s">
        <v>51</v>
      </c>
      <c r="D345" s="2" t="s">
        <f>=HYPERLINK("https://main.knesset.gov.il/APPS/legislation/main/bills/2240546", "הצעת חוק מדד לזכות לקיום אנושי בכבוד, התשפ""ו-2026")</f>
        <v>829</v>
      </c>
      <c r="E345" t="s">
        <v>829</v>
      </c>
      <c r="F345" t="s">
        <v>830</v>
      </c>
      <c r="G345" t="s">
        <v>14</v>
      </c>
      <c r="H345">
             </c>
      <c r="I345" t="s">
        <v>14</v>
      </c>
      <c r="J345" t="s">
        <v>242</v>
      </c>
      <c r="K345" t="s">
        <v>14</v>
      </c>
      <c r="L345" t="s">
        <v>20</v>
      </c>
      <c r="M345" t="s">
        <v>776</v>
      </c>
      <c r="N345" t="s">
        <v>14</v>
      </c>
    </row>
    <row r="346" x14ac:dyDescent="0.25">
      <c r="A346" t="n">
        <v>25</v>
      </c>
      <c r="B346" t="s">
        <v>14</v>
      </c>
      <c r="C346" t="s">
        <v>51</v>
      </c>
      <c r="D346" s="2" t="s">
        <f>=HYPERLINK("https://main.knesset.gov.il/APPS/legislation/main/bills/2242059", "הצעת חוק לתיקון פקודת בריאות העם (חובת אחזקת מכשיר איתור ורידים), התשפ""ו-2026")</f>
        <v>831</v>
      </c>
      <c r="E346" t="s">
        <v>831</v>
      </c>
      <c r="F346" t="s">
        <v>832</v>
      </c>
      <c r="G346" t="s">
        <v>14</v>
      </c>
      <c r="H346">
             </c>
      <c r="I346" t="s">
        <v>14</v>
      </c>
      <c r="J346" t="s">
        <v>242</v>
      </c>
      <c r="K346" t="s">
        <v>14</v>
      </c>
      <c r="L346" t="s">
        <v>20</v>
      </c>
      <c r="M346" t="s">
        <v>776</v>
      </c>
      <c r="N346" t="s">
        <v>14</v>
      </c>
    </row>
    <row r="347" x14ac:dyDescent="0.25">
      <c r="A347" t="n">
        <v>25</v>
      </c>
      <c r="B347" t="s">
        <v>14</v>
      </c>
      <c r="C347" t="s">
        <v>51</v>
      </c>
      <c r="D347" s="2" t="s">
        <f>=HYPERLINK("https://main.knesset.gov.il/APPS/legislation/main/bills/2218926", "הצעת חוק משפחות חיילים שנספו במערכה (תגמולים ושיקום) (תיקון - הטבות לאח הנספה), התשפ""ו-2026")</f>
        <v>722</v>
      </c>
      <c r="E347" t="s">
        <v>722</v>
      </c>
      <c r="F347" t="s">
        <v>833</v>
      </c>
      <c r="G347" t="s">
        <v>14</v>
      </c>
      <c r="H347">
             </c>
      <c r="I347" t="s">
        <v>14</v>
      </c>
      <c r="J347" t="s">
        <v>242</v>
      </c>
      <c r="K347" t="s">
        <v>14</v>
      </c>
      <c r="L347" t="s">
        <v>20</v>
      </c>
      <c r="M347" t="s">
        <v>776</v>
      </c>
      <c r="N347" t="s">
        <v>14</v>
      </c>
    </row>
    <row r="348" x14ac:dyDescent="0.25">
      <c r="A348" t="n">
        <v>25</v>
      </c>
      <c r="B348" t="s">
        <v>14</v>
      </c>
      <c r="C348" t="s">
        <v>51</v>
      </c>
      <c r="D348" s="2" t="s">
        <f>=HYPERLINK("https://main.knesset.gov.il/APPS/legislation/main/bills/2240970", "הצעת חוק לתיקון פקודת התעבורה (יידוע הציבור על צילום לצורכי אכיפה), התשפ""ו-2026")</f>
        <v>834</v>
      </c>
      <c r="E348" t="s">
        <v>834</v>
      </c>
      <c r="F348" t="s">
        <v>835</v>
      </c>
      <c r="G348" t="s">
        <v>14</v>
      </c>
      <c r="H348">
             </c>
      <c r="I348" t="s">
        <v>14</v>
      </c>
      <c r="J348" t="s">
        <v>242</v>
      </c>
      <c r="K348" t="s">
        <v>14</v>
      </c>
      <c r="L348" t="s">
        <v>20</v>
      </c>
      <c r="M348" t="s">
        <v>776</v>
      </c>
      <c r="N348" t="s">
        <v>14</v>
      </c>
    </row>
    <row r="349" x14ac:dyDescent="0.25">
      <c r="A349" t="n">
        <v>25</v>
      </c>
      <c r="B349" t="s">
        <v>14</v>
      </c>
      <c r="C349" t="s">
        <v>51</v>
      </c>
      <c r="D349" s="2" t="s">
        <f>=HYPERLINK("https://main.knesset.gov.il/APPS/legislation/main/bills/2236439", "הצעת חוק בתי קברות צבאיים (תיקון - חיילים זכאי חוק השבות), התשפ""ו-2026")</f>
        <v>836</v>
      </c>
      <c r="E349" t="s">
        <v>836</v>
      </c>
      <c r="F349" t="s">
        <v>837</v>
      </c>
      <c r="G349" t="s">
        <v>14</v>
      </c>
      <c r="H349">
             </c>
      <c r="I349" t="s">
        <v>14</v>
      </c>
      <c r="J349" t="s">
        <v>242</v>
      </c>
      <c r="K349" t="s">
        <v>14</v>
      </c>
      <c r="L349" t="s">
        <v>20</v>
      </c>
      <c r="M349" t="s">
        <v>776</v>
      </c>
      <c r="N349" t="s">
        <v>14</v>
      </c>
    </row>
    <row r="350" x14ac:dyDescent="0.25">
      <c r="A350" t="n">
        <v>25</v>
      </c>
      <c r="B350" t="s">
        <v>14</v>
      </c>
      <c r="C350" t="s">
        <v>51</v>
      </c>
      <c r="D350" s="2" t="s">
        <f>=HYPERLINK("https://main.knesset.gov.il/APPS/legislation/main/bills/2242135", "הצעת חוק ההתגוננות האזרחית (תיקון - איסור הצבת צופר על גג מוסד חינוכי לצרכים מיוחדים), התשפ""ו-2026")</f>
        <v>838</v>
      </c>
      <c r="E350" t="s">
        <v>838</v>
      </c>
      <c r="F350" t="s">
        <v>839</v>
      </c>
      <c r="G350" t="s">
        <v>14</v>
      </c>
      <c r="H350">
             </c>
      <c r="I350" t="s">
        <v>14</v>
      </c>
      <c r="J350" t="s">
        <v>242</v>
      </c>
      <c r="K350" t="s">
        <v>14</v>
      </c>
      <c r="L350" t="s">
        <v>20</v>
      </c>
      <c r="M350" t="s">
        <v>776</v>
      </c>
      <c r="N350" t="s">
        <v>14</v>
      </c>
    </row>
    <row r="351" x14ac:dyDescent="0.25">
      <c r="A351" t="n">
        <v>25</v>
      </c>
      <c r="B351" t="s">
        <v>14</v>
      </c>
      <c r="C351" t="s">
        <v>51</v>
      </c>
      <c r="D351" s="2" t="s">
        <f>=HYPERLINK("https://main.knesset.gov.il/APPS/legislation/main/bills/2240911", "הצעת חוק אחריות במרחב הרשת, התשפ""ו-2026")</f>
        <v>840</v>
      </c>
      <c r="E351" t="s">
        <v>840</v>
      </c>
      <c r="F351" t="s">
        <v>841</v>
      </c>
      <c r="G351" t="s">
        <v>14</v>
      </c>
      <c r="H351">
             </c>
      <c r="I351" t="s">
        <v>14</v>
      </c>
      <c r="J351" t="s">
        <v>242</v>
      </c>
      <c r="K351" t="s">
        <v>14</v>
      </c>
      <c r="L351" t="s">
        <v>20</v>
      </c>
      <c r="M351" t="s">
        <v>776</v>
      </c>
      <c r="N351" t="s">
        <v>14</v>
      </c>
    </row>
    <row r="352" x14ac:dyDescent="0.25">
      <c r="A352" t="n">
        <v>25</v>
      </c>
      <c r="B352" t="s">
        <v>14</v>
      </c>
      <c r="C352" t="s">
        <v>51</v>
      </c>
      <c r="D352" s="2" t="s">
        <f>=HYPERLINK("https://main.knesset.gov.il/APPS/legislation/main/bills/2240648", "הצעת חוק הרשות השנייה לטלוויזיה ורדיו (תיקון - הארכת תקופת המעבר), התשפ""ו-2026")</f>
        <v>842</v>
      </c>
      <c r="E352" t="s">
        <v>842</v>
      </c>
      <c r="F352" t="s">
        <v>843</v>
      </c>
      <c r="G352" t="s">
        <v>14</v>
      </c>
      <c r="H352">
             </c>
      <c r="I352" t="s">
        <v>14</v>
      </c>
      <c r="J352" t="s">
        <v>242</v>
      </c>
      <c r="K352" t="s">
        <v>14</v>
      </c>
      <c r="L352" t="s">
        <v>20</v>
      </c>
      <c r="M352" t="s">
        <v>776</v>
      </c>
      <c r="N352" t="s">
        <v>14</v>
      </c>
    </row>
    <row r="353" x14ac:dyDescent="0.25">
      <c r="A353" t="n">
        <v>25</v>
      </c>
      <c r="B353" t="s">
        <v>14</v>
      </c>
      <c r="C353" t="s">
        <v>51</v>
      </c>
      <c r="D353" s="2" t="s">
        <f>=HYPERLINK("https://main.knesset.gov.il/APPS/legislation/main/bills/2238944", "הצעת חוק לתיקון פקודת התעבורה (נסיעת רכב שבו שני נוסעים לפחות בנתיב תחבורה ציבורית), התשפ""ו-2026")</f>
        <v>844</v>
      </c>
      <c r="E353" t="s">
        <v>844</v>
      </c>
      <c r="F353" t="s">
        <v>845</v>
      </c>
      <c r="G353" t="s">
        <v>14</v>
      </c>
      <c r="H353">
             </c>
      <c r="I353" t="s">
        <v>14</v>
      </c>
      <c r="J353" t="s">
        <v>242</v>
      </c>
      <c r="K353" t="s">
        <v>14</v>
      </c>
      <c r="L353" t="s">
        <v>20</v>
      </c>
      <c r="M353" t="s">
        <v>776</v>
      </c>
      <c r="N353" t="s">
        <v>14</v>
      </c>
    </row>
    <row r="354" x14ac:dyDescent="0.25">
      <c r="A354" t="n">
        <v>25</v>
      </c>
      <c r="B354" t="s">
        <v>14</v>
      </c>
      <c r="C354" t="s">
        <v>51</v>
      </c>
      <c r="D354" s="2" t="s">
        <f>=HYPERLINK("https://main.knesset.gov.il/APPS/legislation/main/bills/2236916", "הצעת חוק לתיקון פקודת הרוקחים (מתן מרשם על ידי פודיאטר ופודיאטר מנתח), התשפ""ו-2026")</f>
        <v>846</v>
      </c>
      <c r="E354" t="s">
        <v>846</v>
      </c>
      <c r="F354" t="s">
        <v>847</v>
      </c>
      <c r="G354" t="s">
        <v>14</v>
      </c>
      <c r="H354">
             </c>
      <c r="I354" t="s">
        <v>14</v>
      </c>
      <c r="J354" t="s">
        <v>242</v>
      </c>
      <c r="K354" t="s">
        <v>14</v>
      </c>
      <c r="L354" t="s">
        <v>20</v>
      </c>
      <c r="M354" t="s">
        <v>776</v>
      </c>
      <c r="N354" t="s">
        <v>14</v>
      </c>
    </row>
    <row r="355" x14ac:dyDescent="0.25">
      <c r="A355" t="n">
        <v>25</v>
      </c>
      <c r="B355" t="s">
        <v>14</v>
      </c>
      <c r="C355" t="s">
        <v>51</v>
      </c>
      <c r="D355" s="2" t="s">
        <f>=HYPERLINK("https://main.knesset.gov.il/APPS/legislation/main/bills/2240459", "הצעת חוק הבחירות (דרכי תעמולה) (תיקון - תעמולה דיגיטלית, תעמולה מבוססת בינה מלאכותית והחמרת ענישה), התשפ""ו-2026")</f>
        <v>848</v>
      </c>
      <c r="E355" t="s">
        <v>848</v>
      </c>
      <c r="F355" t="s">
        <v>849</v>
      </c>
      <c r="G355" t="s">
        <v>14</v>
      </c>
      <c r="H355">
             </c>
      <c r="I355" t="s">
        <v>14</v>
      </c>
      <c r="J355" t="s">
        <v>242</v>
      </c>
      <c r="K355" t="s">
        <v>14</v>
      </c>
      <c r="L355" t="s">
        <v>20</v>
      </c>
      <c r="M355" t="s">
        <v>776</v>
      </c>
      <c r="N355" t="s">
        <v>14</v>
      </c>
    </row>
    <row r="356" x14ac:dyDescent="0.25">
      <c r="A356" t="n">
        <v>25</v>
      </c>
      <c r="B356" t="s">
        <v>14</v>
      </c>
      <c r="C356" t="s">
        <v>51</v>
      </c>
      <c r="D356" s="2" t="s">
        <f>=HYPERLINK("https://main.knesset.gov.il/APPS/legislation/main/bills/2242145", "הצעת חוק בתי קברות צבאיים (תיקון מס' 5) (תיקון - תחולה למפרע), התשפ""ו-2026")</f>
        <v>850</v>
      </c>
      <c r="E356" t="s">
        <v>850</v>
      </c>
      <c r="F356" t="s">
        <v>851</v>
      </c>
      <c r="G356" t="s">
        <v>14</v>
      </c>
      <c r="H356">
             </c>
      <c r="I356" t="s">
        <v>14</v>
      </c>
      <c r="J356" t="s">
        <v>242</v>
      </c>
      <c r="K356" t="s">
        <v>14</v>
      </c>
      <c r="L356" t="s">
        <v>20</v>
      </c>
      <c r="M356" t="s">
        <v>776</v>
      </c>
      <c r="N356" t="s">
        <v>14</v>
      </c>
    </row>
    <row r="357" x14ac:dyDescent="0.25">
      <c r="A357" t="n">
        <v>25</v>
      </c>
      <c r="B357" t="s">
        <v>14</v>
      </c>
      <c r="C357" t="s">
        <v>51</v>
      </c>
      <c r="D357" s="2" t="s">
        <f>=HYPERLINK("https://main.knesset.gov.il/APPS/legislation/main/bills/2241107", "הצעת חוק השמירה על המקומות הקדושים (תיקון - סמכות הרבנות הראשית לישראל), התשפ""ו-2026")</f>
        <v>852</v>
      </c>
      <c r="E357" t="s">
        <v>852</v>
      </c>
      <c r="F357" t="s">
        <v>853</v>
      </c>
      <c r="G357" t="s">
        <v>14</v>
      </c>
      <c r="H357">
             </c>
      <c r="I357" t="s">
        <v>14</v>
      </c>
      <c r="J357" t="s">
        <v>242</v>
      </c>
      <c r="K357" t="s">
        <v>14</v>
      </c>
      <c r="L357" t="s">
        <v>20</v>
      </c>
      <c r="M357" t="s">
        <v>776</v>
      </c>
      <c r="N357" t="s">
        <v>14</v>
      </c>
    </row>
    <row r="358" x14ac:dyDescent="0.25">
      <c r="A358" t="n">
        <v>25</v>
      </c>
      <c r="B358" t="s">
        <v>14</v>
      </c>
      <c r="C358" t="s">
        <v>51</v>
      </c>
      <c r="D358" s="2" t="s">
        <f>=HYPERLINK("https://main.knesset.gov.il/APPS/legislation/main/bills/2242055", "הצעת חוק רישוי עסקים (תיקון - התקנת מכשיר לבדיקת רמת אלכוהול), התשפ""ו-2026")</f>
        <v>854</v>
      </c>
      <c r="E358" t="s">
        <v>854</v>
      </c>
      <c r="F358" t="s">
        <v>855</v>
      </c>
      <c r="G358" t="s">
        <v>14</v>
      </c>
      <c r="H358">
             </c>
      <c r="I358" t="s">
        <v>14</v>
      </c>
      <c r="J358" t="s">
        <v>242</v>
      </c>
      <c r="K358" t="s">
        <v>14</v>
      </c>
      <c r="L358" t="s">
        <v>20</v>
      </c>
      <c r="M358" t="s">
        <v>776</v>
      </c>
      <c r="N358" t="s">
        <v>14</v>
      </c>
    </row>
    <row r="359" x14ac:dyDescent="0.25">
      <c r="A359" t="n">
        <v>25</v>
      </c>
      <c r="B359" t="s">
        <v>14</v>
      </c>
      <c r="C359" t="s">
        <v>51</v>
      </c>
      <c r="D359" s="2" t="s">
        <f>=HYPERLINK("https://main.knesset.gov.il/APPS/legislation/main/bills/2242101", "הצעת חוק זכויות הסטודנט (תיקון - איסור הפליה מחמת נטייה מינית או זהות מגדרית), התשפ""ו-2026")</f>
        <v>856</v>
      </c>
      <c r="E359" t="s">
        <v>856</v>
      </c>
      <c r="F359" t="s">
        <v>857</v>
      </c>
      <c r="G359" t="s">
        <v>14</v>
      </c>
      <c r="H359">
             </c>
      <c r="I359" t="s">
        <v>14</v>
      </c>
      <c r="J359" t="s">
        <v>242</v>
      </c>
      <c r="K359" t="s">
        <v>14</v>
      </c>
      <c r="L359" t="s">
        <v>20</v>
      </c>
      <c r="M359" t="s">
        <v>776</v>
      </c>
      <c r="N359" t="s">
        <v>14</v>
      </c>
    </row>
    <row r="360" x14ac:dyDescent="0.25">
      <c r="A360" t="n">
        <v>25</v>
      </c>
      <c r="B360" t="s">
        <v>14</v>
      </c>
      <c r="C360" t="s">
        <v>51</v>
      </c>
      <c r="D360" s="2" t="s">
        <f>=HYPERLINK("https://main.knesset.gov.il/APPS/legislation/main/bills/2236966", "הצעת חוק שירותי הדת היהודיים (תיקון - הכרזה על בית עלמין סגור), התשפ""ו-2026")</f>
        <v>858</v>
      </c>
      <c r="E360" t="s">
        <v>858</v>
      </c>
      <c r="F360" t="s">
        <v>859</v>
      </c>
      <c r="G360" t="s">
        <v>14</v>
      </c>
      <c r="H360">
             </c>
      <c r="I360" t="s">
        <v>14</v>
      </c>
      <c r="J360" t="s">
        <v>242</v>
      </c>
      <c r="K360" t="s">
        <v>14</v>
      </c>
      <c r="L360" t="s">
        <v>20</v>
      </c>
      <c r="M360" t="s">
        <v>776</v>
      </c>
      <c r="N360" t="s">
        <v>14</v>
      </c>
    </row>
    <row r="361" x14ac:dyDescent="0.25">
      <c r="A361" t="n">
        <v>25</v>
      </c>
      <c r="B361" t="s">
        <v>14</v>
      </c>
      <c r="C361" t="s">
        <v>51</v>
      </c>
      <c r="D361" s="2" t="s">
        <f>=HYPERLINK("https://main.knesset.gov.il/APPS/legislation/main/bills/2242141", "הצעת חוק לימוד חובה (תיקון - מנהל מוסד חינוך), התשפ""ו-2026")</f>
        <v>860</v>
      </c>
      <c r="E361" t="s">
        <v>860</v>
      </c>
      <c r="F361" t="s">
        <v>861</v>
      </c>
      <c r="G361" t="s">
        <v>14</v>
      </c>
      <c r="H361">
             </c>
      <c r="I361" t="s">
        <v>14</v>
      </c>
      <c r="J361" t="s">
        <v>242</v>
      </c>
      <c r="K361" t="s">
        <v>14</v>
      </c>
      <c r="L361" t="s">
        <v>20</v>
      </c>
      <c r="M361" t="s">
        <v>776</v>
      </c>
      <c r="N361" t="s">
        <v>14</v>
      </c>
    </row>
    <row r="362" x14ac:dyDescent="0.25">
      <c r="A362" t="n">
        <v>25</v>
      </c>
      <c r="B362" t="s">
        <v>14</v>
      </c>
      <c r="C362" t="s">
        <v>51</v>
      </c>
      <c r="D362" s="2" t="s">
        <f>=HYPERLINK("https://main.knesset.gov.il/APPS/legislation/main/bills/2242416", "הצעת חוק לתיקון פקודת מס הכנסה (שינוי הקריטריונים ליישוב מוטב), התשפ""ו-2026")</f>
        <v>862</v>
      </c>
      <c r="E362" t="s">
        <v>862</v>
      </c>
      <c r="F362" t="s">
        <v>863</v>
      </c>
      <c r="G362" t="s">
        <v>14</v>
      </c>
      <c r="H362">
             </c>
      <c r="I362" t="s">
        <v>14</v>
      </c>
      <c r="J362" t="s">
        <v>242</v>
      </c>
      <c r="K362" t="s">
        <v>14</v>
      </c>
      <c r="L362" t="s">
        <v>20</v>
      </c>
      <c r="M362" t="s">
        <v>776</v>
      </c>
      <c r="N362" t="s">
        <v>14</v>
      </c>
    </row>
    <row r="363" x14ac:dyDescent="0.25">
      <c r="A363" t="n">
        <v>25</v>
      </c>
      <c r="B363" t="s">
        <v>14</v>
      </c>
      <c r="C363" t="s">
        <v>51</v>
      </c>
      <c r="D363" s="2" t="s">
        <f>=HYPERLINK("https://main.knesset.gov.il/APPS/legislation/main/bills/2242179", "הצעת חוק ביטוח בריאות ממלכתי (תיקון - הרחבת חופש הבחירה ושוויון בנגישות בפריפריה), התשפ""ו-2026")</f>
        <v>864</v>
      </c>
      <c r="E363" t="s">
        <v>864</v>
      </c>
      <c r="F363" t="s">
        <v>865</v>
      </c>
      <c r="G363" t="s">
        <v>14</v>
      </c>
      <c r="H363">
             </c>
      <c r="I363" t="s">
        <v>14</v>
      </c>
      <c r="J363" t="s">
        <v>242</v>
      </c>
      <c r="K363" t="s">
        <v>14</v>
      </c>
      <c r="L363" t="s">
        <v>20</v>
      </c>
      <c r="M363" t="s">
        <v>776</v>
      </c>
      <c r="N363" t="s">
        <v>14</v>
      </c>
    </row>
    <row r="364" x14ac:dyDescent="0.25">
      <c r="A364" t="n">
        <v>25</v>
      </c>
      <c r="B364" t="s">
        <v>14</v>
      </c>
      <c r="C364" t="s">
        <v>51</v>
      </c>
      <c r="D364" s="2" t="s">
        <f>=HYPERLINK("https://main.knesset.gov.il/APPS/legislation/main/bills/2241864", "הצעת חוק המועצה להשכלה גבוהה (תיקון - מימון לימודים לתואר ראשון לסטודנט תושב קריית שמונה) (הוראת שעה), התשפ״ו-2026")</f>
        <v>866</v>
      </c>
      <c r="E364" t="s">
        <v>866</v>
      </c>
      <c r="F364" t="s">
        <v>867</v>
      </c>
      <c r="G364" t="s">
        <v>14</v>
      </c>
      <c r="H364">
             </c>
      <c r="I364" t="s">
        <v>14</v>
      </c>
      <c r="J364" t="s">
        <v>242</v>
      </c>
      <c r="K364" t="s">
        <v>14</v>
      </c>
      <c r="L364" t="s">
        <v>20</v>
      </c>
      <c r="M364" t="s">
        <v>776</v>
      </c>
      <c r="N364" t="s">
        <v>14</v>
      </c>
    </row>
    <row r="365" x14ac:dyDescent="0.25">
      <c r="A365" t="n">
        <v>25</v>
      </c>
      <c r="B365" t="s">
        <v>14</v>
      </c>
      <c r="C365" t="s">
        <v>15</v>
      </c>
      <c r="D365" s="2" t="s">
        <f>=HYPERLINK("https://main.knesset.gov.il/APPS/legislation/main/bills/1046169", "הצעת חוק הכניסה לישראל (תיקון מס' 45) (סמכויות פיקוח כלפי מגישי בקשה להסדרת מעמד בן זוג), התשפ""ו-2026")</f>
        <v>868</v>
      </c>
      <c r="E365" t="s">
        <v>868</v>
      </c>
      <c r="F365" t="s">
        <v>14</v>
      </c>
      <c r="G365" t="s">
        <v>869</v>
      </c>
      <c r="H365">
             </c>
      <c r="I365" t="s">
        <v>14</v>
      </c>
      <c r="J365" t="s">
        <v>162</v>
      </c>
      <c r="K365" t="s">
        <v>14</v>
      </c>
      <c r="L365" t="s">
        <v>20</v>
      </c>
      <c r="M365" t="s">
        <v>776</v>
      </c>
      <c r="N365" t="s">
        <v>14</v>
      </c>
    </row>
    <row r="366" x14ac:dyDescent="0.25">
      <c r="A366" t="n">
        <v>25</v>
      </c>
      <c r="B366" t="s">
        <v>14</v>
      </c>
      <c r="C366" t="s">
        <v>15</v>
      </c>
      <c r="D366" s="2" t="s">
        <f>=HYPERLINK("https://main.knesset.gov.il/APPS/legislation/main/bills/1042178", "הצעת חוק הפיקוח על שירותים פיננסיים (שירותים פיננסיים מוסדרים) (תיקון מס' 18), התשפ""ו-2026")</f>
        <v>870</v>
      </c>
      <c r="E366" t="s">
        <v>870</v>
      </c>
      <c r="F366" t="s">
        <v>14</v>
      </c>
      <c r="G366" t="s">
        <v>871</v>
      </c>
      <c r="H366">
             </c>
      <c r="I366" t="s">
        <v>14</v>
      </c>
      <c r="J366" t="s">
        <v>162</v>
      </c>
      <c r="K366" t="s">
        <v>14</v>
      </c>
      <c r="L366" t="s">
        <v>20</v>
      </c>
      <c r="M366" t="s">
        <v>776</v>
      </c>
      <c r="N366" t="s">
        <v>14</v>
      </c>
    </row>
    <row r="367" x14ac:dyDescent="0.25">
      <c r="A367" t="n">
        <v>25</v>
      </c>
      <c r="B367" t="s">
        <v>14</v>
      </c>
      <c r="C367" t="s">
        <v>51</v>
      </c>
      <c r="D367" s="2" t="s">
        <f>=HYPERLINK("https://main.knesset.gov.il/APPS/legislation/main/bills/2224718", "הצעת חוק הוועדה לטיפול במשפחות נעדרים וחטופים, התשפ""ה-2024")</f>
        <v>872</v>
      </c>
      <c r="E367" t="s">
        <v>872</v>
      </c>
      <c r="F367" t="s">
        <v>873</v>
      </c>
      <c r="G367" t="s">
        <v>14</v>
      </c>
      <c r="H367">
             </c>
      <c r="I367" t="s">
        <v>14</v>
      </c>
      <c r="J367" t="s">
        <v>183</v>
      </c>
      <c r="K367" t="s">
        <v>19</v>
      </c>
      <c r="L367" t="s">
        <v>20</v>
      </c>
      <c r="M367" t="s">
        <v>874</v>
      </c>
      <c r="N367" t="s">
        <v>14</v>
      </c>
    </row>
    <row r="368" x14ac:dyDescent="0.25">
      <c r="A368" t="n">
        <v>25</v>
      </c>
      <c r="B368" t="s">
        <v>14</v>
      </c>
      <c r="C368" t="s">
        <v>51</v>
      </c>
      <c r="D368" s="2" t="s">
        <f>=HYPERLINK("https://main.knesset.gov.il/APPS/legislation/main/bills/2222851", "הצעת חוק הוועדה לטיפול במשפחות נעדרים אזרחיים, התשפ""ה-2024")</f>
        <v>875</v>
      </c>
      <c r="E368" t="s">
        <v>875</v>
      </c>
      <c r="F368" t="s">
        <v>876</v>
      </c>
      <c r="G368" t="s">
        <v>14</v>
      </c>
      <c r="H368">
             </c>
      <c r="I368" t="s">
        <v>14</v>
      </c>
      <c r="J368" t="s">
        <v>183</v>
      </c>
      <c r="K368" t="s">
        <v>19</v>
      </c>
      <c r="L368" t="s">
        <v>20</v>
      </c>
      <c r="M368" t="s">
        <v>874</v>
      </c>
      <c r="N368" t="s">
        <v>14</v>
      </c>
    </row>
    <row r="369" x14ac:dyDescent="0.25">
      <c r="A369" t="n">
        <v>25</v>
      </c>
      <c r="B369" t="s">
        <v>14</v>
      </c>
      <c r="C369" t="s">
        <v>51</v>
      </c>
      <c r="D369" s="2" t="s">
        <f>=HYPERLINK("https://main.knesset.gov.il/APPS/legislation/main/bills/2217024", "הצעת חוק הוועדה לטיפול במשפחות נעדרים אזרחיים, התשפ""ד-2024")</f>
        <v>877</v>
      </c>
      <c r="E369" t="s">
        <v>877</v>
      </c>
      <c r="F369" t="s">
        <v>878</v>
      </c>
      <c r="G369" t="s">
        <v>14</v>
      </c>
      <c r="H369">
             </c>
      <c r="I369" t="s">
        <v>14</v>
      </c>
      <c r="J369" t="s">
        <v>183</v>
      </c>
      <c r="K369" t="s">
        <v>19</v>
      </c>
      <c r="L369" t="s">
        <v>20</v>
      </c>
      <c r="M369" t="s">
        <v>874</v>
      </c>
      <c r="N369" t="s">
        <v>14</v>
      </c>
    </row>
    <row r="370" x14ac:dyDescent="0.25">
      <c r="A370" t="n">
        <v>25</v>
      </c>
      <c r="B370" t="s">
        <v>14</v>
      </c>
      <c r="C370" t="s">
        <v>51</v>
      </c>
      <c r="D370" s="2" t="s">
        <f>=HYPERLINK("https://main.knesset.gov.il/APPS/legislation/main/bills/2210782", "הצעת חוק הוועדה לטיפול במשפחות נעדרים אזרחיים, התשפ""ד-2023")</f>
        <v>879</v>
      </c>
      <c r="E370" t="s">
        <v>879</v>
      </c>
      <c r="F370" t="s">
        <v>880</v>
      </c>
      <c r="G370" t="s">
        <v>14</v>
      </c>
      <c r="H370">
             </c>
      <c r="I370" t="s">
        <v>14</v>
      </c>
      <c r="J370" t="s">
        <v>183</v>
      </c>
      <c r="K370" t="s">
        <v>19</v>
      </c>
      <c r="L370" t="s">
        <v>20</v>
      </c>
      <c r="M370" t="s">
        <v>874</v>
      </c>
      <c r="N370" t="s">
        <v>14</v>
      </c>
    </row>
    <row r="371" x14ac:dyDescent="0.25">
      <c r="A371" t="n">
        <v>25</v>
      </c>
      <c r="B371" t="s">
        <v>14</v>
      </c>
      <c r="C371" t="s">
        <v>51</v>
      </c>
      <c r="D371" s="2" t="s">
        <f>=HYPERLINK("https://main.knesset.gov.il/APPS/legislation/main/bills/2203603", "הצעת חוק הוועדה לטיפול במשפחות נעדרים אזרחיים, התשפ""ג-2023")</f>
        <v>881</v>
      </c>
      <c r="E371" t="s">
        <v>881</v>
      </c>
      <c r="F371" t="s">
        <v>882</v>
      </c>
      <c r="G371" t="s">
        <v>14</v>
      </c>
      <c r="H371">
             </c>
      <c r="I371" t="s">
        <v>14</v>
      </c>
      <c r="J371" t="s">
        <v>183</v>
      </c>
      <c r="K371" t="s">
        <v>19</v>
      </c>
      <c r="L371" t="s">
        <v>20</v>
      </c>
      <c r="M371" t="s">
        <v>874</v>
      </c>
      <c r="N371" t="s">
        <v>14</v>
      </c>
    </row>
    <row r="372" x14ac:dyDescent="0.25">
      <c r="A372" t="n">
        <v>25</v>
      </c>
      <c r="B372" t="s">
        <v>14</v>
      </c>
      <c r="C372" t="s">
        <v>51</v>
      </c>
      <c r="D372" s="2" t="s">
        <f>=HYPERLINK("https://main.knesset.gov.il/APPS/legislation/main/bills/2196992", "הצעת חוק הוועדה לטיפול במשפחות נעדרים אזרחיים, התשפ""ג-2022")</f>
        <v>883</v>
      </c>
      <c r="E372" t="s">
        <v>883</v>
      </c>
      <c r="F372" t="s">
        <v>884</v>
      </c>
      <c r="G372" t="s">
        <v>14</v>
      </c>
      <c r="H372">
             </c>
      <c r="I372" t="s">
        <v>14</v>
      </c>
      <c r="J372" t="s">
        <v>183</v>
      </c>
      <c r="K372" t="s">
        <v>19</v>
      </c>
      <c r="L372" t="s">
        <v>20</v>
      </c>
      <c r="M372" t="s">
        <v>874</v>
      </c>
      <c r="N372" t="s">
        <v>14</v>
      </c>
    </row>
    <row r="373" x14ac:dyDescent="0.25">
      <c r="A373" t="n">
        <v>25</v>
      </c>
      <c r="B373" t="s">
        <v>14</v>
      </c>
      <c r="C373" t="s">
        <v>51</v>
      </c>
      <c r="D373" s="2" t="s">
        <f>=HYPERLINK("https://main.knesset.gov.il/APPS/legislation/main/bills/2203907", "חוק הכניסה לישראל (תיקון מס' 38), התשפ""ד–2024")</f>
        <v>885</v>
      </c>
      <c r="E373" t="s">
        <v>885</v>
      </c>
      <c r="F373" t="s">
        <v>886</v>
      </c>
      <c r="G373" t="s">
        <v>887</v>
      </c>
      <c r="H373" t="n">
        <v>3207</v>
      </c>
      <c r="I373" t="s">
        <v>14</v>
      </c>
      <c r="J373" t="s">
        <v>18</v>
      </c>
      <c r="K373" t="s">
        <v>19</v>
      </c>
      <c r="L373" t="s">
        <v>20</v>
      </c>
      <c r="M373" t="s">
        <v>888</v>
      </c>
      <c r="N373" t="s">
        <v>889</v>
      </c>
    </row>
    <row r="374" x14ac:dyDescent="0.25">
      <c r="A374" t="n">
        <v>25</v>
      </c>
      <c r="B374" t="s">
        <v>14</v>
      </c>
      <c r="C374" t="s">
        <v>15</v>
      </c>
      <c r="D374" s="2" t="s">
        <f>=HYPERLINK("https://main.knesset.gov.il/APPS/legislation/main/bills/1056982", "חוק התוכנית לסיוע כלכלי (הוראת שעה) (סיוע לעסקים ולמוסדות ציבור), התשפ""ו-2026")</f>
        <v>890</v>
      </c>
      <c r="E374" t="s">
        <v>890</v>
      </c>
      <c r="F374" t="s">
        <v>14</v>
      </c>
      <c r="G374" t="s">
        <v>891</v>
      </c>
      <c r="H374" t="n">
        <v>3525</v>
      </c>
      <c r="I374" t="s">
        <v>14</v>
      </c>
      <c r="J374" t="s">
        <v>18</v>
      </c>
      <c r="K374" t="s">
        <v>24</v>
      </c>
      <c r="L374" t="s">
        <v>20</v>
      </c>
      <c r="M374" t="s">
        <v>892</v>
      </c>
      <c r="N374" t="s">
        <v>14</v>
      </c>
    </row>
    <row r="375" x14ac:dyDescent="0.25">
      <c r="A375" t="n">
        <v>25</v>
      </c>
      <c r="B375" t="s">
        <v>14</v>
      </c>
      <c r="C375" t="s">
        <v>15</v>
      </c>
      <c r="D375" s="2" t="s">
        <f>=HYPERLINK("https://main.knesset.gov.il/APPS/legislation/main/bills/1046547", "חוק השמות (תיקון מס' 9), התשפ""ו-2026")</f>
        <v>893</v>
      </c>
      <c r="E375" t="s">
        <v>893</v>
      </c>
      <c r="F375" t="s">
        <v>14</v>
      </c>
      <c r="G375" t="s">
        <v>894</v>
      </c>
      <c r="H375" t="n">
        <v>3524</v>
      </c>
      <c r="I375" t="s">
        <v>14</v>
      </c>
      <c r="J375" t="s">
        <v>18</v>
      </c>
      <c r="K375" t="s">
        <v>30</v>
      </c>
      <c r="L375" t="s">
        <v>20</v>
      </c>
      <c r="M375" t="s">
        <v>895</v>
      </c>
      <c r="N375" t="s">
        <v>896</v>
      </c>
    </row>
    <row r="376" x14ac:dyDescent="0.25">
      <c r="A376" t="n">
        <v>25</v>
      </c>
      <c r="B376" t="s">
        <v>14</v>
      </c>
      <c r="C376" t="s">
        <v>15</v>
      </c>
      <c r="D376" s="2" t="s">
        <f>=HYPERLINK("https://main.knesset.gov.il/APPS/legislation/main/bills/1046710", "חוק הביטוח הלאומי (תיקון מס' 265), התשפ""ו-2026")</f>
        <v>897</v>
      </c>
      <c r="E376" t="s">
        <v>897</v>
      </c>
      <c r="F376" t="s">
        <v>14</v>
      </c>
      <c r="G376" t="s">
        <v>898</v>
      </c>
      <c r="H376" t="n">
        <v>3523</v>
      </c>
      <c r="I376" t="s">
        <v>14</v>
      </c>
      <c r="J376" t="s">
        <v>18</v>
      </c>
      <c r="K376" t="s">
        <v>46</v>
      </c>
      <c r="L376" t="s">
        <v>20</v>
      </c>
      <c r="M376" t="s">
        <v>895</v>
      </c>
      <c r="N376" t="s">
        <v>14</v>
      </c>
    </row>
    <row r="377" x14ac:dyDescent="0.25">
      <c r="A377" t="n">
        <v>25</v>
      </c>
      <c r="B377" t="s">
        <v>14</v>
      </c>
      <c r="C377" t="s">
        <v>15</v>
      </c>
      <c r="D377" s="2" t="s">
        <f>=HYPERLINK("https://main.knesset.gov.il/APPS/legislation/main/bills/1043724", "חוק חובת דיווח על מלאי מזון לבעלי חיים ומלאי חיטה לשם היערכות למחסור משמעותי, התשפ""ו-2026")</f>
        <v>899</v>
      </c>
      <c r="E377" t="s">
        <v>899</v>
      </c>
      <c r="F377" t="s">
        <v>14</v>
      </c>
      <c r="G377" t="s">
        <v>900</v>
      </c>
      <c r="H377" t="n">
        <v>3522</v>
      </c>
      <c r="I377" t="s">
        <v>14</v>
      </c>
      <c r="J377" t="s">
        <v>18</v>
      </c>
      <c r="K377" t="s">
        <v>84</v>
      </c>
      <c r="L377" t="s">
        <v>20</v>
      </c>
      <c r="M377" t="s">
        <v>895</v>
      </c>
      <c r="N377" t="s">
        <v>901</v>
      </c>
    </row>
    <row r="378" x14ac:dyDescent="0.25">
      <c r="A378" t="n">
        <v>25</v>
      </c>
      <c r="B378" t="s">
        <v>14</v>
      </c>
      <c r="C378" t="s">
        <v>15</v>
      </c>
      <c r="D378" s="2" t="s">
        <f>=HYPERLINK("https://main.knesset.gov.il/APPS/legislation/main/bills/1046091", "חוק שיקום נזקי מלחמה בדרך של התחדשות עירונית, התשפ""ו-2026")</f>
        <v>902</v>
      </c>
      <c r="E378" t="s">
        <v>902</v>
      </c>
      <c r="F378" t="s">
        <v>14</v>
      </c>
      <c r="G378" t="s">
        <v>903</v>
      </c>
      <c r="H378" t="n">
        <v>3521</v>
      </c>
      <c r="I378" t="s">
        <v>14</v>
      </c>
      <c r="J378" t="s">
        <v>18</v>
      </c>
      <c r="K378" t="s">
        <v>30</v>
      </c>
      <c r="L378" t="s">
        <v>20</v>
      </c>
      <c r="M378" t="s">
        <v>895</v>
      </c>
      <c r="N378" t="s">
        <v>904</v>
      </c>
    </row>
    <row r="379" x14ac:dyDescent="0.25">
      <c r="A379" t="n">
        <v>25</v>
      </c>
      <c r="B379" t="s">
        <v>14</v>
      </c>
      <c r="C379" t="s">
        <v>51</v>
      </c>
      <c r="D379" s="2" t="s">
        <f>=HYPERLINK("https://main.knesset.gov.il/APPS/legislation/main/bills/2199298", "חוק עונש מוות למחבלים, התשפ""ו-2026")</f>
        <v>905</v>
      </c>
      <c r="E379" t="s">
        <v>905</v>
      </c>
      <c r="F379" t="s">
        <v>906</v>
      </c>
      <c r="G379" t="s">
        <v>907</v>
      </c>
      <c r="H379" t="n">
        <v>3520</v>
      </c>
      <c r="I379" t="s">
        <v>14</v>
      </c>
      <c r="J379" t="s">
        <v>18</v>
      </c>
      <c r="K379" t="s">
        <v>19</v>
      </c>
      <c r="L379" t="s">
        <v>20</v>
      </c>
      <c r="M379" t="s">
        <v>908</v>
      </c>
      <c r="N379" t="s">
        <v>909</v>
      </c>
    </row>
    <row r="380" x14ac:dyDescent="0.25">
      <c r="A380" t="n">
        <v>25</v>
      </c>
      <c r="B380" t="s">
        <v>14</v>
      </c>
      <c r="C380" t="s">
        <v>15</v>
      </c>
      <c r="D380" s="2" t="s">
        <f>=HYPERLINK("https://main.knesset.gov.il/APPS/legislation/main/bills/1045979", "חוק הפצת שידורים באמצעות תחנות שידור ספרתיות (תיקון מס' 8 – הוראת שעה), התשפ""ו–2026")</f>
        <v>910</v>
      </c>
      <c r="E380" t="s">
        <v>910</v>
      </c>
      <c r="F380" t="s">
        <v>14</v>
      </c>
      <c r="G380" t="s">
        <v>911</v>
      </c>
      <c r="H380" t="n">
        <v>3519</v>
      </c>
      <c r="I380" t="s">
        <v>14</v>
      </c>
      <c r="J380" t="s">
        <v>18</v>
      </c>
      <c r="K380" t="s">
        <v>84</v>
      </c>
      <c r="L380" t="s">
        <v>20</v>
      </c>
      <c r="M380" t="s">
        <v>908</v>
      </c>
      <c r="N380" t="s">
        <v>912</v>
      </c>
    </row>
    <row r="381" x14ac:dyDescent="0.25">
      <c r="A381" t="n">
        <v>25</v>
      </c>
      <c r="B381" t="s">
        <v>14</v>
      </c>
      <c r="C381" t="s">
        <v>51</v>
      </c>
      <c r="D381" s="2" t="s">
        <f>=HYPERLINK("https://main.knesset.gov.il/APPS/legislation/main/bills/2231301", "חוק ביטוח בריאות ממלכתי (תיקון מס' 74), התשפ""ו–2026")</f>
        <v>913</v>
      </c>
      <c r="E381" t="s">
        <v>913</v>
      </c>
      <c r="F381" t="s">
        <v>914</v>
      </c>
      <c r="G381" t="s">
        <v>915</v>
      </c>
      <c r="H381" t="n">
        <v>3518</v>
      </c>
      <c r="I381" t="s">
        <v>14</v>
      </c>
      <c r="J381" t="s">
        <v>18</v>
      </c>
      <c r="K381" t="s">
        <v>361</v>
      </c>
      <c r="L381" t="s">
        <v>20</v>
      </c>
      <c r="M381" t="s">
        <v>908</v>
      </c>
      <c r="N381" t="s">
        <v>916</v>
      </c>
    </row>
    <row r="382" x14ac:dyDescent="0.25">
      <c r="A382" t="n">
        <v>25</v>
      </c>
      <c r="B382" t="s">
        <v>14</v>
      </c>
      <c r="C382" t="s">
        <v>15</v>
      </c>
      <c r="D382" s="2" t="s">
        <f>=HYPERLINK("https://main.knesset.gov.il/APPS/legislation/main/bills/1046571", "חוק להסדרת אירוע הילולת רבי שמעון בר יוחאי בהר מירון (הוראת שעה), התשפ""ו–2026")</f>
        <v>917</v>
      </c>
      <c r="E382" t="s">
        <v>917</v>
      </c>
      <c r="F382" t="s">
        <v>14</v>
      </c>
      <c r="G382" t="s">
        <v>918</v>
      </c>
      <c r="H382" t="n">
        <v>3517</v>
      </c>
      <c r="I382" t="s">
        <v>14</v>
      </c>
      <c r="J382" t="s">
        <v>18</v>
      </c>
      <c r="K382" t="s">
        <v>19</v>
      </c>
      <c r="L382" t="s">
        <v>20</v>
      </c>
      <c r="M382" t="s">
        <v>908</v>
      </c>
      <c r="N382" t="s">
        <v>919</v>
      </c>
    </row>
    <row r="383" x14ac:dyDescent="0.25">
      <c r="A383" t="n">
        <v>25</v>
      </c>
      <c r="B383" t="s">
        <v>14</v>
      </c>
      <c r="C383" t="s">
        <v>15</v>
      </c>
      <c r="D383" s="2" t="s">
        <f>=HYPERLINK("https://main.knesset.gov.il/APPS/legislation/main/bills/1046468", "חוק שירות לאומי-אזרחי (תיקון מס' 9), התשפ""ו-2026")</f>
        <v>920</v>
      </c>
      <c r="E383" t="s">
        <v>920</v>
      </c>
      <c r="F383" t="s">
        <v>14</v>
      </c>
      <c r="G383" t="s">
        <v>921</v>
      </c>
      <c r="H383" t="n">
        <v>3516</v>
      </c>
      <c r="I383" t="s">
        <v>14</v>
      </c>
      <c r="J383" t="s">
        <v>18</v>
      </c>
      <c r="K383" t="s">
        <v>39</v>
      </c>
      <c r="L383" t="s">
        <v>20</v>
      </c>
      <c r="M383" t="s">
        <v>908</v>
      </c>
      <c r="N383" t="s">
        <v>922</v>
      </c>
    </row>
    <row r="384" x14ac:dyDescent="0.25">
      <c r="A384" t="n">
        <v>25</v>
      </c>
      <c r="B384" t="s">
        <v>14</v>
      </c>
      <c r="C384" t="s">
        <v>51</v>
      </c>
      <c r="D384" s="2" t="s">
        <f>=HYPERLINK("https://main.knesset.gov.il/APPS/legislation/main/bills/2233804", "חוק עידוד יישוב עירוני מעורב (הוראת שעה), התשפ""ו–2026")</f>
        <v>923</v>
      </c>
      <c r="E384" t="s">
        <v>923</v>
      </c>
      <c r="F384" t="s">
        <v>924</v>
      </c>
      <c r="G384" t="s">
        <v>925</v>
      </c>
      <c r="H384" t="n">
        <v>3515</v>
      </c>
      <c r="I384" t="s">
        <v>14</v>
      </c>
      <c r="J384" t="s">
        <v>18</v>
      </c>
      <c r="K384" t="s">
        <v>24</v>
      </c>
      <c r="L384" t="s">
        <v>20</v>
      </c>
      <c r="M384" t="s">
        <v>908</v>
      </c>
      <c r="N384" t="s">
        <v>14</v>
      </c>
    </row>
    <row r="385" x14ac:dyDescent="0.25">
      <c r="A385" t="n">
        <v>25</v>
      </c>
      <c r="B385" t="s">
        <v>14</v>
      </c>
      <c r="C385" t="s">
        <v>15</v>
      </c>
      <c r="D385" s="2" t="s">
        <f>=HYPERLINK("https://main.knesset.gov.il/APPS/legislation/main/bills/1045865", "חוק הטבות מס ליישובים (תיקוני חקיקה), התשפ""ו-2026")</f>
        <v>926</v>
      </c>
      <c r="E385" t="s">
        <v>926</v>
      </c>
      <c r="F385" t="s">
        <v>14</v>
      </c>
      <c r="G385" t="s">
        <v>927</v>
      </c>
      <c r="H385" t="n">
        <v>3514</v>
      </c>
      <c r="I385" t="s">
        <v>14</v>
      </c>
      <c r="J385" t="s">
        <v>18</v>
      </c>
      <c r="K385" t="s">
        <v>24</v>
      </c>
      <c r="L385" t="s">
        <v>20</v>
      </c>
      <c r="M385" t="s">
        <v>908</v>
      </c>
      <c r="N385" t="s">
        <v>14</v>
      </c>
    </row>
    <row r="386" x14ac:dyDescent="0.25">
      <c r="A386" t="n">
        <v>25</v>
      </c>
      <c r="B386" t="s">
        <v>14</v>
      </c>
      <c r="C386" t="s">
        <v>15</v>
      </c>
      <c r="D386" s="2" t="s">
        <f>=HYPERLINK("https://main.knesset.gov.il/APPS/legislation/main/bills/1056979", "חוק התוכנית לסיוע כלכלי (הוראת שעה) (תעסוקה), התשפ""ו-2026")</f>
        <v>928</v>
      </c>
      <c r="E386" t="s">
        <v>928</v>
      </c>
      <c r="F386" t="s">
        <v>14</v>
      </c>
      <c r="G386" t="s">
        <v>929</v>
      </c>
      <c r="H386" t="n">
        <v>3513</v>
      </c>
      <c r="I386" t="s">
        <v>14</v>
      </c>
      <c r="J386" t="s">
        <v>18</v>
      </c>
      <c r="K386" t="s">
        <v>46</v>
      </c>
      <c r="L386" t="s">
        <v>20</v>
      </c>
      <c r="M386" t="s">
        <v>908</v>
      </c>
      <c r="N386" t="s">
        <v>930</v>
      </c>
    </row>
    <row r="387" x14ac:dyDescent="0.25">
      <c r="A387" t="n">
        <v>25</v>
      </c>
      <c r="B387" t="s">
        <v>14</v>
      </c>
      <c r="C387" t="s">
        <v>51</v>
      </c>
      <c r="D387" s="2" t="s">
        <f>=HYPERLINK("https://main.knesset.gov.il/APPS/legislation/main/bills/2225118", "הצעת חוק העונשין (תיקון מס' 162) (תקיפת חייל), התשפ""ו–2026")</f>
        <v>931</v>
      </c>
      <c r="E387" t="s">
        <v>931</v>
      </c>
      <c r="F387" t="s">
        <v>932</v>
      </c>
      <c r="G387" t="s">
        <v>933</v>
      </c>
      <c r="H387">
             </c>
      <c r="I387" t="s">
        <v>14</v>
      </c>
      <c r="J387" t="s">
        <v>38</v>
      </c>
      <c r="K387" t="s">
        <v>27</v>
      </c>
      <c r="L387" t="s">
        <v>20</v>
      </c>
      <c r="M387" t="s">
        <v>908</v>
      </c>
      <c r="N387" t="s">
        <v>14</v>
      </c>
    </row>
    <row r="388" x14ac:dyDescent="0.25">
      <c r="A388" t="n">
        <v>25</v>
      </c>
      <c r="B388" t="s">
        <v>14</v>
      </c>
      <c r="C388" t="s">
        <v>15</v>
      </c>
      <c r="D388" s="2" t="s">
        <f>=HYPERLINK("https://main.knesset.gov.il/APPS/legislation/main/bills/1046679", "חוק התקציב לשנת הכספים 2026, התשפ""ו-2026")</f>
        <v>934</v>
      </c>
      <c r="E388" t="s">
        <v>934</v>
      </c>
      <c r="F388" t="s">
        <v>14</v>
      </c>
      <c r="G388" t="s">
        <v>935</v>
      </c>
      <c r="H388" t="n">
        <v>3539</v>
      </c>
      <c r="I388" t="s">
        <v>14</v>
      </c>
      <c r="J388" t="s">
        <v>18</v>
      </c>
      <c r="K388" t="s">
        <v>24</v>
      </c>
      <c r="L388" t="s">
        <v>20</v>
      </c>
      <c r="M388" t="s">
        <v>936</v>
      </c>
      <c r="N388" t="s">
        <v>14</v>
      </c>
    </row>
    <row r="389" x14ac:dyDescent="0.25">
      <c r="A389" t="n">
        <v>25</v>
      </c>
      <c r="B389" t="s">
        <v>14</v>
      </c>
      <c r="C389" t="s">
        <v>15</v>
      </c>
      <c r="D389" s="2" t="s">
        <f>=HYPERLINK("https://main.knesset.gov.il/APPS/legislation/main/bills/1056942", "חוק מסגרות תקציב המדינה (הוראות מיוחדות לשנת 2026) (תיקוני חקיקה), התשפ""ו-2026")</f>
        <v>937</v>
      </c>
      <c r="E389" t="s">
        <v>937</v>
      </c>
      <c r="F389" t="s">
        <v>14</v>
      </c>
      <c r="G389" t="s">
        <v>938</v>
      </c>
      <c r="H389" t="n">
        <v>3512</v>
      </c>
      <c r="I389" t="s">
        <v>14</v>
      </c>
      <c r="J389" t="s">
        <v>18</v>
      </c>
      <c r="K389" t="s">
        <v>24</v>
      </c>
      <c r="L389" t="s">
        <v>20</v>
      </c>
      <c r="M389" t="s">
        <v>936</v>
      </c>
      <c r="N389" t="s">
        <v>14</v>
      </c>
    </row>
    <row r="390" x14ac:dyDescent="0.25">
      <c r="A390" t="n">
        <v>25</v>
      </c>
      <c r="B390" t="s">
        <v>14</v>
      </c>
      <c r="C390" t="s">
        <v>15</v>
      </c>
      <c r="D390" s="2" t="s">
        <f>=HYPERLINK("https://main.knesset.gov.il/APPS/legislation/main/bills/1046681", "חוק ההתייעלות הכלכלית (תיקוני חקיקה להשגת יעדי התקציב לשנת התקציב 2026), התשפ""ו-2026")</f>
        <v>939</v>
      </c>
      <c r="E390" t="s">
        <v>939</v>
      </c>
      <c r="F390" t="s">
        <v>14</v>
      </c>
      <c r="G390" t="s">
        <v>29</v>
      </c>
      <c r="H390" t="n">
        <v>3511</v>
      </c>
      <c r="I390" t="s">
        <v>14</v>
      </c>
      <c r="J390" t="s">
        <v>18</v>
      </c>
      <c r="K390" t="s">
        <v>42</v>
      </c>
      <c r="L390" t="s">
        <v>20</v>
      </c>
      <c r="M390" t="s">
        <v>936</v>
      </c>
      <c r="N390" t="s">
        <v>14</v>
      </c>
    </row>
    <row r="391" x14ac:dyDescent="0.25">
      <c r="A391" t="n">
        <v>25</v>
      </c>
      <c r="B391" t="s">
        <v>14</v>
      </c>
      <c r="C391" t="s">
        <v>15</v>
      </c>
      <c r="D391" s="2" t="s">
        <f>=HYPERLINK("https://main.knesset.gov.il/APPS/legislation/main/bills/1046680", "חוק התוכנית הכלכלית (תיקוני חקיקה ליישום המדיניות הכלכלית לשנת התקציב 2026), התשפ""ו-2026")</f>
        <v>940</v>
      </c>
      <c r="E391" t="s">
        <v>940</v>
      </c>
      <c r="F391" t="s">
        <v>14</v>
      </c>
      <c r="G391" t="s">
        <v>29</v>
      </c>
      <c r="H391" t="n">
        <v>3510</v>
      </c>
      <c r="I391" t="s">
        <v>14</v>
      </c>
      <c r="J391" t="s">
        <v>18</v>
      </c>
      <c r="K391" t="s">
        <v>42</v>
      </c>
      <c r="L391" t="s">
        <v>20</v>
      </c>
      <c r="M391" t="s">
        <v>936</v>
      </c>
      <c r="N391" t="s">
        <v>14</v>
      </c>
    </row>
    <row r="392" x14ac:dyDescent="0.25">
      <c r="A392" t="n">
        <v>25</v>
      </c>
      <c r="B392" t="s">
        <v>14</v>
      </c>
      <c r="C392" t="s">
        <v>15</v>
      </c>
      <c r="D392" s="2" t="s">
        <f>=HYPERLINK("https://main.knesset.gov.il/APPS/legislation/main/bills/1056856", "חוק לתיקון פקודת מס הכנסה (מס' 285), התשפ""ו-2026")</f>
        <v>941</v>
      </c>
      <c r="E392" t="s">
        <v>941</v>
      </c>
      <c r="F392" t="s">
        <v>14</v>
      </c>
      <c r="G392" t="s">
        <v>942</v>
      </c>
      <c r="H392" t="n">
        <v>3509</v>
      </c>
      <c r="I392" t="s">
        <v>14</v>
      </c>
      <c r="J392" t="s">
        <v>18</v>
      </c>
      <c r="K392" t="s">
        <v>24</v>
      </c>
      <c r="L392" t="s">
        <v>20</v>
      </c>
      <c r="M392" t="s">
        <v>936</v>
      </c>
      <c r="N392" t="s">
        <v>14</v>
      </c>
    </row>
    <row r="393" x14ac:dyDescent="0.25">
      <c r="A393" t="n">
        <v>25</v>
      </c>
      <c r="B393" t="s">
        <v>14</v>
      </c>
      <c r="C393" t="s">
        <v>15</v>
      </c>
      <c r="D393" s="2" t="s">
        <f>=HYPERLINK("https://main.knesset.gov.il/APPS/legislation/main/bills/1056881", "חוק כליאתם של לוחמים בלתי חוקיים (תיקון מס' 4 והוראת שעה - חרבות ברזל) (תיקון מס' 7), התשפ""ו-2026")</f>
        <v>943</v>
      </c>
      <c r="E393" t="s">
        <v>943</v>
      </c>
      <c r="F393" t="s">
        <v>14</v>
      </c>
      <c r="G393" t="s">
        <v>944</v>
      </c>
      <c r="H393" t="n">
        <v>3505</v>
      </c>
      <c r="I393" t="s">
        <v>14</v>
      </c>
      <c r="J393" t="s">
        <v>18</v>
      </c>
      <c r="K393" t="s">
        <v>39</v>
      </c>
      <c r="L393" t="s">
        <v>20</v>
      </c>
      <c r="M393" t="s">
        <v>945</v>
      </c>
      <c r="N393" t="s">
        <v>946</v>
      </c>
    </row>
    <row r="394" x14ac:dyDescent="0.25">
      <c r="A394" t="n">
        <v>25</v>
      </c>
      <c r="B394" t="s">
        <v>14</v>
      </c>
      <c r="C394" t="s">
        <v>15</v>
      </c>
      <c r="D394" s="2" t="s">
        <f>=HYPERLINK("https://main.knesset.gov.il/APPS/legislation/main/bills/1046683", "חוק זכויות הסטודנט (תיקון מס' 10), התשפ""ו–2026")</f>
        <v>947</v>
      </c>
      <c r="E394" t="s">
        <v>947</v>
      </c>
      <c r="F394" t="s">
        <v>14</v>
      </c>
      <c r="G394" t="s">
        <v>948</v>
      </c>
      <c r="H394" t="n">
        <v>3508</v>
      </c>
      <c r="I394" t="s">
        <v>14</v>
      </c>
      <c r="J394" t="s">
        <v>18</v>
      </c>
      <c r="K394" t="s">
        <v>79</v>
      </c>
      <c r="L394" t="s">
        <v>20</v>
      </c>
      <c r="M394" t="s">
        <v>945</v>
      </c>
      <c r="N394" t="s">
        <v>949</v>
      </c>
    </row>
    <row r="395" x14ac:dyDescent="0.25">
      <c r="A395" t="n">
        <v>25</v>
      </c>
      <c r="B395" t="s">
        <v>14</v>
      </c>
      <c r="C395" t="s">
        <v>15</v>
      </c>
      <c r="D395" s="2" t="s">
        <f>=HYPERLINK("https://main.knesset.gov.il/APPS/legislation/main/bills/1056937", "חוק הארכת תקופות ודחיית מועדים (הוראת שעה - חרבות ברזל) (אישורים רגולטוריים, עיצומים כספיים ובדיקות מיתקני גז) (תיקון), התשפ""ו-2026")</f>
        <v>950</v>
      </c>
      <c r="E395" t="s">
        <v>950</v>
      </c>
      <c r="F395" t="s">
        <v>14</v>
      </c>
      <c r="G395" t="s">
        <v>951</v>
      </c>
      <c r="H395" t="n">
        <v>3507</v>
      </c>
      <c r="I395" t="s">
        <v>14</v>
      </c>
      <c r="J395" t="s">
        <v>18</v>
      </c>
      <c r="K395" t="s">
        <v>27</v>
      </c>
      <c r="L395" t="s">
        <v>20</v>
      </c>
      <c r="M395" t="s">
        <v>945</v>
      </c>
      <c r="N395" t="s">
        <v>952</v>
      </c>
    </row>
    <row r="396" x14ac:dyDescent="0.25">
      <c r="A396" t="n">
        <v>25</v>
      </c>
      <c r="B396" t="s">
        <v>14</v>
      </c>
      <c r="C396" t="s">
        <v>15</v>
      </c>
      <c r="D396" s="2" t="s">
        <f>=HYPERLINK("https://main.knesset.gov.il/APPS/legislation/main/bills/1056892", "חוק הכניסה לישראל (תיקון מס' 44 - הוראת שעה), התשפ""ו-2026")</f>
        <v>953</v>
      </c>
      <c r="E396" t="s">
        <v>953</v>
      </c>
      <c r="F396" t="s">
        <v>14</v>
      </c>
      <c r="G396" t="s">
        <v>954</v>
      </c>
      <c r="H396" t="n">
        <v>3506</v>
      </c>
      <c r="I396" t="s">
        <v>14</v>
      </c>
      <c r="J396" t="s">
        <v>18</v>
      </c>
      <c r="K396" t="s">
        <v>30</v>
      </c>
      <c r="L396" t="s">
        <v>20</v>
      </c>
      <c r="M396" t="s">
        <v>945</v>
      </c>
      <c r="N396" t="s">
        <v>955</v>
      </c>
    </row>
    <row r="397" x14ac:dyDescent="0.25">
      <c r="A397" t="n">
        <v>25</v>
      </c>
      <c r="B397" t="s">
        <v>14</v>
      </c>
      <c r="C397" t="s">
        <v>51</v>
      </c>
      <c r="D397" s="2" t="s">
        <f>=HYPERLINK("https://main.knesset.gov.il/APPS/legislation/main/bills/2239066", "הצעת חוק שיקום, חיזוק ופיתוח העיר קריית שמונה, התשפ""ו-2026")</f>
        <v>956</v>
      </c>
      <c r="E397" t="s">
        <v>956</v>
      </c>
      <c r="F397" t="s">
        <v>957</v>
      </c>
      <c r="G397" t="s">
        <v>14</v>
      </c>
      <c r="H397">
             </c>
      <c r="I397" t="s">
        <v>14</v>
      </c>
      <c r="J397" t="s">
        <v>193</v>
      </c>
      <c r="K397" t="s">
        <v>14</v>
      </c>
      <c r="L397" t="s">
        <v>20</v>
      </c>
      <c r="M397" t="s">
        <v>945</v>
      </c>
      <c r="N397" t="s">
        <v>14</v>
      </c>
    </row>
    <row r="398" x14ac:dyDescent="0.25">
      <c r="A398" t="n">
        <v>25</v>
      </c>
      <c r="B398" t="s">
        <v>14</v>
      </c>
      <c r="C398" t="s">
        <v>51</v>
      </c>
      <c r="D398" s="2" t="s">
        <f>=HYPERLINK("https://main.knesset.gov.il/APPS/legislation/main/bills/2239060", "הצעת חוק הכרזה על קטאר כמדינת אויב, התשפ""ו-2026")</f>
        <v>958</v>
      </c>
      <c r="E398" t="s">
        <v>958</v>
      </c>
      <c r="F398" t="s">
        <v>959</v>
      </c>
      <c r="G398" t="s">
        <v>14</v>
      </c>
      <c r="H398">
             </c>
      <c r="I398" t="s">
        <v>14</v>
      </c>
      <c r="J398" t="s">
        <v>193</v>
      </c>
      <c r="K398" t="s">
        <v>14</v>
      </c>
      <c r="L398" t="s">
        <v>20</v>
      </c>
      <c r="M398" t="s">
        <v>945</v>
      </c>
      <c r="N398" t="s">
        <v>14</v>
      </c>
    </row>
    <row r="399" x14ac:dyDescent="0.25">
      <c r="A399" t="n">
        <v>25</v>
      </c>
      <c r="B399" t="s">
        <v>14</v>
      </c>
      <c r="C399" t="s">
        <v>51</v>
      </c>
      <c r="D399" s="2" t="s">
        <f>=HYPERLINK("https://main.knesset.gov.il/APPS/legislation/main/bills/2238135", "הצעת חוק לפיתוח העיר קריית שמונה ומתן עדיפות למשרתי מילואים ונכי צה""ל בדיור, התשפ״ו-2026")</f>
        <v>960</v>
      </c>
      <c r="E399" t="s">
        <v>960</v>
      </c>
      <c r="F399" t="s">
        <v>961</v>
      </c>
      <c r="G399" t="s">
        <v>14</v>
      </c>
      <c r="H399">
             </c>
      <c r="I399" t="s">
        <v>14</v>
      </c>
      <c r="J399" t="s">
        <v>193</v>
      </c>
      <c r="K399" t="s">
        <v>14</v>
      </c>
      <c r="L399" t="s">
        <v>20</v>
      </c>
      <c r="M399" t="s">
        <v>945</v>
      </c>
      <c r="N399" t="s">
        <v>14</v>
      </c>
    </row>
    <row r="400" x14ac:dyDescent="0.25">
      <c r="A400" t="n">
        <v>25</v>
      </c>
      <c r="B400" t="s">
        <v>14</v>
      </c>
      <c r="C400" t="s">
        <v>51</v>
      </c>
      <c r="D400" s="2" t="s">
        <f>=HYPERLINK("https://main.knesset.gov.il/APPS/legislation/main/bills/2237294", "הצעת חוק הביטוח הלאומי (תיקון - עבודה מועדפת ביישובי קו העימות בצפון ובדרום), התשפ""ו-2025")</f>
        <v>962</v>
      </c>
      <c r="E400" t="s">
        <v>962</v>
      </c>
      <c r="F400" t="s">
        <v>963</v>
      </c>
      <c r="G400" t="s">
        <v>14</v>
      </c>
      <c r="H400">
             </c>
      <c r="I400" t="s">
        <v>14</v>
      </c>
      <c r="J400" t="s">
        <v>193</v>
      </c>
      <c r="K400" t="s">
        <v>14</v>
      </c>
      <c r="L400" t="s">
        <v>20</v>
      </c>
      <c r="M400" t="s">
        <v>945</v>
      </c>
      <c r="N400" t="s">
        <v>14</v>
      </c>
    </row>
    <row r="401" x14ac:dyDescent="0.25">
      <c r="A401" t="n">
        <v>25</v>
      </c>
      <c r="B401" t="s">
        <v>14</v>
      </c>
      <c r="C401" t="s">
        <v>51</v>
      </c>
      <c r="D401" s="2" t="s">
        <f>=HYPERLINK("https://main.knesset.gov.il/APPS/legislation/main/bills/2232439", "הצעת חוק לימוד חובה (תיקון - מנהל מוסד חינוך), התשפ""ה-2025")</f>
        <v>964</v>
      </c>
      <c r="E401" t="s">
        <v>964</v>
      </c>
      <c r="F401" t="s">
        <v>965</v>
      </c>
      <c r="G401" t="s">
        <v>14</v>
      </c>
      <c r="H401">
             </c>
      <c r="I401" t="s">
        <v>14</v>
      </c>
      <c r="J401" t="s">
        <v>202</v>
      </c>
      <c r="K401" t="s">
        <v>14</v>
      </c>
      <c r="L401" t="s">
        <v>20</v>
      </c>
      <c r="M401" t="s">
        <v>945</v>
      </c>
      <c r="N401" t="s">
        <v>14</v>
      </c>
    </row>
    <row r="402" x14ac:dyDescent="0.25">
      <c r="A402" t="n">
        <v>25</v>
      </c>
      <c r="B402" t="s">
        <v>14</v>
      </c>
      <c r="C402" t="s">
        <v>51</v>
      </c>
      <c r="D402" s="2" t="s">
        <f>=HYPERLINK("https://main.knesset.gov.il/APPS/legislation/main/bills/2231897", "הצעת חוק דיווח לכנסת על העברת סיוע הומניטרי מכספי המדינה, התשפ""ה-2025")</f>
        <v>966</v>
      </c>
      <c r="E402" t="s">
        <v>966</v>
      </c>
      <c r="F402" t="s">
        <v>967</v>
      </c>
      <c r="G402" t="s">
        <v>14</v>
      </c>
      <c r="H402">
             </c>
      <c r="I402" t="s">
        <v>14</v>
      </c>
      <c r="J402" t="s">
        <v>193</v>
      </c>
      <c r="K402" t="s">
        <v>14</v>
      </c>
      <c r="L402" t="s">
        <v>20</v>
      </c>
      <c r="M402" t="s">
        <v>945</v>
      </c>
      <c r="N402" t="s">
        <v>14</v>
      </c>
    </row>
    <row r="403" x14ac:dyDescent="0.25">
      <c r="A403" t="n">
        <v>25</v>
      </c>
      <c r="B403" t="s">
        <v>14</v>
      </c>
      <c r="C403" t="s">
        <v>51</v>
      </c>
      <c r="D403" s="2" t="s">
        <f>=HYPERLINK("https://main.knesset.gov.il/APPS/legislation/main/bills/2221709", "הצעת חוק משפחות חיילים שנספו במערכה (תגמולים ושיקום) (תיקון - זכויות ילדים במשפחות אומנה), התשפ""ה-2024")</f>
        <v>968</v>
      </c>
      <c r="E403" t="s">
        <v>968</v>
      </c>
      <c r="F403" t="s">
        <v>969</v>
      </c>
      <c r="G403" t="s">
        <v>14</v>
      </c>
      <c r="H403">
             </c>
      <c r="I403" t="s">
        <v>14</v>
      </c>
      <c r="J403" t="s">
        <v>193</v>
      </c>
      <c r="K403" t="s">
        <v>14</v>
      </c>
      <c r="L403" t="s">
        <v>20</v>
      </c>
      <c r="M403" t="s">
        <v>945</v>
      </c>
      <c r="N403" t="s">
        <v>14</v>
      </c>
    </row>
    <row r="404" x14ac:dyDescent="0.25">
      <c r="A404" t="n">
        <v>25</v>
      </c>
      <c r="B404" t="s">
        <v>14</v>
      </c>
      <c r="C404" t="s">
        <v>51</v>
      </c>
      <c r="D404" s="2" t="s">
        <f>=HYPERLINK("https://main.knesset.gov.il/APPS/legislation/main/bills/2199078", "הצעת חוק ביטוח בריאות ממלכתי (תיקון - צמצום פערים בין הפריפריה למרכז), התשפ""ג-2023")</f>
        <v>970</v>
      </c>
      <c r="E404" t="s">
        <v>970</v>
      </c>
      <c r="F404" t="s">
        <v>971</v>
      </c>
      <c r="G404" t="s">
        <v>14</v>
      </c>
      <c r="H404">
             </c>
      <c r="I404" t="s">
        <v>14</v>
      </c>
      <c r="J404" t="s">
        <v>193</v>
      </c>
      <c r="K404" t="s">
        <v>14</v>
      </c>
      <c r="L404" t="s">
        <v>20</v>
      </c>
      <c r="M404" t="s">
        <v>945</v>
      </c>
      <c r="N404" t="s">
        <v>14</v>
      </c>
    </row>
    <row r="405" x14ac:dyDescent="0.25">
      <c r="A405" t="n">
        <v>25</v>
      </c>
      <c r="B405" t="s">
        <v>14</v>
      </c>
      <c r="C405" t="s">
        <v>51</v>
      </c>
      <c r="D405" s="2" t="s">
        <f>=HYPERLINK("https://main.knesset.gov.il/APPS/legislation/main/bills/2200663", "הצעת חוק העונשין (תיקון מס' 160) (עונש מוות למחבלים), התשפ""ו-2025")</f>
        <v>972</v>
      </c>
      <c r="E405" t="s">
        <v>972</v>
      </c>
      <c r="F405" t="s">
        <v>973</v>
      </c>
      <c r="G405" t="s">
        <v>907</v>
      </c>
      <c r="H405">
             </c>
      <c r="I405" t="s">
        <v>14</v>
      </c>
      <c r="J405" t="s">
        <v>38</v>
      </c>
      <c r="K405" t="s">
        <v>19</v>
      </c>
      <c r="L405" t="s">
        <v>20</v>
      </c>
      <c r="M405" t="s">
        <v>974</v>
      </c>
      <c r="N405" t="s">
        <v>14</v>
      </c>
    </row>
    <row r="406" x14ac:dyDescent="0.25">
      <c r="A406" t="n">
        <v>25</v>
      </c>
      <c r="B406" t="s">
        <v>14</v>
      </c>
      <c r="C406" t="s">
        <v>51</v>
      </c>
      <c r="D406" s="2" t="s">
        <f>=HYPERLINK("https://main.knesset.gov.il/APPS/legislation/main/bills/2221325", "הצעת חוק להנצחת זכרה של גולדה מאיר, התשפ""ה-2024")</f>
        <v>975</v>
      </c>
      <c r="E406" t="s">
        <v>975</v>
      </c>
      <c r="F406" t="s">
        <v>976</v>
      </c>
      <c r="G406" t="s">
        <v>14</v>
      </c>
      <c r="H406">
             </c>
      <c r="I406" t="s">
        <v>14</v>
      </c>
      <c r="J406" t="s">
        <v>183</v>
      </c>
      <c r="K406" t="s">
        <v>79</v>
      </c>
      <c r="L406" t="s">
        <v>20</v>
      </c>
      <c r="M406" t="s">
        <v>974</v>
      </c>
      <c r="N406" t="s">
        <v>14</v>
      </c>
    </row>
    <row r="407" x14ac:dyDescent="0.25">
      <c r="A407" t="n">
        <v>25</v>
      </c>
      <c r="B407" t="s">
        <v>14</v>
      </c>
      <c r="C407" t="s">
        <v>15</v>
      </c>
      <c r="D407" s="2" t="s">
        <f>=HYPERLINK("https://main.knesset.gov.il/APPS/legislation/main/bills/1056886", "חוק הגנה על עובדים בשעת חירום (תיקון מס' 6 והוראת שעה), התשפ""ו-2026")</f>
        <v>977</v>
      </c>
      <c r="E407" t="s">
        <v>977</v>
      </c>
      <c r="F407" t="s">
        <v>14</v>
      </c>
      <c r="G407" t="s">
        <v>978</v>
      </c>
      <c r="H407" t="n">
        <v>3504</v>
      </c>
      <c r="I407" t="s">
        <v>14</v>
      </c>
      <c r="J407" t="s">
        <v>18</v>
      </c>
      <c r="K407" t="s">
        <v>46</v>
      </c>
      <c r="L407" t="s">
        <v>20</v>
      </c>
      <c r="M407" t="s">
        <v>974</v>
      </c>
      <c r="N407" t="s">
        <v>979</v>
      </c>
    </row>
    <row r="408" x14ac:dyDescent="0.25">
      <c r="A408" t="n">
        <v>25</v>
      </c>
      <c r="B408" t="s">
        <v>14</v>
      </c>
      <c r="C408" t="s">
        <v>51</v>
      </c>
      <c r="D408" s="2" t="s">
        <f>=HYPERLINK("https://main.knesset.gov.il/APPS/legislation/main/bills/2235850", "הצעת חוק לתיקון פקודת התעבורה (קידום התחרות באמצעות תחבורה שיתופית מקוונת), התשפ""ו-2025")</f>
        <v>980</v>
      </c>
      <c r="E408" t="s">
        <v>980</v>
      </c>
      <c r="F408" t="s">
        <v>981</v>
      </c>
      <c r="G408" t="s">
        <v>14</v>
      </c>
      <c r="H408">
             </c>
      <c r="I408" t="s">
        <v>14</v>
      </c>
      <c r="J408" t="s">
        <v>152</v>
      </c>
      <c r="K408" t="s">
        <v>84</v>
      </c>
      <c r="L408" t="s">
        <v>20</v>
      </c>
      <c r="M408" t="s">
        <v>974</v>
      </c>
      <c r="N408" t="s">
        <v>14</v>
      </c>
    </row>
    <row r="409" x14ac:dyDescent="0.25">
      <c r="A409" t="n">
        <v>25</v>
      </c>
      <c r="B409" t="s">
        <v>14</v>
      </c>
      <c r="C409" t="s">
        <v>51</v>
      </c>
      <c r="D409" s="2" t="s">
        <f>=HYPERLINK("https://main.knesset.gov.il/APPS/legislation/main/bills/2234065", "הצעת חוק לתיקון פקודת התעבורה (מס' 143) (קידום התחרות באמצעות תחבורה שיתופית מקוונת), התשפ""ו–2026 ")</f>
        <v>982</v>
      </c>
      <c r="E409" t="s">
        <v>982</v>
      </c>
      <c r="F409" t="s">
        <v>983</v>
      </c>
      <c r="G409" t="s">
        <v>984</v>
      </c>
      <c r="H409">
             </c>
      <c r="I409" t="s">
        <v>14</v>
      </c>
      <c r="J409" t="s">
        <v>38</v>
      </c>
      <c r="K409" t="s">
        <v>84</v>
      </c>
      <c r="L409" t="s">
        <v>20</v>
      </c>
      <c r="M409" t="s">
        <v>974</v>
      </c>
      <c r="N409" t="s">
        <v>14</v>
      </c>
    </row>
    <row r="410" x14ac:dyDescent="0.25">
      <c r="A410" t="n">
        <v>25</v>
      </c>
      <c r="B410" t="s">
        <v>14</v>
      </c>
      <c r="C410" t="s">
        <v>51</v>
      </c>
      <c r="D410" s="2" t="s">
        <f>=HYPERLINK("https://main.knesset.gov.il/APPS/legislation/main/bills/2229858", "הצעת חוק לתיקון פקודת התעבורה (מס' 142) (קידום התחרות באמצעות תחבורה שיתופית מקוונת), התשפ""ו–2026")</f>
        <v>985</v>
      </c>
      <c r="E410" t="s">
        <v>985</v>
      </c>
      <c r="F410" t="s">
        <v>986</v>
      </c>
      <c r="G410" t="s">
        <v>984</v>
      </c>
      <c r="H410">
             </c>
      <c r="I410" t="s">
        <v>166</v>
      </c>
      <c r="J410" t="s">
        <v>38</v>
      </c>
      <c r="K410" t="s">
        <v>84</v>
      </c>
      <c r="L410" t="s">
        <v>20</v>
      </c>
      <c r="M410" t="s">
        <v>974</v>
      </c>
      <c r="N410" t="s">
        <v>14</v>
      </c>
    </row>
    <row r="411" x14ac:dyDescent="0.25">
      <c r="A411" t="n">
        <v>25</v>
      </c>
      <c r="B411" t="s">
        <v>14</v>
      </c>
      <c r="C411" t="s">
        <v>15</v>
      </c>
      <c r="D411" s="2" t="s">
        <f>=HYPERLINK("https://main.knesset.gov.il/APPS/legislation/main/bills/1056885", "חוק הסכמים קיבוציים (תיקון מס' 12 - הוראת שעה) (הוראות מיוחדות לעניין הרחבת הסכם קיבוצי כללי שנעשה בשל המצב המיוחד בעורף), התשפ""ו-2026")</f>
        <v>987</v>
      </c>
      <c r="E411" t="s">
        <v>987</v>
      </c>
      <c r="F411" t="s">
        <v>14</v>
      </c>
      <c r="G411" t="s">
        <v>988</v>
      </c>
      <c r="H411" t="n">
        <v>3502</v>
      </c>
      <c r="I411" t="s">
        <v>14</v>
      </c>
      <c r="J411" t="s">
        <v>18</v>
      </c>
      <c r="K411" t="s">
        <v>46</v>
      </c>
      <c r="L411" t="s">
        <v>20</v>
      </c>
      <c r="M411" t="s">
        <v>989</v>
      </c>
      <c r="N411" t="s">
        <v>990</v>
      </c>
    </row>
    <row r="412" x14ac:dyDescent="0.25">
      <c r="A412" t="n">
        <v>25</v>
      </c>
      <c r="B412" t="s">
        <v>14</v>
      </c>
      <c r="C412" t="s">
        <v>51</v>
      </c>
      <c r="D412" s="2" t="s">
        <f>=HYPERLINK("https://main.knesset.gov.il/APPS/legislation/main/bills/2196672", "הצעת חוק הסדרת העיסוק במקצועות הטיפול הרפואי, התשפ""ג-2023")</f>
        <v>991</v>
      </c>
      <c r="E412" t="s">
        <v>991</v>
      </c>
      <c r="F412" t="s">
        <v>992</v>
      </c>
      <c r="G412" t="s">
        <v>993</v>
      </c>
      <c r="H412">
             </c>
      <c r="I412" t="s">
        <v>166</v>
      </c>
      <c r="J412" t="s">
        <v>38</v>
      </c>
      <c r="K412" t="s">
        <v>361</v>
      </c>
      <c r="L412" t="s">
        <v>20</v>
      </c>
      <c r="M412" t="s">
        <v>989</v>
      </c>
      <c r="N412" t="s">
        <v>14</v>
      </c>
    </row>
    <row r="413" x14ac:dyDescent="0.25">
      <c r="A413" t="n">
        <v>25</v>
      </c>
      <c r="B413" t="s">
        <v>14</v>
      </c>
      <c r="C413" t="s">
        <v>51</v>
      </c>
      <c r="D413" s="2" t="s">
        <f>=HYPERLINK("https://main.knesset.gov.il/APPS/legislation/main/bills/2197901", "חוק שיפוט בתי דין דתיים (בוררות), התשפ""ו–2026")</f>
        <v>994</v>
      </c>
      <c r="E413" t="s">
        <v>994</v>
      </c>
      <c r="F413" t="s">
        <v>995</v>
      </c>
      <c r="G413" t="s">
        <v>996</v>
      </c>
      <c r="H413" t="n">
        <v>3503</v>
      </c>
      <c r="I413" t="s">
        <v>14</v>
      </c>
      <c r="J413" t="s">
        <v>18</v>
      </c>
      <c r="K413" t="s">
        <v>27</v>
      </c>
      <c r="L413" t="s">
        <v>20</v>
      </c>
      <c r="M413" t="s">
        <v>989</v>
      </c>
      <c r="N413" t="s">
        <v>997</v>
      </c>
    </row>
    <row r="414" x14ac:dyDescent="0.25">
      <c r="A414" t="n">
        <v>25</v>
      </c>
      <c r="B414" t="s">
        <v>14</v>
      </c>
      <c r="C414" t="s">
        <v>51</v>
      </c>
      <c r="D414" s="2" t="s">
        <f>=HYPERLINK("https://main.knesset.gov.il/APPS/legislation/main/bills/2238318", "הצעת חוק סיוע לנוטלי הלוואות לדיור עקב עליית הריבית (הוראת שעה), התשפ""ו-2026")</f>
        <v>998</v>
      </c>
      <c r="E414" t="s">
        <v>998</v>
      </c>
      <c r="F414" t="s">
        <v>999</v>
      </c>
      <c r="G414" t="s">
        <v>14</v>
      </c>
      <c r="H414">
             </c>
      <c r="I414" t="s">
        <v>14</v>
      </c>
      <c r="J414" t="s">
        <v>242</v>
      </c>
      <c r="K414" t="s">
        <v>14</v>
      </c>
      <c r="L414" t="s">
        <v>20</v>
      </c>
      <c r="M414" t="s">
        <v>989</v>
      </c>
      <c r="N414" t="s">
        <v>14</v>
      </c>
    </row>
    <row r="415" x14ac:dyDescent="0.25">
      <c r="A415" t="n">
        <v>25</v>
      </c>
      <c r="B415" t="s">
        <v>14</v>
      </c>
      <c r="C415" t="s">
        <v>51</v>
      </c>
      <c r="D415" s="2" t="s">
        <f>=HYPERLINK("https://main.knesset.gov.il/APPS/legislation/main/bills/2241438", "הצעת חוק החלת ריבונות על ערי יהודה והשומרון, התשפ""ו-2026")</f>
        <v>1000</v>
      </c>
      <c r="E415" t="s">
        <v>1000</v>
      </c>
      <c r="F415" t="s">
        <v>1001</v>
      </c>
      <c r="G415" t="s">
        <v>14</v>
      </c>
      <c r="H415">
             </c>
      <c r="I415" t="s">
        <v>14</v>
      </c>
      <c r="J415" t="s">
        <v>242</v>
      </c>
      <c r="K415" t="s">
        <v>14</v>
      </c>
      <c r="L415" t="s">
        <v>20</v>
      </c>
      <c r="M415" t="s">
        <v>989</v>
      </c>
      <c r="N415" t="s">
        <v>14</v>
      </c>
    </row>
    <row r="416" x14ac:dyDescent="0.25">
      <c r="A416" t="n">
        <v>25</v>
      </c>
      <c r="B416" t="s">
        <v>14</v>
      </c>
      <c r="C416" t="s">
        <v>51</v>
      </c>
      <c r="D416" s="2" t="s">
        <f>=HYPERLINK("https://main.knesset.gov.il/APPS/legislation/main/bills/2241744", "הצעת חוק-יסוד: הכנסת (תיקון - הצהרת האמונים של חברי הכנסת)")</f>
        <v>1002</v>
      </c>
      <c r="E416" t="s">
        <v>1002</v>
      </c>
      <c r="F416" t="s">
        <v>1003</v>
      </c>
      <c r="G416" t="s">
        <v>14</v>
      </c>
      <c r="H416">
             </c>
      <c r="I416" t="s">
        <v>14</v>
      </c>
      <c r="J416" t="s">
        <v>202</v>
      </c>
      <c r="K416" t="s">
        <v>14</v>
      </c>
      <c r="L416" t="s">
        <v>20</v>
      </c>
      <c r="M416" t="s">
        <v>989</v>
      </c>
      <c r="N416" t="s">
        <v>14</v>
      </c>
    </row>
    <row r="417" x14ac:dyDescent="0.25">
      <c r="A417" t="n">
        <v>25</v>
      </c>
      <c r="B417" t="s">
        <v>14</v>
      </c>
      <c r="C417" t="s">
        <v>51</v>
      </c>
      <c r="D417" s="2" t="s">
        <f>=HYPERLINK("https://main.knesset.gov.il/APPS/legislation/main/bills/2241476", "הצעת חוק חומרי נפץ (תיקון - אסדרת חומרים הודפים), התשפ""ו-2026")</f>
        <v>1004</v>
      </c>
      <c r="E417" t="s">
        <v>1004</v>
      </c>
      <c r="F417" t="s">
        <v>1005</v>
      </c>
      <c r="G417" t="s">
        <v>14</v>
      </c>
      <c r="H417">
             </c>
      <c r="I417" t="s">
        <v>14</v>
      </c>
      <c r="J417" t="s">
        <v>242</v>
      </c>
      <c r="K417" t="s">
        <v>14</v>
      </c>
      <c r="L417" t="s">
        <v>20</v>
      </c>
      <c r="M417" t="s">
        <v>989</v>
      </c>
      <c r="N417" t="s">
        <v>14</v>
      </c>
    </row>
    <row r="418" x14ac:dyDescent="0.25">
      <c r="A418" t="n">
        <v>25</v>
      </c>
      <c r="B418" t="s">
        <v>14</v>
      </c>
      <c r="C418" t="s">
        <v>51</v>
      </c>
      <c r="D418" s="2" t="s">
        <f>=HYPERLINK("https://main.knesset.gov.il/APPS/legislation/main/bills/2240956", "הצעת חוק לתיקון פקודת מס הכנסה (נקודות זיכוי למשפחות אומנה), התשפ""ו-2026")</f>
        <v>1006</v>
      </c>
      <c r="E418" t="s">
        <v>1006</v>
      </c>
      <c r="F418" t="s">
        <v>1007</v>
      </c>
      <c r="G418" t="s">
        <v>14</v>
      </c>
      <c r="H418">
             </c>
      <c r="I418" t="s">
        <v>14</v>
      </c>
      <c r="J418" t="s">
        <v>242</v>
      </c>
      <c r="K418" t="s">
        <v>14</v>
      </c>
      <c r="L418" t="s">
        <v>20</v>
      </c>
      <c r="M418" t="s">
        <v>989</v>
      </c>
      <c r="N418" t="s">
        <v>14</v>
      </c>
    </row>
    <row r="419" x14ac:dyDescent="0.25">
      <c r="A419" t="n">
        <v>25</v>
      </c>
      <c r="B419" t="s">
        <v>14</v>
      </c>
      <c r="C419" t="s">
        <v>51</v>
      </c>
      <c r="D419" s="2" t="s">
        <f>=HYPERLINK("https://main.knesset.gov.il/APPS/legislation/main/bills/2239766", "הצעת חוק הטיס (תיקון - פיקוח על מכירה ורכישה של רחפנים בעלי יכולת נשיאה), התשפ""ו-2026")</f>
        <v>1008</v>
      </c>
      <c r="E419" t="s">
        <v>1008</v>
      </c>
      <c r="F419" t="s">
        <v>1009</v>
      </c>
      <c r="G419" t="s">
        <v>14</v>
      </c>
      <c r="H419">
             </c>
      <c r="I419" t="s">
        <v>14</v>
      </c>
      <c r="J419" t="s">
        <v>202</v>
      </c>
      <c r="K419" t="s">
        <v>14</v>
      </c>
      <c r="L419" t="s">
        <v>20</v>
      </c>
      <c r="M419" t="s">
        <v>989</v>
      </c>
      <c r="N419" t="s">
        <v>14</v>
      </c>
    </row>
    <row r="420" x14ac:dyDescent="0.25">
      <c r="A420" t="n">
        <v>25</v>
      </c>
      <c r="B420" t="s">
        <v>14</v>
      </c>
      <c r="C420" t="s">
        <v>51</v>
      </c>
      <c r="D420" s="2" t="s">
        <f>=HYPERLINK("https://main.knesset.gov.il/APPS/legislation/main/bills/2241208", "הצעת חוק הביטוח הלאומי (תיקון - פיקוח פרלמנטרי על שינויים בהסכם הניידות), התשפ""ו-2026")</f>
        <v>1010</v>
      </c>
      <c r="E420" t="s">
        <v>1010</v>
      </c>
      <c r="F420" t="s">
        <v>1011</v>
      </c>
      <c r="G420" t="s">
        <v>14</v>
      </c>
      <c r="H420">
             </c>
      <c r="I420" t="s">
        <v>14</v>
      </c>
      <c r="J420" t="s">
        <v>242</v>
      </c>
      <c r="K420" t="s">
        <v>14</v>
      </c>
      <c r="L420" t="s">
        <v>20</v>
      </c>
      <c r="M420" t="s">
        <v>989</v>
      </c>
      <c r="N420" t="s">
        <v>14</v>
      </c>
    </row>
    <row r="421" x14ac:dyDescent="0.25">
      <c r="A421" t="n">
        <v>25</v>
      </c>
      <c r="B421" t="s">
        <v>14</v>
      </c>
      <c r="C421" t="s">
        <v>51</v>
      </c>
      <c r="D421" s="2" t="s">
        <f>=HYPERLINK("https://main.knesset.gov.il/APPS/legislation/main/bills/2241023", "הצעת חוק למניעת אלימות במשפחה (תיקון - תנאים למתן צו הגנה בפיקוח טכנולוגי), התשפ""ו-2026")</f>
        <v>1012</v>
      </c>
      <c r="E421" t="s">
        <v>1012</v>
      </c>
      <c r="F421" t="s">
        <v>1013</v>
      </c>
      <c r="G421" t="s">
        <v>14</v>
      </c>
      <c r="H421">
             </c>
      <c r="I421" t="s">
        <v>14</v>
      </c>
      <c r="J421" t="s">
        <v>242</v>
      </c>
      <c r="K421" t="s">
        <v>14</v>
      </c>
      <c r="L421" t="s">
        <v>20</v>
      </c>
      <c r="M421" t="s">
        <v>989</v>
      </c>
      <c r="N421" t="s">
        <v>14</v>
      </c>
    </row>
    <row r="422" x14ac:dyDescent="0.25">
      <c r="A422" t="n">
        <v>25</v>
      </c>
      <c r="B422" t="s">
        <v>14</v>
      </c>
      <c r="C422" t="s">
        <v>51</v>
      </c>
      <c r="D422" s="2" t="s">
        <f>=HYPERLINK("https://main.knesset.gov.il/APPS/legislation/main/bills/2241481", "הצעת חוק ביטוח בריאות ממלכתי (תיקון - הפחתה בדמי ביטוח בריאות לתושבי הפריפריה), התשפ""ו-2026")</f>
        <v>345</v>
      </c>
      <c r="E422" t="s">
        <v>345</v>
      </c>
      <c r="F422" t="s">
        <v>1014</v>
      </c>
      <c r="G422" t="s">
        <v>14</v>
      </c>
      <c r="H422">
             </c>
      <c r="I422" t="s">
        <v>14</v>
      </c>
      <c r="J422" t="s">
        <v>242</v>
      </c>
      <c r="K422" t="s">
        <v>14</v>
      </c>
      <c r="L422" t="s">
        <v>20</v>
      </c>
      <c r="M422" t="s">
        <v>989</v>
      </c>
      <c r="N422" t="s">
        <v>14</v>
      </c>
    </row>
    <row r="423" x14ac:dyDescent="0.25">
      <c r="A423" t="n">
        <v>25</v>
      </c>
      <c r="B423" t="s">
        <v>14</v>
      </c>
      <c r="C423" t="s">
        <v>51</v>
      </c>
      <c r="D423" s="2" t="s">
        <f>=HYPERLINK("https://main.knesset.gov.il/APPS/legislation/main/bills/2241743", "הצעת חוק לתיקון פקודת מס הכנסה (יישוב מוטב), התשפ""ו-2026")</f>
        <v>1015</v>
      </c>
      <c r="E423" t="s">
        <v>1015</v>
      </c>
      <c r="F423" t="s">
        <v>1016</v>
      </c>
      <c r="G423" t="s">
        <v>14</v>
      </c>
      <c r="H423">
             </c>
      <c r="I423" t="s">
        <v>14</v>
      </c>
      <c r="J423" t="s">
        <v>242</v>
      </c>
      <c r="K423" t="s">
        <v>14</v>
      </c>
      <c r="L423" t="s">
        <v>20</v>
      </c>
      <c r="M423" t="s">
        <v>989</v>
      </c>
      <c r="N423" t="s">
        <v>14</v>
      </c>
    </row>
    <row r="424" x14ac:dyDescent="0.25">
      <c r="A424" t="n">
        <v>25</v>
      </c>
      <c r="B424" t="s">
        <v>14</v>
      </c>
      <c r="C424" t="s">
        <v>15</v>
      </c>
      <c r="D424" s="2" t="s">
        <f>=HYPERLINK("https://main.knesset.gov.il/APPS/legislation/main/bills/2240522", "פרק ז' (מס מיוחד על רווחי בנקים) מתוך הצעת חוק ההתייעלות הכלכלית (תיקוני חקיקה להשגת יעדי התקציב לשנת התקציב 2026), התשפ""ו-2026")</f>
        <v>1017</v>
      </c>
      <c r="E424" t="s">
        <v>1017</v>
      </c>
      <c r="F424" t="s">
        <v>14</v>
      </c>
      <c r="G424" t="s">
        <v>29</v>
      </c>
      <c r="H424">
             </c>
      <c r="I424" t="s">
        <v>14</v>
      </c>
      <c r="J424" t="s">
        <v>183</v>
      </c>
      <c r="K424" t="s">
        <v>42</v>
      </c>
      <c r="L424" t="s">
        <v>20</v>
      </c>
      <c r="M424" t="s">
        <v>1018</v>
      </c>
      <c r="N424" t="s">
        <v>14</v>
      </c>
    </row>
    <row r="425" x14ac:dyDescent="0.25">
      <c r="A425" t="n">
        <v>25</v>
      </c>
      <c r="B425" t="s">
        <v>14</v>
      </c>
      <c r="C425" t="s">
        <v>15</v>
      </c>
      <c r="D425" s="2" t="s">
        <f>=HYPERLINK("https://main.knesset.gov.il/APPS/legislation/main/bills/2240483", "סעיפים 52 עד 60, 63 (הגברת התחרות בשירותי תאגידים בנקאיים) מתוך הצעת חוק התוכנית הכלכלית (תיקוני חקיקה ליישום המדיניות הכלכלית לשנת התקציב 2026), התשפ""ו-2026 [מתוך פרק ט' קידום התחרות בשוק הבנקאות]")</f>
        <v>1019</v>
      </c>
      <c r="E425" t="s">
        <v>1019</v>
      </c>
      <c r="F425" t="s">
        <v>14</v>
      </c>
      <c r="G425" t="s">
        <v>29</v>
      </c>
      <c r="H425">
             </c>
      <c r="I425" t="s">
        <v>14</v>
      </c>
      <c r="J425" t="s">
        <v>183</v>
      </c>
      <c r="K425" t="s">
        <v>42</v>
      </c>
      <c r="L425" t="s">
        <v>20</v>
      </c>
      <c r="M425" t="s">
        <v>1020</v>
      </c>
      <c r="N425" t="s">
        <v>14</v>
      </c>
    </row>
    <row r="426" x14ac:dyDescent="0.25">
      <c r="A426" t="n">
        <v>25</v>
      </c>
      <c r="B426" t="s">
        <v>14</v>
      </c>
      <c r="C426" t="s">
        <v>15</v>
      </c>
      <c r="D426" s="2" t="s">
        <f>=HYPERLINK("https://main.knesset.gov.il/APPS/legislation/main/bills/2240484", "סעיפים 61, 62 (חוק מע""מ) מתוך הצעת חוק התוכנית הכלכלית (תיקוני חקיקה ליישום המדיניות הכלכלית לשנת התקציב 2026), התשפ""ו-2026")</f>
        <v>1021</v>
      </c>
      <c r="E426" t="s">
        <v>1021</v>
      </c>
      <c r="F426" t="s">
        <v>14</v>
      </c>
      <c r="G426" t="s">
        <v>29</v>
      </c>
      <c r="H426">
             </c>
      <c r="I426" t="s">
        <v>14</v>
      </c>
      <c r="J426" t="s">
        <v>183</v>
      </c>
      <c r="K426" t="s">
        <v>42</v>
      </c>
      <c r="L426" t="s">
        <v>20</v>
      </c>
      <c r="M426" t="s">
        <v>1020</v>
      </c>
      <c r="N426" t="s">
        <v>14</v>
      </c>
    </row>
    <row r="427" x14ac:dyDescent="0.25">
      <c r="A427" t="n">
        <v>25</v>
      </c>
      <c r="B427" t="s">
        <v>14</v>
      </c>
      <c r="C427" t="s">
        <v>15</v>
      </c>
      <c r="D427" s="2" t="s">
        <f>=HYPERLINK("https://main.knesset.gov.il/APPS/legislation/main/bills/2240536", "פרק ד' (התחשבנות בין בתי חולים לקופות חולים לשנים 2026 עד 2030) (למעט סעיף 16) מתוך הצעת חוק ההתייעלות הכלכלית (תיקוני חקיקה להשגת יעדי התקציב לשנת התקציב 2026) התשפ""ו-2026 [פוצלה לפי סעיף 84(ב) לתקנון]")</f>
        <v>1022</v>
      </c>
      <c r="E427" t="s">
        <v>1022</v>
      </c>
      <c r="F427" t="s">
        <v>14</v>
      </c>
      <c r="G427" t="s">
        <v>29</v>
      </c>
      <c r="H427">
             </c>
      <c r="I427" t="s">
        <v>14</v>
      </c>
      <c r="J427" t="s">
        <v>183</v>
      </c>
      <c r="K427" t="s">
        <v>42</v>
      </c>
      <c r="L427" t="s">
        <v>20</v>
      </c>
      <c r="M427" t="s">
        <v>1023</v>
      </c>
      <c r="N427" t="s">
        <v>14</v>
      </c>
    </row>
    <row r="428" x14ac:dyDescent="0.25">
      <c r="A428" t="n">
        <v>25</v>
      </c>
      <c r="B428" t="s">
        <v>14</v>
      </c>
      <c r="C428" t="s">
        <v>15</v>
      </c>
      <c r="D428" s="2" t="s">
        <f>=HYPERLINK("https://main.knesset.gov.il/APPS/legislation/main/bills/2240514", "פרק י""ט (שונות), סעיפים 97 עד 98 (חוק הביטוח הלאומי) מתוך הצעת חוק התוכנית הכלכלית (תיקוני חקיקה ליישום המדיניות הכלכלית לשנת התקציב 2026), התשפ""ו-2026 [פוצלה לפי סעיף 84(ב) לתקנון]")</f>
        <v>1024</v>
      </c>
      <c r="E428" t="s">
        <v>1024</v>
      </c>
      <c r="F428" t="s">
        <v>14</v>
      </c>
      <c r="G428" t="s">
        <v>29</v>
      </c>
      <c r="H428">
             </c>
      <c r="I428" t="s">
        <v>14</v>
      </c>
      <c r="J428" t="s">
        <v>183</v>
      </c>
      <c r="K428" t="s">
        <v>42</v>
      </c>
      <c r="L428" t="s">
        <v>20</v>
      </c>
      <c r="M428" t="s">
        <v>1023</v>
      </c>
      <c r="N428" t="s">
        <v>14</v>
      </c>
    </row>
    <row r="429" x14ac:dyDescent="0.25">
      <c r="A429" t="n">
        <v>25</v>
      </c>
      <c r="B429" t="s">
        <v>14</v>
      </c>
      <c r="C429" t="s">
        <v>15</v>
      </c>
      <c r="D429" s="2" t="s">
        <f>=HYPERLINK("https://main.knesset.gov.il/APPS/legislation/main/bills/2240537", "פרק ד' (התחשבנות בין בתי חולים לקופות חולים לשנים 2026 עד 2030) (רק סעיף 16) מתוך הצעת חוק ההתייעלות הכלכלית (תיקוני חקיקה להשגת יעדי התקציב לשנת התקציב 2026) התשפ""ו-2026 [פוצלה לפי סעיף 84(ב) לתקנון] ")</f>
        <v>1025</v>
      </c>
      <c r="E429" t="s">
        <v>1025</v>
      </c>
      <c r="F429" t="s">
        <v>14</v>
      </c>
      <c r="G429" t="s">
        <v>29</v>
      </c>
      <c r="H429">
             </c>
      <c r="I429" t="s">
        <v>14</v>
      </c>
      <c r="J429" t="s">
        <v>183</v>
      </c>
      <c r="K429" t="s">
        <v>361</v>
      </c>
      <c r="L429" t="s">
        <v>20</v>
      </c>
      <c r="M429" t="s">
        <v>1023</v>
      </c>
      <c r="N429" t="s">
        <v>14</v>
      </c>
    </row>
    <row r="430" x14ac:dyDescent="0.25">
      <c r="A430" t="n">
        <v>25</v>
      </c>
      <c r="B430" t="s">
        <v>14</v>
      </c>
      <c r="C430" t="s">
        <v>51</v>
      </c>
      <c r="D430" s="2" t="s">
        <f>=HYPERLINK("https://main.knesset.gov.il/APPS/legislation/main/bills/2238133", "הצעת חוק המועצה להשכלה גבוהה (תיקון - מימון לימודים לתואר ראשון לסטודנט תושב קריית שמונה - הוראת שעה), התשפ״ו-2026")</f>
        <v>1026</v>
      </c>
      <c r="E430" t="s">
        <v>1026</v>
      </c>
      <c r="F430" t="s">
        <v>1027</v>
      </c>
      <c r="G430" t="s">
        <v>14</v>
      </c>
      <c r="H430">
             </c>
      <c r="I430" t="s">
        <v>14</v>
      </c>
      <c r="J430" t="s">
        <v>193</v>
      </c>
      <c r="K430" t="s">
        <v>14</v>
      </c>
      <c r="L430" t="s">
        <v>20</v>
      </c>
      <c r="M430" t="s">
        <v>1023</v>
      </c>
      <c r="N430" t="s">
        <v>14</v>
      </c>
    </row>
    <row r="431" x14ac:dyDescent="0.25">
      <c r="A431" t="n">
        <v>25</v>
      </c>
      <c r="B431" t="s">
        <v>14</v>
      </c>
      <c r="C431" t="s">
        <v>51</v>
      </c>
      <c r="D431" s="2" t="s">
        <f>=HYPERLINK("https://main.knesset.gov.il/APPS/legislation/main/bills/2230841", "הצעת חוק משפחות חיילים שנספו במערכה (תגמולים ושיקום) (תיקון - חובת העסקה של יתומים אחרי גיל הפרישה), התשפ""ה-2025")</f>
        <v>1028</v>
      </c>
      <c r="E431" t="s">
        <v>1028</v>
      </c>
      <c r="F431" t="s">
        <v>1029</v>
      </c>
      <c r="G431" t="s">
        <v>14</v>
      </c>
      <c r="H431">
             </c>
      <c r="I431" t="s">
        <v>14</v>
      </c>
      <c r="J431" t="s">
        <v>193</v>
      </c>
      <c r="K431" t="s">
        <v>14</v>
      </c>
      <c r="L431" t="s">
        <v>20</v>
      </c>
      <c r="M431" t="s">
        <v>1023</v>
      </c>
      <c r="N431" t="s">
        <v>14</v>
      </c>
    </row>
    <row r="432" x14ac:dyDescent="0.25">
      <c r="A432" t="n">
        <v>25</v>
      </c>
      <c r="B432" t="s">
        <v>14</v>
      </c>
      <c r="C432" t="s">
        <v>51</v>
      </c>
      <c r="D432" s="2" t="s">
        <f>=HYPERLINK("https://main.knesset.gov.il/APPS/legislation/main/bills/2226212", "הצעת חוק ההתגוננות האזרחית (תיקון - פיקוח על מקלטים משותפים), התשפ""ה-2025")</f>
        <v>1030</v>
      </c>
      <c r="E432" t="s">
        <v>1030</v>
      </c>
      <c r="F432" t="s">
        <v>1031</v>
      </c>
      <c r="G432" t="s">
        <v>14</v>
      </c>
      <c r="H432">
             </c>
      <c r="I432" t="s">
        <v>14</v>
      </c>
      <c r="J432" t="s">
        <v>193</v>
      </c>
      <c r="K432" t="s">
        <v>14</v>
      </c>
      <c r="L432" t="s">
        <v>20</v>
      </c>
      <c r="M432" t="s">
        <v>1023</v>
      </c>
      <c r="N432" t="s">
        <v>14</v>
      </c>
    </row>
    <row r="433" x14ac:dyDescent="0.25">
      <c r="A433" t="n">
        <v>25</v>
      </c>
      <c r="B433" t="s">
        <v>14</v>
      </c>
      <c r="C433" t="s">
        <v>51</v>
      </c>
      <c r="D433" s="2" t="s">
        <f>=HYPERLINK("https://main.knesset.gov.il/APPS/legislation/main/bills/2224160", "הצעת חוק עבודת הנשים (תיקון - תגמול לעובדת עצמאית שבן זוגה משרת במילואים), התשפ""ה-2024")</f>
        <v>1032</v>
      </c>
      <c r="E433" t="s">
        <v>1032</v>
      </c>
      <c r="F433" t="s">
        <v>1033</v>
      </c>
      <c r="G433" t="s">
        <v>14</v>
      </c>
      <c r="H433">
             </c>
      <c r="I433" t="s">
        <v>14</v>
      </c>
      <c r="J433" t="s">
        <v>193</v>
      </c>
      <c r="K433" t="s">
        <v>14</v>
      </c>
      <c r="L433" t="s">
        <v>20</v>
      </c>
      <c r="M433" t="s">
        <v>1023</v>
      </c>
      <c r="N433" t="s">
        <v>14</v>
      </c>
    </row>
    <row r="434" x14ac:dyDescent="0.25">
      <c r="A434" t="n">
        <v>25</v>
      </c>
      <c r="B434" t="s">
        <v>14</v>
      </c>
      <c r="C434" t="s">
        <v>51</v>
      </c>
      <c r="D434" s="2" t="s">
        <f>=HYPERLINK("https://main.knesset.gov.il/APPS/legislation/main/bills/2198128", "הצעת חוק הביטוח הלאומי (תיקון - הצמדת הסכום הבסיסי לשכר הממוצע במשק), התשפ""ג-2023")</f>
        <v>1034</v>
      </c>
      <c r="E434" t="s">
        <v>1034</v>
      </c>
      <c r="F434" t="s">
        <v>1035</v>
      </c>
      <c r="G434" t="s">
        <v>14</v>
      </c>
      <c r="H434">
             </c>
      <c r="I434" t="s">
        <v>14</v>
      </c>
      <c r="J434" t="s">
        <v>202</v>
      </c>
      <c r="K434" t="s">
        <v>14</v>
      </c>
      <c r="L434" t="s">
        <v>20</v>
      </c>
      <c r="M434" t="s">
        <v>1023</v>
      </c>
      <c r="N434" t="s">
        <v>14</v>
      </c>
    </row>
    <row r="435" x14ac:dyDescent="0.25">
      <c r="A435" t="n">
        <v>25</v>
      </c>
      <c r="B435" t="s">
        <v>14</v>
      </c>
      <c r="C435" t="s">
        <v>51</v>
      </c>
      <c r="D435" s="2" t="s">
        <f>=HYPERLINK("https://main.knesset.gov.il/APPS/legislation/main/bills/2201610", "הצעת חוק הסדרת העיסוק במקצועות הטיפול הרפואי, התשפ""ג-2023")</f>
        <v>991</v>
      </c>
      <c r="E435" t="s">
        <v>991</v>
      </c>
      <c r="F435" t="s">
        <v>1036</v>
      </c>
      <c r="G435" t="s">
        <v>14</v>
      </c>
      <c r="H435">
             </c>
      <c r="I435" t="s">
        <v>14</v>
      </c>
      <c r="J435" t="s">
        <v>183</v>
      </c>
      <c r="K435" t="s">
        <v>361</v>
      </c>
      <c r="L435" t="s">
        <v>20</v>
      </c>
      <c r="M435" t="s">
        <v>1037</v>
      </c>
      <c r="N435" t="s">
        <v>14</v>
      </c>
    </row>
    <row r="436" x14ac:dyDescent="0.25">
      <c r="A436" t="n">
        <v>25</v>
      </c>
      <c r="B436" t="s">
        <v>14</v>
      </c>
      <c r="C436" t="s">
        <v>15</v>
      </c>
      <c r="D436" s="2" t="s">
        <f>=HYPERLINK("https://main.knesset.gov.il/APPS/legislation/main/bills/2240521", "פרק ו' (עידוד עלייה לישראל וחזרה אליה) מתוך הצעת חוק ההתייעלות הכלכלית (תיקוני חקיקה להשגת יעדי התקציב לשנת התקציב 2026), התשפ""ו-2026")</f>
        <v>1038</v>
      </c>
      <c r="E436" t="s">
        <v>1038</v>
      </c>
      <c r="F436" t="s">
        <v>14</v>
      </c>
      <c r="G436" t="s">
        <v>29</v>
      </c>
      <c r="H436">
             </c>
      <c r="I436" t="s">
        <v>14</v>
      </c>
      <c r="J436" t="s">
        <v>183</v>
      </c>
      <c r="K436" t="s">
        <v>42</v>
      </c>
      <c r="L436" t="s">
        <v>20</v>
      </c>
      <c r="M436" t="s">
        <v>1037</v>
      </c>
      <c r="N436" t="s">
        <v>14</v>
      </c>
    </row>
    <row r="437" x14ac:dyDescent="0.25">
      <c r="A437" t="n">
        <v>25</v>
      </c>
      <c r="B437" t="s">
        <v>14</v>
      </c>
      <c r="C437" t="s">
        <v>15</v>
      </c>
      <c r="D437" s="2" t="s">
        <f>=HYPERLINK("https://main.knesset.gov.il/APPS/legislation/main/bills/2240467", "פרק ב' ייעול הליכי התכנון והבנייה (חוק התכנון והבנייה) סעיפים 2(12), (13), 5 (בקר מורשה הגנת הסביבה במכון בקרה) מתוך הצעת חוק התוכנית הכלכלית (תיקוני חקיקה ליישום המדיניות הכלכלית לשנת התקציב 2026), התשפ""ו-2026")</f>
        <v>1039</v>
      </c>
      <c r="E437" t="s">
        <v>1039</v>
      </c>
      <c r="F437" t="s">
        <v>14</v>
      </c>
      <c r="G437" t="s">
        <v>29</v>
      </c>
      <c r="H437">
             </c>
      <c r="I437" t="s">
        <v>14</v>
      </c>
      <c r="J437" t="s">
        <v>183</v>
      </c>
      <c r="K437" t="s">
        <v>42</v>
      </c>
      <c r="L437" t="s">
        <v>20</v>
      </c>
      <c r="M437" t="s">
        <v>1037</v>
      </c>
      <c r="N437" t="s">
        <v>14</v>
      </c>
    </row>
    <row r="438" x14ac:dyDescent="0.25">
      <c r="A438" t="n">
        <v>25</v>
      </c>
      <c r="B438" t="s">
        <v>14</v>
      </c>
      <c r="C438" t="s">
        <v>15</v>
      </c>
      <c r="D438" s="2" t="s">
        <f>=HYPERLINK("https://main.knesset.gov.il/APPS/legislation/main/bills/2240464", "פרק ב' ייעול הליכי התכנון והבנייה (חוק התכנון והבנייה) סעיף 2(11) (הכשרת בקרים) מתוך הצעת חוק התוכנית הכלכלית (תיקוני חקיקה ליישום המדיניות הכלכלית לשנת התקציב 2026), התשפ""ו-2026")</f>
        <v>1040</v>
      </c>
      <c r="E438" t="s">
        <v>1040</v>
      </c>
      <c r="F438" t="s">
        <v>14</v>
      </c>
      <c r="G438" t="s">
        <v>29</v>
      </c>
      <c r="H438">
             </c>
      <c r="I438" t="s">
        <v>14</v>
      </c>
      <c r="J438" t="s">
        <v>183</v>
      </c>
      <c r="K438" t="s">
        <v>42</v>
      </c>
      <c r="L438" t="s">
        <v>20</v>
      </c>
      <c r="M438" t="s">
        <v>1037</v>
      </c>
      <c r="N438" t="s">
        <v>14</v>
      </c>
    </row>
    <row r="439" x14ac:dyDescent="0.25">
      <c r="A439" t="n">
        <v>25</v>
      </c>
      <c r="B439" t="s">
        <v>14</v>
      </c>
      <c r="C439" t="s">
        <v>15</v>
      </c>
      <c r="D439" s="2" t="s">
        <f>=HYPERLINK("https://main.knesset.gov.il/APPS/legislation/main/bills/2240505", "פרק י""א (טיוב האסדרה בתחום בטיחות אש) מתוך הצעת חוק התוכנית הכלכלית (תיקוני חקיקה ליישום המדיניות הכלכלית לשנת התקציב 2026), התשפ""ו-2026 [פוצלה לפי סעיף 84(ב) לתקנון]")</f>
        <v>1041</v>
      </c>
      <c r="E439" t="s">
        <v>1041</v>
      </c>
      <c r="F439" t="s">
        <v>14</v>
      </c>
      <c r="G439" t="s">
        <v>29</v>
      </c>
      <c r="H439">
             </c>
      <c r="I439" t="s">
        <v>14</v>
      </c>
      <c r="J439" t="s">
        <v>183</v>
      </c>
      <c r="K439" t="s">
        <v>42</v>
      </c>
      <c r="L439" t="s">
        <v>20</v>
      </c>
      <c r="M439" t="s">
        <v>1042</v>
      </c>
      <c r="N439" t="s">
        <v>14</v>
      </c>
    </row>
    <row r="440" x14ac:dyDescent="0.25">
      <c r="A440" t="n">
        <v>25</v>
      </c>
      <c r="B440" t="s">
        <v>14</v>
      </c>
      <c r="C440" t="s">
        <v>51</v>
      </c>
      <c r="D440" s="2" t="s">
        <f>=HYPERLINK("https://main.knesset.gov.il/APPS/legislation/main/bills/2241276", "הצעת חוק היעדרות קרוב משפחה מעבודה ביום האזכרה הפרטית (תיקוני חקיקה), התשפ""ו-2026")</f>
        <v>1043</v>
      </c>
      <c r="E440" t="s">
        <v>1043</v>
      </c>
      <c r="F440" t="s">
        <v>1044</v>
      </c>
      <c r="G440" t="s">
        <v>14</v>
      </c>
      <c r="H440">
             </c>
      <c r="I440" t="s">
        <v>14</v>
      </c>
      <c r="J440" t="s">
        <v>202</v>
      </c>
      <c r="K440" t="s">
        <v>14</v>
      </c>
      <c r="L440" t="s">
        <v>20</v>
      </c>
      <c r="M440" t="s">
        <v>1042</v>
      </c>
      <c r="N440" t="s">
        <v>14</v>
      </c>
    </row>
    <row r="441" x14ac:dyDescent="0.25">
      <c r="A441" t="n">
        <v>25</v>
      </c>
      <c r="B441" t="s">
        <v>14</v>
      </c>
      <c r="C441" t="s">
        <v>51</v>
      </c>
      <c r="D441" s="2" t="s">
        <f>=HYPERLINK("https://main.knesset.gov.il/APPS/legislation/main/bills/2240045", "הצעת חוק לתיקון פקודת מס הכנסה (יישוב עירוני בעל השפעה מטרופולינית) (הוראת שעה), התשפ""ו-2026")</f>
        <v>1045</v>
      </c>
      <c r="E441" t="s">
        <v>1045</v>
      </c>
      <c r="F441" t="s">
        <v>1046</v>
      </c>
      <c r="G441" t="s">
        <v>14</v>
      </c>
      <c r="H441">
             </c>
      <c r="I441" t="s">
        <v>14</v>
      </c>
      <c r="J441" t="s">
        <v>242</v>
      </c>
      <c r="K441" t="s">
        <v>14</v>
      </c>
      <c r="L441" t="s">
        <v>20</v>
      </c>
      <c r="M441" t="s">
        <v>1042</v>
      </c>
      <c r="N441" t="s">
        <v>14</v>
      </c>
    </row>
    <row r="442" x14ac:dyDescent="0.25">
      <c r="A442" t="n">
        <v>25</v>
      </c>
      <c r="B442" t="s">
        <v>14</v>
      </c>
      <c r="C442" t="s">
        <v>51</v>
      </c>
      <c r="D442" s="2" t="s">
        <f>=HYPERLINK("https://main.knesset.gov.il/APPS/legislation/main/bills/2240008", "הצעת חוק מניעת שידורים של גוף זר הפוגע בביטחון המדינה, התשפ""ו-2026")</f>
        <v>1047</v>
      </c>
      <c r="E442" t="s">
        <v>1047</v>
      </c>
      <c r="F442" t="s">
        <v>1048</v>
      </c>
      <c r="G442" t="s">
        <v>14</v>
      </c>
      <c r="H442">
             </c>
      <c r="I442" t="s">
        <v>14</v>
      </c>
      <c r="J442" t="s">
        <v>242</v>
      </c>
      <c r="K442" t="s">
        <v>14</v>
      </c>
      <c r="L442" t="s">
        <v>20</v>
      </c>
      <c r="M442" t="s">
        <v>1042</v>
      </c>
      <c r="N442" t="s">
        <v>14</v>
      </c>
    </row>
    <row r="443" x14ac:dyDescent="0.25">
      <c r="A443" t="n">
        <v>25</v>
      </c>
      <c r="B443" t="s">
        <v>14</v>
      </c>
      <c r="C443" t="s">
        <v>51</v>
      </c>
      <c r="D443" s="2" t="s">
        <f>=HYPERLINK("https://main.knesset.gov.il/APPS/legislation/main/bills/2241157", "הצעת חוק-יסוד: הממשלה (תיקון - כשירות שר וסגן שר)")</f>
        <v>1049</v>
      </c>
      <c r="E443" t="s">
        <v>1049</v>
      </c>
      <c r="F443" t="s">
        <v>1050</v>
      </c>
      <c r="G443" t="s">
        <v>14</v>
      </c>
      <c r="H443">
             </c>
      <c r="I443" t="s">
        <v>14</v>
      </c>
      <c r="J443" t="s">
        <v>242</v>
      </c>
      <c r="K443" t="s">
        <v>14</v>
      </c>
      <c r="L443" t="s">
        <v>20</v>
      </c>
      <c r="M443" t="s">
        <v>1042</v>
      </c>
      <c r="N443" t="s">
        <v>14</v>
      </c>
    </row>
    <row r="444" x14ac:dyDescent="0.25">
      <c r="A444" t="n">
        <v>25</v>
      </c>
      <c r="B444" t="s">
        <v>14</v>
      </c>
      <c r="C444" t="s">
        <v>51</v>
      </c>
      <c r="D444" s="2" t="s">
        <f>=HYPERLINK("https://main.knesset.gov.il/APPS/legislation/main/bills/2240778", "הצעת חוק כלי הירייה (תיקון - הליך הוגן במתן רישיון נשק אישי), התשפ""ו-2026")</f>
        <v>1051</v>
      </c>
      <c r="E444" t="s">
        <v>1051</v>
      </c>
      <c r="F444" t="s">
        <v>1052</v>
      </c>
      <c r="G444" t="s">
        <v>14</v>
      </c>
      <c r="H444">
             </c>
      <c r="I444" t="s">
        <v>14</v>
      </c>
      <c r="J444" t="s">
        <v>242</v>
      </c>
      <c r="K444" t="s">
        <v>14</v>
      </c>
      <c r="L444" t="s">
        <v>20</v>
      </c>
      <c r="M444" t="s">
        <v>1042</v>
      </c>
      <c r="N444" t="s">
        <v>14</v>
      </c>
    </row>
    <row r="445" x14ac:dyDescent="0.25">
      <c r="A445" t="n">
        <v>25</v>
      </c>
      <c r="B445" t="s">
        <v>14</v>
      </c>
      <c r="C445" t="s">
        <v>51</v>
      </c>
      <c r="D445" s="2" t="s">
        <f>=HYPERLINK("https://main.knesset.gov.il/APPS/legislation/main/bills/2240796", "הצעת חוק העונשין (תיקון - מעמד אנשי כוחות הביטחון), התשפ״ו-2026")</f>
        <v>1053</v>
      </c>
      <c r="E445" t="s">
        <v>1053</v>
      </c>
      <c r="F445" t="s">
        <v>1054</v>
      </c>
      <c r="G445" t="s">
        <v>14</v>
      </c>
      <c r="H445">
             </c>
      <c r="I445" t="s">
        <v>14</v>
      </c>
      <c r="J445" t="s">
        <v>242</v>
      </c>
      <c r="K445" t="s">
        <v>14</v>
      </c>
      <c r="L445" t="s">
        <v>20</v>
      </c>
      <c r="M445" t="s">
        <v>1042</v>
      </c>
      <c r="N445" t="s">
        <v>14</v>
      </c>
    </row>
    <row r="446" x14ac:dyDescent="0.25">
      <c r="A446" t="n">
        <v>25</v>
      </c>
      <c r="B446" t="s">
        <v>14</v>
      </c>
      <c r="C446" t="s">
        <v>51</v>
      </c>
      <c r="D446" s="2" t="s">
        <f>=HYPERLINK("https://main.knesset.gov.il/APPS/legislation/main/bills/2241473", "הצעת חוק לימוד חובה (תיקון - מנהל מוסד חינוך), התשפ""ו-2026")</f>
        <v>860</v>
      </c>
      <c r="E446" t="s">
        <v>860</v>
      </c>
      <c r="F446" t="s">
        <v>1055</v>
      </c>
      <c r="G446" t="s">
        <v>14</v>
      </c>
      <c r="H446">
             </c>
      <c r="I446" t="s">
        <v>14</v>
      </c>
      <c r="J446" t="s">
        <v>202</v>
      </c>
      <c r="K446" t="s">
        <v>14</v>
      </c>
      <c r="L446" t="s">
        <v>20</v>
      </c>
      <c r="M446" t="s">
        <v>1042</v>
      </c>
      <c r="N446" t="s">
        <v>14</v>
      </c>
    </row>
    <row r="447" x14ac:dyDescent="0.25">
      <c r="A447" t="n">
        <v>25</v>
      </c>
      <c r="B447" t="s">
        <v>14</v>
      </c>
      <c r="C447" t="s">
        <v>51</v>
      </c>
      <c r="D447" s="2" t="s">
        <f>=HYPERLINK("https://main.knesset.gov.il/APPS/legislation/main/bills/2240734", "הצעת חוק מימון והקלות בלימודי רפואה ללוחמים ולתומכי לחימה (תיקוני חקיקה), התשפ""ו-2026")</f>
        <v>1056</v>
      </c>
      <c r="E447" t="s">
        <v>1056</v>
      </c>
      <c r="F447" t="s">
        <v>1057</v>
      </c>
      <c r="G447" t="s">
        <v>14</v>
      </c>
      <c r="H447">
             </c>
      <c r="I447" t="s">
        <v>14</v>
      </c>
      <c r="J447" t="s">
        <v>242</v>
      </c>
      <c r="K447" t="s">
        <v>14</v>
      </c>
      <c r="L447" t="s">
        <v>20</v>
      </c>
      <c r="M447" t="s">
        <v>1042</v>
      </c>
      <c r="N447" t="s">
        <v>14</v>
      </c>
    </row>
    <row r="448" x14ac:dyDescent="0.25">
      <c r="A448" t="n">
        <v>25</v>
      </c>
      <c r="B448" t="s">
        <v>14</v>
      </c>
      <c r="C448" t="s">
        <v>51</v>
      </c>
      <c r="D448" s="2" t="s">
        <f>=HYPERLINK("https://main.knesset.gov.il/APPS/legislation/main/bills/2241234", "הצעת חוק התכנון והבנייה (תיקון - ביטול התניית חיבור לחשמל, מים וטלפון באישור תאגיד המים), התשפ""ו-2026")</f>
        <v>1058</v>
      </c>
      <c r="E448" t="s">
        <v>1058</v>
      </c>
      <c r="F448" t="s">
        <v>1059</v>
      </c>
      <c r="G448" t="s">
        <v>14</v>
      </c>
      <c r="H448">
             </c>
      <c r="I448" t="s">
        <v>14</v>
      </c>
      <c r="J448" t="s">
        <v>202</v>
      </c>
      <c r="K448" t="s">
        <v>14</v>
      </c>
      <c r="L448" t="s">
        <v>20</v>
      </c>
      <c r="M448" t="s">
        <v>1042</v>
      </c>
      <c r="N448" t="s">
        <v>14</v>
      </c>
    </row>
    <row r="449" x14ac:dyDescent="0.25">
      <c r="A449" t="n">
        <v>25</v>
      </c>
      <c r="B449" t="s">
        <v>14</v>
      </c>
      <c r="C449" t="s">
        <v>51</v>
      </c>
      <c r="D449" s="2" t="s">
        <f>=HYPERLINK("https://main.knesset.gov.il/APPS/legislation/main/bills/2241390", "הצעת חוק חינוך ממלכתי (תיקון - שלילת השתתפות בתקציב עקב הפליה), התשפ""ו-2026")</f>
        <v>1060</v>
      </c>
      <c r="E449" t="s">
        <v>1060</v>
      </c>
      <c r="F449" t="s">
        <v>1061</v>
      </c>
      <c r="G449" t="s">
        <v>14</v>
      </c>
      <c r="H449">
             </c>
      <c r="I449" t="s">
        <v>14</v>
      </c>
      <c r="J449" t="s">
        <v>242</v>
      </c>
      <c r="K449" t="s">
        <v>14</v>
      </c>
      <c r="L449" t="s">
        <v>20</v>
      </c>
      <c r="M449" t="s">
        <v>1042</v>
      </c>
      <c r="N449" t="s">
        <v>14</v>
      </c>
    </row>
    <row r="450" x14ac:dyDescent="0.25">
      <c r="A450" t="n">
        <v>25</v>
      </c>
      <c r="B450" t="s">
        <v>14</v>
      </c>
      <c r="C450" t="s">
        <v>15</v>
      </c>
      <c r="D450" s="2" t="s">
        <f>=HYPERLINK("https://main.knesset.gov.il/APPS/legislation/main/bills/2240520", "פרק ה' (ריווח מדרגות מס הכנסה) מתוך הצעת חוק ההתייעלות הכלכלית (תיקוני חקיקה להשגת יעדי התקציב לשנת התקציב 2026), התשפ""ו-2026")</f>
        <v>1062</v>
      </c>
      <c r="E450" t="s">
        <v>1062</v>
      </c>
      <c r="F450" t="s">
        <v>14</v>
      </c>
      <c r="G450" t="s">
        <v>29</v>
      </c>
      <c r="H450">
             </c>
      <c r="I450" t="s">
        <v>14</v>
      </c>
      <c r="J450" t="s">
        <v>183</v>
      </c>
      <c r="K450" t="s">
        <v>42</v>
      </c>
      <c r="L450" t="s">
        <v>20</v>
      </c>
      <c r="M450" t="s">
        <v>1063</v>
      </c>
      <c r="N450" t="s">
        <v>14</v>
      </c>
    </row>
    <row r="451" x14ac:dyDescent="0.25">
      <c r="A451" t="n">
        <v>25</v>
      </c>
      <c r="B451" t="s">
        <v>14</v>
      </c>
      <c r="C451" t="s">
        <v>15</v>
      </c>
      <c r="D451" s="2" t="s">
        <f>=HYPERLINK("https://main.knesset.gov.il/APPS/legislation/main/bills/2240466", "פרק ב' (מיסוי של קופות גמל) מתוך הצעת חוק ההתייעלות הכלכלית (תיקוני חקיקה להשגת יעדי התקציב לשנת התקציב 2026), התשפ""ו-2026")</f>
        <v>1064</v>
      </c>
      <c r="E451" t="s">
        <v>1064</v>
      </c>
      <c r="F451" t="s">
        <v>14</v>
      </c>
      <c r="G451" t="s">
        <v>29</v>
      </c>
      <c r="H451">
             </c>
      <c r="I451" t="s">
        <v>14</v>
      </c>
      <c r="J451" t="s">
        <v>183</v>
      </c>
      <c r="K451" t="s">
        <v>42</v>
      </c>
      <c r="L451" t="s">
        <v>20</v>
      </c>
      <c r="M451" t="s">
        <v>1063</v>
      </c>
      <c r="N451" t="s">
        <v>14</v>
      </c>
    </row>
    <row r="452" x14ac:dyDescent="0.25">
      <c r="A452" t="n">
        <v>25</v>
      </c>
      <c r="B452" t="s">
        <v>14</v>
      </c>
      <c r="C452" t="s">
        <v>15</v>
      </c>
      <c r="D452" s="2" t="s">
        <f>=HYPERLINK("https://main.knesset.gov.il/APPS/legislation/main/bills/2240462", "פרק י' (עידוד ותמרוץ של מחקר ופיתוח) מתוך הצעת חוק התוכנית הכלכלית (תיקוני חקיקה ליישום המדיניות הכלכלית לשנת התקציב 2026), התשפ""ו-2026")</f>
        <v>1065</v>
      </c>
      <c r="E452" t="s">
        <v>1065</v>
      </c>
      <c r="F452" t="s">
        <v>14</v>
      </c>
      <c r="G452" t="s">
        <v>29</v>
      </c>
      <c r="H452">
             </c>
      <c r="I452" t="s">
        <v>14</v>
      </c>
      <c r="J452" t="s">
        <v>183</v>
      </c>
      <c r="K452" t="s">
        <v>42</v>
      </c>
      <c r="L452" t="s">
        <v>20</v>
      </c>
      <c r="M452" t="s">
        <v>1063</v>
      </c>
      <c r="N452" t="s">
        <v>14</v>
      </c>
    </row>
    <row r="453" x14ac:dyDescent="0.25">
      <c r="A453" t="n">
        <v>25</v>
      </c>
      <c r="B453" t="s">
        <v>14</v>
      </c>
      <c r="C453" t="s">
        <v>15</v>
      </c>
      <c r="D453" s="2" t="s">
        <f>=HYPERLINK("https://main.knesset.gov.il/APPS/legislation/main/bills/2240485", "סעיפים 85, 87, 89 עד 91 (חוק תכנון משק החלב) מתוך הצעת חוק התוכנית הכלכלית (תיקוני חקיקה ליישום המדיניות הכלכלית לשנת התקציב 2026), התשפ""ו-2026 [פוצלה לפי סעיף 84(ב) לתקנון הכנסת]")</f>
        <v>1066</v>
      </c>
      <c r="E453" t="s">
        <v>1066</v>
      </c>
      <c r="F453" t="s">
        <v>14</v>
      </c>
      <c r="G453" t="s">
        <v>29</v>
      </c>
      <c r="H453">
             </c>
      <c r="I453" t="s">
        <v>14</v>
      </c>
      <c r="J453" t="s">
        <v>38</v>
      </c>
      <c r="K453" t="s">
        <v>75</v>
      </c>
      <c r="L453" t="s">
        <v>20</v>
      </c>
      <c r="M453" t="s">
        <v>1067</v>
      </c>
      <c r="N453" t="s">
        <v>14</v>
      </c>
    </row>
    <row r="454" x14ac:dyDescent="0.25">
      <c r="A454" t="n">
        <v>25</v>
      </c>
      <c r="B454" t="s">
        <v>14</v>
      </c>
      <c r="C454" t="s">
        <v>15</v>
      </c>
      <c r="D454" s="2" t="s">
        <f>=HYPERLINK("https://main.knesset.gov.il/APPS/legislation/main/bills/2240486", "סעיפים 86, 88 (חוק התחרות הכלכלית) מתוך הצעת חוק התוכנית הכלכלית (תיקוני חקיקה ליישום המדיניות הכלכלית לשנת התקציב 2026), התשפ""ו-2026 - [פוצלה לפי סעיף 84(ב) לתקנון הכנסת]")</f>
        <v>1068</v>
      </c>
      <c r="E454" t="s">
        <v>1068</v>
      </c>
      <c r="F454" t="s">
        <v>14</v>
      </c>
      <c r="G454" t="s">
        <v>29</v>
      </c>
      <c r="H454">
             </c>
      <c r="I454" t="s">
        <v>14</v>
      </c>
      <c r="J454" t="s">
        <v>38</v>
      </c>
      <c r="K454" t="s">
        <v>75</v>
      </c>
      <c r="L454" t="s">
        <v>20</v>
      </c>
      <c r="M454" t="s">
        <v>1067</v>
      </c>
      <c r="N454" t="s">
        <v>14</v>
      </c>
    </row>
    <row r="455" x14ac:dyDescent="0.25">
      <c r="A455" t="n">
        <v>25</v>
      </c>
      <c r="B455" t="s">
        <v>14</v>
      </c>
      <c r="C455" t="s">
        <v>15</v>
      </c>
      <c r="D455" s="2" t="s">
        <f>=HYPERLINK("https://main.knesset.gov.il/APPS/legislation/main/bills/2240523", "פרק ח' (מס רכוש) מתוך הצעת חוק ההתייעלות הכלכלית (תיקוני חקיקה להשגת יעדי התקציב לשנת התקציב 2026), התשפ""ו-2026")</f>
        <v>1069</v>
      </c>
      <c r="E455" t="s">
        <v>1069</v>
      </c>
      <c r="F455" t="s">
        <v>14</v>
      </c>
      <c r="G455" t="s">
        <v>29</v>
      </c>
      <c r="H455">
             </c>
      <c r="I455" t="s">
        <v>14</v>
      </c>
      <c r="J455" t="s">
        <v>38</v>
      </c>
      <c r="K455" t="s">
        <v>24</v>
      </c>
      <c r="L455" t="s">
        <v>20</v>
      </c>
      <c r="M455" t="s">
        <v>1067</v>
      </c>
      <c r="N455" t="s">
        <v>14</v>
      </c>
    </row>
    <row r="456" x14ac:dyDescent="0.25">
      <c r="A456" t="n">
        <v>25</v>
      </c>
      <c r="B456" t="s">
        <v>14</v>
      </c>
      <c r="C456" t="s">
        <v>15</v>
      </c>
      <c r="D456" s="2" t="s">
        <f>=HYPERLINK("https://main.knesset.gov.il/APPS/legislation/main/bills/2240527", "פרק ג' (צמצום ההון השחור), סימן ב' (הגבלה על החלפת שטר במזומן) מתוך הצעת חוק ההתייעלות הכלכלית (תיקוני חקיקה להשגת יעדי התקציב לשנת התקציב 2026), התשפ""ו-2026")</f>
        <v>1070</v>
      </c>
      <c r="E456" t="s">
        <v>1070</v>
      </c>
      <c r="F456" t="s">
        <v>14</v>
      </c>
      <c r="G456" t="s">
        <v>29</v>
      </c>
      <c r="H456">
             </c>
      <c r="I456" t="s">
        <v>14</v>
      </c>
      <c r="J456" t="s">
        <v>183</v>
      </c>
      <c r="K456" t="s">
        <v>42</v>
      </c>
      <c r="L456" t="s">
        <v>20</v>
      </c>
      <c r="M456" t="s">
        <v>1067</v>
      </c>
      <c r="N456" t="s">
        <v>14</v>
      </c>
    </row>
    <row r="457" x14ac:dyDescent="0.25">
      <c r="A457" t="n">
        <v>25</v>
      </c>
      <c r="B457" t="s">
        <v>14</v>
      </c>
      <c r="C457" t="s">
        <v>15</v>
      </c>
      <c r="D457" s="2" t="s">
        <f>=HYPERLINK("https://main.knesset.gov.il/APPS/legislation/main/bills/2240529", "פרק ג' (צמצום ההון השחור), סימן ג' (חובת הצהרה של נותני שירותים פיננסיים) מתוך הצעת חוק ההתייעלות הכלכלית (תיקוני חקיקה להשגת יעדי התקציב לשנת התקציב 2026), התשפ""ו-2026 [פוצלה לפי סעיף 84(ב) לתקנון]")</f>
        <v>1071</v>
      </c>
      <c r="E457" t="s">
        <v>1071</v>
      </c>
      <c r="F457" t="s">
        <v>14</v>
      </c>
      <c r="G457" t="s">
        <v>29</v>
      </c>
      <c r="H457">
             </c>
      <c r="I457" t="s">
        <v>14</v>
      </c>
      <c r="J457" t="s">
        <v>38</v>
      </c>
      <c r="K457" t="s">
        <v>27</v>
      </c>
      <c r="L457" t="s">
        <v>20</v>
      </c>
      <c r="M457" t="s">
        <v>1067</v>
      </c>
      <c r="N457" t="s">
        <v>14</v>
      </c>
    </row>
    <row r="458" x14ac:dyDescent="0.25">
      <c r="A458" t="n">
        <v>25</v>
      </c>
      <c r="B458" t="s">
        <v>14</v>
      </c>
      <c r="C458" t="s">
        <v>51</v>
      </c>
      <c r="D458" s="2" t="s">
        <f>=HYPERLINK("https://main.knesset.gov.il/APPS/legislation/main/bills/2237204", "הצעת חוק-יסוד: הממשלה (תיקון - הגבלות על כהונת שר ביותר ממשרד אחד)")</f>
        <v>1072</v>
      </c>
      <c r="E458" t="s">
        <v>1072</v>
      </c>
      <c r="F458" t="s">
        <v>1073</v>
      </c>
      <c r="G458" t="s">
        <v>14</v>
      </c>
      <c r="H458">
             </c>
      <c r="I458" t="s">
        <v>14</v>
      </c>
      <c r="J458" t="s">
        <v>193</v>
      </c>
      <c r="K458" t="s">
        <v>14</v>
      </c>
      <c r="L458" t="s">
        <v>20</v>
      </c>
      <c r="M458" t="s">
        <v>1067</v>
      </c>
      <c r="N458" t="s">
        <v>14</v>
      </c>
    </row>
    <row r="459" x14ac:dyDescent="0.25">
      <c r="A459" t="n">
        <v>25</v>
      </c>
      <c r="B459" t="s">
        <v>14</v>
      </c>
      <c r="C459" t="s">
        <v>51</v>
      </c>
      <c r="D459" s="2" t="s">
        <f>=HYPERLINK("https://main.knesset.gov.il/APPS/legislation/main/bills/2236170", "הצעת חוק הרשות לטיפול בנפגעי הלם קרב, התשפ""ו-2025")</f>
        <v>1074</v>
      </c>
      <c r="E459" t="s">
        <v>1074</v>
      </c>
      <c r="F459" t="s">
        <v>1075</v>
      </c>
      <c r="G459" t="s">
        <v>14</v>
      </c>
      <c r="H459">
             </c>
      <c r="I459" t="s">
        <v>14</v>
      </c>
      <c r="J459" t="s">
        <v>193</v>
      </c>
      <c r="K459" t="s">
        <v>14</v>
      </c>
      <c r="L459" t="s">
        <v>20</v>
      </c>
      <c r="M459" t="s">
        <v>1067</v>
      </c>
      <c r="N459" t="s">
        <v>14</v>
      </c>
    </row>
    <row r="460" x14ac:dyDescent="0.25">
      <c r="A460" t="n">
        <v>25</v>
      </c>
      <c r="B460" t="s">
        <v>14</v>
      </c>
      <c r="C460" t="s">
        <v>51</v>
      </c>
      <c r="D460" s="2" t="s">
        <f>=HYPERLINK("https://main.knesset.gov.il/APPS/legislation/main/bills/2218847", "הצעת חוק רשות מקרקעי ישראל (תיקון - העדפת רכישת קרקע בפריפריה לחיילי מילואים), התשפ""ד-2024")</f>
        <v>1076</v>
      </c>
      <c r="E460" t="s">
        <v>1076</v>
      </c>
      <c r="F460" t="s">
        <v>1077</v>
      </c>
      <c r="G460" t="s">
        <v>14</v>
      </c>
      <c r="H460">
             </c>
      <c r="I460" t="s">
        <v>14</v>
      </c>
      <c r="J460" t="s">
        <v>193</v>
      </c>
      <c r="K460" t="s">
        <v>14</v>
      </c>
      <c r="L460" t="s">
        <v>20</v>
      </c>
      <c r="M460" t="s">
        <v>1067</v>
      </c>
      <c r="N460" t="s">
        <v>14</v>
      </c>
    </row>
    <row r="461" x14ac:dyDescent="0.25">
      <c r="A461" t="n">
        <v>25</v>
      </c>
      <c r="B461" t="s">
        <v>14</v>
      </c>
      <c r="C461" t="s">
        <v>15</v>
      </c>
      <c r="D461" s="2" t="s">
        <f>=HYPERLINK("https://main.knesset.gov.il/APPS/legislation/main/bills/2240468", "פרק ב ייעול הליכי התכנון והבנייה (חוק התכנון והבנייה) סעיף 2(15) (הרחבת סמכות למתן היתר לרשות רישוי ארצית) מתוך הצעת חוק התוכנית הכלכלית (תיקוני חקיקה ליישום המדיניות הכלכלית לשנת התקציב 2026), התשפ""ו-2026")</f>
        <v>1078</v>
      </c>
      <c r="E461" t="s">
        <v>1078</v>
      </c>
      <c r="F461" t="s">
        <v>14</v>
      </c>
      <c r="G461" t="s">
        <v>29</v>
      </c>
      <c r="H461">
             </c>
      <c r="I461" t="s">
        <v>14</v>
      </c>
      <c r="J461" t="s">
        <v>183</v>
      </c>
      <c r="K461" t="s">
        <v>42</v>
      </c>
      <c r="L461" t="s">
        <v>20</v>
      </c>
      <c r="M461" t="s">
        <v>1079</v>
      </c>
      <c r="N461" t="s">
        <v>14</v>
      </c>
    </row>
    <row r="462" x14ac:dyDescent="0.25">
      <c r="A462" t="n">
        <v>25</v>
      </c>
      <c r="B462" t="s">
        <v>14</v>
      </c>
      <c r="C462" t="s">
        <v>15</v>
      </c>
      <c r="D462" s="2" t="s">
        <f>=HYPERLINK("https://main.knesset.gov.il/APPS/legislation/main/bills/2240477", "סעיף 10 (משק הגז הטבעי) מתוך הצעת חוק התוכנית הכלכלית (תיקוני חקיקה ליישום המדיניות הכלכלית לשנת התקציב 2026), התשפ""ו-2026")</f>
        <v>1080</v>
      </c>
      <c r="E462" t="s">
        <v>1080</v>
      </c>
      <c r="F462" t="s">
        <v>14</v>
      </c>
      <c r="G462" t="s">
        <v>29</v>
      </c>
      <c r="H462">
             </c>
      <c r="I462" t="s">
        <v>14</v>
      </c>
      <c r="J462" t="s">
        <v>183</v>
      </c>
      <c r="K462" t="s">
        <v>42</v>
      </c>
      <c r="L462" t="s">
        <v>20</v>
      </c>
      <c r="M462" t="s">
        <v>1081</v>
      </c>
      <c r="N462" t="s">
        <v>14</v>
      </c>
    </row>
    <row r="463" x14ac:dyDescent="0.25">
      <c r="A463" t="n">
        <v>25</v>
      </c>
      <c r="B463" t="s">
        <v>14</v>
      </c>
      <c r="C463" t="s">
        <v>15</v>
      </c>
      <c r="D463" s="2" t="s">
        <f>=HYPERLINK("https://main.knesset.gov.il/APPS/legislation/main/bills/2240478", "פרק ז' (קידום התחרות בשוק מתן הערבויות) מתוך הצעת חוק התוכנית הכלכלית (תיקוני חקיקה ליישום המדיניות הכלכלית לשנת התקציב 2026), התשפ""ו-2026")</f>
        <v>1082</v>
      </c>
      <c r="E463" t="s">
        <v>1082</v>
      </c>
      <c r="F463" t="s">
        <v>14</v>
      </c>
      <c r="G463" t="s">
        <v>29</v>
      </c>
      <c r="H463">
             </c>
      <c r="I463" t="s">
        <v>14</v>
      </c>
      <c r="J463" t="s">
        <v>183</v>
      </c>
      <c r="K463" t="s">
        <v>42</v>
      </c>
      <c r="L463" t="s">
        <v>20</v>
      </c>
      <c r="M463" t="s">
        <v>1081</v>
      </c>
      <c r="N463" t="s">
        <v>14</v>
      </c>
    </row>
    <row r="464" x14ac:dyDescent="0.25">
      <c r="A464" t="n">
        <v>25</v>
      </c>
      <c r="B464" t="s">
        <v>14</v>
      </c>
      <c r="C464" t="s">
        <v>51</v>
      </c>
      <c r="D464" s="2" t="s">
        <f>=HYPERLINK("https://main.knesset.gov.il/APPS/legislation/main/bills/2240121", "הצעת חוק הבנקאות (שירות ללקוח) (תיקון - קיצור משך זמן לביטול שעבוד), התשפ""ו-2026")</f>
        <v>1083</v>
      </c>
      <c r="E464" t="s">
        <v>1083</v>
      </c>
      <c r="F464" t="s">
        <v>1084</v>
      </c>
      <c r="G464" t="s">
        <v>14</v>
      </c>
      <c r="H464">
             </c>
      <c r="I464" t="s">
        <v>14</v>
      </c>
      <c r="J464" t="s">
        <v>242</v>
      </c>
      <c r="K464" t="s">
        <v>14</v>
      </c>
      <c r="L464" t="s">
        <v>20</v>
      </c>
      <c r="M464" t="s">
        <v>1081</v>
      </c>
      <c r="N464" t="s">
        <v>14</v>
      </c>
    </row>
    <row r="465" x14ac:dyDescent="0.25">
      <c r="A465" t="n">
        <v>25</v>
      </c>
      <c r="B465" t="s">
        <v>14</v>
      </c>
      <c r="C465" t="s">
        <v>51</v>
      </c>
      <c r="D465" s="2" t="s">
        <f>=HYPERLINK("https://main.knesset.gov.il/APPS/legislation/main/bills/2238835", "הצעת חוק התכנון והבנייה (תיקון - ועדת משנה להתחדשות עירונית), התשפ""ו-2026")</f>
        <v>1085</v>
      </c>
      <c r="E465" t="s">
        <v>1085</v>
      </c>
      <c r="F465" t="s">
        <v>1086</v>
      </c>
      <c r="G465" t="s">
        <v>14</v>
      </c>
      <c r="H465">
             </c>
      <c r="I465" t="s">
        <v>14</v>
      </c>
      <c r="J465" t="s">
        <v>242</v>
      </c>
      <c r="K465" t="s">
        <v>14</v>
      </c>
      <c r="L465" t="s">
        <v>20</v>
      </c>
      <c r="M465" t="s">
        <v>1081</v>
      </c>
      <c r="N465" t="s">
        <v>14</v>
      </c>
    </row>
    <row r="466" x14ac:dyDescent="0.25">
      <c r="A466" t="n">
        <v>25</v>
      </c>
      <c r="B466" t="s">
        <v>14</v>
      </c>
      <c r="C466" t="s">
        <v>51</v>
      </c>
      <c r="D466" s="2" t="s">
        <f>=HYPERLINK("https://main.knesset.gov.il/APPS/legislation/main/bills/2241081", "הצעת חוק שמירת הקדושה של הכותל המערבי ורחבתו, התשפ""ו-2026")</f>
        <v>1087</v>
      </c>
      <c r="E466" t="s">
        <v>1087</v>
      </c>
      <c r="F466" t="s">
        <v>1088</v>
      </c>
      <c r="G466" t="s">
        <v>14</v>
      </c>
      <c r="H466">
             </c>
      <c r="I466" t="s">
        <v>14</v>
      </c>
      <c r="J466" t="s">
        <v>242</v>
      </c>
      <c r="K466" t="s">
        <v>14</v>
      </c>
      <c r="L466" t="s">
        <v>20</v>
      </c>
      <c r="M466" t="s">
        <v>1081</v>
      </c>
      <c r="N466" t="s">
        <v>14</v>
      </c>
    </row>
    <row r="467" x14ac:dyDescent="0.25">
      <c r="A467" t="n">
        <v>25</v>
      </c>
      <c r="B467" t="s">
        <v>14</v>
      </c>
      <c r="C467" t="s">
        <v>51</v>
      </c>
      <c r="D467" s="2" t="s">
        <f>=HYPERLINK("https://main.knesset.gov.il/APPS/legislation/main/bills/2240712", "הצעת חוק חדלות פירעון ושיקום כלכלי (תיקון - נסיבות המצדיקות מתן הפטר על חוב מזונות), התשפ""ו-2026")</f>
        <v>1089</v>
      </c>
      <c r="E467" t="s">
        <v>1089</v>
      </c>
      <c r="F467" t="s">
        <v>1090</v>
      </c>
      <c r="G467" t="s">
        <v>14</v>
      </c>
      <c r="H467">
             </c>
      <c r="I467" t="s">
        <v>14</v>
      </c>
      <c r="J467" t="s">
        <v>242</v>
      </c>
      <c r="K467" t="s">
        <v>14</v>
      </c>
      <c r="L467" t="s">
        <v>20</v>
      </c>
      <c r="M467" t="s">
        <v>1081</v>
      </c>
      <c r="N467" t="s">
        <v>14</v>
      </c>
    </row>
    <row r="468" x14ac:dyDescent="0.25">
      <c r="A468" t="n">
        <v>25</v>
      </c>
      <c r="B468" t="s">
        <v>14</v>
      </c>
      <c r="C468" t="s">
        <v>51</v>
      </c>
      <c r="D468" s="2" t="s">
        <f>=HYPERLINK("https://main.knesset.gov.il/APPS/legislation/main/bills/2239975", "הצעת חוק המועצה להשכלה גבוהה (תיקון - מניעת השבתה פוליטית במוסדות מתוקצבים), התשפ""ו-2026")</f>
        <v>1091</v>
      </c>
      <c r="E468" t="s">
        <v>1091</v>
      </c>
      <c r="F468" t="s">
        <v>1092</v>
      </c>
      <c r="G468" t="s">
        <v>14</v>
      </c>
      <c r="H468">
             </c>
      <c r="I468" t="s">
        <v>14</v>
      </c>
      <c r="J468" t="s">
        <v>202</v>
      </c>
      <c r="K468" t="s">
        <v>14</v>
      </c>
      <c r="L468" t="s">
        <v>20</v>
      </c>
      <c r="M468" t="s">
        <v>1081</v>
      </c>
      <c r="N468" t="s">
        <v>14</v>
      </c>
    </row>
    <row r="469" x14ac:dyDescent="0.25">
      <c r="A469" t="n">
        <v>25</v>
      </c>
      <c r="B469" t="s">
        <v>14</v>
      </c>
      <c r="C469" t="s">
        <v>51</v>
      </c>
      <c r="D469" s="2" t="s">
        <f>=HYPERLINK("https://main.knesset.gov.il/APPS/legislation/main/bills/2240448", "הצעת חוק לתיקון פקודת התעבורה (שינוי שיטת החישוב של דמי חניה בחניון), התשפ""ו-2026")</f>
        <v>1093</v>
      </c>
      <c r="E469" t="s">
        <v>1093</v>
      </c>
      <c r="F469" t="s">
        <v>1094</v>
      </c>
      <c r="G469" t="s">
        <v>14</v>
      </c>
      <c r="H469">
             </c>
      <c r="I469" t="s">
        <v>14</v>
      </c>
      <c r="J469" t="s">
        <v>242</v>
      </c>
      <c r="K469" t="s">
        <v>14</v>
      </c>
      <c r="L469" t="s">
        <v>20</v>
      </c>
      <c r="M469" t="s">
        <v>1081</v>
      </c>
      <c r="N469" t="s">
        <v>14</v>
      </c>
    </row>
    <row r="470" x14ac:dyDescent="0.25">
      <c r="A470" t="n">
        <v>25</v>
      </c>
      <c r="B470" t="s">
        <v>14</v>
      </c>
      <c r="C470" t="s">
        <v>51</v>
      </c>
      <c r="D470" s="2" t="s">
        <f>=HYPERLINK("https://main.knesset.gov.il/APPS/legislation/main/bills/2240737", "הצעת חוק המרכז לגביית קנסות, אגרות והוצאות (תיקון - חובת איתור חייבים ומועד מינימום לתשלום), התשפ""ו-2026")</f>
        <v>1095</v>
      </c>
      <c r="E470" t="s">
        <v>1095</v>
      </c>
      <c r="F470" t="s">
        <v>1096</v>
      </c>
      <c r="G470" t="s">
        <v>14</v>
      </c>
      <c r="H470">
             </c>
      <c r="I470" t="s">
        <v>14</v>
      </c>
      <c r="J470" t="s">
        <v>242</v>
      </c>
      <c r="K470" t="s">
        <v>14</v>
      </c>
      <c r="L470" t="s">
        <v>20</v>
      </c>
      <c r="M470" t="s">
        <v>1081</v>
      </c>
      <c r="N470" t="s">
        <v>14</v>
      </c>
    </row>
    <row r="471" x14ac:dyDescent="0.25">
      <c r="A471" t="n">
        <v>25</v>
      </c>
      <c r="B471" t="s">
        <v>14</v>
      </c>
      <c r="C471" t="s">
        <v>51</v>
      </c>
      <c r="D471" s="2" t="s">
        <f>=HYPERLINK("https://main.knesset.gov.il/APPS/legislation/main/bills/2240692", "הצעת חוק-יסוד: העדה הדרוזית ")</f>
        <v>1097</v>
      </c>
      <c r="E471" t="s">
        <v>1097</v>
      </c>
      <c r="F471" t="s">
        <v>1098</v>
      </c>
      <c r="G471" t="s">
        <v>14</v>
      </c>
      <c r="H471">
             </c>
      <c r="I471" t="s">
        <v>14</v>
      </c>
      <c r="J471" t="s">
        <v>202</v>
      </c>
      <c r="K471" t="s">
        <v>14</v>
      </c>
      <c r="L471" t="s">
        <v>20</v>
      </c>
      <c r="M471" t="s">
        <v>1081</v>
      </c>
      <c r="N471" t="s">
        <v>14</v>
      </c>
    </row>
    <row r="472" x14ac:dyDescent="0.25">
      <c r="A472" t="n">
        <v>25</v>
      </c>
      <c r="B472" t="s">
        <v>14</v>
      </c>
      <c r="C472" t="s">
        <v>51</v>
      </c>
      <c r="D472" s="2" t="s">
        <f>=HYPERLINK("https://main.knesset.gov.il/APPS/legislation/main/bills/2239799", "הצעת חוק לתיקון פקודת התעבורה (השגה וערר על דרישה לתשלום תעריף מוגדל), התשפ""ו-2026")</f>
        <v>1099</v>
      </c>
      <c r="E472" t="s">
        <v>1099</v>
      </c>
      <c r="F472" t="s">
        <v>1100</v>
      </c>
      <c r="G472" t="s">
        <v>14</v>
      </c>
      <c r="H472">
             </c>
      <c r="I472" t="s">
        <v>14</v>
      </c>
      <c r="J472" t="s">
        <v>202</v>
      </c>
      <c r="K472" t="s">
        <v>14</v>
      </c>
      <c r="L472" t="s">
        <v>20</v>
      </c>
      <c r="M472" t="s">
        <v>1081</v>
      </c>
      <c r="N472" t="s">
        <v>14</v>
      </c>
    </row>
    <row r="473" x14ac:dyDescent="0.25">
      <c r="A473" t="n">
        <v>25</v>
      </c>
      <c r="B473" t="s">
        <v>14</v>
      </c>
      <c r="C473" t="s">
        <v>51</v>
      </c>
      <c r="D473" s="2" t="s">
        <f>=HYPERLINK("https://main.knesset.gov.il/APPS/legislation/main/bills/2239980", "הצעת חוק התקשורת (בזק ושידורים) (תיקון - תיעוד מכירת כרטיסי SIM אנונימיים), התשפ""ו-2026")</f>
        <v>1101</v>
      </c>
      <c r="E473" t="s">
        <v>1101</v>
      </c>
      <c r="F473" t="s">
        <v>1102</v>
      </c>
      <c r="G473" t="s">
        <v>14</v>
      </c>
      <c r="H473">
             </c>
      <c r="I473" t="s">
        <v>14</v>
      </c>
      <c r="J473" t="s">
        <v>242</v>
      </c>
      <c r="K473" t="s">
        <v>14</v>
      </c>
      <c r="L473" t="s">
        <v>20</v>
      </c>
      <c r="M473" t="s">
        <v>1081</v>
      </c>
      <c r="N473" t="s">
        <v>14</v>
      </c>
    </row>
    <row r="474" x14ac:dyDescent="0.25">
      <c r="A474" t="n">
        <v>25</v>
      </c>
      <c r="B474" t="s">
        <v>14</v>
      </c>
      <c r="C474" t="s">
        <v>51</v>
      </c>
      <c r="D474" s="2" t="s">
        <f>=HYPERLINK("https://main.knesset.gov.il/APPS/legislation/main/bills/2240450", "הצעת חוק שמירת הסביבה החופית (תיקון - איסור הכנסת מוצרים חד-פעמיים לתחום הסביבה החופית), התשפ""ו-2026")</f>
        <v>1103</v>
      </c>
      <c r="E474" t="s">
        <v>1103</v>
      </c>
      <c r="F474" t="s">
        <v>1104</v>
      </c>
      <c r="G474" t="s">
        <v>14</v>
      </c>
      <c r="H474">
             </c>
      <c r="I474" t="s">
        <v>14</v>
      </c>
      <c r="J474" t="s">
        <v>242</v>
      </c>
      <c r="K474" t="s">
        <v>14</v>
      </c>
      <c r="L474" t="s">
        <v>20</v>
      </c>
      <c r="M474" t="s">
        <v>1081</v>
      </c>
      <c r="N474" t="s">
        <v>14</v>
      </c>
    </row>
    <row r="475" x14ac:dyDescent="0.25">
      <c r="A475" t="n">
        <v>25</v>
      </c>
      <c r="B475" t="s">
        <v>14</v>
      </c>
      <c r="C475" t="s">
        <v>51</v>
      </c>
      <c r="D475" s="2" t="s">
        <f>=HYPERLINK("https://main.knesset.gov.il/APPS/legislation/main/bills/2241047", "הצעת חוק השבות (תיקון - הוספת המילה כהלכה), התשפ""ו-2026")</f>
        <v>645</v>
      </c>
      <c r="E475" t="s">
        <v>645</v>
      </c>
      <c r="F475" t="s">
        <v>1105</v>
      </c>
      <c r="G475" t="s">
        <v>14</v>
      </c>
      <c r="H475">
             </c>
      <c r="I475" t="s">
        <v>14</v>
      </c>
      <c r="J475" t="s">
        <v>242</v>
      </c>
      <c r="K475" t="s">
        <v>14</v>
      </c>
      <c r="L475" t="s">
        <v>20</v>
      </c>
      <c r="M475" t="s">
        <v>1081</v>
      </c>
      <c r="N475" t="s">
        <v>14</v>
      </c>
    </row>
    <row r="476" x14ac:dyDescent="0.25">
      <c r="A476" t="n">
        <v>25</v>
      </c>
      <c r="B476" t="s">
        <v>14</v>
      </c>
      <c r="C476" t="s">
        <v>51</v>
      </c>
      <c r="D476" s="2" t="s">
        <f>=HYPERLINK("https://main.knesset.gov.il/APPS/legislation/main/bills/2240826", "הצעת חוק להגדרת רצועת עזה כאזור עוין ואיסור יחסי מסחר, התשפ""ו-2026")</f>
        <v>1106</v>
      </c>
      <c r="E476" t="s">
        <v>1106</v>
      </c>
      <c r="F476" t="s">
        <v>1107</v>
      </c>
      <c r="G476" t="s">
        <v>14</v>
      </c>
      <c r="H476">
             </c>
      <c r="I476" t="s">
        <v>14</v>
      </c>
      <c r="J476" t="s">
        <v>242</v>
      </c>
      <c r="K476" t="s">
        <v>14</v>
      </c>
      <c r="L476" t="s">
        <v>20</v>
      </c>
      <c r="M476" t="s">
        <v>1081</v>
      </c>
      <c r="N476" t="s">
        <v>14</v>
      </c>
    </row>
    <row r="477" x14ac:dyDescent="0.25">
      <c r="A477" t="n">
        <v>25</v>
      </c>
      <c r="B477" t="s">
        <v>14</v>
      </c>
      <c r="C477" t="s">
        <v>51</v>
      </c>
      <c r="D477" s="2" t="s">
        <f>=HYPERLINK("https://main.knesset.gov.il/APPS/legislation/main/bills/2240742", "הצעת חוק לפיתוח העיר קריית שמונה ומתן עדיפות לבני מקום בדיור, התשפ""ו-2026")</f>
        <v>1108</v>
      </c>
      <c r="E477" t="s">
        <v>1108</v>
      </c>
      <c r="F477" t="s">
        <v>1109</v>
      </c>
      <c r="G477" t="s">
        <v>14</v>
      </c>
      <c r="H477">
             </c>
      <c r="I477" t="s">
        <v>14</v>
      </c>
      <c r="J477" t="s">
        <v>242</v>
      </c>
      <c r="K477" t="s">
        <v>14</v>
      </c>
      <c r="L477" t="s">
        <v>20</v>
      </c>
      <c r="M477" t="s">
        <v>1081</v>
      </c>
      <c r="N477" t="s">
        <v>14</v>
      </c>
    </row>
    <row r="478" x14ac:dyDescent="0.25">
      <c r="A478" t="n">
        <v>25</v>
      </c>
      <c r="B478" t="s">
        <v>14</v>
      </c>
      <c r="C478" t="s">
        <v>51</v>
      </c>
      <c r="D478" s="2" t="s">
        <f>=HYPERLINK("https://main.knesset.gov.il/APPS/legislation/main/bills/2241014", "הצעת חוק העונשין (תיקון - השחתת מודעות על רקע מגדר), התשפ""ו-2026")</f>
        <v>546</v>
      </c>
      <c r="E478" t="s">
        <v>546</v>
      </c>
      <c r="F478" t="s">
        <v>1110</v>
      </c>
      <c r="G478" t="s">
        <v>14</v>
      </c>
      <c r="H478">
             </c>
      <c r="I478" t="s">
        <v>14</v>
      </c>
      <c r="J478" t="s">
        <v>242</v>
      </c>
      <c r="K478" t="s">
        <v>14</v>
      </c>
      <c r="L478" t="s">
        <v>20</v>
      </c>
      <c r="M478" t="s">
        <v>1081</v>
      </c>
      <c r="N478" t="s">
        <v>14</v>
      </c>
    </row>
    <row r="479" x14ac:dyDescent="0.25">
      <c r="A479" t="n">
        <v>25</v>
      </c>
      <c r="B479" t="s">
        <v>14</v>
      </c>
      <c r="C479" t="s">
        <v>51</v>
      </c>
      <c r="D479" s="2" t="s">
        <f>=HYPERLINK("https://main.knesset.gov.il/APPS/legislation/main/bills/2239877", "הצעת חוק איחוד המועצות האזוריות מגידו ועמק יזרעאל, התשפ״ו-2026")</f>
        <v>1111</v>
      </c>
      <c r="E479" t="s">
        <v>1111</v>
      </c>
      <c r="F479" t="s">
        <v>1112</v>
      </c>
      <c r="G479" t="s">
        <v>14</v>
      </c>
      <c r="H479">
             </c>
      <c r="I479" t="s">
        <v>14</v>
      </c>
      <c r="J479" t="s">
        <v>242</v>
      </c>
      <c r="K479" t="s">
        <v>14</v>
      </c>
      <c r="L479" t="s">
        <v>20</v>
      </c>
      <c r="M479" t="s">
        <v>1081</v>
      </c>
      <c r="N479" t="s">
        <v>14</v>
      </c>
    </row>
    <row r="480" x14ac:dyDescent="0.25">
      <c r="A480" t="n">
        <v>25</v>
      </c>
      <c r="B480" t="s">
        <v>14</v>
      </c>
      <c r="C480" t="s">
        <v>51</v>
      </c>
      <c r="D480" s="2" t="s">
        <f>=HYPERLINK("https://main.knesset.gov.il/APPS/legislation/main/bills/2236875", " הצעת חוק הבנקאות (שירות ללקוח) (תיקון - מנגנונים פיננסיים להגנה על עולים חדשים מבוגרים) (הוראת שעה), התשפ""ו-2026")</f>
        <v>1113</v>
      </c>
      <c r="E480" t="s">
        <v>1113</v>
      </c>
      <c r="F480" t="s">
        <v>1114</v>
      </c>
      <c r="G480" t="s">
        <v>14</v>
      </c>
      <c r="H480">
             </c>
      <c r="I480" t="s">
        <v>14</v>
      </c>
      <c r="J480" t="s">
        <v>242</v>
      </c>
      <c r="K480" t="s">
        <v>14</v>
      </c>
      <c r="L480" t="s">
        <v>20</v>
      </c>
      <c r="M480" t="s">
        <v>1081</v>
      </c>
      <c r="N480" t="s">
        <v>14</v>
      </c>
    </row>
    <row r="481" x14ac:dyDescent="0.25">
      <c r="A481" t="n">
        <v>25</v>
      </c>
      <c r="B481" t="s">
        <v>14</v>
      </c>
      <c r="C481" t="s">
        <v>15</v>
      </c>
      <c r="D481" s="2" t="s">
        <f>=HYPERLINK("https://main.knesset.gov.il/APPS/legislation/main/bills/1046333", "הצעת חוק הקאדים (תיקון מס' 20) (ייצוג הולם לנשים בוועדה לבחירת קאדים), התשפ""ו-2026 ")</f>
        <v>1115</v>
      </c>
      <c r="E481" t="s">
        <v>1115</v>
      </c>
      <c r="F481" t="s">
        <v>14</v>
      </c>
      <c r="G481" t="s">
        <v>1116</v>
      </c>
      <c r="H481">
             </c>
      <c r="I481" t="s">
        <v>14</v>
      </c>
      <c r="J481" t="s">
        <v>162</v>
      </c>
      <c r="K481" t="s">
        <v>14</v>
      </c>
      <c r="L481" t="s">
        <v>20</v>
      </c>
      <c r="M481" t="s">
        <v>1081</v>
      </c>
      <c r="N481" t="s">
        <v>14</v>
      </c>
    </row>
    <row r="482" x14ac:dyDescent="0.25">
      <c r="A482" t="n">
        <v>25</v>
      </c>
      <c r="B482" t="s">
        <v>14</v>
      </c>
      <c r="C482" t="s">
        <v>15</v>
      </c>
      <c r="D482" s="2" t="s">
        <f>=HYPERLINK("https://main.knesset.gov.il/APPS/legislation/main/bills/1038990", "הצעת חוק הירושה (תיקון מס' 23), התשפ""ו-2026 ")</f>
        <v>1117</v>
      </c>
      <c r="E482" t="s">
        <v>1117</v>
      </c>
      <c r="F482" t="s">
        <v>14</v>
      </c>
      <c r="G482" t="s">
        <v>1118</v>
      </c>
      <c r="H482">
             </c>
      <c r="I482" t="s">
        <v>14</v>
      </c>
      <c r="J482" t="s">
        <v>162</v>
      </c>
      <c r="K482" t="s">
        <v>14</v>
      </c>
      <c r="L482" t="s">
        <v>20</v>
      </c>
      <c r="M482" t="s">
        <v>1081</v>
      </c>
      <c r="N482" t="s">
        <v>14</v>
      </c>
    </row>
    <row r="483" x14ac:dyDescent="0.25">
      <c r="A483" t="n">
        <v>25</v>
      </c>
      <c r="B483" t="s">
        <v>14</v>
      </c>
      <c r="C483" t="s">
        <v>15</v>
      </c>
      <c r="D483" s="2" t="s">
        <f>=HYPERLINK("https://main.knesset.gov.il/APPS/legislation/main/bills/1046477", "הצעת חוק הפחתת הגירעון והגבלת ההוצאה התקציבית (תיקון מס' 30), התשפ""ו-2026")</f>
        <v>1119</v>
      </c>
      <c r="E483" t="s">
        <v>1119</v>
      </c>
      <c r="F483" t="s">
        <v>14</v>
      </c>
      <c r="G483" t="s">
        <v>29</v>
      </c>
      <c r="H483">
             </c>
      <c r="I483" t="s">
        <v>14</v>
      </c>
      <c r="J483" t="s">
        <v>38</v>
      </c>
      <c r="K483" t="s">
        <v>24</v>
      </c>
      <c r="L483" t="s">
        <v>20</v>
      </c>
      <c r="M483" t="s">
        <v>1120</v>
      </c>
      <c r="N483" t="s">
        <v>14</v>
      </c>
    </row>
    <row r="484" x14ac:dyDescent="0.25">
      <c r="A484" t="n">
        <v>25</v>
      </c>
      <c r="B484" t="s">
        <v>14</v>
      </c>
      <c r="C484" t="s">
        <v>15</v>
      </c>
      <c r="D484" s="2" t="s">
        <f>=HYPERLINK("https://main.knesset.gov.il/APPS/legislation/main/bills/2240498", "סעיפים 15, 16 (פקודת היערות) מתוך הצעת חוק התוכנית הכלכלית (תיקוני חקיקה ליישום המדיניות הכלכלית לשנת התקציב 2026), התשפ""ו-2026 [פוצלה לפי סעיף 84(ב) לתקנון]")</f>
        <v>1121</v>
      </c>
      <c r="E484" t="s">
        <v>1121</v>
      </c>
      <c r="F484" t="s">
        <v>14</v>
      </c>
      <c r="G484" t="s">
        <v>29</v>
      </c>
      <c r="H484">
             </c>
      <c r="I484" t="s">
        <v>14</v>
      </c>
      <c r="J484" t="s">
        <v>38</v>
      </c>
      <c r="K484" t="s">
        <v>30</v>
      </c>
      <c r="L484" t="s">
        <v>20</v>
      </c>
      <c r="M484" t="s">
        <v>1122</v>
      </c>
      <c r="N484" t="s">
        <v>14</v>
      </c>
    </row>
    <row r="485" x14ac:dyDescent="0.25">
      <c r="A485" t="n">
        <v>25</v>
      </c>
      <c r="B485" t="s">
        <v>14</v>
      </c>
      <c r="C485" t="s">
        <v>51</v>
      </c>
      <c r="D485" s="2" t="s">
        <f>=HYPERLINK("https://main.knesset.gov.il/APPS/legislation/main/bills/2234330", "חוק קיום דיונים בהיוועדות חזותית בעת הכרזה על הגבלה (עצורים, אסירים וכלואים) (הוראת שעה), התשפ""ו-2026")</f>
        <v>1123</v>
      </c>
      <c r="E485" t="s">
        <v>1123</v>
      </c>
      <c r="F485" t="s">
        <v>1124</v>
      </c>
      <c r="G485" t="s">
        <v>1125</v>
      </c>
      <c r="H485" t="n">
        <v>3500</v>
      </c>
      <c r="I485" t="s">
        <v>14</v>
      </c>
      <c r="J485" t="s">
        <v>18</v>
      </c>
      <c r="K485" t="s">
        <v>27</v>
      </c>
      <c r="L485" t="s">
        <v>20</v>
      </c>
      <c r="M485" t="s">
        <v>1126</v>
      </c>
      <c r="N485" t="s">
        <v>14</v>
      </c>
    </row>
    <row r="486" x14ac:dyDescent="0.25">
      <c r="A486" t="n">
        <v>25</v>
      </c>
      <c r="B486" t="s">
        <v>14</v>
      </c>
      <c r="C486" t="s">
        <v>15</v>
      </c>
      <c r="D486" s="2" t="s">
        <f>=HYPERLINK("https://main.knesset.gov.il/APPS/legislation/main/bills/2240480", "פרק ה' (גיוון שיטות העסקה במשטרת ישראל), סעיף 22 (תיקון פקודת המשטרה) מתוך הצעת חוק התוכנית הכלכלית (תיקוני חקיקה ליישום המדיניות הכלכלית לשנת התקציב 2026), התשפ""ו-2026")</f>
        <v>1127</v>
      </c>
      <c r="E486" t="s">
        <v>1127</v>
      </c>
      <c r="F486" t="s">
        <v>14</v>
      </c>
      <c r="G486" t="s">
        <v>29</v>
      </c>
      <c r="H486">
             </c>
      <c r="I486" t="s">
        <v>14</v>
      </c>
      <c r="J486" t="s">
        <v>183</v>
      </c>
      <c r="K486" t="s">
        <v>42</v>
      </c>
      <c r="L486" t="s">
        <v>20</v>
      </c>
      <c r="M486" t="s">
        <v>1126</v>
      </c>
      <c r="N486" t="s">
        <v>14</v>
      </c>
    </row>
    <row r="487" x14ac:dyDescent="0.25">
      <c r="A487" t="n">
        <v>25</v>
      </c>
      <c r="B487" t="s">
        <v>14</v>
      </c>
      <c r="C487" t="s">
        <v>51</v>
      </c>
      <c r="D487" s="2" t="s">
        <f>=HYPERLINK("https://main.knesset.gov.il/APPS/legislation/main/bills/2200701", "הצעת חוק-יסוד: הממשלה (תיקון מס' 13)")</f>
        <v>1128</v>
      </c>
      <c r="E487" t="s">
        <v>1128</v>
      </c>
      <c r="F487" t="s">
        <v>1129</v>
      </c>
      <c r="G487" t="s">
        <v>1130</v>
      </c>
      <c r="H487">
             </c>
      <c r="I487" t="s">
        <v>14</v>
      </c>
      <c r="J487" t="s">
        <v>38</v>
      </c>
      <c r="K487" t="s">
        <v>1131</v>
      </c>
      <c r="L487" t="s">
        <v>20</v>
      </c>
      <c r="M487" t="s">
        <v>1126</v>
      </c>
      <c r="N487" t="s">
        <v>14</v>
      </c>
    </row>
    <row r="488" x14ac:dyDescent="0.25">
      <c r="A488" t="n">
        <v>25</v>
      </c>
      <c r="B488" t="s">
        <v>14</v>
      </c>
      <c r="C488" t="s">
        <v>51</v>
      </c>
      <c r="D488" s="2" t="s">
        <f>=HYPERLINK("https://main.knesset.gov.il/APPS/legislation/main/bills/2196772", "חוק הביטוח הלאומי (תיקון מס' 262  – הוראת שעה), התשפ""ו–2026")</f>
        <v>1132</v>
      </c>
      <c r="E488" t="s">
        <v>1132</v>
      </c>
      <c r="F488" t="s">
        <v>1133</v>
      </c>
      <c r="G488" t="s">
        <v>1134</v>
      </c>
      <c r="H488" t="n">
        <v>3501</v>
      </c>
      <c r="I488" t="s">
        <v>14</v>
      </c>
      <c r="J488" t="s">
        <v>18</v>
      </c>
      <c r="K488" t="s">
        <v>46</v>
      </c>
      <c r="L488" t="s">
        <v>20</v>
      </c>
      <c r="M488" t="s">
        <v>1126</v>
      </c>
      <c r="N488" t="s">
        <v>1135</v>
      </c>
    </row>
    <row r="489" x14ac:dyDescent="0.25">
      <c r="A489" t="n">
        <v>25</v>
      </c>
      <c r="B489" t="s">
        <v>14</v>
      </c>
      <c r="C489" t="s">
        <v>51</v>
      </c>
      <c r="D489" s="2" t="s">
        <f>=HYPERLINK("https://main.knesset.gov.il/APPS/legislation/main/bills/2238167", "הצעת חוק הכנסת (תיקון - בחירת יושב ראש ועדה), התשפ""ו-2026")</f>
        <v>1136</v>
      </c>
      <c r="E489" t="s">
        <v>1136</v>
      </c>
      <c r="F489" t="s">
        <v>1137</v>
      </c>
      <c r="G489" t="s">
        <v>14</v>
      </c>
      <c r="H489">
             </c>
      <c r="I489" t="s">
        <v>14</v>
      </c>
      <c r="J489" t="s">
        <v>193</v>
      </c>
      <c r="K489" t="s">
        <v>14</v>
      </c>
      <c r="L489" t="s">
        <v>20</v>
      </c>
      <c r="M489" t="s">
        <v>1126</v>
      </c>
      <c r="N489" t="s">
        <v>14</v>
      </c>
    </row>
    <row r="490" x14ac:dyDescent="0.25">
      <c r="A490" t="n">
        <v>25</v>
      </c>
      <c r="B490" t="s">
        <v>14</v>
      </c>
      <c r="C490" t="s">
        <v>51</v>
      </c>
      <c r="D490" s="2" t="s">
        <f>=HYPERLINK("https://main.knesset.gov.il/APPS/legislation/main/bills/2235555", "הצעת חוק הביטוח הלאומי (תיקון - עבודה מועדפת ביישובי קו העימות בצפון ובדרום), התשפ""ו-2025")</f>
        <v>962</v>
      </c>
      <c r="E490" t="s">
        <v>962</v>
      </c>
      <c r="F490" t="s">
        <v>1138</v>
      </c>
      <c r="G490" t="s">
        <v>14</v>
      </c>
      <c r="H490">
             </c>
      <c r="I490" t="s">
        <v>14</v>
      </c>
      <c r="J490" t="s">
        <v>193</v>
      </c>
      <c r="K490" t="s">
        <v>14</v>
      </c>
      <c r="L490" t="s">
        <v>20</v>
      </c>
      <c r="M490" t="s">
        <v>1126</v>
      </c>
      <c r="N490" t="s">
        <v>14</v>
      </c>
    </row>
    <row r="491" x14ac:dyDescent="0.25">
      <c r="A491" t="n">
        <v>25</v>
      </c>
      <c r="B491" t="s">
        <v>14</v>
      </c>
      <c r="C491" t="s">
        <v>51</v>
      </c>
      <c r="D491" s="2" t="s">
        <f>=HYPERLINK("https://main.knesset.gov.il/APPS/legislation/main/bills/2197535", "הצעת חוק חינוך ממלכתי (תיקון - שלילת השתתפות בתקציב עקב הפליה), התשפ""ג-2022")</f>
        <v>1139</v>
      </c>
      <c r="E491" t="s">
        <v>1139</v>
      </c>
      <c r="F491" t="s">
        <v>1140</v>
      </c>
      <c r="G491" t="s">
        <v>14</v>
      </c>
      <c r="H491">
             </c>
      <c r="I491" t="s">
        <v>14</v>
      </c>
      <c r="J491" t="s">
        <v>193</v>
      </c>
      <c r="K491" t="s">
        <v>14</v>
      </c>
      <c r="L491" t="s">
        <v>20</v>
      </c>
      <c r="M491" t="s">
        <v>1126</v>
      </c>
      <c r="N491" t="s">
        <v>14</v>
      </c>
    </row>
    <row r="492" x14ac:dyDescent="0.25">
      <c r="A492" t="n">
        <v>25</v>
      </c>
      <c r="B492" t="s">
        <v>14</v>
      </c>
      <c r="C492" t="s">
        <v>51</v>
      </c>
      <c r="D492" s="2" t="s">
        <f>=HYPERLINK("https://main.knesset.gov.il/APPS/legislation/main/bills/2197069", "הצעת חוק צער בעלי חיים (הגנה על בעלי חיים) (תיקון - איסור ביצוע פעולות השחתה וריסון בבהמות), התשפ""ג-2022")</f>
        <v>1141</v>
      </c>
      <c r="E492" t="s">
        <v>1141</v>
      </c>
      <c r="F492" t="s">
        <v>1142</v>
      </c>
      <c r="G492" t="s">
        <v>14</v>
      </c>
      <c r="H492">
             </c>
      <c r="I492" t="s">
        <v>14</v>
      </c>
      <c r="J492" t="s">
        <v>193</v>
      </c>
      <c r="K492" t="s">
        <v>14</v>
      </c>
      <c r="L492" t="s">
        <v>20</v>
      </c>
      <c r="M492" t="s">
        <v>1126</v>
      </c>
      <c r="N492" t="s">
        <v>14</v>
      </c>
    </row>
    <row r="493" x14ac:dyDescent="0.25">
      <c r="A493" t="n">
        <v>25</v>
      </c>
      <c r="B493" t="s">
        <v>14</v>
      </c>
      <c r="C493" t="s">
        <v>15</v>
      </c>
      <c r="D493" s="2" t="s">
        <f>=HYPERLINK("https://main.knesset.gov.il/APPS/legislation/main/bills/2240504", "פרק ה' (גיוון שיטות העסקה במשטרת ישראל), סעיפים 23, 24 (חוק שירות המדינה (גמלאות)) מתוך הצעת חוק התוכנית הכלכלית (תיקוני חקיקה ליישום המדיניות הכלכלית לשנת התקציב 2026), התשפ""ו-2026 [פוצלה לפי סעיף 84(ב) לתקנון]")</f>
        <v>1143</v>
      </c>
      <c r="E493" t="s">
        <v>1143</v>
      </c>
      <c r="F493" t="s">
        <v>14</v>
      </c>
      <c r="G493" t="s">
        <v>29</v>
      </c>
      <c r="H493">
             </c>
      <c r="I493" t="s">
        <v>14</v>
      </c>
      <c r="J493" t="s">
        <v>183</v>
      </c>
      <c r="K493" t="s">
        <v>19</v>
      </c>
      <c r="L493" t="s">
        <v>20</v>
      </c>
      <c r="M493" t="s">
        <v>1144</v>
      </c>
      <c r="N493" t="s">
        <v>14</v>
      </c>
    </row>
    <row r="494" x14ac:dyDescent="0.25">
      <c r="A494" t="n">
        <v>25</v>
      </c>
      <c r="B494" t="s">
        <v>14</v>
      </c>
      <c r="C494" t="s">
        <v>15</v>
      </c>
      <c r="D494" s="2" t="s">
        <f>=HYPERLINK("https://main.knesset.gov.il/APPS/legislation/main/bills/2240470", "פרק ג האצת מיזמי תשתית לאומיים (חוק לקידום תשתיות לאומיות) סעיפים 6(1), 7 (מגבלת גובה למרכז למיפוי) מתוך הצעת חוק התוכנית הכלכלית (תיקוני חקיקה ליישום המדיניות הכלכלית לשנת התקציב 2026), התשפ""ו-2026")</f>
        <v>1145</v>
      </c>
      <c r="E494" t="s">
        <v>1145</v>
      </c>
      <c r="F494" t="s">
        <v>14</v>
      </c>
      <c r="G494" t="s">
        <v>29</v>
      </c>
      <c r="H494">
             </c>
      <c r="I494" t="s">
        <v>14</v>
      </c>
      <c r="J494" t="s">
        <v>183</v>
      </c>
      <c r="K494" t="s">
        <v>42</v>
      </c>
      <c r="L494" t="s">
        <v>20</v>
      </c>
      <c r="M494" t="s">
        <v>1144</v>
      </c>
      <c r="N494" t="s">
        <v>14</v>
      </c>
    </row>
    <row r="495" x14ac:dyDescent="0.25">
      <c r="A495" t="n">
        <v>25</v>
      </c>
      <c r="B495" t="s">
        <v>14</v>
      </c>
      <c r="C495" t="s">
        <v>51</v>
      </c>
      <c r="D495" s="2" t="s">
        <f>=HYPERLINK("https://main.knesset.gov.il/APPS/legislation/main/bills/2239258", "הצעת חוק תגמול למשרתים בשירות צבאי או אזרחי באקדמיה, התשפ""ה-2024")</f>
        <v>1146</v>
      </c>
      <c r="E495" t="s">
        <v>1146</v>
      </c>
      <c r="F495" t="s">
        <v>1147</v>
      </c>
      <c r="G495" t="s">
        <v>14</v>
      </c>
      <c r="H495">
             </c>
      <c r="I495" t="s">
        <v>14</v>
      </c>
      <c r="J495" t="s">
        <v>152</v>
      </c>
      <c r="K495" t="s">
        <v>79</v>
      </c>
      <c r="L495" t="s">
        <v>20</v>
      </c>
      <c r="M495" t="s">
        <v>1144</v>
      </c>
      <c r="N495" t="s">
        <v>14</v>
      </c>
    </row>
    <row r="496" x14ac:dyDescent="0.25">
      <c r="A496" t="n">
        <v>25</v>
      </c>
      <c r="B496" t="s">
        <v>14</v>
      </c>
      <c r="C496" t="s">
        <v>51</v>
      </c>
      <c r="D496" s="2" t="s">
        <f>=HYPERLINK("https://main.knesset.gov.il/APPS/legislation/main/bills/2223637", "הצעת חוק עידוד שירות צבאי, לאומי או לאומי-אזרחי במוסדות להשכלה גבוהה, התשפ""ה-2024")</f>
        <v>1148</v>
      </c>
      <c r="E496" t="s">
        <v>1148</v>
      </c>
      <c r="F496" t="s">
        <v>1149</v>
      </c>
      <c r="G496" t="s">
        <v>14</v>
      </c>
      <c r="H496">
             </c>
      <c r="I496" t="s">
        <v>14</v>
      </c>
      <c r="J496" t="s">
        <v>183</v>
      </c>
      <c r="K496" t="s">
        <v>79</v>
      </c>
      <c r="L496" t="s">
        <v>20</v>
      </c>
      <c r="M496" t="s">
        <v>1144</v>
      </c>
      <c r="N496" t="s">
        <v>14</v>
      </c>
    </row>
    <row r="497" x14ac:dyDescent="0.25">
      <c r="A497" t="n">
        <v>25</v>
      </c>
      <c r="B497" t="s">
        <v>14</v>
      </c>
      <c r="C497" t="s">
        <v>51</v>
      </c>
      <c r="D497" s="2" t="s">
        <f>=HYPERLINK("https://main.knesset.gov.il/APPS/legislation/main/bills/2197160", "הצעת חוק זכויות הסטודנט (תיקון - העדפה מתקנת ללוחמים), התשפ""ג-2022")</f>
        <v>1150</v>
      </c>
      <c r="E497" t="s">
        <v>1150</v>
      </c>
      <c r="F497" t="s">
        <v>1151</v>
      </c>
      <c r="G497" t="s">
        <v>14</v>
      </c>
      <c r="H497">
             </c>
      <c r="I497" t="s">
        <v>14</v>
      </c>
      <c r="J497" t="s">
        <v>183</v>
      </c>
      <c r="K497" t="s">
        <v>79</v>
      </c>
      <c r="L497" t="s">
        <v>20</v>
      </c>
      <c r="M497" t="s">
        <v>1144</v>
      </c>
      <c r="N497" t="s">
        <v>14</v>
      </c>
    </row>
    <row r="498" x14ac:dyDescent="0.25">
      <c r="A498" t="n">
        <v>25</v>
      </c>
      <c r="B498" t="s">
        <v>14</v>
      </c>
      <c r="C498" t="s">
        <v>15</v>
      </c>
      <c r="D498" s="2" t="s">
        <f>=HYPERLINK("https://main.knesset.gov.il/APPS/legislation/main/bills/2240469", "פרק ב' ייעול הליכי התכנון והבנייה (חוק התכנון והבנייה) סעיף 2(16)(א) (תכנית טעונה אישור ולחו""ף) מתוך הצעת חוק התוכנית הכלכלית (תיקוני חקיקה ליישום המדיניות הכלכלית לשנת התקציב 2026), התשפ""ו-2026")</f>
        <v>1152</v>
      </c>
      <c r="E498" t="s">
        <v>1152</v>
      </c>
      <c r="F498" t="s">
        <v>14</v>
      </c>
      <c r="G498" t="s">
        <v>29</v>
      </c>
      <c r="H498">
             </c>
      <c r="I498" t="s">
        <v>14</v>
      </c>
      <c r="J498" t="s">
        <v>183</v>
      </c>
      <c r="K498" t="s">
        <v>42</v>
      </c>
      <c r="L498" t="s">
        <v>20</v>
      </c>
      <c r="M498" t="s">
        <v>1144</v>
      </c>
      <c r="N498" t="s">
        <v>14</v>
      </c>
    </row>
    <row r="499" x14ac:dyDescent="0.25">
      <c r="A499" t="n">
        <v>25</v>
      </c>
      <c r="B499" t="s">
        <v>14</v>
      </c>
      <c r="C499" t="s">
        <v>51</v>
      </c>
      <c r="D499" s="2" t="s">
        <f>=HYPERLINK("https://main.knesset.gov.il/APPS/legislation/main/bills/2231205", "הצעת חוק לתיקון פקודת התעבורה (שירותי תחבורה שיתופית מקוונת), התשפ""ה-2025")</f>
        <v>1153</v>
      </c>
      <c r="E499" t="s">
        <v>1153</v>
      </c>
      <c r="F499" t="s">
        <v>1154</v>
      </c>
      <c r="G499" t="s">
        <v>14</v>
      </c>
      <c r="H499">
             </c>
      <c r="I499" t="s">
        <v>14</v>
      </c>
      <c r="J499" t="s">
        <v>183</v>
      </c>
      <c r="K499" t="s">
        <v>84</v>
      </c>
      <c r="L499" t="s">
        <v>20</v>
      </c>
      <c r="M499" t="s">
        <v>1144</v>
      </c>
      <c r="N499" t="s">
        <v>14</v>
      </c>
    </row>
    <row r="500" x14ac:dyDescent="0.25">
      <c r="A500" t="n">
        <v>25</v>
      </c>
      <c r="B500" t="s">
        <v>14</v>
      </c>
      <c r="C500" t="s">
        <v>15</v>
      </c>
      <c r="D500" s="2" t="s">
        <f>=HYPERLINK("https://main.knesset.gov.il/APPS/legislation/main/bills/2240473", "פרק ג' האצת מיזמי תשתית לאומיים (חוק התכנון והבנייה) סעיף 17(2), (3) (תכנית השינוי) מתוך הצעת חוק התוכנית הכלכלית (תיקוני חקיקה ליישום המדיניות הכלכלית לשנת התקציב 2026), התשפ""ו-2026")</f>
        <v>1155</v>
      </c>
      <c r="E500" t="s">
        <v>1155</v>
      </c>
      <c r="F500" t="s">
        <v>14</v>
      </c>
      <c r="G500" t="s">
        <v>29</v>
      </c>
      <c r="H500">
             </c>
      <c r="I500" t="s">
        <v>14</v>
      </c>
      <c r="J500" t="s">
        <v>183</v>
      </c>
      <c r="K500" t="s">
        <v>42</v>
      </c>
      <c r="L500" t="s">
        <v>20</v>
      </c>
      <c r="M500" t="s">
        <v>1144</v>
      </c>
      <c r="N500" t="s">
        <v>14</v>
      </c>
    </row>
    <row r="501" x14ac:dyDescent="0.25">
      <c r="A501" t="n">
        <v>25</v>
      </c>
      <c r="B501" t="s">
        <v>14</v>
      </c>
      <c r="C501" t="s">
        <v>15</v>
      </c>
      <c r="D501" s="2" t="s">
        <f>=HYPERLINK("https://main.knesset.gov.il/APPS/legislation/main/bills/2240474", "פרק ג' האצת מיזמי תשתית לאומיים (חוק התכנון והבנייה) סעיף 17(6) (הקלה למבנה דרך) מתוך הצעת חוק התוכנית הכלכלית (תיקוני חקיקה ליישום המדיניות הכלכלית לשנת התקציב 2026), התשפ""ו-2026")</f>
        <v>1156</v>
      </c>
      <c r="E501" t="s">
        <v>1156</v>
      </c>
      <c r="F501" t="s">
        <v>14</v>
      </c>
      <c r="G501" t="s">
        <v>29</v>
      </c>
      <c r="H501">
             </c>
      <c r="I501" t="s">
        <v>14</v>
      </c>
      <c r="J501" t="s">
        <v>183</v>
      </c>
      <c r="K501" t="s">
        <v>42</v>
      </c>
      <c r="L501" t="s">
        <v>20</v>
      </c>
      <c r="M501" t="s">
        <v>1144</v>
      </c>
      <c r="N501" t="s">
        <v>14</v>
      </c>
    </row>
    <row r="502" x14ac:dyDescent="0.25">
      <c r="A502" t="n">
        <v>25</v>
      </c>
      <c r="B502" t="s">
        <v>14</v>
      </c>
      <c r="C502" t="s">
        <v>15</v>
      </c>
      <c r="D502" s="2" t="s">
        <f>=HYPERLINK("https://main.knesset.gov.il/APPS/legislation/main/bills/2240472", "פרק ג' האצת מיזמי תשתית לאומיים  סעיפים 11, 13(2) מתוך הצעת חוק התוכנית הכלכלית (תיקוני חקיקה ליישום המדיניות הכלכלית לשנת התקציב 2026), התשפ""ו-2026 (חוק רכבת תחתית (מטרו), חוק בתי משפט מינהליים)")</f>
        <v>1157</v>
      </c>
      <c r="E502" t="s">
        <v>1157</v>
      </c>
      <c r="F502" t="s">
        <v>14</v>
      </c>
      <c r="G502" t="s">
        <v>29</v>
      </c>
      <c r="H502">
             </c>
      <c r="I502" t="s">
        <v>14</v>
      </c>
      <c r="J502" t="s">
        <v>183</v>
      </c>
      <c r="K502" t="s">
        <v>42</v>
      </c>
      <c r="L502" t="s">
        <v>20</v>
      </c>
      <c r="M502" t="s">
        <v>1158</v>
      </c>
      <c r="N502" t="s">
        <v>14</v>
      </c>
    </row>
    <row r="503" x14ac:dyDescent="0.25">
      <c r="A503" t="n">
        <v>25</v>
      </c>
      <c r="B503" t="s">
        <v>14</v>
      </c>
      <c r="C503" t="s">
        <v>15</v>
      </c>
      <c r="D503" s="2" t="s">
        <f>=HYPERLINK("https://main.knesset.gov.il/APPS/legislation/main/bills/2240471", "פרק ג' האצת מיזמי תשתיות לאומיים (חוק לקידום תשתיות לאומיות) סעיף 6(3) (הטמנת פסולת) מתוך הצעת חוק התוכנית הכלכלית (תיקוני חקיקה ליישום המדיניות הכלכלית לשנת התקציב 2026), התשפ""ו-2026")</f>
        <v>1159</v>
      </c>
      <c r="E503" t="s">
        <v>1159</v>
      </c>
      <c r="F503" t="s">
        <v>14</v>
      </c>
      <c r="G503" t="s">
        <v>29</v>
      </c>
      <c r="H503">
             </c>
      <c r="I503" t="s">
        <v>14</v>
      </c>
      <c r="J503" t="s">
        <v>183</v>
      </c>
      <c r="K503" t="s">
        <v>42</v>
      </c>
      <c r="L503" t="s">
        <v>20</v>
      </c>
      <c r="M503" t="s">
        <v>1158</v>
      </c>
      <c r="N503" t="s">
        <v>14</v>
      </c>
    </row>
    <row r="504" x14ac:dyDescent="0.25">
      <c r="A504" t="n">
        <v>25</v>
      </c>
      <c r="B504" t="s">
        <v>14</v>
      </c>
      <c r="C504" t="s">
        <v>15</v>
      </c>
      <c r="D504" s="2" t="s">
        <f>=HYPERLINK("https://main.knesset.gov.il/APPS/legislation/main/bills/2240479", "פרק י""ט (שונות), סעיף 99 (חוק המים) מתוך הצעת חוק התוכנית הכלכלית (תיקוני חקיקה ליישום המדיניות הכלכלית לשנת התקציב 2026), התשפ""ו-2026")</f>
        <v>1160</v>
      </c>
      <c r="E504" t="s">
        <v>1160</v>
      </c>
      <c r="F504" t="s">
        <v>14</v>
      </c>
      <c r="G504" t="s">
        <v>29</v>
      </c>
      <c r="H504">
             </c>
      <c r="I504" t="s">
        <v>14</v>
      </c>
      <c r="J504" t="s">
        <v>183</v>
      </c>
      <c r="K504" t="s">
        <v>42</v>
      </c>
      <c r="L504" t="s">
        <v>20</v>
      </c>
      <c r="M504" t="s">
        <v>1158</v>
      </c>
      <c r="N504" t="s">
        <v>14</v>
      </c>
    </row>
    <row r="505" x14ac:dyDescent="0.25">
      <c r="A505" t="n">
        <v>25</v>
      </c>
      <c r="B505" t="s">
        <v>14</v>
      </c>
      <c r="C505" t="s">
        <v>15</v>
      </c>
      <c r="D505" s="2" t="s">
        <f>=HYPERLINK("https://main.knesset.gov.il/APPS/legislation/main/bills/2240476", "סעיף 9 (פקודת מסילות הברזל) מתוך הצעת חוק התוכנית הכלכלית (תיקוני חקיקה ליישום המדיניות הכלכלית לשנת התקציב 2026), התשפ""ו-2026")</f>
        <v>1161</v>
      </c>
      <c r="E505" t="s">
        <v>1161</v>
      </c>
      <c r="F505" t="s">
        <v>14</v>
      </c>
      <c r="G505" t="s">
        <v>29</v>
      </c>
      <c r="H505">
             </c>
      <c r="I505" t="s">
        <v>14</v>
      </c>
      <c r="J505" t="s">
        <v>183</v>
      </c>
      <c r="K505" t="s">
        <v>42</v>
      </c>
      <c r="L505" t="s">
        <v>20</v>
      </c>
      <c r="M505" t="s">
        <v>1158</v>
      </c>
      <c r="N505" t="s">
        <v>14</v>
      </c>
    </row>
    <row r="506" x14ac:dyDescent="0.25">
      <c r="A506" t="n">
        <v>25</v>
      </c>
      <c r="B506" t="s">
        <v>14</v>
      </c>
      <c r="C506" t="s">
        <v>51</v>
      </c>
      <c r="D506" s="2" t="s">
        <f>=HYPERLINK("https://main.knesset.gov.il/APPS/legislation/main/bills/2206819", "חוק המידע הפלילי ותקנת השבים (תיקון מס' 10), התשפ""ו–2026")</f>
        <v>1162</v>
      </c>
      <c r="E506" t="s">
        <v>1162</v>
      </c>
      <c r="F506" t="s">
        <v>1163</v>
      </c>
      <c r="G506" t="s">
        <v>1164</v>
      </c>
      <c r="H506" t="n">
        <v>3499</v>
      </c>
      <c r="I506" t="s">
        <v>14</v>
      </c>
      <c r="J506" t="s">
        <v>18</v>
      </c>
      <c r="K506" t="s">
        <v>27</v>
      </c>
      <c r="L506" t="s">
        <v>20</v>
      </c>
      <c r="M506" t="s">
        <v>1158</v>
      </c>
      <c r="N506" t="s">
        <v>1165</v>
      </c>
    </row>
    <row r="507" x14ac:dyDescent="0.25">
      <c r="A507" t="n">
        <v>25</v>
      </c>
      <c r="B507" t="s">
        <v>14</v>
      </c>
      <c r="C507" t="s">
        <v>51</v>
      </c>
      <c r="D507" s="2" t="s">
        <f>=HYPERLINK("https://main.knesset.gov.il/APPS/legislation/main/bills/2203206", "הצעת חוק לתיקון פקודת בריאות העם (הוספת מכשור רפואי לפריפריה), התשפ""ו-2026")</f>
        <v>1166</v>
      </c>
      <c r="E507" t="s">
        <v>1166</v>
      </c>
      <c r="F507" t="s">
        <v>1167</v>
      </c>
      <c r="G507" t="s">
        <v>14</v>
      </c>
      <c r="H507">
             </c>
      <c r="I507" t="s">
        <v>14</v>
      </c>
      <c r="J507" t="s">
        <v>242</v>
      </c>
      <c r="K507" t="s">
        <v>14</v>
      </c>
      <c r="L507" t="s">
        <v>20</v>
      </c>
      <c r="M507" t="s">
        <v>1158</v>
      </c>
      <c r="N507" t="s">
        <v>14</v>
      </c>
    </row>
    <row r="508" x14ac:dyDescent="0.25">
      <c r="A508" t="n">
        <v>25</v>
      </c>
      <c r="B508" t="s">
        <v>14</v>
      </c>
      <c r="C508" t="s">
        <v>51</v>
      </c>
      <c r="D508" s="2" t="s">
        <f>=HYPERLINK("https://main.knesset.gov.il/APPS/legislation/main/bills/2236954", "הצעת חוק למניעת הפצת תוכן פוגעני ברשת החברתית, התשפ״ו-2026")</f>
        <v>1168</v>
      </c>
      <c r="E508" t="s">
        <v>1168</v>
      </c>
      <c r="F508" t="s">
        <v>1169</v>
      </c>
      <c r="G508" t="s">
        <v>14</v>
      </c>
      <c r="H508">
             </c>
      <c r="I508" t="s">
        <v>14</v>
      </c>
      <c r="J508" t="s">
        <v>242</v>
      </c>
      <c r="K508" t="s">
        <v>14</v>
      </c>
      <c r="L508" t="s">
        <v>20</v>
      </c>
      <c r="M508" t="s">
        <v>1158</v>
      </c>
      <c r="N508" t="s">
        <v>14</v>
      </c>
    </row>
    <row r="509" x14ac:dyDescent="0.25">
      <c r="A509" t="n">
        <v>25</v>
      </c>
      <c r="B509" t="s">
        <v>14</v>
      </c>
      <c r="C509" t="s">
        <v>51</v>
      </c>
      <c r="D509" s="2" t="s">
        <f>=HYPERLINK("https://main.knesset.gov.il/APPS/legislation/main/bills/2240180", "הצעת חוק-יסוד: השפיטה (תיקון - מניעת התערבות בית המשפט בסמכות החקיקה של הכנסת)")</f>
        <v>1170</v>
      </c>
      <c r="E509" t="s">
        <v>1170</v>
      </c>
      <c r="F509" t="s">
        <v>1171</v>
      </c>
      <c r="G509" t="s">
        <v>14</v>
      </c>
      <c r="H509">
             </c>
      <c r="I509" t="s">
        <v>14</v>
      </c>
      <c r="J509" t="s">
        <v>242</v>
      </c>
      <c r="K509" t="s">
        <v>14</v>
      </c>
      <c r="L509" t="s">
        <v>20</v>
      </c>
      <c r="M509" t="s">
        <v>1158</v>
      </c>
      <c r="N509" t="s">
        <v>14</v>
      </c>
    </row>
    <row r="510" x14ac:dyDescent="0.25">
      <c r="A510" t="n">
        <v>25</v>
      </c>
      <c r="B510" t="s">
        <v>14</v>
      </c>
      <c r="C510" t="s">
        <v>51</v>
      </c>
      <c r="D510" s="2" t="s">
        <f>=HYPERLINK("https://main.knesset.gov.il/APPS/legislation/main/bills/2240254", "הצעת חוק ביטוח בריאות ממלכתי (תיקון - הגדרת שנת היעדרות לגבי לימודים אקדמיים בחו""ל), התשפ""ו-2026")</f>
        <v>1172</v>
      </c>
      <c r="E510" t="s">
        <v>1172</v>
      </c>
      <c r="F510" t="s">
        <v>1173</v>
      </c>
      <c r="G510" t="s">
        <v>14</v>
      </c>
      <c r="H510">
             </c>
      <c r="I510" t="s">
        <v>14</v>
      </c>
      <c r="J510" t="s">
        <v>202</v>
      </c>
      <c r="K510" t="s">
        <v>14</v>
      </c>
      <c r="L510" t="s">
        <v>20</v>
      </c>
      <c r="M510" t="s">
        <v>1158</v>
      </c>
      <c r="N510" t="s">
        <v>14</v>
      </c>
    </row>
    <row r="511" x14ac:dyDescent="0.25">
      <c r="A511" t="n">
        <v>25</v>
      </c>
      <c r="B511" t="s">
        <v>14</v>
      </c>
      <c r="C511" t="s">
        <v>51</v>
      </c>
      <c r="D511" s="2" t="s">
        <f>=HYPERLINK("https://main.knesset.gov.il/APPS/legislation/main/bills/2240659", "הצעת חוק-יסוד: הכנסת (תיקון - הצהרת אמונים בפני מליאת הכנסת ועיצומים נגד מי שלא הצהיר)")</f>
        <v>1174</v>
      </c>
      <c r="E511" t="s">
        <v>1174</v>
      </c>
      <c r="F511" t="s">
        <v>1175</v>
      </c>
      <c r="G511" t="s">
        <v>14</v>
      </c>
      <c r="H511">
             </c>
      <c r="I511" t="s">
        <v>14</v>
      </c>
      <c r="J511" t="s">
        <v>242</v>
      </c>
      <c r="K511" t="s">
        <v>14</v>
      </c>
      <c r="L511" t="s">
        <v>20</v>
      </c>
      <c r="M511" t="s">
        <v>1158</v>
      </c>
      <c r="N511" t="s">
        <v>14</v>
      </c>
    </row>
    <row r="512" x14ac:dyDescent="0.25">
      <c r="A512" t="n">
        <v>25</v>
      </c>
      <c r="B512" t="s">
        <v>14</v>
      </c>
      <c r="C512" t="s">
        <v>51</v>
      </c>
      <c r="D512" s="2" t="s">
        <f>=HYPERLINK("https://main.knesset.gov.il/APPS/legislation/main/bills/2240242", "הצעת חוק שירות המדינה (מינויים) (תיקון - ייצוג הולם למשרתים בשירות צבאי), התשפ""ו-2026")</f>
        <v>1176</v>
      </c>
      <c r="E512" t="s">
        <v>1176</v>
      </c>
      <c r="F512" t="s">
        <v>1177</v>
      </c>
      <c r="G512" t="s">
        <v>14</v>
      </c>
      <c r="H512">
             </c>
      <c r="I512" t="s">
        <v>14</v>
      </c>
      <c r="J512" t="s">
        <v>242</v>
      </c>
      <c r="K512" t="s">
        <v>14</v>
      </c>
      <c r="L512" t="s">
        <v>20</v>
      </c>
      <c r="M512" t="s">
        <v>1158</v>
      </c>
      <c r="N512" t="s">
        <v>14</v>
      </c>
    </row>
    <row r="513" x14ac:dyDescent="0.25">
      <c r="A513" t="n">
        <v>25</v>
      </c>
      <c r="B513" t="s">
        <v>14</v>
      </c>
      <c r="C513" t="s">
        <v>51</v>
      </c>
      <c r="D513" s="2" t="s">
        <f>=HYPERLINK("https://main.knesset.gov.il/APPS/legislation/main/bills/2237897", "הצעת חוק אסדרת משק הפסולת בישראל והקמת הרשות הארצית לטיפול בפסולת, התשפ""ו-2025")</f>
        <v>1178</v>
      </c>
      <c r="E513" t="s">
        <v>1178</v>
      </c>
      <c r="F513" t="s">
        <v>1179</v>
      </c>
      <c r="G513" t="s">
        <v>14</v>
      </c>
      <c r="H513">
             </c>
      <c r="I513" t="s">
        <v>14</v>
      </c>
      <c r="J513" t="s">
        <v>242</v>
      </c>
      <c r="K513" t="s">
        <v>14</v>
      </c>
      <c r="L513" t="s">
        <v>20</v>
      </c>
      <c r="M513" t="s">
        <v>1158</v>
      </c>
      <c r="N513" t="s">
        <v>14</v>
      </c>
    </row>
    <row r="514" x14ac:dyDescent="0.25">
      <c r="A514" t="n">
        <v>25</v>
      </c>
      <c r="B514" t="s">
        <v>14</v>
      </c>
      <c r="C514" t="s">
        <v>51</v>
      </c>
      <c r="D514" s="2" t="s">
        <f>=HYPERLINK("https://main.knesset.gov.il/APPS/legislation/main/bills/2239201", "הצעת חוק לתיקון פקודת בריאות העם (עדכון על זכאות אפשרית לגמלה), התשפ""ו-2026")</f>
        <v>1180</v>
      </c>
      <c r="E514" t="s">
        <v>1180</v>
      </c>
      <c r="F514" t="s">
        <v>1181</v>
      </c>
      <c r="G514" t="s">
        <v>14</v>
      </c>
      <c r="H514">
             </c>
      <c r="I514" t="s">
        <v>14</v>
      </c>
      <c r="J514" t="s">
        <v>242</v>
      </c>
      <c r="K514" t="s">
        <v>14</v>
      </c>
      <c r="L514" t="s">
        <v>20</v>
      </c>
      <c r="M514" t="s">
        <v>1158</v>
      </c>
      <c r="N514" t="s">
        <v>14</v>
      </c>
    </row>
    <row r="515" x14ac:dyDescent="0.25">
      <c r="A515" t="n">
        <v>25</v>
      </c>
      <c r="B515" t="s">
        <v>14</v>
      </c>
      <c r="C515" t="s">
        <v>51</v>
      </c>
      <c r="D515" s="2" t="s">
        <f>=HYPERLINK("https://main.knesset.gov.il/APPS/legislation/main/bills/2240063", "הצעת חוק הפסקת היריון, התשפ""ו-2026")</f>
        <v>1182</v>
      </c>
      <c r="E515" t="s">
        <v>1182</v>
      </c>
      <c r="F515" t="s">
        <v>1183</v>
      </c>
      <c r="G515" t="s">
        <v>14</v>
      </c>
      <c r="H515">
             </c>
      <c r="I515" t="s">
        <v>14</v>
      </c>
      <c r="J515" t="s">
        <v>202</v>
      </c>
      <c r="K515" t="s">
        <v>14</v>
      </c>
      <c r="L515" t="s">
        <v>20</v>
      </c>
      <c r="M515" t="s">
        <v>1158</v>
      </c>
      <c r="N515" t="s">
        <v>14</v>
      </c>
    </row>
    <row r="516" x14ac:dyDescent="0.25">
      <c r="A516" t="n">
        <v>25</v>
      </c>
      <c r="B516" t="s">
        <v>14</v>
      </c>
      <c r="C516" t="s">
        <v>51</v>
      </c>
      <c r="D516" s="2" t="s">
        <f>=HYPERLINK("https://main.knesset.gov.il/APPS/legislation/main/bills/2240890", "הצעת חוק לטיפול סביבתי בציוד חשמלי ואלקטרוני ובסוללות (תיקון - חובת מיחזור פסולת רכב חשמלי ורכב היברידי), התשפ""ו-2026")</f>
        <v>1184</v>
      </c>
      <c r="E516" t="s">
        <v>1184</v>
      </c>
      <c r="F516" t="s">
        <v>1185</v>
      </c>
      <c r="G516" t="s">
        <v>14</v>
      </c>
      <c r="H516">
             </c>
      <c r="I516" t="s">
        <v>14</v>
      </c>
      <c r="J516" t="s">
        <v>242</v>
      </c>
      <c r="K516" t="s">
        <v>14</v>
      </c>
      <c r="L516" t="s">
        <v>20</v>
      </c>
      <c r="M516" t="s">
        <v>1158</v>
      </c>
      <c r="N516" t="s">
        <v>14</v>
      </c>
    </row>
    <row r="517" x14ac:dyDescent="0.25">
      <c r="A517" t="n">
        <v>25</v>
      </c>
      <c r="B517" t="s">
        <v>14</v>
      </c>
      <c r="C517" t="s">
        <v>51</v>
      </c>
      <c r="D517" s="2" t="s">
        <f>=HYPERLINK("https://main.knesset.gov.il/APPS/legislation/main/bills/2240916", "הצעת חוק הפסקת כהונה של נושאי משרה בכירים בתקופת הכהונה הראשונית של ממשלה חדשה, התשפ""ו-2026")</f>
        <v>1186</v>
      </c>
      <c r="E517" t="s">
        <v>1186</v>
      </c>
      <c r="F517" t="s">
        <v>1187</v>
      </c>
      <c r="G517" t="s">
        <v>14</v>
      </c>
      <c r="H517">
             </c>
      <c r="I517" t="s">
        <v>14</v>
      </c>
      <c r="J517" t="s">
        <v>242</v>
      </c>
      <c r="K517" t="s">
        <v>14</v>
      </c>
      <c r="L517" t="s">
        <v>20</v>
      </c>
      <c r="M517" t="s">
        <v>1158</v>
      </c>
      <c r="N517" t="s">
        <v>14</v>
      </c>
    </row>
    <row r="518" x14ac:dyDescent="0.25">
      <c r="A518" t="n">
        <v>25</v>
      </c>
      <c r="B518" t="s">
        <v>14</v>
      </c>
      <c r="C518" t="s">
        <v>51</v>
      </c>
      <c r="D518" s="2" t="s">
        <f>=HYPERLINK("https://main.knesset.gov.il/APPS/legislation/main/bills/2240953", "הצעת חוק זכויות נפגעי עבירה (תיקון - הוספת סרסור והבאת אדם לידי זנות להגדרת עבירת מין או אלימות), התשפ""ו-2026")</f>
        <v>1188</v>
      </c>
      <c r="E518" t="s">
        <v>1188</v>
      </c>
      <c r="F518" t="s">
        <v>1189</v>
      </c>
      <c r="G518" t="s">
        <v>14</v>
      </c>
      <c r="H518">
             </c>
      <c r="I518" t="s">
        <v>14</v>
      </c>
      <c r="J518" t="s">
        <v>242</v>
      </c>
      <c r="K518" t="s">
        <v>14</v>
      </c>
      <c r="L518" t="s">
        <v>20</v>
      </c>
      <c r="M518" t="s">
        <v>1158</v>
      </c>
      <c r="N518" t="s">
        <v>14</v>
      </c>
    </row>
    <row r="519" x14ac:dyDescent="0.25">
      <c r="A519" t="n">
        <v>25</v>
      </c>
      <c r="B519" t="s">
        <v>14</v>
      </c>
      <c r="C519" t="s">
        <v>51</v>
      </c>
      <c r="D519" s="2" t="s">
        <f>=HYPERLINK("https://main.knesset.gov.il/APPS/legislation/main/bills/2238645", "הצעת חוק הביטוח הלאומי (תיקון - מענק מוגדל לעבודה מועדפת בחקלאות ובתיירות בקו העימות הצפוני) (הוראת שעה), התשפ""ו-2026")</f>
        <v>1190</v>
      </c>
      <c r="E519" t="s">
        <v>1190</v>
      </c>
      <c r="F519" t="s">
        <v>1191</v>
      </c>
      <c r="G519" t="s">
        <v>14</v>
      </c>
      <c r="H519">
             </c>
      <c r="I519" t="s">
        <v>14</v>
      </c>
      <c r="J519" t="s">
        <v>242</v>
      </c>
      <c r="K519" t="s">
        <v>14</v>
      </c>
      <c r="L519" t="s">
        <v>20</v>
      </c>
      <c r="M519" t="s">
        <v>1158</v>
      </c>
      <c r="N519" t="s">
        <v>14</v>
      </c>
    </row>
    <row r="520" x14ac:dyDescent="0.25">
      <c r="A520" t="n">
        <v>25</v>
      </c>
      <c r="B520" t="s">
        <v>14</v>
      </c>
      <c r="C520" t="s">
        <v>51</v>
      </c>
      <c r="D520" s="2" t="s">
        <f>=HYPERLINK("https://main.knesset.gov.il/APPS/legislation/main/bills/2239791", "הצעת חוק לתיקון פקודת המשטרה (מערכת דיווח מאובטחת לקבלת מידע על מחזיקי אמצעי לחימה בלתי חוקיים), התשפ""ו-2026")</f>
        <v>1192</v>
      </c>
      <c r="E520" t="s">
        <v>1192</v>
      </c>
      <c r="F520" t="s">
        <v>1193</v>
      </c>
      <c r="G520" t="s">
        <v>14</v>
      </c>
      <c r="H520">
             </c>
      <c r="I520" t="s">
        <v>14</v>
      </c>
      <c r="J520" t="s">
        <v>242</v>
      </c>
      <c r="K520" t="s">
        <v>14</v>
      </c>
      <c r="L520" t="s">
        <v>20</v>
      </c>
      <c r="M520" t="s">
        <v>1158</v>
      </c>
      <c r="N520" t="s">
        <v>14</v>
      </c>
    </row>
    <row r="521" x14ac:dyDescent="0.25">
      <c r="A521" t="n">
        <v>25</v>
      </c>
      <c r="B521" t="s">
        <v>14</v>
      </c>
      <c r="C521" t="s">
        <v>51</v>
      </c>
      <c r="D521" s="2" t="s">
        <f>=HYPERLINK("https://main.knesset.gov.il/APPS/legislation/main/bills/2239497", "הצעת חוק לקידום ולפיתוח העדה הדרוזית בישראל (תיקוני חקיקה), התשפ""ו-2026")</f>
        <v>1194</v>
      </c>
      <c r="E521" t="s">
        <v>1194</v>
      </c>
      <c r="F521" t="s">
        <v>1195</v>
      </c>
      <c r="G521" t="s">
        <v>14</v>
      </c>
      <c r="H521">
             </c>
      <c r="I521" t="s">
        <v>14</v>
      </c>
      <c r="J521" t="s">
        <v>202</v>
      </c>
      <c r="K521" t="s">
        <v>14</v>
      </c>
      <c r="L521" t="s">
        <v>20</v>
      </c>
      <c r="M521" t="s">
        <v>1158</v>
      </c>
      <c r="N521" t="s">
        <v>14</v>
      </c>
    </row>
    <row r="522" x14ac:dyDescent="0.25">
      <c r="A522" t="n">
        <v>25</v>
      </c>
      <c r="B522" t="s">
        <v>14</v>
      </c>
      <c r="C522" t="s">
        <v>15</v>
      </c>
      <c r="D522" s="2" t="s">
        <f>=HYPERLINK("https://main.knesset.gov.il/APPS/legislation/main/bills/1056832", "הצעת חוק סדר הדין הפלילי (חילוט תקבולי עבירה), התשפ""ו-2026")</f>
        <v>1196</v>
      </c>
      <c r="E522" t="s">
        <v>1196</v>
      </c>
      <c r="F522" t="s">
        <v>14</v>
      </c>
      <c r="G522" t="s">
        <v>1197</v>
      </c>
      <c r="H522">
             </c>
      <c r="I522" t="s">
        <v>14</v>
      </c>
      <c r="J522" t="s">
        <v>162</v>
      </c>
      <c r="K522" t="s">
        <v>14</v>
      </c>
      <c r="L522" t="s">
        <v>20</v>
      </c>
      <c r="M522" t="s">
        <v>1158</v>
      </c>
      <c r="N522" t="s">
        <v>14</v>
      </c>
    </row>
    <row r="523" x14ac:dyDescent="0.25">
      <c r="A523" t="n">
        <v>25</v>
      </c>
      <c r="B523" t="s">
        <v>14</v>
      </c>
      <c r="C523" t="s">
        <v>15</v>
      </c>
      <c r="D523" s="2" t="s">
        <f>=HYPERLINK("https://main.knesset.gov.il/APPS/legislation/main/bills/2204248", "הצעת חוק מקרקעי ציבור (פינוי קרקע) (תיקון מס' 5), התשפ""ו-2026")</f>
        <v>1198</v>
      </c>
      <c r="E523" t="s">
        <v>1198</v>
      </c>
      <c r="F523" t="s">
        <v>14</v>
      </c>
      <c r="G523" t="s">
        <v>81</v>
      </c>
      <c r="H523">
             </c>
      <c r="I523" t="s">
        <v>14</v>
      </c>
      <c r="J523" t="s">
        <v>180</v>
      </c>
      <c r="K523" t="s">
        <v>30</v>
      </c>
      <c r="L523" t="s">
        <v>20</v>
      </c>
      <c r="M523" t="s">
        <v>1158</v>
      </c>
      <c r="N523" t="s">
        <v>14</v>
      </c>
    </row>
    <row r="524" x14ac:dyDescent="0.25">
      <c r="A524" t="n">
        <v>25</v>
      </c>
      <c r="B524" t="s">
        <v>14</v>
      </c>
      <c r="C524" t="s">
        <v>15</v>
      </c>
      <c r="D524" s="2" t="s">
        <f>=HYPERLINK("https://main.knesset.gov.il/APPS/legislation/main/bills/2240481", "פרק ו' (ייעול וקיצור הליכי הניהול של נכסים עזובים והעברתם לקניין המדינה) מתוך הצעת חוק התוכנית הכלכלית (תיקוני חקיקה ליישום המדיניות הכלכלית לשנת התקציב 2026), התשפ""ו-2026")</f>
        <v>1199</v>
      </c>
      <c r="E524" t="s">
        <v>1199</v>
      </c>
      <c r="F524" t="s">
        <v>14</v>
      </c>
      <c r="G524" t="s">
        <v>29</v>
      </c>
      <c r="H524">
             </c>
      <c r="I524" t="s">
        <v>14</v>
      </c>
      <c r="J524" t="s">
        <v>183</v>
      </c>
      <c r="K524" t="s">
        <v>42</v>
      </c>
      <c r="L524" t="s">
        <v>20</v>
      </c>
      <c r="M524" t="s">
        <v>1200</v>
      </c>
      <c r="N524" t="s">
        <v>14</v>
      </c>
    </row>
    <row r="525" x14ac:dyDescent="0.25">
      <c r="A525" t="n">
        <v>25</v>
      </c>
      <c r="B525" t="s">
        <v>14</v>
      </c>
      <c r="C525" t="s">
        <v>15</v>
      </c>
      <c r="D525" s="2" t="s">
        <f>=HYPERLINK("https://main.knesset.gov.il/APPS/legislation/main/bills/2240482", "פרק ח' (חברות ממשלתיות ביטחוניות-תחרותיות) מתוך הצעת חוק התוכנית הכלכלית (תיקוני חקיקה ליישום המדיניות הכלכלית לשנת התקציב 2026), התשפ""ו-2026")</f>
        <v>1201</v>
      </c>
      <c r="E525" t="s">
        <v>1201</v>
      </c>
      <c r="F525" t="s">
        <v>14</v>
      </c>
      <c r="G525" t="s">
        <v>29</v>
      </c>
      <c r="H525">
             </c>
      <c r="I525" t="s">
        <v>14</v>
      </c>
      <c r="J525" t="s">
        <v>183</v>
      </c>
      <c r="K525" t="s">
        <v>42</v>
      </c>
      <c r="L525" t="s">
        <v>20</v>
      </c>
      <c r="M525" t="s">
        <v>1200</v>
      </c>
      <c r="N525" t="s">
        <v>14</v>
      </c>
    </row>
    <row r="526" x14ac:dyDescent="0.25">
      <c r="A526" t="n">
        <v>25</v>
      </c>
      <c r="B526" t="s">
        <v>14</v>
      </c>
      <c r="C526" t="s">
        <v>51</v>
      </c>
      <c r="D526" s="2" t="s">
        <f>=HYPERLINK("https://main.knesset.gov.il/APPS/legislation/main/bills/2232351", "הצעת חוק התקשורת (בזק ושידורים) (תיקון - תיעוד מכירת כרטיסי  SIM אנונימיים), התשפ""ו-2026")</f>
        <v>1202</v>
      </c>
      <c r="E526" t="s">
        <v>1202</v>
      </c>
      <c r="F526" t="s">
        <v>1203</v>
      </c>
      <c r="G526" t="s">
        <v>14</v>
      </c>
      <c r="H526">
             </c>
      <c r="I526" t="s">
        <v>14</v>
      </c>
      <c r="J526" t="s">
        <v>193</v>
      </c>
      <c r="K526" t="s">
        <v>14</v>
      </c>
      <c r="L526" t="s">
        <v>20</v>
      </c>
      <c r="M526" t="s">
        <v>1204</v>
      </c>
      <c r="N526" t="s">
        <v>14</v>
      </c>
    </row>
    <row r="527" x14ac:dyDescent="0.25">
      <c r="A527" t="n">
        <v>25</v>
      </c>
      <c r="B527" t="s">
        <v>14</v>
      </c>
      <c r="C527" t="s">
        <v>51</v>
      </c>
      <c r="D527" s="2" t="s">
        <f>=HYPERLINK("https://main.knesset.gov.il/APPS/legislation/main/bills/2237706", "הצעת חוק-יסוד: הממשלה (תיקון - תקופה מרבית לכהונה בתפקיד כראש הממשלה)")</f>
        <v>1205</v>
      </c>
      <c r="E527" t="s">
        <v>1205</v>
      </c>
      <c r="F527" t="s">
        <v>1206</v>
      </c>
      <c r="G527" t="s">
        <v>14</v>
      </c>
      <c r="H527">
             </c>
      <c r="I527" t="s">
        <v>14</v>
      </c>
      <c r="J527" t="s">
        <v>193</v>
      </c>
      <c r="K527" t="s">
        <v>14</v>
      </c>
      <c r="L527" t="s">
        <v>20</v>
      </c>
      <c r="M527" t="s">
        <v>1204</v>
      </c>
      <c r="N527" t="s">
        <v>14</v>
      </c>
    </row>
    <row r="528" x14ac:dyDescent="0.25">
      <c r="A528" t="n">
        <v>25</v>
      </c>
      <c r="B528" t="s">
        <v>14</v>
      </c>
      <c r="C528" t="s">
        <v>51</v>
      </c>
      <c r="D528" s="2" t="s">
        <f>=HYPERLINK("https://main.knesset.gov.il/APPS/legislation/main/bills/2226483", "הצעת חוק העונשין (תיקון - השחתת מודעות על רקע מגדר), התשפ""ה-2025")</f>
        <v>1207</v>
      </c>
      <c r="E528" t="s">
        <v>1207</v>
      </c>
      <c r="F528" t="s">
        <v>1208</v>
      </c>
      <c r="G528" t="s">
        <v>14</v>
      </c>
      <c r="H528">
             </c>
      <c r="I528" t="s">
        <v>14</v>
      </c>
      <c r="J528" t="s">
        <v>193</v>
      </c>
      <c r="K528" t="s">
        <v>14</v>
      </c>
      <c r="L528" t="s">
        <v>20</v>
      </c>
      <c r="M528" t="s">
        <v>1204</v>
      </c>
      <c r="N528" t="s">
        <v>14</v>
      </c>
    </row>
    <row r="529" x14ac:dyDescent="0.25">
      <c r="A529" t="n">
        <v>25</v>
      </c>
      <c r="B529" t="s">
        <v>14</v>
      </c>
      <c r="C529" t="s">
        <v>51</v>
      </c>
      <c r="D529" s="2" t="s">
        <f>=HYPERLINK("https://main.knesset.gov.il/APPS/legislation/main/bills/2225126", "הצעת חוק הממשלה (תיקון - קיום מסיבת עיתונאים עיתית לגופי התקשורת בישראל), התשפ""ה-2024")</f>
        <v>1209</v>
      </c>
      <c r="E529" t="s">
        <v>1209</v>
      </c>
      <c r="F529" t="s">
        <v>1210</v>
      </c>
      <c r="G529" t="s">
        <v>14</v>
      </c>
      <c r="H529">
             </c>
      <c r="I529" t="s">
        <v>14</v>
      </c>
      <c r="J529" t="s">
        <v>193</v>
      </c>
      <c r="K529" t="s">
        <v>14</v>
      </c>
      <c r="L529" t="s">
        <v>20</v>
      </c>
      <c r="M529" t="s">
        <v>1204</v>
      </c>
      <c r="N529" t="s">
        <v>14</v>
      </c>
    </row>
    <row r="530" x14ac:dyDescent="0.25">
      <c r="A530" t="n">
        <v>25</v>
      </c>
      <c r="B530" t="s">
        <v>14</v>
      </c>
      <c r="C530" t="s">
        <v>51</v>
      </c>
      <c r="D530" s="2" t="s">
        <f>=HYPERLINK("https://main.knesset.gov.il/APPS/legislation/main/bills/2220952", "הצעת חוק העונשין (תיקון - השחתת מודעות על רקע מגדר), התשפ""ד-2024")</f>
        <v>1211</v>
      </c>
      <c r="E530" t="s">
        <v>1211</v>
      </c>
      <c r="F530" t="s">
        <v>1212</v>
      </c>
      <c r="G530" t="s">
        <v>14</v>
      </c>
      <c r="H530">
             </c>
      <c r="I530" t="s">
        <v>14</v>
      </c>
      <c r="J530" t="s">
        <v>193</v>
      </c>
      <c r="K530" t="s">
        <v>14</v>
      </c>
      <c r="L530" t="s">
        <v>20</v>
      </c>
      <c r="M530" t="s">
        <v>1204</v>
      </c>
      <c r="N530" t="s">
        <v>14</v>
      </c>
    </row>
    <row r="531" x14ac:dyDescent="0.25">
      <c r="A531" t="n">
        <v>25</v>
      </c>
      <c r="B531" t="s">
        <v>14</v>
      </c>
      <c r="C531" t="s">
        <v>51</v>
      </c>
      <c r="D531" s="2" t="s">
        <f>=HYPERLINK("https://main.knesset.gov.il/APPS/legislation/main/bills/2210062", "הצעת חוק העונשין (תיקון - השחתת מודעות על רקע מגדר), התשפ""ד-2023")</f>
        <v>1213</v>
      </c>
      <c r="E531" t="s">
        <v>1213</v>
      </c>
      <c r="F531" t="s">
        <v>1214</v>
      </c>
      <c r="G531" t="s">
        <v>14</v>
      </c>
      <c r="H531">
             </c>
      <c r="I531" t="s">
        <v>14</v>
      </c>
      <c r="J531" t="s">
        <v>193</v>
      </c>
      <c r="K531" t="s">
        <v>14</v>
      </c>
      <c r="L531" t="s">
        <v>20</v>
      </c>
      <c r="M531" t="s">
        <v>1204</v>
      </c>
      <c r="N531" t="s">
        <v>14</v>
      </c>
    </row>
    <row r="532" x14ac:dyDescent="0.25">
      <c r="A532" t="n">
        <v>25</v>
      </c>
      <c r="B532" t="s">
        <v>14</v>
      </c>
      <c r="C532" t="s">
        <v>51</v>
      </c>
      <c r="D532" s="2" t="s">
        <f>=HYPERLINK("https://main.knesset.gov.il/APPS/legislation/main/bills/2201711", "הצעת חוק לתיקון פקודת בריאות העם (הוספת מכשור רפואי לפריפריה), התשפ""ג-2023")</f>
        <v>1215</v>
      </c>
      <c r="E532" t="s">
        <v>1215</v>
      </c>
      <c r="F532" t="s">
        <v>1216</v>
      </c>
      <c r="G532" t="s">
        <v>14</v>
      </c>
      <c r="H532">
             </c>
      <c r="I532" t="s">
        <v>14</v>
      </c>
      <c r="J532" t="s">
        <v>193</v>
      </c>
      <c r="K532" t="s">
        <v>14</v>
      </c>
      <c r="L532" t="s">
        <v>20</v>
      </c>
      <c r="M532" t="s">
        <v>1204</v>
      </c>
      <c r="N532" t="s">
        <v>14</v>
      </c>
    </row>
    <row r="533" x14ac:dyDescent="0.25">
      <c r="A533" t="n">
        <v>25</v>
      </c>
      <c r="B533" t="s">
        <v>14</v>
      </c>
      <c r="C533" t="s">
        <v>51</v>
      </c>
      <c r="D533" s="2" t="s">
        <f>=HYPERLINK("https://main.knesset.gov.il/APPS/legislation/main/bills/2234203", "הצעת חוק קליטת חיילים משוחררים (תיקון מס' 26) (הארכת תקופת זכאות להשתתפות במימון שכר לימוד בשל מלחמה), התשפ""ו–2026")</f>
        <v>1217</v>
      </c>
      <c r="E533" t="s">
        <v>1217</v>
      </c>
      <c r="F533" t="s">
        <v>1218</v>
      </c>
      <c r="G533" t="s">
        <v>14</v>
      </c>
      <c r="H533">
             </c>
      <c r="I533" t="s">
        <v>14</v>
      </c>
      <c r="J533" t="s">
        <v>152</v>
      </c>
      <c r="K533" t="s">
        <v>79</v>
      </c>
      <c r="L533" t="s">
        <v>20</v>
      </c>
      <c r="M533" t="s">
        <v>1219</v>
      </c>
      <c r="N533" t="s">
        <v>14</v>
      </c>
    </row>
    <row r="534" x14ac:dyDescent="0.25">
      <c r="A534" t="n">
        <v>25</v>
      </c>
      <c r="B534" t="s">
        <v>14</v>
      </c>
      <c r="C534" t="s">
        <v>51</v>
      </c>
      <c r="D534" s="2" t="s">
        <f>=HYPERLINK("https://main.knesset.gov.il/APPS/legislation/main/bills/2219618", "הצעת חוק הרשות לגיל הרך, התשפ""ד-2024")</f>
        <v>1220</v>
      </c>
      <c r="E534" t="s">
        <v>1220</v>
      </c>
      <c r="F534" t="s">
        <v>1221</v>
      </c>
      <c r="G534" t="s">
        <v>14</v>
      </c>
      <c r="H534">
             </c>
      <c r="I534" t="s">
        <v>14</v>
      </c>
      <c r="J534" t="s">
        <v>152</v>
      </c>
      <c r="K534" t="s">
        <v>79</v>
      </c>
      <c r="L534" t="s">
        <v>20</v>
      </c>
      <c r="M534" t="s">
        <v>1222</v>
      </c>
      <c r="N534" t="s">
        <v>14</v>
      </c>
    </row>
    <row r="535" x14ac:dyDescent="0.25">
      <c r="A535" t="n">
        <v>25</v>
      </c>
      <c r="B535" t="s">
        <v>14</v>
      </c>
      <c r="C535" t="s">
        <v>15</v>
      </c>
      <c r="D535" s="2" t="s">
        <f>=HYPERLINK("https://main.knesset.gov.il/APPS/legislation/main/bills/2240513", "פרק ט""ז (שמירה על זכויות מבוטחים בסיעוד) מתוך הצעת חוק התוכנית הכלכלית (תיקוני חקיקה ליישום המדיניות הכלכלית לשנת התקציב 2026), התשפ""ו-2026 [פוצלה לפי סעיף 84(ב) לתקנון]")</f>
        <v>1223</v>
      </c>
      <c r="E535" t="s">
        <v>1223</v>
      </c>
      <c r="F535" t="s">
        <v>14</v>
      </c>
      <c r="G535" t="s">
        <v>29</v>
      </c>
      <c r="H535">
             </c>
      <c r="I535" t="s">
        <v>14</v>
      </c>
      <c r="J535" t="s">
        <v>38</v>
      </c>
      <c r="K535" t="s">
        <v>46</v>
      </c>
      <c r="L535" t="s">
        <v>20</v>
      </c>
      <c r="M535" t="s">
        <v>1222</v>
      </c>
      <c r="N535" t="s">
        <v>14</v>
      </c>
    </row>
    <row r="536" x14ac:dyDescent="0.25">
      <c r="A536" t="n">
        <v>25</v>
      </c>
      <c r="B536" t="s">
        <v>14</v>
      </c>
      <c r="C536" t="s">
        <v>51</v>
      </c>
      <c r="D536" s="2" t="s">
        <f>=HYPERLINK("https://main.knesset.gov.il/APPS/legislation/main/bills/2237511", "הצעת חוק אחריות במרחב הרשת, התשפ""ו-2026")</f>
        <v>840</v>
      </c>
      <c r="E536" t="s">
        <v>840</v>
      </c>
      <c r="F536" t="s">
        <v>1224</v>
      </c>
      <c r="G536" t="s">
        <v>14</v>
      </c>
      <c r="H536">
             </c>
      <c r="I536" t="s">
        <v>14</v>
      </c>
      <c r="J536" t="s">
        <v>242</v>
      </c>
      <c r="K536" t="s">
        <v>14</v>
      </c>
      <c r="L536" t="s">
        <v>20</v>
      </c>
      <c r="M536" t="s">
        <v>1222</v>
      </c>
      <c r="N536" t="s">
        <v>14</v>
      </c>
    </row>
    <row r="537" x14ac:dyDescent="0.25">
      <c r="A537" t="n">
        <v>25</v>
      </c>
      <c r="B537" t="s">
        <v>14</v>
      </c>
      <c r="C537" t="s">
        <v>51</v>
      </c>
      <c r="D537" s="2" t="s">
        <f>=HYPERLINK("https://main.knesset.gov.il/APPS/legislation/main/bills/2239172", "הצעת חוק המאבק בטרור (תיקון - חילוט רכוש פעילי טרור ובעלי זיקה לפעולת טרור), התשפ״ו-2026")</f>
        <v>1225</v>
      </c>
      <c r="E537" t="s">
        <v>1225</v>
      </c>
      <c r="F537" t="s">
        <v>1226</v>
      </c>
      <c r="G537" t="s">
        <v>14</v>
      </c>
      <c r="H537">
             </c>
      <c r="I537" t="s">
        <v>14</v>
      </c>
      <c r="J537" t="s">
        <v>242</v>
      </c>
      <c r="K537" t="s">
        <v>14</v>
      </c>
      <c r="L537" t="s">
        <v>20</v>
      </c>
      <c r="M537" t="s">
        <v>1222</v>
      </c>
      <c r="N537" t="s">
        <v>14</v>
      </c>
    </row>
    <row r="538" x14ac:dyDescent="0.25">
      <c r="A538" t="n">
        <v>25</v>
      </c>
      <c r="B538" t="s">
        <v>14</v>
      </c>
      <c r="C538" t="s">
        <v>51</v>
      </c>
      <c r="D538" s="2" t="s">
        <f>=HYPERLINK("https://main.knesset.gov.il/APPS/legislation/main/bills/2239821", "הצעת חוק הקמת שדה תעופה בצקלג (הוראות מיוחדות), התשפ""ו-2026")</f>
        <v>1227</v>
      </c>
      <c r="E538" t="s">
        <v>1227</v>
      </c>
      <c r="F538" t="s">
        <v>1228</v>
      </c>
      <c r="G538" t="s">
        <v>14</v>
      </c>
      <c r="H538">
             </c>
      <c r="I538" t="s">
        <v>14</v>
      </c>
      <c r="J538" t="s">
        <v>242</v>
      </c>
      <c r="K538" t="s">
        <v>14</v>
      </c>
      <c r="L538" t="s">
        <v>20</v>
      </c>
      <c r="M538" t="s">
        <v>1222</v>
      </c>
      <c r="N538" t="s">
        <v>14</v>
      </c>
    </row>
    <row r="539" x14ac:dyDescent="0.25">
      <c r="A539" t="n">
        <v>25</v>
      </c>
      <c r="B539" t="s">
        <v>14</v>
      </c>
      <c r="C539" t="s">
        <v>51</v>
      </c>
      <c r="D539" s="2" t="s">
        <f>=HYPERLINK("https://main.knesset.gov.il/APPS/legislation/main/bills/2239958", "הצעת חוק זכויות נפגעי עבירה (תיקון - הוספת סרסור והבאת אדם לידי זנות להגדרת עבירת מין או אלימות), התשפ""ו-2026")</f>
        <v>1188</v>
      </c>
      <c r="E539" t="s">
        <v>1188</v>
      </c>
      <c r="F539" t="s">
        <v>1229</v>
      </c>
      <c r="G539" t="s">
        <v>14</v>
      </c>
      <c r="H539">
             </c>
      <c r="I539" t="s">
        <v>14</v>
      </c>
      <c r="J539" t="s">
        <v>242</v>
      </c>
      <c r="K539" t="s">
        <v>14</v>
      </c>
      <c r="L539" t="s">
        <v>20</v>
      </c>
      <c r="M539" t="s">
        <v>1222</v>
      </c>
      <c r="N539" t="s">
        <v>14</v>
      </c>
    </row>
    <row r="540" x14ac:dyDescent="0.25">
      <c r="A540" t="n">
        <v>25</v>
      </c>
      <c r="B540" t="s">
        <v>14</v>
      </c>
      <c r="C540" t="s">
        <v>51</v>
      </c>
      <c r="D540" s="2" t="s">
        <f>=HYPERLINK("https://main.knesset.gov.il/APPS/legislation/main/bills/2240258", "הצעת חוק העונשין (תיקון - איסור על עינויים ועל יחס אכזרי, בלתי אנושי ומשפיל),  התשפ""ו-2026")</f>
        <v>1230</v>
      </c>
      <c r="E540" t="s">
        <v>1230</v>
      </c>
      <c r="F540" t="s">
        <v>1231</v>
      </c>
      <c r="G540" t="s">
        <v>14</v>
      </c>
      <c r="H540">
             </c>
      <c r="I540" t="s">
        <v>14</v>
      </c>
      <c r="J540" t="s">
        <v>242</v>
      </c>
      <c r="K540" t="s">
        <v>14</v>
      </c>
      <c r="L540" t="s">
        <v>20</v>
      </c>
      <c r="M540" t="s">
        <v>1222</v>
      </c>
      <c r="N540" t="s">
        <v>14</v>
      </c>
    </row>
    <row r="541" x14ac:dyDescent="0.25">
      <c r="A541" t="n">
        <v>25</v>
      </c>
      <c r="B541" t="s">
        <v>14</v>
      </c>
      <c r="C541" t="s">
        <v>51</v>
      </c>
      <c r="D541" s="2" t="s">
        <f>=HYPERLINK("https://main.knesset.gov.il/APPS/legislation/main/bills/2239481", "הצעת חוק העונשין (תיקון - התחזות לעובד ציבור בכוונה לבצע פשע), התשפ״ו-2026")</f>
        <v>1232</v>
      </c>
      <c r="E541" t="s">
        <v>1232</v>
      </c>
      <c r="F541" t="s">
        <v>1233</v>
      </c>
      <c r="G541" t="s">
        <v>14</v>
      </c>
      <c r="H541">
             </c>
      <c r="I541" t="s">
        <v>14</v>
      </c>
      <c r="J541" t="s">
        <v>242</v>
      </c>
      <c r="K541" t="s">
        <v>14</v>
      </c>
      <c r="L541" t="s">
        <v>20</v>
      </c>
      <c r="M541" t="s">
        <v>1222</v>
      </c>
      <c r="N541" t="s">
        <v>14</v>
      </c>
    </row>
    <row r="542" x14ac:dyDescent="0.25">
      <c r="A542" t="n">
        <v>25</v>
      </c>
      <c r="B542" t="s">
        <v>14</v>
      </c>
      <c r="C542" t="s">
        <v>51</v>
      </c>
      <c r="D542" s="2" t="s">
        <f>=HYPERLINK("https://main.knesset.gov.il/APPS/legislation/main/bills/2240320", "הצעת חוק הפרשנות (תיקון - הגדרת הפליה על רקע נטייה מינית או זהות מגדרית),  התשפ""ו-2026")</f>
        <v>1234</v>
      </c>
      <c r="E542" t="s">
        <v>1234</v>
      </c>
      <c r="F542" t="s">
        <v>1235</v>
      </c>
      <c r="G542" t="s">
        <v>14</v>
      </c>
      <c r="H542">
             </c>
      <c r="I542" t="s">
        <v>14</v>
      </c>
      <c r="J542" t="s">
        <v>242</v>
      </c>
      <c r="K542" t="s">
        <v>14</v>
      </c>
      <c r="L542" t="s">
        <v>20</v>
      </c>
      <c r="M542" t="s">
        <v>1222</v>
      </c>
      <c r="N542" t="s">
        <v>14</v>
      </c>
    </row>
    <row r="543" x14ac:dyDescent="0.25">
      <c r="A543" t="n">
        <v>25</v>
      </c>
      <c r="B543" t="s">
        <v>14</v>
      </c>
      <c r="C543" t="s">
        <v>51</v>
      </c>
      <c r="D543" s="2" t="s">
        <f>=HYPERLINK("https://main.knesset.gov.il/APPS/legislation/main/bills/2226701", "הצעת חוק הרשות הלאומית לתכנון אוכלוסין ומניעת ירידה מהארץ, התשפ""ו-2026")</f>
        <v>1236</v>
      </c>
      <c r="E543" t="s">
        <v>1236</v>
      </c>
      <c r="F543" t="s">
        <v>1237</v>
      </c>
      <c r="G543" t="s">
        <v>14</v>
      </c>
      <c r="H543">
             </c>
      <c r="I543" t="s">
        <v>14</v>
      </c>
      <c r="J543" t="s">
        <v>242</v>
      </c>
      <c r="K543" t="s">
        <v>14</v>
      </c>
      <c r="L543" t="s">
        <v>20</v>
      </c>
      <c r="M543" t="s">
        <v>1222</v>
      </c>
      <c r="N543" t="s">
        <v>14</v>
      </c>
    </row>
    <row r="544" x14ac:dyDescent="0.25">
      <c r="A544" t="n">
        <v>25</v>
      </c>
      <c r="B544" t="s">
        <v>14</v>
      </c>
      <c r="C544" t="s">
        <v>51</v>
      </c>
      <c r="D544" s="2" t="s">
        <f>=HYPERLINK("https://main.knesset.gov.il/APPS/legislation/main/bills/2237777", "הצעת חוק התקשורת (בזק ושידורים) (תיקון - גיל משתמשים ברשתות חברתיות), התשפ""ו-2026")</f>
        <v>1238</v>
      </c>
      <c r="E544" t="s">
        <v>1238</v>
      </c>
      <c r="F544" t="s">
        <v>1239</v>
      </c>
      <c r="G544" t="s">
        <v>14</v>
      </c>
      <c r="H544">
             </c>
      <c r="I544" t="s">
        <v>14</v>
      </c>
      <c r="J544" t="s">
        <v>242</v>
      </c>
      <c r="K544" t="s">
        <v>14</v>
      </c>
      <c r="L544" t="s">
        <v>20</v>
      </c>
      <c r="M544" t="s">
        <v>1222</v>
      </c>
      <c r="N544" t="s">
        <v>14</v>
      </c>
    </row>
    <row r="545" x14ac:dyDescent="0.25">
      <c r="A545" t="n">
        <v>25</v>
      </c>
      <c r="B545" t="s">
        <v>14</v>
      </c>
      <c r="C545" t="s">
        <v>51</v>
      </c>
      <c r="D545" s="2" t="s">
        <f>=HYPERLINK("https://main.knesset.gov.il/APPS/legislation/main/bills/2240428", "הצעת חוק הביטוח הלאומי (תיקון - הארכת המועד להגשת תביעות ליקוי שמיעה), התשפ""ו-2026")</f>
        <v>1240</v>
      </c>
      <c r="E545" t="s">
        <v>1240</v>
      </c>
      <c r="F545" t="s">
        <v>1241</v>
      </c>
      <c r="G545" t="s">
        <v>14</v>
      </c>
      <c r="H545">
             </c>
      <c r="I545" t="s">
        <v>14</v>
      </c>
      <c r="J545" t="s">
        <v>242</v>
      </c>
      <c r="K545" t="s">
        <v>14</v>
      </c>
      <c r="L545" t="s">
        <v>20</v>
      </c>
      <c r="M545" t="s">
        <v>1222</v>
      </c>
      <c r="N545" t="s">
        <v>14</v>
      </c>
    </row>
    <row r="546" x14ac:dyDescent="0.25">
      <c r="A546" t="n">
        <v>25</v>
      </c>
      <c r="B546" t="s">
        <v>14</v>
      </c>
      <c r="C546" t="s">
        <v>51</v>
      </c>
      <c r="D546" s="2" t="s">
        <f>=HYPERLINK("https://main.knesset.gov.il/APPS/legislation/main/bills/2240324", "הצעת חוק העונשין (תיקון - מרמה והפרת אמונים), התשפ""ו-2026")</f>
        <v>1242</v>
      </c>
      <c r="E546" t="s">
        <v>1242</v>
      </c>
      <c r="F546" t="s">
        <v>1243</v>
      </c>
      <c r="G546" t="s">
        <v>14</v>
      </c>
      <c r="H546">
             </c>
      <c r="I546" t="s">
        <v>14</v>
      </c>
      <c r="J546" t="s">
        <v>242</v>
      </c>
      <c r="K546" t="s">
        <v>14</v>
      </c>
      <c r="L546" t="s">
        <v>20</v>
      </c>
      <c r="M546" t="s">
        <v>1222</v>
      </c>
      <c r="N546" t="s">
        <v>14</v>
      </c>
    </row>
    <row r="547" x14ac:dyDescent="0.25">
      <c r="A547" t="n">
        <v>25</v>
      </c>
      <c r="B547" t="s">
        <v>14</v>
      </c>
      <c r="C547" t="s">
        <v>51</v>
      </c>
      <c r="D547" s="2" t="s">
        <f>=HYPERLINK("https://main.knesset.gov.il/APPS/legislation/main/bills/2240445", "הצעת חוק הממשלה (תיקון - ועדת שרים לענייני ביטחון לאומי), התשפ״ו-2026")</f>
        <v>1244</v>
      </c>
      <c r="E547" t="s">
        <v>1244</v>
      </c>
      <c r="F547" t="s">
        <v>1245</v>
      </c>
      <c r="G547" t="s">
        <v>14</v>
      </c>
      <c r="H547">
             </c>
      <c r="I547" t="s">
        <v>14</v>
      </c>
      <c r="J547" t="s">
        <v>242</v>
      </c>
      <c r="K547" t="s">
        <v>14</v>
      </c>
      <c r="L547" t="s">
        <v>20</v>
      </c>
      <c r="M547" t="s">
        <v>1222</v>
      </c>
      <c r="N547" t="s">
        <v>14</v>
      </c>
    </row>
    <row r="548" x14ac:dyDescent="0.25">
      <c r="A548" t="n">
        <v>25</v>
      </c>
      <c r="B548" t="s">
        <v>14</v>
      </c>
      <c r="C548" t="s">
        <v>51</v>
      </c>
      <c r="D548" s="2" t="s">
        <f>=HYPERLINK("https://main.knesset.gov.il/APPS/legislation/main/bills/2240227", "הצעת חוק קופת חולים (עידוד תרומת תרופות), התשפ""ו-2026")</f>
        <v>1246</v>
      </c>
      <c r="E548" t="s">
        <v>1246</v>
      </c>
      <c r="F548" t="s">
        <v>1247</v>
      </c>
      <c r="G548" t="s">
        <v>14</v>
      </c>
      <c r="H548">
             </c>
      <c r="I548" t="s">
        <v>14</v>
      </c>
      <c r="J548" t="s">
        <v>242</v>
      </c>
      <c r="K548" t="s">
        <v>14</v>
      </c>
      <c r="L548" t="s">
        <v>20</v>
      </c>
      <c r="M548" t="s">
        <v>1222</v>
      </c>
      <c r="N548" t="s">
        <v>14</v>
      </c>
    </row>
    <row r="549" x14ac:dyDescent="0.25">
      <c r="A549" t="n">
        <v>25</v>
      </c>
      <c r="B549" t="s">
        <v>14</v>
      </c>
      <c r="C549" t="s">
        <v>51</v>
      </c>
      <c r="D549" s="2" t="s">
        <f>=HYPERLINK("https://main.knesset.gov.il/APPS/legislation/main/bills/2240148", "הצעת חוק הרשויות המקומיות (פטור חיילים, נפגעי מלחמה ושוטרים מארנונה) (תיקון - הנחה בארנונה למשרת בשירות מילואים פעיל) (הוראת שעה),התשפ''ו-2026")</f>
        <v>1248</v>
      </c>
      <c r="E549" t="s">
        <v>1248</v>
      </c>
      <c r="F549" t="s">
        <v>1249</v>
      </c>
      <c r="G549" t="s">
        <v>14</v>
      </c>
      <c r="H549">
             </c>
      <c r="I549" t="s">
        <v>14</v>
      </c>
      <c r="J549" t="s">
        <v>242</v>
      </c>
      <c r="K549" t="s">
        <v>14</v>
      </c>
      <c r="L549" t="s">
        <v>20</v>
      </c>
      <c r="M549" t="s">
        <v>1222</v>
      </c>
      <c r="N549" t="s">
        <v>14</v>
      </c>
    </row>
    <row r="550" x14ac:dyDescent="0.25">
      <c r="A550" t="n">
        <v>25</v>
      </c>
      <c r="B550" t="s">
        <v>14</v>
      </c>
      <c r="C550" t="s">
        <v>51</v>
      </c>
      <c r="D550" s="2" t="s">
        <f>=HYPERLINK("https://main.knesset.gov.il/APPS/legislation/main/bills/2240152", "הצעת חוק לתיקון פקודת מס הכנסה (נקודות זיכוי למשפחות אומנה), התשפ""ו-2026")</f>
        <v>1006</v>
      </c>
      <c r="E550" t="s">
        <v>1006</v>
      </c>
      <c r="F550" t="s">
        <v>1250</v>
      </c>
      <c r="G550" t="s">
        <v>14</v>
      </c>
      <c r="H550">
             </c>
      <c r="I550" t="s">
        <v>14</v>
      </c>
      <c r="J550" t="s">
        <v>242</v>
      </c>
      <c r="K550" t="s">
        <v>14</v>
      </c>
      <c r="L550" t="s">
        <v>20</v>
      </c>
      <c r="M550" t="s">
        <v>1222</v>
      </c>
      <c r="N550" t="s">
        <v>14</v>
      </c>
    </row>
    <row r="551" x14ac:dyDescent="0.25">
      <c r="A551" t="n">
        <v>25</v>
      </c>
      <c r="B551" t="s">
        <v>14</v>
      </c>
      <c r="C551" t="s">
        <v>51</v>
      </c>
      <c r="D551" s="2" t="s">
        <f>=HYPERLINK("https://main.knesset.gov.il/APPS/legislation/main/bills/2239944", "הצעת חוק יום לציון מורשת יהדות הודו, התשפ""ו-2026")</f>
        <v>1251</v>
      </c>
      <c r="E551" t="s">
        <v>1251</v>
      </c>
      <c r="F551" t="s">
        <v>1252</v>
      </c>
      <c r="G551" t="s">
        <v>14</v>
      </c>
      <c r="H551">
             </c>
      <c r="I551" t="s">
        <v>14</v>
      </c>
      <c r="J551" t="s">
        <v>242</v>
      </c>
      <c r="K551" t="s">
        <v>14</v>
      </c>
      <c r="L551" t="s">
        <v>20</v>
      </c>
      <c r="M551" t="s">
        <v>1222</v>
      </c>
      <c r="N551" t="s">
        <v>14</v>
      </c>
    </row>
    <row r="552" x14ac:dyDescent="0.25">
      <c r="A552" t="n">
        <v>25</v>
      </c>
      <c r="B552" t="s">
        <v>14</v>
      </c>
      <c r="C552" t="s">
        <v>51</v>
      </c>
      <c r="D552" s="2" t="s">
        <f>=HYPERLINK("https://main.knesset.gov.il/APPS/legislation/main/bills/2233343", "הצעת חוק הרשות הלאומית לתרבות ולשפה המרוקאית יהודית, התשפ""ו-2026")</f>
        <v>1253</v>
      </c>
      <c r="E552" t="s">
        <v>1253</v>
      </c>
      <c r="F552" t="s">
        <v>1254</v>
      </c>
      <c r="G552" t="s">
        <v>14</v>
      </c>
      <c r="H552">
             </c>
      <c r="I552" t="s">
        <v>14</v>
      </c>
      <c r="J552" t="s">
        <v>242</v>
      </c>
      <c r="K552" t="s">
        <v>14</v>
      </c>
      <c r="L552" t="s">
        <v>20</v>
      </c>
      <c r="M552" t="s">
        <v>1222</v>
      </c>
      <c r="N552" t="s">
        <v>14</v>
      </c>
    </row>
    <row r="553" x14ac:dyDescent="0.25">
      <c r="A553" t="n">
        <v>25</v>
      </c>
      <c r="B553" t="s">
        <v>14</v>
      </c>
      <c r="C553" t="s">
        <v>51</v>
      </c>
      <c r="D553" s="2" t="s">
        <f>=HYPERLINK("https://main.knesset.gov.il/APPS/legislation/main/bills/2196527", "הצעת חוק נציב תלונות הציבור על שופטים (תיקון - נציבות תלונות הציבור על דיינים וקאדים), התשפ""ו-2026")</f>
        <v>1255</v>
      </c>
      <c r="E553" t="s">
        <v>1255</v>
      </c>
      <c r="F553" t="s">
        <v>1256</v>
      </c>
      <c r="G553" t="s">
        <v>14</v>
      </c>
      <c r="H553">
             </c>
      <c r="I553" t="s">
        <v>14</v>
      </c>
      <c r="J553" t="s">
        <v>242</v>
      </c>
      <c r="K553" t="s">
        <v>14</v>
      </c>
      <c r="L553" t="s">
        <v>20</v>
      </c>
      <c r="M553" t="s">
        <v>1222</v>
      </c>
      <c r="N553" t="s">
        <v>14</v>
      </c>
    </row>
    <row r="554" x14ac:dyDescent="0.25">
      <c r="A554" t="n">
        <v>25</v>
      </c>
      <c r="B554" t="s">
        <v>14</v>
      </c>
      <c r="C554" t="s">
        <v>51</v>
      </c>
      <c r="D554" s="2" t="s">
        <f>=HYPERLINK("https://main.knesset.gov.il/APPS/legislation/main/bills/2240115", "הצעת חוק לתיקון פקודת בתי הסוהר (איסור טיפול רפואי באסירים ביטחוניים בבתי חולים ציבוריים), התשפ""ו-2026")</f>
        <v>1257</v>
      </c>
      <c r="E554" t="s">
        <v>1257</v>
      </c>
      <c r="F554" t="s">
        <v>1258</v>
      </c>
      <c r="G554" t="s">
        <v>14</v>
      </c>
      <c r="H554">
             </c>
      <c r="I554" t="s">
        <v>14</v>
      </c>
      <c r="J554" t="s">
        <v>242</v>
      </c>
      <c r="K554" t="s">
        <v>14</v>
      </c>
      <c r="L554" t="s">
        <v>20</v>
      </c>
      <c r="M554" t="s">
        <v>1222</v>
      </c>
      <c r="N554" t="s">
        <v>14</v>
      </c>
    </row>
    <row r="555" x14ac:dyDescent="0.25">
      <c r="A555" t="n">
        <v>25</v>
      </c>
      <c r="B555" t="s">
        <v>14</v>
      </c>
      <c r="C555" t="s">
        <v>51</v>
      </c>
      <c r="D555" s="2" t="s">
        <f>=HYPERLINK("https://main.knesset.gov.il/APPS/legislation/main/bills/2232068", "הצעת חוק שירות התעסוקה (תיקון - הסבה מקצועית לעובדי עבודת כפיים), התשפ""ו-2026")</f>
        <v>1259</v>
      </c>
      <c r="E555" t="s">
        <v>1259</v>
      </c>
      <c r="F555" t="s">
        <v>1260</v>
      </c>
      <c r="G555" t="s">
        <v>14</v>
      </c>
      <c r="H555">
             </c>
      <c r="I555" t="s">
        <v>14</v>
      </c>
      <c r="J555" t="s">
        <v>242</v>
      </c>
      <c r="K555" t="s">
        <v>14</v>
      </c>
      <c r="L555" t="s">
        <v>20</v>
      </c>
      <c r="M555" t="s">
        <v>1222</v>
      </c>
      <c r="N555" t="s">
        <v>14</v>
      </c>
    </row>
    <row r="556" x14ac:dyDescent="0.25">
      <c r="A556" t="n">
        <v>25</v>
      </c>
      <c r="B556" t="s">
        <v>14</v>
      </c>
      <c r="C556" t="s">
        <v>15</v>
      </c>
      <c r="D556" s="2" t="s">
        <f>=HYPERLINK("https://main.knesset.gov.il/APPS/legislation/main/bills/1046601", "הצעת חוק לתיקון פקודת המכס (מס' 31) (עבירות ההברחה), התשפ""ו-2026")</f>
        <v>1261</v>
      </c>
      <c r="E556" t="s">
        <v>1261</v>
      </c>
      <c r="F556" t="s">
        <v>14</v>
      </c>
      <c r="G556" t="s">
        <v>1262</v>
      </c>
      <c r="H556">
             </c>
      <c r="I556" t="s">
        <v>14</v>
      </c>
      <c r="J556" t="s">
        <v>162</v>
      </c>
      <c r="K556" t="s">
        <v>14</v>
      </c>
      <c r="L556" t="s">
        <v>20</v>
      </c>
      <c r="M556" t="s">
        <v>1222</v>
      </c>
      <c r="N556" t="s">
        <v>14</v>
      </c>
    </row>
    <row r="557" x14ac:dyDescent="0.25">
      <c r="A557" t="n">
        <v>25</v>
      </c>
      <c r="B557" t="s">
        <v>14</v>
      </c>
      <c r="C557" t="s">
        <v>51</v>
      </c>
      <c r="D557" s="2" t="s">
        <f>=HYPERLINK("https://main.knesset.gov.il/APPS/legislation/main/bills/2222112", "הצעת חוק זיכרון אירועי הטרור של כ""ב בתשרי (7 באוקטובר) ומלחמת חרבות ברזל, התשפ""ה-2024")</f>
        <v>1263</v>
      </c>
      <c r="E557" t="s">
        <v>1263</v>
      </c>
      <c r="F557" t="s">
        <v>1264</v>
      </c>
      <c r="G557" t="s">
        <v>14</v>
      </c>
      <c r="H557">
             </c>
      <c r="I557" t="s">
        <v>14</v>
      </c>
      <c r="J557" t="s">
        <v>183</v>
      </c>
      <c r="K557" t="s">
        <v>79</v>
      </c>
      <c r="L557" t="s">
        <v>20</v>
      </c>
      <c r="M557" t="s">
        <v>1265</v>
      </c>
      <c r="N557" t="s">
        <v>14</v>
      </c>
    </row>
    <row r="558" x14ac:dyDescent="0.25">
      <c r="A558" t="n">
        <v>25</v>
      </c>
      <c r="B558" t="s">
        <v>14</v>
      </c>
      <c r="C558" t="s">
        <v>51</v>
      </c>
      <c r="D558" s="2" t="s">
        <f>=HYPERLINK("https://main.knesset.gov.il/APPS/legislation/main/bills/2210721", "הצעת חוק זיכרון הטבח והנצחת הגבורה ביום כ""ב בתשרי (שמחת תורה) – 7 באוקטובר, התשפ""ה–2025")</f>
        <v>1266</v>
      </c>
      <c r="E558" t="s">
        <v>1266</v>
      </c>
      <c r="F558" t="s">
        <v>1267</v>
      </c>
      <c r="G558" t="s">
        <v>1268</v>
      </c>
      <c r="H558">
             </c>
      <c r="I558" t="s">
        <v>14</v>
      </c>
      <c r="J558" t="s">
        <v>183</v>
      </c>
      <c r="K558" t="s">
        <v>79</v>
      </c>
      <c r="L558" t="s">
        <v>20</v>
      </c>
      <c r="M558" t="s">
        <v>1265</v>
      </c>
      <c r="N558" t="s">
        <v>14</v>
      </c>
    </row>
    <row r="559" x14ac:dyDescent="0.25">
      <c r="A559" t="n">
        <v>25</v>
      </c>
      <c r="B559" t="s">
        <v>14</v>
      </c>
      <c r="C559" t="s">
        <v>51</v>
      </c>
      <c r="D559" s="2" t="s">
        <f>=HYPERLINK("https://main.knesset.gov.il/APPS/legislation/main/bills/2235727", "הצעת חוק יסודות התקציב (תיקון - תמיכה בתאגידי חינוך חרדיים), התשפ""ו-2025")</f>
        <v>1269</v>
      </c>
      <c r="E559" t="s">
        <v>1269</v>
      </c>
      <c r="F559" t="s">
        <v>1270</v>
      </c>
      <c r="G559" t="s">
        <v>14</v>
      </c>
      <c r="H559">
             </c>
      <c r="I559" t="s">
        <v>14</v>
      </c>
      <c r="J559" t="s">
        <v>193</v>
      </c>
      <c r="K559" t="s">
        <v>14</v>
      </c>
      <c r="L559" t="s">
        <v>20</v>
      </c>
      <c r="M559" t="s">
        <v>1265</v>
      </c>
      <c r="N559" t="s">
        <v>14</v>
      </c>
    </row>
    <row r="560" x14ac:dyDescent="0.25">
      <c r="A560" t="n">
        <v>25</v>
      </c>
      <c r="B560" t="s">
        <v>14</v>
      </c>
      <c r="C560" t="s">
        <v>51</v>
      </c>
      <c r="D560" s="2" t="s">
        <f>=HYPERLINK("https://main.knesset.gov.il/APPS/legislation/main/bills/2233991", "הצעת חוק להגדרת רצועת עזה כאזור עוין ואיסור יחסי מסחר, התשפ""ה-2025")</f>
        <v>1271</v>
      </c>
      <c r="E560" t="s">
        <v>1271</v>
      </c>
      <c r="F560" t="s">
        <v>1272</v>
      </c>
      <c r="G560" t="s">
        <v>14</v>
      </c>
      <c r="H560">
             </c>
      <c r="I560" t="s">
        <v>14</v>
      </c>
      <c r="J560" t="s">
        <v>193</v>
      </c>
      <c r="K560" t="s">
        <v>14</v>
      </c>
      <c r="L560" t="s">
        <v>20</v>
      </c>
      <c r="M560" t="s">
        <v>1265</v>
      </c>
      <c r="N560" t="s">
        <v>14</v>
      </c>
    </row>
    <row r="561" x14ac:dyDescent="0.25">
      <c r="A561" t="n">
        <v>25</v>
      </c>
      <c r="B561" t="s">
        <v>14</v>
      </c>
      <c r="C561" t="s">
        <v>51</v>
      </c>
      <c r="D561" s="2" t="s">
        <f>=HYPERLINK("https://main.knesset.gov.il/APPS/legislation/main/bills/2232219", "הצעת חוק העונשין (תיקון - הגדרת סוכן חוץ), התשפ""ה-2025")</f>
        <v>1273</v>
      </c>
      <c r="E561" t="s">
        <v>1273</v>
      </c>
      <c r="F561" t="s">
        <v>1274</v>
      </c>
      <c r="G561" t="s">
        <v>14</v>
      </c>
      <c r="H561">
             </c>
      <c r="I561" t="s">
        <v>14</v>
      </c>
      <c r="J561" t="s">
        <v>193</v>
      </c>
      <c r="K561" t="s">
        <v>14</v>
      </c>
      <c r="L561" t="s">
        <v>20</v>
      </c>
      <c r="M561" t="s">
        <v>1265</v>
      </c>
      <c r="N561" t="s">
        <v>14</v>
      </c>
    </row>
    <row r="562" x14ac:dyDescent="0.25">
      <c r="A562" t="n">
        <v>25</v>
      </c>
      <c r="B562" t="s">
        <v>14</v>
      </c>
      <c r="C562" t="s">
        <v>15</v>
      </c>
      <c r="D562" s="2" t="s">
        <f>=HYPERLINK("https://main.knesset.gov.il/APPS/legislation/main/bills/1046353", "חוק תאגידי מים וביוב (תיקון מס' 19), התשפ""ו-2026")</f>
        <v>1275</v>
      </c>
      <c r="E562" t="s">
        <v>1275</v>
      </c>
      <c r="F562" t="s">
        <v>14</v>
      </c>
      <c r="G562" t="s">
        <v>1276</v>
      </c>
      <c r="H562" t="n">
        <v>3498</v>
      </c>
      <c r="I562" t="s">
        <v>14</v>
      </c>
      <c r="J562" t="s">
        <v>18</v>
      </c>
      <c r="K562" t="s">
        <v>84</v>
      </c>
      <c r="L562" t="s">
        <v>20</v>
      </c>
      <c r="M562" t="s">
        <v>1277</v>
      </c>
      <c r="N562" t="s">
        <v>1278</v>
      </c>
    </row>
    <row r="563" x14ac:dyDescent="0.25">
      <c r="A563" t="n">
        <v>25</v>
      </c>
      <c r="B563" t="s">
        <v>14</v>
      </c>
      <c r="C563" t="s">
        <v>51</v>
      </c>
      <c r="D563" s="2" t="s">
        <f>=HYPERLINK("https://main.knesset.gov.il/APPS/legislation/main/bills/2240257", "הצעת חוק שיקום מתמודדי נפש בקהילה (תיקון - תוכנית השיקום ומימושה), התשפ""ו-2026")</f>
        <v>1279</v>
      </c>
      <c r="E563" t="s">
        <v>1279</v>
      </c>
      <c r="F563" t="s">
        <v>1280</v>
      </c>
      <c r="G563" t="s">
        <v>14</v>
      </c>
      <c r="H563">
             </c>
      <c r="I563" t="s">
        <v>14</v>
      </c>
      <c r="J563" t="s">
        <v>242</v>
      </c>
      <c r="K563" t="s">
        <v>14</v>
      </c>
      <c r="L563" t="s">
        <v>20</v>
      </c>
      <c r="M563" t="s">
        <v>1277</v>
      </c>
      <c r="N563" t="s">
        <v>14</v>
      </c>
    </row>
    <row r="564" x14ac:dyDescent="0.25">
      <c r="A564" t="n">
        <v>25</v>
      </c>
      <c r="B564" t="s">
        <v>14</v>
      </c>
      <c r="C564" t="s">
        <v>51</v>
      </c>
      <c r="D564" s="2" t="s">
        <f>=HYPERLINK("https://main.knesset.gov.il/APPS/legislation/main/bills/2238836", "הצעת חוק נישואים אזרחיים, התשפ""ו-2026")</f>
        <v>1281</v>
      </c>
      <c r="E564" t="s">
        <v>1281</v>
      </c>
      <c r="F564" t="s">
        <v>1282</v>
      </c>
      <c r="G564" t="s">
        <v>14</v>
      </c>
      <c r="H564">
             </c>
      <c r="I564" t="s">
        <v>14</v>
      </c>
      <c r="J564" t="s">
        <v>242</v>
      </c>
      <c r="K564" t="s">
        <v>14</v>
      </c>
      <c r="L564" t="s">
        <v>20</v>
      </c>
      <c r="M564" t="s">
        <v>1277</v>
      </c>
      <c r="N564" t="s">
        <v>14</v>
      </c>
    </row>
    <row r="565" x14ac:dyDescent="0.25">
      <c r="A565" t="n">
        <v>25</v>
      </c>
      <c r="B565" t="s">
        <v>14</v>
      </c>
      <c r="C565" t="s">
        <v>51</v>
      </c>
      <c r="D565" s="2" t="s">
        <f>=HYPERLINK("https://main.knesset.gov.il/APPS/legislation/main/bills/2239219", "הצעת חוק שקיפות בשימוש באמצעים אוטומטיים בפעילות פוליטית מקוונת (הוראת שעה), התשפ״ו-2026")</f>
        <v>1283</v>
      </c>
      <c r="E565" t="s">
        <v>1283</v>
      </c>
      <c r="F565" t="s">
        <v>1284</v>
      </c>
      <c r="G565" t="s">
        <v>14</v>
      </c>
      <c r="H565">
             </c>
      <c r="I565" t="s">
        <v>14</v>
      </c>
      <c r="J565" t="s">
        <v>242</v>
      </c>
      <c r="K565" t="s">
        <v>14</v>
      </c>
      <c r="L565" t="s">
        <v>20</v>
      </c>
      <c r="M565" t="s">
        <v>1277</v>
      </c>
      <c r="N565" t="s">
        <v>14</v>
      </c>
    </row>
    <row r="566" x14ac:dyDescent="0.25">
      <c r="A566" t="n">
        <v>25</v>
      </c>
      <c r="B566" t="s">
        <v>14</v>
      </c>
      <c r="C566" t="s">
        <v>51</v>
      </c>
      <c r="D566" s="2" t="s">
        <f>=HYPERLINK("https://main.knesset.gov.il/APPS/legislation/main/bills/2239034", "הצעת חוק לתיקון פקודת העיריות (תקופת כהונה של יועץ משפטי), התשפ״ו-2026")</f>
        <v>1285</v>
      </c>
      <c r="E566" t="s">
        <v>1285</v>
      </c>
      <c r="F566" t="s">
        <v>1286</v>
      </c>
      <c r="G566" t="s">
        <v>14</v>
      </c>
      <c r="H566">
             </c>
      <c r="I566" t="s">
        <v>14</v>
      </c>
      <c r="J566" t="s">
        <v>242</v>
      </c>
      <c r="K566" t="s">
        <v>14</v>
      </c>
      <c r="L566" t="s">
        <v>20</v>
      </c>
      <c r="M566" t="s">
        <v>1277</v>
      </c>
      <c r="N566" t="s">
        <v>14</v>
      </c>
    </row>
    <row r="567" x14ac:dyDescent="0.25">
      <c r="A567" t="n">
        <v>25</v>
      </c>
      <c r="B567" t="s">
        <v>14</v>
      </c>
      <c r="C567" t="s">
        <v>51</v>
      </c>
      <c r="D567" s="2" t="s">
        <f>=HYPERLINK("https://main.knesset.gov.il/APPS/legislation/main/bills/2240150", "הצעת חוק הביטוח הלאומי (תיקון - גמלת שאירים לאלמנה שנישאה מחדש), התשפ""ו-2026")</f>
        <v>1287</v>
      </c>
      <c r="E567" t="s">
        <v>1287</v>
      </c>
      <c r="F567" t="s">
        <v>1288</v>
      </c>
      <c r="G567" t="s">
        <v>14</v>
      </c>
      <c r="H567">
             </c>
      <c r="I567" t="s">
        <v>14</v>
      </c>
      <c r="J567" t="s">
        <v>242</v>
      </c>
      <c r="K567" t="s">
        <v>14</v>
      </c>
      <c r="L567" t="s">
        <v>20</v>
      </c>
      <c r="M567" t="s">
        <v>1277</v>
      </c>
      <c r="N567" t="s">
        <v>14</v>
      </c>
    </row>
    <row r="568" x14ac:dyDescent="0.25">
      <c r="A568" t="n">
        <v>25</v>
      </c>
      <c r="B568" t="s">
        <v>14</v>
      </c>
      <c r="C568" t="s">
        <v>51</v>
      </c>
      <c r="D568" s="2" t="s">
        <f>=HYPERLINK("https://main.knesset.gov.il/APPS/legislation/main/bills/2239657", "הצעת חוק המוסד העליון ללשון העברית (תיקון - מעמד החלטות המוסד וועדת השמות הממשלתית), התשפ""ו-2026")</f>
        <v>1289</v>
      </c>
      <c r="E568" t="s">
        <v>1289</v>
      </c>
      <c r="F568" t="s">
        <v>1290</v>
      </c>
      <c r="G568" t="s">
        <v>14</v>
      </c>
      <c r="H568">
             </c>
      <c r="I568" t="s">
        <v>14</v>
      </c>
      <c r="J568" t="s">
        <v>242</v>
      </c>
      <c r="K568" t="s">
        <v>14</v>
      </c>
      <c r="L568" t="s">
        <v>20</v>
      </c>
      <c r="M568" t="s">
        <v>1277</v>
      </c>
      <c r="N568" t="s">
        <v>14</v>
      </c>
    </row>
    <row r="569" x14ac:dyDescent="0.25">
      <c r="A569" t="n">
        <v>25</v>
      </c>
      <c r="B569" t="s">
        <v>14</v>
      </c>
      <c r="C569" t="s">
        <v>51</v>
      </c>
      <c r="D569" s="2" t="s">
        <f>=HYPERLINK("https://main.knesset.gov.il/APPS/legislation/main/bills/2240082", "הצעת חוק איסור טיפול המרה לקטין, התשפ""ו-2026 ‏  ")</f>
        <v>1291</v>
      </c>
      <c r="E569" t="s">
        <v>1291</v>
      </c>
      <c r="F569" t="s">
        <v>1292</v>
      </c>
      <c r="G569" t="s">
        <v>14</v>
      </c>
      <c r="H569">
             </c>
      <c r="I569" t="s">
        <v>14</v>
      </c>
      <c r="J569" t="s">
        <v>242</v>
      </c>
      <c r="K569" t="s">
        <v>14</v>
      </c>
      <c r="L569" t="s">
        <v>20</v>
      </c>
      <c r="M569" t="s">
        <v>1277</v>
      </c>
      <c r="N569" t="s">
        <v>14</v>
      </c>
    </row>
    <row r="570" x14ac:dyDescent="0.25">
      <c r="A570" t="n">
        <v>25</v>
      </c>
      <c r="B570" t="s">
        <v>14</v>
      </c>
      <c r="C570" t="s">
        <v>51</v>
      </c>
      <c r="D570" s="2" t="s">
        <f>=HYPERLINK("https://main.knesset.gov.il/APPS/legislation/main/bills/2240064", "הצעת חוק העונשין (תיקון - השחתת מודעות על רקע מגדר), התשפ""ו-2026")</f>
        <v>546</v>
      </c>
      <c r="E570" t="s">
        <v>546</v>
      </c>
      <c r="F570" t="s">
        <v>1293</v>
      </c>
      <c r="G570" t="s">
        <v>14</v>
      </c>
      <c r="H570">
             </c>
      <c r="I570" t="s">
        <v>14</v>
      </c>
      <c r="J570" t="s">
        <v>242</v>
      </c>
      <c r="K570" t="s">
        <v>14</v>
      </c>
      <c r="L570" t="s">
        <v>20</v>
      </c>
      <c r="M570" t="s">
        <v>1277</v>
      </c>
      <c r="N570" t="s">
        <v>14</v>
      </c>
    </row>
    <row r="571" x14ac:dyDescent="0.25">
      <c r="A571" t="n">
        <v>25</v>
      </c>
      <c r="B571" t="s">
        <v>14</v>
      </c>
      <c r="C571" t="s">
        <v>51</v>
      </c>
      <c r="D571" s="2" t="s">
        <f>=HYPERLINK("https://main.knesset.gov.il/APPS/legislation/main/bills/2239156", "הצעת חוק שימור פוריות לאלמנות של חיילים שנספו, התשפ""ו-2026")</f>
        <v>1294</v>
      </c>
      <c r="E571" t="s">
        <v>1294</v>
      </c>
      <c r="F571" t="s">
        <v>1295</v>
      </c>
      <c r="G571" t="s">
        <v>14</v>
      </c>
      <c r="H571">
             </c>
      <c r="I571" t="s">
        <v>14</v>
      </c>
      <c r="J571" t="s">
        <v>242</v>
      </c>
      <c r="K571" t="s">
        <v>14</v>
      </c>
      <c r="L571" t="s">
        <v>20</v>
      </c>
      <c r="M571" t="s">
        <v>1277</v>
      </c>
      <c r="N571" t="s">
        <v>14</v>
      </c>
    </row>
    <row r="572" x14ac:dyDescent="0.25">
      <c r="A572" t="n">
        <v>25</v>
      </c>
      <c r="B572" t="s">
        <v>14</v>
      </c>
      <c r="C572" t="s">
        <v>51</v>
      </c>
      <c r="D572" s="2" t="s">
        <f>=HYPERLINK("https://main.knesset.gov.il/APPS/legislation/main/bills/2236554", "הצעת חוק הפיקוח על שירותים פיננסיים (ביטוח) (תיקון - כתב שירות ללא מעורבות מבטח) (הוראת שעה), התשפ""ו-2026")</f>
        <v>572</v>
      </c>
      <c r="E572" t="s">
        <v>572</v>
      </c>
      <c r="F572" t="s">
        <v>1296</v>
      </c>
      <c r="G572" t="s">
        <v>14</v>
      </c>
      <c r="H572">
             </c>
      <c r="I572" t="s">
        <v>14</v>
      </c>
      <c r="J572" t="s">
        <v>242</v>
      </c>
      <c r="K572" t="s">
        <v>14</v>
      </c>
      <c r="L572" t="s">
        <v>20</v>
      </c>
      <c r="M572" t="s">
        <v>1277</v>
      </c>
      <c r="N572" t="s">
        <v>14</v>
      </c>
    </row>
    <row r="573" x14ac:dyDescent="0.25">
      <c r="A573" t="n">
        <v>25</v>
      </c>
      <c r="B573" t="s">
        <v>14</v>
      </c>
      <c r="C573" t="s">
        <v>51</v>
      </c>
      <c r="D573" s="2" t="s">
        <f>=HYPERLINK("https://main.knesset.gov.il/APPS/legislation/main/bills/2239594", "הצעת חוק הנכים (תגמולים ושיקום) (תיקון - התאמה של שירותי אגף השיקום לנכים מהציבור הדתי והחרדי), התשפ""ו-2026")</f>
        <v>1297</v>
      </c>
      <c r="E573" t="s">
        <v>1297</v>
      </c>
      <c r="F573" t="s">
        <v>1298</v>
      </c>
      <c r="G573" t="s">
        <v>14</v>
      </c>
      <c r="H573">
             </c>
      <c r="I573" t="s">
        <v>14</v>
      </c>
      <c r="J573" t="s">
        <v>242</v>
      </c>
      <c r="K573" t="s">
        <v>14</v>
      </c>
      <c r="L573" t="s">
        <v>20</v>
      </c>
      <c r="M573" t="s">
        <v>1277</v>
      </c>
      <c r="N573" t="s">
        <v>14</v>
      </c>
    </row>
    <row r="574" x14ac:dyDescent="0.25">
      <c r="A574" t="n">
        <v>25</v>
      </c>
      <c r="B574" t="s">
        <v>14</v>
      </c>
      <c r="C574" t="s">
        <v>51</v>
      </c>
      <c r="D574" s="2" t="s">
        <f>=HYPERLINK("https://main.knesset.gov.il/APPS/legislation/main/bills/2239945", "הצעת חוק הסיוע המשפטי (תיקון - פטור מעמידה במבחן הכנסה לשם סיוע משפטי להלומי קרב), התשפ""ו-2026")</f>
        <v>1299</v>
      </c>
      <c r="E574" t="s">
        <v>1299</v>
      </c>
      <c r="F574" t="s">
        <v>1300</v>
      </c>
      <c r="G574" t="s">
        <v>14</v>
      </c>
      <c r="H574">
             </c>
      <c r="I574" t="s">
        <v>14</v>
      </c>
      <c r="J574" t="s">
        <v>242</v>
      </c>
      <c r="K574" t="s">
        <v>14</v>
      </c>
      <c r="L574" t="s">
        <v>20</v>
      </c>
      <c r="M574" t="s">
        <v>1277</v>
      </c>
      <c r="N574" t="s">
        <v>14</v>
      </c>
    </row>
    <row r="575" x14ac:dyDescent="0.25">
      <c r="A575" t="n">
        <v>25</v>
      </c>
      <c r="B575" t="s">
        <v>14</v>
      </c>
      <c r="C575" t="s">
        <v>51</v>
      </c>
      <c r="D575" s="2" t="s">
        <f>=HYPERLINK("https://main.knesset.gov.il/APPS/legislation/main/bills/2239685", "הצעת חוק הסיוע המשפטי (תיקון - פטור מעמידה במבחן הכנסה לשם סיוע משפטי להלומי קרב), התשפ""ו-2026")</f>
        <v>1299</v>
      </c>
      <c r="E575" t="s">
        <v>1299</v>
      </c>
      <c r="F575" t="s">
        <v>1301</v>
      </c>
      <c r="G575" t="s">
        <v>14</v>
      </c>
      <c r="H575">
             </c>
      <c r="I575" t="s">
        <v>14</v>
      </c>
      <c r="J575" t="s">
        <v>242</v>
      </c>
      <c r="K575" t="s">
        <v>14</v>
      </c>
      <c r="L575" t="s">
        <v>20</v>
      </c>
      <c r="M575" t="s">
        <v>1277</v>
      </c>
      <c r="N575" t="s">
        <v>14</v>
      </c>
    </row>
    <row r="576" x14ac:dyDescent="0.25">
      <c r="A576" t="n">
        <v>25</v>
      </c>
      <c r="B576" t="s">
        <v>14</v>
      </c>
      <c r="C576" t="s">
        <v>51</v>
      </c>
      <c r="D576" s="2" t="s">
        <f>=HYPERLINK("https://main.knesset.gov.il/APPS/legislation/main/bills/2234009", "הצעת חוק לתיקון פקודת המשטרה (הסדרת הפעלת מכת""זית ותיעוד חזותי של ההפעלה), התשפ""ה-2025")</f>
        <v>1302</v>
      </c>
      <c r="E576" t="s">
        <v>1302</v>
      </c>
      <c r="F576" t="s">
        <v>1303</v>
      </c>
      <c r="G576" t="s">
        <v>14</v>
      </c>
      <c r="H576">
             </c>
      <c r="I576" t="s">
        <v>14</v>
      </c>
      <c r="J576" t="s">
        <v>183</v>
      </c>
      <c r="K576" t="s">
        <v>19</v>
      </c>
      <c r="L576" t="s">
        <v>20</v>
      </c>
      <c r="M576" t="s">
        <v>1304</v>
      </c>
      <c r="N576" t="s">
        <v>14</v>
      </c>
    </row>
    <row r="577" x14ac:dyDescent="0.25">
      <c r="A577" t="n">
        <v>25</v>
      </c>
      <c r="B577" t="s">
        <v>14</v>
      </c>
      <c r="C577" t="s">
        <v>51</v>
      </c>
      <c r="D577" s="2" t="s">
        <f>=HYPERLINK("https://main.knesset.gov.il/APPS/legislation/main/bills/2229800", "הצעת חוק לתיקון פקודת המשטרה (הסדרת הפעלת מכת""זית ותיעוד חזותי של ההפעלה), התשפ""ה-2025")</f>
        <v>1302</v>
      </c>
      <c r="E577" t="s">
        <v>1302</v>
      </c>
      <c r="F577" t="s">
        <v>1305</v>
      </c>
      <c r="G577" t="s">
        <v>14</v>
      </c>
      <c r="H577">
             </c>
      <c r="I577" t="s">
        <v>14</v>
      </c>
      <c r="J577" t="s">
        <v>183</v>
      </c>
      <c r="K577" t="s">
        <v>19</v>
      </c>
      <c r="L577" t="s">
        <v>20</v>
      </c>
      <c r="M577" t="s">
        <v>1304</v>
      </c>
      <c r="N577" t="s">
        <v>14</v>
      </c>
    </row>
    <row r="578" x14ac:dyDescent="0.25">
      <c r="A578" t="n">
        <v>25</v>
      </c>
      <c r="B578" t="s">
        <v>14</v>
      </c>
      <c r="C578" t="s">
        <v>51</v>
      </c>
      <c r="D578" s="2" t="s">
        <f>=HYPERLINK("https://main.knesset.gov.il/APPS/legislation/main/bills/2209538", "הצעת חוק לתיקון פקודת המשטרה (תיעוד חזותי של השימוש באמצעים לפיזור הפגנות), התשפ""ד-2023")</f>
        <v>1306</v>
      </c>
      <c r="E578" t="s">
        <v>1306</v>
      </c>
      <c r="F578" t="s">
        <v>1307</v>
      </c>
      <c r="G578" t="s">
        <v>14</v>
      </c>
      <c r="H578">
             </c>
      <c r="I578" t="s">
        <v>14</v>
      </c>
      <c r="J578" t="s">
        <v>183</v>
      </c>
      <c r="K578" t="s">
        <v>19</v>
      </c>
      <c r="L578" t="s">
        <v>20</v>
      </c>
      <c r="M578" t="s">
        <v>1304</v>
      </c>
      <c r="N578" t="s">
        <v>14</v>
      </c>
    </row>
    <row r="579" x14ac:dyDescent="0.25">
      <c r="A579" t="n">
        <v>25</v>
      </c>
      <c r="B579" t="s">
        <v>14</v>
      </c>
      <c r="C579" t="s">
        <v>51</v>
      </c>
      <c r="D579" s="2" t="s">
        <f>=HYPERLINK("https://main.knesset.gov.il/APPS/legislation/main/bills/2209053", "הצעת חוק לתיקון פקודת המשטרה (תיעוד חזותי של השימוש באמצעים לפיזור הפגנות), התשפ""ג-2023")</f>
        <v>1308</v>
      </c>
      <c r="E579" t="s">
        <v>1308</v>
      </c>
      <c r="F579" t="s">
        <v>1309</v>
      </c>
      <c r="G579" t="s">
        <v>14</v>
      </c>
      <c r="H579">
             </c>
      <c r="I579" t="s">
        <v>14</v>
      </c>
      <c r="J579" t="s">
        <v>183</v>
      </c>
      <c r="K579" t="s">
        <v>19</v>
      </c>
      <c r="L579" t="s">
        <v>20</v>
      </c>
      <c r="M579" t="s">
        <v>1304</v>
      </c>
      <c r="N579" t="s">
        <v>14</v>
      </c>
    </row>
    <row r="580" x14ac:dyDescent="0.25">
      <c r="A580" t="n">
        <v>25</v>
      </c>
      <c r="B580" t="s">
        <v>14</v>
      </c>
      <c r="C580" t="s">
        <v>51</v>
      </c>
      <c r="D580" s="2" t="s">
        <f>=HYPERLINK("https://main.knesset.gov.il/APPS/legislation/main/bills/2196986", "הצעת חוק לתיקון פקודת המשטרה (תיעוד חזותי של השימוש במכת""זית), התשפ""ג-2022")</f>
        <v>1310</v>
      </c>
      <c r="E580" t="s">
        <v>1310</v>
      </c>
      <c r="F580" t="s">
        <v>1311</v>
      </c>
      <c r="G580" t="s">
        <v>14</v>
      </c>
      <c r="H580">
             </c>
      <c r="I580" t="s">
        <v>14</v>
      </c>
      <c r="J580" t="s">
        <v>183</v>
      </c>
      <c r="K580" t="s">
        <v>19</v>
      </c>
      <c r="L580" t="s">
        <v>20</v>
      </c>
      <c r="M580" t="s">
        <v>1304</v>
      </c>
      <c r="N580" t="s">
        <v>14</v>
      </c>
    </row>
    <row r="581" x14ac:dyDescent="0.25">
      <c r="A581" t="n">
        <v>25</v>
      </c>
      <c r="B581" t="s">
        <v>14</v>
      </c>
      <c r="C581" t="s">
        <v>51</v>
      </c>
      <c r="D581" s="2" t="s">
        <f>=HYPERLINK("https://main.knesset.gov.il/APPS/legislation/main/bills/2226985", "חוק המועצה לענף הלול (ייצור ושיווק) (תיקון מס' 18 והוראת שעה) (תיקון), התשפ""ו–2026")</f>
        <v>1312</v>
      </c>
      <c r="E581" t="s">
        <v>1312</v>
      </c>
      <c r="F581" t="s">
        <v>1313</v>
      </c>
      <c r="G581" t="s">
        <v>1314</v>
      </c>
      <c r="H581" t="n">
        <v>3497</v>
      </c>
      <c r="I581" t="s">
        <v>14</v>
      </c>
      <c r="J581" t="s">
        <v>18</v>
      </c>
      <c r="K581" t="s">
        <v>84</v>
      </c>
      <c r="L581" t="s">
        <v>20</v>
      </c>
      <c r="M581" t="s">
        <v>1304</v>
      </c>
      <c r="N581" t="s">
        <v>1315</v>
      </c>
    </row>
    <row r="582" x14ac:dyDescent="0.25">
      <c r="A582" t="n">
        <v>25</v>
      </c>
      <c r="B582" t="s">
        <v>14</v>
      </c>
      <c r="C582" t="s">
        <v>51</v>
      </c>
      <c r="D582" s="2" t="s">
        <f>=HYPERLINK("https://main.knesset.gov.il/APPS/legislation/main/bills/2227749", "חוק איסור אלימות בספורט (תיקון מס' 4), התשפ""ו–2026")</f>
        <v>1316</v>
      </c>
      <c r="E582" t="s">
        <v>1316</v>
      </c>
      <c r="F582" t="s">
        <v>1317</v>
      </c>
      <c r="G582" t="s">
        <v>1318</v>
      </c>
      <c r="H582" t="n">
        <v>3496</v>
      </c>
      <c r="I582" t="s">
        <v>14</v>
      </c>
      <c r="J582" t="s">
        <v>18</v>
      </c>
      <c r="K582" t="s">
        <v>19</v>
      </c>
      <c r="L582" t="s">
        <v>20</v>
      </c>
      <c r="M582" t="s">
        <v>1304</v>
      </c>
      <c r="N582" t="s">
        <v>1319</v>
      </c>
    </row>
    <row r="583" x14ac:dyDescent="0.25">
      <c r="A583" t="n">
        <v>25</v>
      </c>
      <c r="B583" t="s">
        <v>14</v>
      </c>
      <c r="C583" t="s">
        <v>51</v>
      </c>
      <c r="D583" s="2" t="s">
        <f>=HYPERLINK("https://main.knesset.gov.il/APPS/legislation/main/bills/2236601", "הצעת חוק זכויות החולה (תיקון - מסירת מידע למניעת פגיעה), התשפ""ו-2025")</f>
        <v>1320</v>
      </c>
      <c r="E583" t="s">
        <v>1320</v>
      </c>
      <c r="F583" t="s">
        <v>1321</v>
      </c>
      <c r="G583" t="s">
        <v>14</v>
      </c>
      <c r="H583">
             </c>
      <c r="I583" t="s">
        <v>14</v>
      </c>
      <c r="J583" t="s">
        <v>202</v>
      </c>
      <c r="K583" t="s">
        <v>14</v>
      </c>
      <c r="L583" t="s">
        <v>20</v>
      </c>
      <c r="M583" t="s">
        <v>1304</v>
      </c>
      <c r="N583" t="s">
        <v>14</v>
      </c>
    </row>
    <row r="584" x14ac:dyDescent="0.25">
      <c r="A584" t="n">
        <v>25</v>
      </c>
      <c r="B584" t="s">
        <v>14</v>
      </c>
      <c r="C584" t="s">
        <v>51</v>
      </c>
      <c r="D584" s="2" t="s">
        <f>=HYPERLINK("https://main.knesset.gov.il/APPS/legislation/main/bills/2237195", "הצעת חוק לתיקון פקודת בריאות העם (מרכזים אקוטיים), התשפ""ו-2025")</f>
        <v>1322</v>
      </c>
      <c r="E584" t="s">
        <v>1322</v>
      </c>
      <c r="F584" t="s">
        <v>1323</v>
      </c>
      <c r="G584" t="s">
        <v>14</v>
      </c>
      <c r="H584">
             </c>
      <c r="I584" t="s">
        <v>14</v>
      </c>
      <c r="J584" t="s">
        <v>193</v>
      </c>
      <c r="K584" t="s">
        <v>14</v>
      </c>
      <c r="L584" t="s">
        <v>20</v>
      </c>
      <c r="M584" t="s">
        <v>1304</v>
      </c>
      <c r="N584" t="s">
        <v>14</v>
      </c>
    </row>
    <row r="585" x14ac:dyDescent="0.25">
      <c r="A585" t="n">
        <v>25</v>
      </c>
      <c r="B585" t="s">
        <v>14</v>
      </c>
      <c r="C585" t="s">
        <v>51</v>
      </c>
      <c r="D585" s="2" t="s">
        <f>=HYPERLINK("https://main.knesset.gov.il/APPS/legislation/main/bills/2235821", "הצעת חוק כביש אגרה (כביש ארצי לישראל) (תיקון - תשלום מופחת לתושבי אזורי עדיפות לאומית), התשפ""ו-2025")</f>
        <v>1324</v>
      </c>
      <c r="E585" t="s">
        <v>1324</v>
      </c>
      <c r="F585" t="s">
        <v>1325</v>
      </c>
      <c r="G585" t="s">
        <v>14</v>
      </c>
      <c r="H585">
             </c>
      <c r="I585" t="s">
        <v>14</v>
      </c>
      <c r="J585" t="s">
        <v>193</v>
      </c>
      <c r="K585" t="s">
        <v>14</v>
      </c>
      <c r="L585" t="s">
        <v>20</v>
      </c>
      <c r="M585" t="s">
        <v>1304</v>
      </c>
      <c r="N585" t="s">
        <v>14</v>
      </c>
    </row>
    <row r="586" x14ac:dyDescent="0.25">
      <c r="A586" t="n">
        <v>25</v>
      </c>
      <c r="B586" t="s">
        <v>14</v>
      </c>
      <c r="C586" t="s">
        <v>51</v>
      </c>
      <c r="D586" s="2" t="s">
        <f>=HYPERLINK("https://main.knesset.gov.il/APPS/legislation/main/bills/2235556", "הצעת חוק ביטוח בריאות ממלכתי (תיקון - שירותי רפואת שיניים), התשפ""ו-2025")</f>
        <v>1326</v>
      </c>
      <c r="E586" t="s">
        <v>1326</v>
      </c>
      <c r="F586" t="s">
        <v>1327</v>
      </c>
      <c r="G586" t="s">
        <v>14</v>
      </c>
      <c r="H586">
             </c>
      <c r="I586" t="s">
        <v>14</v>
      </c>
      <c r="J586" t="s">
        <v>202</v>
      </c>
      <c r="K586" t="s">
        <v>14</v>
      </c>
      <c r="L586" t="s">
        <v>20</v>
      </c>
      <c r="M586" t="s">
        <v>1304</v>
      </c>
      <c r="N586" t="s">
        <v>14</v>
      </c>
    </row>
    <row r="587" x14ac:dyDescent="0.25">
      <c r="A587" t="n">
        <v>25</v>
      </c>
      <c r="B587" t="s">
        <v>14</v>
      </c>
      <c r="C587" t="s">
        <v>51</v>
      </c>
      <c r="D587" s="2" t="s">
        <f>=HYPERLINK("https://main.knesset.gov.il/APPS/legislation/main/bills/2234003", "הצעת חוק לתיקון פקודת המשטרה (מינוי קצינים), התשפ""ה-2025")</f>
        <v>1328</v>
      </c>
      <c r="E587" t="s">
        <v>1328</v>
      </c>
      <c r="F587" t="s">
        <v>1329</v>
      </c>
      <c r="G587" t="s">
        <v>14</v>
      </c>
      <c r="H587">
             </c>
      <c r="I587" t="s">
        <v>14</v>
      </c>
      <c r="J587" t="s">
        <v>193</v>
      </c>
      <c r="K587" t="s">
        <v>14</v>
      </c>
      <c r="L587" t="s">
        <v>20</v>
      </c>
      <c r="M587" t="s">
        <v>1304</v>
      </c>
      <c r="N587" t="s">
        <v>14</v>
      </c>
    </row>
    <row r="588" x14ac:dyDescent="0.25">
      <c r="A588" t="n">
        <v>25</v>
      </c>
      <c r="B588" t="s">
        <v>14</v>
      </c>
      <c r="C588" t="s">
        <v>51</v>
      </c>
      <c r="D588" s="2" t="s">
        <f>=HYPERLINK("https://main.knesset.gov.il/APPS/legislation/main/bills/2232189", "הצעת חוק שירות ביטחון (תיקון - עיצום כספי), התשפ""ה-2025")</f>
        <v>1330</v>
      </c>
      <c r="E588" t="s">
        <v>1330</v>
      </c>
      <c r="F588" t="s">
        <v>1331</v>
      </c>
      <c r="G588" t="s">
        <v>14</v>
      </c>
      <c r="H588">
             </c>
      <c r="I588" t="s">
        <v>14</v>
      </c>
      <c r="J588" t="s">
        <v>193</v>
      </c>
      <c r="K588" t="s">
        <v>14</v>
      </c>
      <c r="L588" t="s">
        <v>20</v>
      </c>
      <c r="M588" t="s">
        <v>1304</v>
      </c>
      <c r="N588" t="s">
        <v>14</v>
      </c>
    </row>
    <row r="589" x14ac:dyDescent="0.25">
      <c r="A589" t="n">
        <v>25</v>
      </c>
      <c r="B589" t="s">
        <v>14</v>
      </c>
      <c r="C589" t="s">
        <v>51</v>
      </c>
      <c r="D589" s="2" t="s">
        <f>=HYPERLINK("https://main.knesset.gov.il/APPS/legislation/main/bills/2232763", "הצעת חוק הביטוח הלאומי (תיקון - שלילת קצבת ילדים ממשפחות פוליגמיות), התשפ""ה-2025")</f>
        <v>1332</v>
      </c>
      <c r="E589" t="s">
        <v>1332</v>
      </c>
      <c r="F589" t="s">
        <v>1333</v>
      </c>
      <c r="G589" t="s">
        <v>14</v>
      </c>
      <c r="H589">
             </c>
      <c r="I589" t="s">
        <v>14</v>
      </c>
      <c r="J589" t="s">
        <v>152</v>
      </c>
      <c r="K589" t="s">
        <v>46</v>
      </c>
      <c r="L589" t="s">
        <v>20</v>
      </c>
      <c r="M589" t="s">
        <v>1304</v>
      </c>
      <c r="N589" t="s">
        <v>14</v>
      </c>
    </row>
    <row r="590" x14ac:dyDescent="0.25">
      <c r="A590" t="n">
        <v>25</v>
      </c>
      <c r="B590" t="s">
        <v>14</v>
      </c>
      <c r="C590" t="s">
        <v>51</v>
      </c>
      <c r="D590" s="2" t="s">
        <f>=HYPERLINK("https://main.knesset.gov.il/APPS/legislation/main/bills/2221104", "הצעת חוק מעמד המשרת בשירות צבאי, התשפ""ה-2024")</f>
        <v>1334</v>
      </c>
      <c r="E590" t="s">
        <v>1334</v>
      </c>
      <c r="F590" t="s">
        <v>1335</v>
      </c>
      <c r="G590" t="s">
        <v>14</v>
      </c>
      <c r="H590">
             </c>
      <c r="I590" t="s">
        <v>14</v>
      </c>
      <c r="J590" t="s">
        <v>193</v>
      </c>
      <c r="K590" t="s">
        <v>14</v>
      </c>
      <c r="L590" t="s">
        <v>20</v>
      </c>
      <c r="M590" t="s">
        <v>1304</v>
      </c>
      <c r="N590" t="s">
        <v>14</v>
      </c>
    </row>
    <row r="591" x14ac:dyDescent="0.25">
      <c r="A591" t="n">
        <v>25</v>
      </c>
      <c r="B591" t="s">
        <v>14</v>
      </c>
      <c r="C591" t="s">
        <v>51</v>
      </c>
      <c r="D591" s="2" t="s">
        <f>=HYPERLINK("https://main.knesset.gov.il/APPS/legislation/main/bills/2222437", "הצעת חוק הרשות הלאומית לתרבות ולשפה המרוקאית יהודית, התשפ""ה-2024")</f>
        <v>1336</v>
      </c>
      <c r="E591" t="s">
        <v>1336</v>
      </c>
      <c r="F591" t="s">
        <v>1337</v>
      </c>
      <c r="G591" t="s">
        <v>14</v>
      </c>
      <c r="H591">
             </c>
      <c r="I591" t="s">
        <v>14</v>
      </c>
      <c r="J591" t="s">
        <v>202</v>
      </c>
      <c r="K591" t="s">
        <v>14</v>
      </c>
      <c r="L591" t="s">
        <v>20</v>
      </c>
      <c r="M591" t="s">
        <v>1304</v>
      </c>
      <c r="N591" t="s">
        <v>14</v>
      </c>
    </row>
    <row r="592" x14ac:dyDescent="0.25">
      <c r="A592" t="n">
        <v>25</v>
      </c>
      <c r="B592" t="s">
        <v>14</v>
      </c>
      <c r="C592" t="s">
        <v>51</v>
      </c>
      <c r="D592" s="2" t="s">
        <f>=HYPERLINK("https://main.knesset.gov.il/APPS/legislation/main/bills/2209123", "הצעת חוק הרבנות הראשית לישראל (תיקון - רב ראשי אחד), התשפ""ג-2023")</f>
        <v>1338</v>
      </c>
      <c r="E592" t="s">
        <v>1338</v>
      </c>
      <c r="F592" t="s">
        <v>1339</v>
      </c>
      <c r="G592" t="s">
        <v>14</v>
      </c>
      <c r="H592">
             </c>
      <c r="I592" t="s">
        <v>14</v>
      </c>
      <c r="J592" t="s">
        <v>193</v>
      </c>
      <c r="K592" t="s">
        <v>14</v>
      </c>
      <c r="L592" t="s">
        <v>20</v>
      </c>
      <c r="M592" t="s">
        <v>1304</v>
      </c>
      <c r="N592" t="s">
        <v>14</v>
      </c>
    </row>
    <row r="593" x14ac:dyDescent="0.25">
      <c r="A593" t="n">
        <v>25</v>
      </c>
      <c r="B593" t="s">
        <v>14</v>
      </c>
      <c r="C593" t="s">
        <v>51</v>
      </c>
      <c r="D593" s="2" t="s">
        <f>=HYPERLINK("https://main.knesset.gov.il/APPS/legislation/main/bills/2203688", "הצעת חוק עובדים זרים (תיקון מס' 25) (חובת בדיקה של רישיון עובד זר), התשפ""ו–2026")</f>
        <v>1340</v>
      </c>
      <c r="E593" t="s">
        <v>1340</v>
      </c>
      <c r="F593" t="s">
        <v>1341</v>
      </c>
      <c r="G593" t="s">
        <v>1342</v>
      </c>
      <c r="H593">
             </c>
      <c r="I593" t="s">
        <v>166</v>
      </c>
      <c r="J593" t="s">
        <v>38</v>
      </c>
      <c r="K593" t="s">
        <v>46</v>
      </c>
      <c r="L593" t="s">
        <v>20</v>
      </c>
      <c r="M593" t="s">
        <v>1304</v>
      </c>
      <c r="N593" t="s">
        <v>14</v>
      </c>
    </row>
    <row r="594" x14ac:dyDescent="0.25">
      <c r="A594" t="n">
        <v>25</v>
      </c>
      <c r="B594" t="s">
        <v>14</v>
      </c>
      <c r="C594" t="s">
        <v>51</v>
      </c>
      <c r="D594" s="2" t="s">
        <f>=HYPERLINK("https://main.knesset.gov.il/APPS/legislation/main/bills/2197086", "הצעת חוק מדד לזכות לקיום אנושי בכבוד, התשפ""ג-2023")</f>
        <v>1343</v>
      </c>
      <c r="E594" t="s">
        <v>1343</v>
      </c>
      <c r="F594" t="s">
        <v>1344</v>
      </c>
      <c r="G594" t="s">
        <v>14</v>
      </c>
      <c r="H594">
             </c>
      <c r="I594" t="s">
        <v>14</v>
      </c>
      <c r="J594" t="s">
        <v>193</v>
      </c>
      <c r="K594" t="s">
        <v>14</v>
      </c>
      <c r="L594" t="s">
        <v>20</v>
      </c>
      <c r="M594" t="s">
        <v>1304</v>
      </c>
      <c r="N594" t="s">
        <v>14</v>
      </c>
    </row>
    <row r="595" x14ac:dyDescent="0.25">
      <c r="A595" t="n">
        <v>25</v>
      </c>
      <c r="B595" t="s">
        <v>14</v>
      </c>
      <c r="C595" t="s">
        <v>15</v>
      </c>
      <c r="D595" s="2" t="s">
        <f>=HYPERLINK("https://main.knesset.gov.il/APPS/legislation/main/bills/1041320", "הצעת חוק מורשי בטיחות באירועים מרובי קהל, התשפ""ו-2026")</f>
        <v>1345</v>
      </c>
      <c r="E595" t="s">
        <v>1345</v>
      </c>
      <c r="F595" t="s">
        <v>14</v>
      </c>
      <c r="G595" t="s">
        <v>1346</v>
      </c>
      <c r="H595">
             </c>
      <c r="I595" t="s">
        <v>14</v>
      </c>
      <c r="J595" t="s">
        <v>162</v>
      </c>
      <c r="K595" t="s">
        <v>14</v>
      </c>
      <c r="L595" t="s">
        <v>20</v>
      </c>
      <c r="M595" t="s">
        <v>1304</v>
      </c>
      <c r="N595" t="s">
        <v>14</v>
      </c>
    </row>
    <row r="596" x14ac:dyDescent="0.25">
      <c r="A596" t="n">
        <v>25</v>
      </c>
      <c r="B596" t="s">
        <v>14</v>
      </c>
      <c r="C596" t="s">
        <v>51</v>
      </c>
      <c r="D596" s="2" t="s">
        <f>=HYPERLINK("https://main.knesset.gov.il/APPS/legislation/main/bills/2197571", "חוק לתיקון פקודת התעבורה (מס' 136), התשפ""ה–2024")</f>
        <v>1347</v>
      </c>
      <c r="E596" t="s">
        <v>1347</v>
      </c>
      <c r="F596" t="s">
        <v>1348</v>
      </c>
      <c r="G596" t="s">
        <v>1349</v>
      </c>
      <c r="H596" t="n">
        <v>3326</v>
      </c>
      <c r="I596" t="s">
        <v>14</v>
      </c>
      <c r="J596" t="s">
        <v>18</v>
      </c>
      <c r="K596" t="s">
        <v>84</v>
      </c>
      <c r="L596" t="s">
        <v>20</v>
      </c>
      <c r="M596" t="s">
        <v>1350</v>
      </c>
      <c r="N596" t="s">
        <v>1351</v>
      </c>
    </row>
    <row r="597" x14ac:dyDescent="0.25">
      <c r="A597" t="n">
        <v>25</v>
      </c>
      <c r="B597" t="s">
        <v>14</v>
      </c>
      <c r="C597" t="s">
        <v>15</v>
      </c>
      <c r="D597" s="2" t="s">
        <f>=HYPERLINK("https://main.knesset.gov.il/APPS/legislation/main/bills/2232915", "חוק הנוטריונים (תיקון מס' 12), התשפ""ו-2026")</f>
        <v>1352</v>
      </c>
      <c r="E597" t="s">
        <v>1352</v>
      </c>
      <c r="F597" t="s">
        <v>14</v>
      </c>
      <c r="G597" t="s">
        <v>1353</v>
      </c>
      <c r="H597" t="n">
        <v>3495</v>
      </c>
      <c r="I597" t="s">
        <v>14</v>
      </c>
      <c r="J597" t="s">
        <v>18</v>
      </c>
      <c r="K597" t="s">
        <v>27</v>
      </c>
      <c r="L597" t="s">
        <v>20</v>
      </c>
      <c r="M597" t="s">
        <v>1350</v>
      </c>
      <c r="N597" t="s">
        <v>1354</v>
      </c>
    </row>
    <row r="598" x14ac:dyDescent="0.25">
      <c r="A598" t="n">
        <v>25</v>
      </c>
      <c r="B598" t="s">
        <v>14</v>
      </c>
      <c r="C598" t="s">
        <v>51</v>
      </c>
      <c r="D598" s="2" t="s">
        <f>=HYPERLINK("https://main.knesset.gov.il/APPS/legislation/main/bills/2239542", "הצעת חוק איסור שימוש בבוטים להטעיית הציבור ולהטיית הליכים דמוקרטיים, התשפ""ו-2026")</f>
        <v>1355</v>
      </c>
      <c r="E598" t="s">
        <v>1355</v>
      </c>
      <c r="F598" t="s">
        <v>1356</v>
      </c>
      <c r="G598" t="s">
        <v>14</v>
      </c>
      <c r="H598">
             </c>
      <c r="I598" t="s">
        <v>14</v>
      </c>
      <c r="J598" t="s">
        <v>242</v>
      </c>
      <c r="K598" t="s">
        <v>14</v>
      </c>
      <c r="L598" t="s">
        <v>20</v>
      </c>
      <c r="M598" t="s">
        <v>1350</v>
      </c>
      <c r="N598" t="s">
        <v>14</v>
      </c>
    </row>
    <row r="599" x14ac:dyDescent="0.25">
      <c r="A599" t="n">
        <v>25</v>
      </c>
      <c r="B599" t="s">
        <v>14</v>
      </c>
      <c r="C599" t="s">
        <v>51</v>
      </c>
      <c r="D599" s="2" t="s">
        <f>=HYPERLINK("https://main.knesset.gov.il/APPS/legislation/main/bills/2238615", "הצעת חוק איסור לשון הרע (תיקון - פיצוי ללא הוכחת נזק, חובת פנייה מוקדמת ותביעות השתקה), התשפ״ו-2026")</f>
        <v>1357</v>
      </c>
      <c r="E599" t="s">
        <v>1357</v>
      </c>
      <c r="F599" t="s">
        <v>1358</v>
      </c>
      <c r="G599" t="s">
        <v>14</v>
      </c>
      <c r="H599">
             </c>
      <c r="I599" t="s">
        <v>14</v>
      </c>
      <c r="J599" t="s">
        <v>242</v>
      </c>
      <c r="K599" t="s">
        <v>14</v>
      </c>
      <c r="L599" t="s">
        <v>20</v>
      </c>
      <c r="M599" t="s">
        <v>1350</v>
      </c>
      <c r="N599" t="s">
        <v>14</v>
      </c>
    </row>
    <row r="600" x14ac:dyDescent="0.25">
      <c r="A600" t="n">
        <v>25</v>
      </c>
      <c r="B600" t="s">
        <v>14</v>
      </c>
      <c r="C600" t="s">
        <v>51</v>
      </c>
      <c r="D600" s="2" t="s">
        <f>=HYPERLINK("https://main.knesset.gov.il/APPS/legislation/main/bills/2239485", "הצעת חוק הסיוע המשפטי (תיקון - פטור מעמידה במבחן הכנסה לשם סיוע משפטי להלומי קרב), התשפ""ו-2026")</f>
        <v>1299</v>
      </c>
      <c r="E600" t="s">
        <v>1299</v>
      </c>
      <c r="F600" t="s">
        <v>1359</v>
      </c>
      <c r="G600" t="s">
        <v>14</v>
      </c>
      <c r="H600">
             </c>
      <c r="I600" t="s">
        <v>14</v>
      </c>
      <c r="J600" t="s">
        <v>242</v>
      </c>
      <c r="K600" t="s">
        <v>14</v>
      </c>
      <c r="L600" t="s">
        <v>20</v>
      </c>
      <c r="M600" t="s">
        <v>1350</v>
      </c>
      <c r="N600" t="s">
        <v>14</v>
      </c>
    </row>
    <row r="601" x14ac:dyDescent="0.25">
      <c r="A601" t="n">
        <v>25</v>
      </c>
      <c r="B601" t="s">
        <v>14</v>
      </c>
      <c r="C601" t="s">
        <v>51</v>
      </c>
      <c r="D601" s="2" t="s">
        <f>=HYPERLINK("https://main.knesset.gov.il/APPS/legislation/main/bills/2239230", "הצעת חוק העונשין (תיקון - מניעת קבלת טיפול רפואי במסגרת יחסי ניצול ושליטה), התשפ""ו-2026")</f>
        <v>1360</v>
      </c>
      <c r="E601" t="s">
        <v>1360</v>
      </c>
      <c r="F601" t="s">
        <v>1361</v>
      </c>
      <c r="G601" t="s">
        <v>14</v>
      </c>
      <c r="H601">
             </c>
      <c r="I601" t="s">
        <v>14</v>
      </c>
      <c r="J601" t="s">
        <v>242</v>
      </c>
      <c r="K601" t="s">
        <v>14</v>
      </c>
      <c r="L601" t="s">
        <v>20</v>
      </c>
      <c r="M601" t="s">
        <v>1350</v>
      </c>
      <c r="N601" t="s">
        <v>14</v>
      </c>
    </row>
    <row r="602" x14ac:dyDescent="0.25">
      <c r="A602" t="n">
        <v>25</v>
      </c>
      <c r="B602" t="s">
        <v>14</v>
      </c>
      <c r="C602" t="s">
        <v>51</v>
      </c>
      <c r="D602" s="2" t="s">
        <f>=HYPERLINK("https://main.knesset.gov.il/APPS/legislation/main/bills/2239225", "הצעת חוק מרשם האוכלוסין (תיקון - זכות של אזרח ישראלי המתגורר מחוץ לישראל לקבל תעודת זהות), התשפ""ו-2026")</f>
        <v>1362</v>
      </c>
      <c r="E602" t="s">
        <v>1362</v>
      </c>
      <c r="F602" t="s">
        <v>1363</v>
      </c>
      <c r="G602" t="s">
        <v>14</v>
      </c>
      <c r="H602">
             </c>
      <c r="I602" t="s">
        <v>14</v>
      </c>
      <c r="J602" t="s">
        <v>242</v>
      </c>
      <c r="K602" t="s">
        <v>14</v>
      </c>
      <c r="L602" t="s">
        <v>20</v>
      </c>
      <c r="M602" t="s">
        <v>1350</v>
      </c>
      <c r="N602" t="s">
        <v>14</v>
      </c>
    </row>
    <row r="603" x14ac:dyDescent="0.25">
      <c r="A603" t="n">
        <v>25</v>
      </c>
      <c r="B603" t="s">
        <v>14</v>
      </c>
      <c r="C603" t="s">
        <v>51</v>
      </c>
      <c r="D603" s="2" t="s">
        <f>=HYPERLINK("https://main.knesset.gov.il/APPS/legislation/main/bills/2236584", "הצעת חוק חובת קבלת דיווח של קרוב משפחה בעניין חייל במצוקה נפשית, התשפ""ו-2026")</f>
        <v>1364</v>
      </c>
      <c r="E603" t="s">
        <v>1364</v>
      </c>
      <c r="F603" t="s">
        <v>1365</v>
      </c>
      <c r="G603" t="s">
        <v>14</v>
      </c>
      <c r="H603">
             </c>
      <c r="I603" t="s">
        <v>14</v>
      </c>
      <c r="J603" t="s">
        <v>242</v>
      </c>
      <c r="K603" t="s">
        <v>14</v>
      </c>
      <c r="L603" t="s">
        <v>20</v>
      </c>
      <c r="M603" t="s">
        <v>1350</v>
      </c>
      <c r="N603" t="s">
        <v>14</v>
      </c>
    </row>
    <row r="604" x14ac:dyDescent="0.25">
      <c r="A604" t="n">
        <v>25</v>
      </c>
      <c r="B604" t="s">
        <v>14</v>
      </c>
      <c r="C604" t="s">
        <v>51</v>
      </c>
      <c r="D604" s="2" t="s">
        <f>=HYPERLINK("https://main.knesset.gov.il/APPS/legislation/main/bills/2239227", "הצעת חוק מעמד המשרת בשירות צבאי או לאומי, התשפ""ו-2026")</f>
        <v>1366</v>
      </c>
      <c r="E604" t="s">
        <v>1366</v>
      </c>
      <c r="F604" t="s">
        <v>1367</v>
      </c>
      <c r="G604" t="s">
        <v>14</v>
      </c>
      <c r="H604">
             </c>
      <c r="I604" t="s">
        <v>14</v>
      </c>
      <c r="J604" t="s">
        <v>242</v>
      </c>
      <c r="K604" t="s">
        <v>14</v>
      </c>
      <c r="L604" t="s">
        <v>20</v>
      </c>
      <c r="M604" t="s">
        <v>1350</v>
      </c>
      <c r="N604" t="s">
        <v>14</v>
      </c>
    </row>
    <row r="605" x14ac:dyDescent="0.25">
      <c r="A605" t="n">
        <v>25</v>
      </c>
      <c r="B605" t="s">
        <v>14</v>
      </c>
      <c r="C605" t="s">
        <v>51</v>
      </c>
      <c r="D605" s="2" t="s">
        <f>=HYPERLINK("https://main.knesset.gov.il/APPS/legislation/main/bills/2237665", "הצעת חוק רישוי עסקים (תיקון - היערכות עסקים המחזיקים חומרים מסוכנים לצמצום סיכונים באירועי חירום), התשפ""ו-2026")</f>
        <v>1368</v>
      </c>
      <c r="E605" t="s">
        <v>1368</v>
      </c>
      <c r="F605" t="s">
        <v>1369</v>
      </c>
      <c r="G605" t="s">
        <v>14</v>
      </c>
      <c r="H605">
             </c>
      <c r="I605" t="s">
        <v>14</v>
      </c>
      <c r="J605" t="s">
        <v>242</v>
      </c>
      <c r="K605" t="s">
        <v>14</v>
      </c>
      <c r="L605" t="s">
        <v>20</v>
      </c>
      <c r="M605" t="s">
        <v>1350</v>
      </c>
      <c r="N605" t="s">
        <v>14</v>
      </c>
    </row>
    <row r="606" x14ac:dyDescent="0.25">
      <c r="A606" t="n">
        <v>25</v>
      </c>
      <c r="B606" t="s">
        <v>14</v>
      </c>
      <c r="C606" t="s">
        <v>51</v>
      </c>
      <c r="D606" s="2" t="s">
        <f>=HYPERLINK("https://main.knesset.gov.il/APPS/legislation/main/bills/2239853", "הצעת חוק הסכמים קיבוציים (תיקון - הגבלת כהונה), התשפ""ו-2026")</f>
        <v>1370</v>
      </c>
      <c r="E606" t="s">
        <v>1370</v>
      </c>
      <c r="F606" t="s">
        <v>1371</v>
      </c>
      <c r="G606" t="s">
        <v>14</v>
      </c>
      <c r="H606">
             </c>
      <c r="I606" t="s">
        <v>14</v>
      </c>
      <c r="J606" t="s">
        <v>1372</v>
      </c>
      <c r="K606" t="s">
        <v>14</v>
      </c>
      <c r="L606" t="s">
        <v>20</v>
      </c>
      <c r="M606" t="s">
        <v>1350</v>
      </c>
      <c r="N606" t="s">
        <v>14</v>
      </c>
    </row>
    <row r="607" x14ac:dyDescent="0.25">
      <c r="A607" t="n">
        <v>25</v>
      </c>
      <c r="B607" t="s">
        <v>14</v>
      </c>
      <c r="C607" t="s">
        <v>51</v>
      </c>
      <c r="D607" s="2" t="s">
        <f>=HYPERLINK("https://main.knesset.gov.il/APPS/legislation/main/bills/2234890", "הצעת חוק ביטוח פיקדונות בתאגיד בנקאי, התשפ""ו-2026")</f>
        <v>1373</v>
      </c>
      <c r="E607" t="s">
        <v>1373</v>
      </c>
      <c r="F607" t="s">
        <v>1374</v>
      </c>
      <c r="G607" t="s">
        <v>14</v>
      </c>
      <c r="H607">
             </c>
      <c r="I607" t="s">
        <v>14</v>
      </c>
      <c r="J607" t="s">
        <v>242</v>
      </c>
      <c r="K607" t="s">
        <v>14</v>
      </c>
      <c r="L607" t="s">
        <v>20</v>
      </c>
      <c r="M607" t="s">
        <v>1350</v>
      </c>
      <c r="N607" t="s">
        <v>14</v>
      </c>
    </row>
    <row r="608" x14ac:dyDescent="0.25">
      <c r="A608" t="n">
        <v>25</v>
      </c>
      <c r="B608" t="s">
        <v>14</v>
      </c>
      <c r="C608" t="s">
        <v>51</v>
      </c>
      <c r="D608" s="2" t="s">
        <f>=HYPERLINK("https://main.knesset.gov.il/APPS/legislation/main/bills/2237934", "הצעת חוק העיטורים בצבא הגנה לישראל (תיקון - הכרה בגיבורי מלחמת השחרור), התשפ""ו-2026")</f>
        <v>1375</v>
      </c>
      <c r="E608" t="s">
        <v>1375</v>
      </c>
      <c r="F608" t="s">
        <v>1376</v>
      </c>
      <c r="G608" t="s">
        <v>14</v>
      </c>
      <c r="H608">
             </c>
      <c r="I608" t="s">
        <v>14</v>
      </c>
      <c r="J608" t="s">
        <v>242</v>
      </c>
      <c r="K608" t="s">
        <v>14</v>
      </c>
      <c r="L608" t="s">
        <v>20</v>
      </c>
      <c r="M608" t="s">
        <v>1350</v>
      </c>
      <c r="N608" t="s">
        <v>14</v>
      </c>
    </row>
    <row r="609" x14ac:dyDescent="0.25">
      <c r="A609" t="n">
        <v>25</v>
      </c>
      <c r="B609" t="s">
        <v>14</v>
      </c>
      <c r="C609" t="s">
        <v>51</v>
      </c>
      <c r="D609" s="2" t="s">
        <f>=HYPERLINK("https://main.knesset.gov.il/APPS/legislation/main/bills/2239808", "הצעת חוק הפיקוח על שירותים פיננסיים (ביטוח) (תיקון - שקיפות, כללי אתיקה וחובת התקשרות עם סוכני ביטוח), התשפ""ו-2026")</f>
        <v>1377</v>
      </c>
      <c r="E609" t="s">
        <v>1377</v>
      </c>
      <c r="F609" t="s">
        <v>1378</v>
      </c>
      <c r="G609" t="s">
        <v>14</v>
      </c>
      <c r="H609">
             </c>
      <c r="I609" t="s">
        <v>14</v>
      </c>
      <c r="J609" t="s">
        <v>242</v>
      </c>
      <c r="K609" t="s">
        <v>14</v>
      </c>
      <c r="L609" t="s">
        <v>20</v>
      </c>
      <c r="M609" t="s">
        <v>1350</v>
      </c>
      <c r="N609" t="s">
        <v>14</v>
      </c>
    </row>
    <row r="610" x14ac:dyDescent="0.25">
      <c r="A610" t="n">
        <v>25</v>
      </c>
      <c r="B610" t="s">
        <v>14</v>
      </c>
      <c r="C610" t="s">
        <v>51</v>
      </c>
      <c r="D610" s="2" t="s">
        <f>=HYPERLINK("https://main.knesset.gov.il/APPS/legislation/main/bills/2239806", "הצעת חוק תרגום תעודות ציבוריות, התשפ""ו-2026")</f>
        <v>1379</v>
      </c>
      <c r="E610" t="s">
        <v>1379</v>
      </c>
      <c r="F610" t="s">
        <v>1380</v>
      </c>
      <c r="G610" t="s">
        <v>14</v>
      </c>
      <c r="H610">
             </c>
      <c r="I610" t="s">
        <v>14</v>
      </c>
      <c r="J610" t="s">
        <v>202</v>
      </c>
      <c r="K610" t="s">
        <v>14</v>
      </c>
      <c r="L610" t="s">
        <v>20</v>
      </c>
      <c r="M610" t="s">
        <v>1350</v>
      </c>
      <c r="N610" t="s">
        <v>14</v>
      </c>
    </row>
    <row r="611" x14ac:dyDescent="0.25">
      <c r="A611" t="n">
        <v>25</v>
      </c>
      <c r="B611" t="s">
        <v>14</v>
      </c>
      <c r="C611" t="s">
        <v>51</v>
      </c>
      <c r="D611" s="2" t="s">
        <f>=HYPERLINK("https://main.knesset.gov.il/APPS/legislation/main/bills/2239038", "הצעת חוק עובדים זרים (תיקון - הפחתת אגרות), התשפ""ו-2026")</f>
        <v>1381</v>
      </c>
      <c r="E611" t="s">
        <v>1381</v>
      </c>
      <c r="F611" t="s">
        <v>1382</v>
      </c>
      <c r="G611" t="s">
        <v>14</v>
      </c>
      <c r="H611">
             </c>
      <c r="I611" t="s">
        <v>14</v>
      </c>
      <c r="J611" t="s">
        <v>242</v>
      </c>
      <c r="K611" t="s">
        <v>14</v>
      </c>
      <c r="L611" t="s">
        <v>20</v>
      </c>
      <c r="M611" t="s">
        <v>1350</v>
      </c>
      <c r="N611" t="s">
        <v>14</v>
      </c>
    </row>
    <row r="612" x14ac:dyDescent="0.25">
      <c r="A612" t="n">
        <v>25</v>
      </c>
      <c r="B612" t="s">
        <v>14</v>
      </c>
      <c r="C612" t="s">
        <v>51</v>
      </c>
      <c r="D612" s="2" t="s">
        <f>=HYPERLINK("https://main.knesset.gov.il/APPS/legislation/main/bills/2239801", "הצעת חוק התגמולים לנפגעי פעולות איבה (תיקון - הארכת מועד לתביעת גמלה והתקופה שבעדה תשולם), התשפ""ו-2026")</f>
        <v>1383</v>
      </c>
      <c r="E612" t="s">
        <v>1383</v>
      </c>
      <c r="F612" t="s">
        <v>1384</v>
      </c>
      <c r="G612" t="s">
        <v>14</v>
      </c>
      <c r="H612">
             </c>
      <c r="I612" t="s">
        <v>14</v>
      </c>
      <c r="J612" t="s">
        <v>202</v>
      </c>
      <c r="K612" t="s">
        <v>14</v>
      </c>
      <c r="L612" t="s">
        <v>20</v>
      </c>
      <c r="M612" t="s">
        <v>1350</v>
      </c>
      <c r="N612" t="s">
        <v>14</v>
      </c>
    </row>
    <row r="613" x14ac:dyDescent="0.25">
      <c r="A613" t="n">
        <v>25</v>
      </c>
      <c r="B613" t="s">
        <v>14</v>
      </c>
      <c r="C613" t="s">
        <v>51</v>
      </c>
      <c r="D613" s="2" t="s">
        <f>=HYPERLINK("https://main.knesset.gov.il/APPS/legislation/main/bills/2229809", "הצעת חוק הכרה בשפת הסימנים הישראלית, התשפ""ה-2025")</f>
        <v>1385</v>
      </c>
      <c r="E613" t="s">
        <v>1385</v>
      </c>
      <c r="F613" t="s">
        <v>1386</v>
      </c>
      <c r="G613" t="s">
        <v>14</v>
      </c>
      <c r="H613">
             </c>
      <c r="I613" t="s">
        <v>14</v>
      </c>
      <c r="J613" t="s">
        <v>183</v>
      </c>
      <c r="K613" t="s">
        <v>79</v>
      </c>
      <c r="L613" t="s">
        <v>20</v>
      </c>
      <c r="M613" t="s">
        <v>1387</v>
      </c>
      <c r="N613" t="s">
        <v>14</v>
      </c>
    </row>
    <row r="614" x14ac:dyDescent="0.25">
      <c r="A614" t="n">
        <v>25</v>
      </c>
      <c r="B614" t="s">
        <v>14</v>
      </c>
      <c r="C614" t="s">
        <v>15</v>
      </c>
      <c r="D614" s="2" t="s">
        <f>=HYPERLINK("https://main.knesset.gov.il/APPS/legislation/main/bills/1046557", "חוק לתיקון ולהארכת תוקפן של תקנות שעת חירום (חרבות ברזל) (פגישה עם עורך דין של עצור בעבירת ביטחון) (תיקון מס' 7), התשפ""ו-2026")</f>
        <v>1388</v>
      </c>
      <c r="E614" t="s">
        <v>1388</v>
      </c>
      <c r="F614" t="s">
        <v>14</v>
      </c>
      <c r="G614" t="s">
        <v>1389</v>
      </c>
      <c r="H614" t="n">
        <v>3494</v>
      </c>
      <c r="I614" t="s">
        <v>14</v>
      </c>
      <c r="J614" t="s">
        <v>18</v>
      </c>
      <c r="K614" t="s">
        <v>27</v>
      </c>
      <c r="L614" t="s">
        <v>20</v>
      </c>
      <c r="M614" t="s">
        <v>1387</v>
      </c>
      <c r="N614" t="s">
        <v>1390</v>
      </c>
    </row>
    <row r="615" x14ac:dyDescent="0.25">
      <c r="A615" t="n">
        <v>25</v>
      </c>
      <c r="B615" t="s">
        <v>14</v>
      </c>
      <c r="C615" t="s">
        <v>51</v>
      </c>
      <c r="D615" s="2" t="s">
        <f>=HYPERLINK("https://main.knesset.gov.il/APPS/legislation/main/bills/2238071", "הצעת חוק הביטוח הלאומי (תיקון - דמי לידה לעצמאיות - מתן זכות לעבודה חלקית), התשפ""ו-2025")</f>
        <v>1391</v>
      </c>
      <c r="E615" t="s">
        <v>1391</v>
      </c>
      <c r="F615" t="s">
        <v>1392</v>
      </c>
      <c r="G615" t="s">
        <v>14</v>
      </c>
      <c r="H615">
             </c>
      <c r="I615" t="s">
        <v>14</v>
      </c>
      <c r="J615" t="s">
        <v>152</v>
      </c>
      <c r="K615" t="s">
        <v>46</v>
      </c>
      <c r="L615" t="s">
        <v>20</v>
      </c>
      <c r="M615" t="s">
        <v>1387</v>
      </c>
      <c r="N615" t="s">
        <v>14</v>
      </c>
    </row>
    <row r="616" x14ac:dyDescent="0.25">
      <c r="A616" t="n">
        <v>25</v>
      </c>
      <c r="B616" t="s">
        <v>14</v>
      </c>
      <c r="C616" t="s">
        <v>51</v>
      </c>
      <c r="D616" s="2" t="s">
        <f>=HYPERLINK("https://main.knesset.gov.il/APPS/legislation/main/bills/2237962", "הצעת חוק הביטוח הלאומי (תיקון - חישוב תגמולי מילואים בתקופת חירום), התשפ""ו-2025")</f>
        <v>1393</v>
      </c>
      <c r="E616" t="s">
        <v>1393</v>
      </c>
      <c r="F616" t="s">
        <v>1394</v>
      </c>
      <c r="G616" t="s">
        <v>14</v>
      </c>
      <c r="H616">
             </c>
      <c r="I616" t="s">
        <v>14</v>
      </c>
      <c r="J616" t="s">
        <v>202</v>
      </c>
      <c r="K616" t="s">
        <v>14</v>
      </c>
      <c r="L616" t="s">
        <v>20</v>
      </c>
      <c r="M616" t="s">
        <v>1387</v>
      </c>
      <c r="N616" t="s">
        <v>14</v>
      </c>
    </row>
    <row r="617" x14ac:dyDescent="0.25">
      <c r="A617" t="n">
        <v>25</v>
      </c>
      <c r="B617" t="s">
        <v>14</v>
      </c>
      <c r="C617" t="s">
        <v>51</v>
      </c>
      <c r="D617" s="2" t="s">
        <f>=HYPERLINK("https://main.knesset.gov.il/APPS/legislation/main/bills/2237107", "הצעת חוק הביטוח הלאומי (תיקון - חישוב תגמולי מילואים בתקופת חירום), התשפ""ו-2025")</f>
        <v>1393</v>
      </c>
      <c r="E617" t="s">
        <v>1393</v>
      </c>
      <c r="F617" t="s">
        <v>1395</v>
      </c>
      <c r="G617" t="s">
        <v>14</v>
      </c>
      <c r="H617">
             </c>
      <c r="I617" t="s">
        <v>14</v>
      </c>
      <c r="J617" t="s">
        <v>202</v>
      </c>
      <c r="K617" t="s">
        <v>14</v>
      </c>
      <c r="L617" t="s">
        <v>20</v>
      </c>
      <c r="M617" t="s">
        <v>1387</v>
      </c>
      <c r="N617" t="s">
        <v>14</v>
      </c>
    </row>
    <row r="618" x14ac:dyDescent="0.25">
      <c r="A618" t="n">
        <v>25</v>
      </c>
      <c r="B618" t="s">
        <v>14</v>
      </c>
      <c r="C618" t="s">
        <v>51</v>
      </c>
      <c r="D618" s="2" t="s">
        <f>=HYPERLINK("https://main.knesset.gov.il/APPS/legislation/main/bills/2236166", "הצעת חוק סמכויות לשם מניעת ביצוע עבירות באמצעות אתר אינטרנט (תיקון - מניעת הונאות באמצעי תשלום), התשפ""ו-2025")</f>
        <v>1396</v>
      </c>
      <c r="E618" t="s">
        <v>1396</v>
      </c>
      <c r="F618" t="s">
        <v>1397</v>
      </c>
      <c r="G618" t="s">
        <v>14</v>
      </c>
      <c r="H618">
             </c>
      <c r="I618" t="s">
        <v>14</v>
      </c>
      <c r="J618" t="s">
        <v>202</v>
      </c>
      <c r="K618" t="s">
        <v>14</v>
      </c>
      <c r="L618" t="s">
        <v>20</v>
      </c>
      <c r="M618" t="s">
        <v>1387</v>
      </c>
      <c r="N618" t="s">
        <v>14</v>
      </c>
    </row>
    <row r="619" x14ac:dyDescent="0.25">
      <c r="A619" t="n">
        <v>25</v>
      </c>
      <c r="B619" t="s">
        <v>14</v>
      </c>
      <c r="C619" t="s">
        <v>51</v>
      </c>
      <c r="D619" s="2" t="s">
        <f>=HYPERLINK("https://main.knesset.gov.il/APPS/legislation/main/bills/2236541", "הצעת חוק השיפוט הצבאי (תיקון - כפיפות הפרקליט הצבאי הראשי), התשפ""ו-2025")</f>
        <v>1398</v>
      </c>
      <c r="E619" t="s">
        <v>1398</v>
      </c>
      <c r="F619" t="s">
        <v>1399</v>
      </c>
      <c r="G619" t="s">
        <v>14</v>
      </c>
      <c r="H619">
             </c>
      <c r="I619" t="s">
        <v>14</v>
      </c>
      <c r="J619" t="s">
        <v>202</v>
      </c>
      <c r="K619" t="s">
        <v>14</v>
      </c>
      <c r="L619" t="s">
        <v>20</v>
      </c>
      <c r="M619" t="s">
        <v>1387</v>
      </c>
      <c r="N619" t="s">
        <v>14</v>
      </c>
    </row>
    <row r="620" x14ac:dyDescent="0.25">
      <c r="A620" t="n">
        <v>25</v>
      </c>
      <c r="B620" t="s">
        <v>14</v>
      </c>
      <c r="C620" t="s">
        <v>51</v>
      </c>
      <c r="D620" s="2" t="s">
        <f>=HYPERLINK("https://main.knesset.gov.il/APPS/legislation/main/bills/2235480", "הצעת חוק הביטוח הלאומי (תיקון - גמלת שאירים לאלמנה שנישאה מחדש), התשפ""ו-2025")</f>
        <v>1400</v>
      </c>
      <c r="E620" t="s">
        <v>1400</v>
      </c>
      <c r="F620" t="s">
        <v>1401</v>
      </c>
      <c r="G620" t="s">
        <v>14</v>
      </c>
      <c r="H620">
             </c>
      <c r="I620" t="s">
        <v>14</v>
      </c>
      <c r="J620" t="s">
        <v>202</v>
      </c>
      <c r="K620" t="s">
        <v>14</v>
      </c>
      <c r="L620" t="s">
        <v>20</v>
      </c>
      <c r="M620" t="s">
        <v>1387</v>
      </c>
      <c r="N620" t="s">
        <v>14</v>
      </c>
    </row>
    <row r="621" x14ac:dyDescent="0.25">
      <c r="A621" t="n">
        <v>25</v>
      </c>
      <c r="B621" t="s">
        <v>14</v>
      </c>
      <c r="C621" t="s">
        <v>51</v>
      </c>
      <c r="D621" s="2" t="s">
        <f>=HYPERLINK("https://main.knesset.gov.il/APPS/legislation/main/bills/2235125", "הצעת חוק משפחות חיילים שנספו במערכה (תגמולים ושיקום) (תיקון - ועדת חריגים להכרה בנספה), התשפ""ו-2025")</f>
        <v>1402</v>
      </c>
      <c r="E621" t="s">
        <v>1402</v>
      </c>
      <c r="F621" t="s">
        <v>1403</v>
      </c>
      <c r="G621" t="s">
        <v>14</v>
      </c>
      <c r="H621">
             </c>
      <c r="I621" t="s">
        <v>14</v>
      </c>
      <c r="J621" t="s">
        <v>193</v>
      </c>
      <c r="K621" t="s">
        <v>14</v>
      </c>
      <c r="L621" t="s">
        <v>20</v>
      </c>
      <c r="M621" t="s">
        <v>1387</v>
      </c>
      <c r="N621" t="s">
        <v>14</v>
      </c>
    </row>
    <row r="622" x14ac:dyDescent="0.25">
      <c r="A622" t="n">
        <v>25</v>
      </c>
      <c r="B622" t="s">
        <v>14</v>
      </c>
      <c r="C622" t="s">
        <v>51</v>
      </c>
      <c r="D622" s="2" t="s">
        <f>=HYPERLINK("https://main.knesset.gov.il/APPS/legislation/main/bills/2232909", "הצעת חוק המרכז להנצחת זכרו ומורשתו של זאב ז'בוטינסקי, התשפ""ה-2025")</f>
        <v>1404</v>
      </c>
      <c r="E622" t="s">
        <v>1404</v>
      </c>
      <c r="F622" t="s">
        <v>1405</v>
      </c>
      <c r="G622" t="s">
        <v>14</v>
      </c>
      <c r="H622">
             </c>
      <c r="I622" t="s">
        <v>14</v>
      </c>
      <c r="J622" t="s">
        <v>202</v>
      </c>
      <c r="K622" t="s">
        <v>14</v>
      </c>
      <c r="L622" t="s">
        <v>20</v>
      </c>
      <c r="M622" t="s">
        <v>1387</v>
      </c>
      <c r="N622" t="s">
        <v>14</v>
      </c>
    </row>
    <row r="623" x14ac:dyDescent="0.25">
      <c r="A623" t="n">
        <v>25</v>
      </c>
      <c r="B623" t="s">
        <v>14</v>
      </c>
      <c r="C623" t="s">
        <v>51</v>
      </c>
      <c r="D623" s="2" t="s">
        <f>=HYPERLINK("https://main.knesset.gov.il/APPS/legislation/main/bills/2232716", "הצעת חוק המרכז להנצחת זכרו ומורשתו של זאב ז'בוטינסקי, התשפ""ה-2025")</f>
        <v>1404</v>
      </c>
      <c r="E623" t="s">
        <v>1404</v>
      </c>
      <c r="F623" t="s">
        <v>1406</v>
      </c>
      <c r="G623" t="s">
        <v>14</v>
      </c>
      <c r="H623">
             </c>
      <c r="I623" t="s">
        <v>14</v>
      </c>
      <c r="J623" t="s">
        <v>202</v>
      </c>
      <c r="K623" t="s">
        <v>14</v>
      </c>
      <c r="L623" t="s">
        <v>20</v>
      </c>
      <c r="M623" t="s">
        <v>1387</v>
      </c>
      <c r="N623" t="s">
        <v>14</v>
      </c>
    </row>
    <row r="624" x14ac:dyDescent="0.25">
      <c r="A624" t="n">
        <v>25</v>
      </c>
      <c r="B624" t="s">
        <v>14</v>
      </c>
      <c r="C624" t="s">
        <v>51</v>
      </c>
      <c r="D624" s="2" t="s">
        <f>=HYPERLINK("https://main.knesset.gov.il/APPS/legislation/main/bills/2230973", "הצעת חוק להנצחת זכרו של הרב מאיר נסים מאזוז, התשפ""ה-2025")</f>
        <v>1407</v>
      </c>
      <c r="E624" t="s">
        <v>1407</v>
      </c>
      <c r="F624" t="s">
        <v>1408</v>
      </c>
      <c r="G624" t="s">
        <v>14</v>
      </c>
      <c r="H624">
             </c>
      <c r="I624" t="s">
        <v>14</v>
      </c>
      <c r="J624" t="s">
        <v>202</v>
      </c>
      <c r="K624" t="s">
        <v>14</v>
      </c>
      <c r="L624" t="s">
        <v>20</v>
      </c>
      <c r="M624" t="s">
        <v>1387</v>
      </c>
      <c r="N624" t="s">
        <v>14</v>
      </c>
    </row>
    <row r="625" x14ac:dyDescent="0.25">
      <c r="A625" t="n">
        <v>25</v>
      </c>
      <c r="B625" t="s">
        <v>14</v>
      </c>
      <c r="C625" t="s">
        <v>51</v>
      </c>
      <c r="D625" s="2" t="s">
        <f>=HYPERLINK("https://main.knesset.gov.il/APPS/legislation/main/bills/2230761", "הצעת חוק העונשין (תיקון - פרשנות מקלה בפלילים), התשפ""ה-2025")</f>
        <v>1409</v>
      </c>
      <c r="E625" t="s">
        <v>1409</v>
      </c>
      <c r="F625" t="s">
        <v>1410</v>
      </c>
      <c r="G625" t="s">
        <v>14</v>
      </c>
      <c r="H625">
             </c>
      <c r="I625" t="s">
        <v>14</v>
      </c>
      <c r="J625" t="s">
        <v>202</v>
      </c>
      <c r="K625" t="s">
        <v>14</v>
      </c>
      <c r="L625" t="s">
        <v>20</v>
      </c>
      <c r="M625" t="s">
        <v>1387</v>
      </c>
      <c r="N625" t="s">
        <v>14</v>
      </c>
    </row>
    <row r="626" x14ac:dyDescent="0.25">
      <c r="A626" t="n">
        <v>25</v>
      </c>
      <c r="B626" t="s">
        <v>14</v>
      </c>
      <c r="C626" t="s">
        <v>51</v>
      </c>
      <c r="D626" s="2" t="s">
        <f>=HYPERLINK("https://main.knesset.gov.il/APPS/legislation/main/bills/2225837", "הצעת חוק השידור הציבורי הישראלי (תיקון - הפסקת שידורי חדשות ועידוד הפקות מקור ויצירה ישראלית בתאגיד השידור הישראלי), התשפ""ה-2025")</f>
        <v>1411</v>
      </c>
      <c r="E626" t="s">
        <v>1411</v>
      </c>
      <c r="F626" t="s">
        <v>1412</v>
      </c>
      <c r="G626" t="s">
        <v>14</v>
      </c>
      <c r="H626">
             </c>
      <c r="I626" t="s">
        <v>14</v>
      </c>
      <c r="J626" t="s">
        <v>202</v>
      </c>
      <c r="K626" t="s">
        <v>14</v>
      </c>
      <c r="L626" t="s">
        <v>20</v>
      </c>
      <c r="M626" t="s">
        <v>1387</v>
      </c>
      <c r="N626" t="s">
        <v>14</v>
      </c>
    </row>
    <row r="627" x14ac:dyDescent="0.25">
      <c r="A627" t="n">
        <v>25</v>
      </c>
      <c r="B627" t="s">
        <v>14</v>
      </c>
      <c r="C627" t="s">
        <v>51</v>
      </c>
      <c r="D627" s="2" t="s">
        <f>=HYPERLINK("https://main.knesset.gov.il/APPS/legislation/main/bills/2226882", "הצעת חוק לשינוי מתכונת השידור הציבורי ולהסדרת שידורי רדיו ארציים (תיקוני חקיקה), התשפ""ה-2025")</f>
        <v>1413</v>
      </c>
      <c r="E627" t="s">
        <v>1413</v>
      </c>
      <c r="F627" t="s">
        <v>1414</v>
      </c>
      <c r="G627" t="s">
        <v>14</v>
      </c>
      <c r="H627">
             </c>
      <c r="I627" t="s">
        <v>14</v>
      </c>
      <c r="J627" t="s">
        <v>202</v>
      </c>
      <c r="K627" t="s">
        <v>14</v>
      </c>
      <c r="L627" t="s">
        <v>20</v>
      </c>
      <c r="M627" t="s">
        <v>1387</v>
      </c>
      <c r="N627" t="s">
        <v>14</v>
      </c>
    </row>
    <row r="628" x14ac:dyDescent="0.25">
      <c r="A628" t="n">
        <v>25</v>
      </c>
      <c r="B628" t="s">
        <v>14</v>
      </c>
      <c r="C628" t="s">
        <v>51</v>
      </c>
      <c r="D628" s="2" t="s">
        <f>=HYPERLINK("https://main.knesset.gov.il/APPS/legislation/main/bills/2223848", "הצעת חוק מענה אנושי ללא תשלום לאזרחים ותיקים (תיקוני חקיקה), התשפ""ה-2024")</f>
        <v>1415</v>
      </c>
      <c r="E628" t="s">
        <v>1415</v>
      </c>
      <c r="F628" t="s">
        <v>1416</v>
      </c>
      <c r="G628" t="s">
        <v>14</v>
      </c>
      <c r="H628">
             </c>
      <c r="I628" t="s">
        <v>14</v>
      </c>
      <c r="J628" t="s">
        <v>202</v>
      </c>
      <c r="K628" t="s">
        <v>14</v>
      </c>
      <c r="L628" t="s">
        <v>20</v>
      </c>
      <c r="M628" t="s">
        <v>1387</v>
      </c>
      <c r="N628" t="s">
        <v>14</v>
      </c>
    </row>
    <row r="629" x14ac:dyDescent="0.25">
      <c r="A629" t="n">
        <v>25</v>
      </c>
      <c r="B629" t="s">
        <v>14</v>
      </c>
      <c r="C629" t="s">
        <v>51</v>
      </c>
      <c r="D629" s="2" t="s">
        <f>=HYPERLINK("https://main.knesset.gov.il/APPS/legislation/main/bills/2224971", "הצעת חוק חינוך ממלכתי (תיקון - חינוך ממלכתי חרדי), התשפ""ה-2024")</f>
        <v>1417</v>
      </c>
      <c r="E629" t="s">
        <v>1417</v>
      </c>
      <c r="F629" t="s">
        <v>1418</v>
      </c>
      <c r="G629" t="s">
        <v>14</v>
      </c>
      <c r="H629">
             </c>
      <c r="I629" t="s">
        <v>14</v>
      </c>
      <c r="J629" t="s">
        <v>193</v>
      </c>
      <c r="K629" t="s">
        <v>14</v>
      </c>
      <c r="L629" t="s">
        <v>20</v>
      </c>
      <c r="M629" t="s">
        <v>1387</v>
      </c>
      <c r="N629" t="s">
        <v>14</v>
      </c>
    </row>
    <row r="630" x14ac:dyDescent="0.25">
      <c r="A630" t="n">
        <v>25</v>
      </c>
      <c r="B630" t="s">
        <v>14</v>
      </c>
      <c r="C630" t="s">
        <v>51</v>
      </c>
      <c r="D630" s="2" t="s">
        <f>=HYPERLINK("https://main.knesset.gov.il/APPS/legislation/main/bills/2222055", "הצעת חוק הבנקאות (שירות ללקוח) (תיקון - ביטול עמלת שורה ודמי משמרת), התשפ""ה-2024 ")</f>
        <v>1419</v>
      </c>
      <c r="E630" t="s">
        <v>1419</v>
      </c>
      <c r="F630" t="s">
        <v>1420</v>
      </c>
      <c r="G630" t="s">
        <v>14</v>
      </c>
      <c r="H630">
             </c>
      <c r="I630" t="s">
        <v>14</v>
      </c>
      <c r="J630" t="s">
        <v>202</v>
      </c>
      <c r="K630" t="s">
        <v>14</v>
      </c>
      <c r="L630" t="s">
        <v>20</v>
      </c>
      <c r="M630" t="s">
        <v>1387</v>
      </c>
      <c r="N630" t="s">
        <v>14</v>
      </c>
    </row>
    <row r="631" x14ac:dyDescent="0.25">
      <c r="A631" t="n">
        <v>25</v>
      </c>
      <c r="B631" t="s">
        <v>14</v>
      </c>
      <c r="C631" t="s">
        <v>51</v>
      </c>
      <c r="D631" s="2" t="s">
        <f>=HYPERLINK("https://main.knesset.gov.il/APPS/legislation/main/bills/2219047", "הצעת חוק שירות הביטחון הכללי (תיקון - קיום בדיקת פוליגרף תקופתית לעובדי מערכת אכיפת החוק), התשפ""ד-2024")</f>
        <v>1421</v>
      </c>
      <c r="E631" t="s">
        <v>1421</v>
      </c>
      <c r="F631" t="s">
        <v>1422</v>
      </c>
      <c r="G631" t="s">
        <v>14</v>
      </c>
      <c r="H631">
             </c>
      <c r="I631" t="s">
        <v>14</v>
      </c>
      <c r="J631" t="s">
        <v>202</v>
      </c>
      <c r="K631" t="s">
        <v>14</v>
      </c>
      <c r="L631" t="s">
        <v>20</v>
      </c>
      <c r="M631" t="s">
        <v>1387</v>
      </c>
      <c r="N631" t="s">
        <v>14</v>
      </c>
    </row>
    <row r="632" x14ac:dyDescent="0.25">
      <c r="A632" t="n">
        <v>25</v>
      </c>
      <c r="B632" t="s">
        <v>14</v>
      </c>
      <c r="C632" t="s">
        <v>51</v>
      </c>
      <c r="D632" s="2" t="s">
        <f>=HYPERLINK("https://main.knesset.gov.il/APPS/legislation/main/bills/2198520", "הצעת חוק רשות מקרקעי ישראל (תיקון - ייצוג הולם לאוכלוסייה החרדית במועצת הרשות), התשפ""ג-2023")</f>
        <v>1423</v>
      </c>
      <c r="E632" t="s">
        <v>1423</v>
      </c>
      <c r="F632" t="s">
        <v>1424</v>
      </c>
      <c r="G632" t="s">
        <v>14</v>
      </c>
      <c r="H632">
             </c>
      <c r="I632" t="s">
        <v>14</v>
      </c>
      <c r="J632" t="s">
        <v>202</v>
      </c>
      <c r="K632" t="s">
        <v>14</v>
      </c>
      <c r="L632" t="s">
        <v>20</v>
      </c>
      <c r="M632" t="s">
        <v>1387</v>
      </c>
      <c r="N632" t="s">
        <v>14</v>
      </c>
    </row>
    <row r="633" x14ac:dyDescent="0.25">
      <c r="A633" t="n">
        <v>25</v>
      </c>
      <c r="B633" t="s">
        <v>14</v>
      </c>
      <c r="C633" t="s">
        <v>51</v>
      </c>
      <c r="D633" s="2" t="s">
        <f>=HYPERLINK("https://main.knesset.gov.il/APPS/legislation/main/bills/2197806", "הצעת חוק מועצת עורכי הדין בישראל, התשפ""ג-2022")</f>
        <v>1425</v>
      </c>
      <c r="E633" t="s">
        <v>1425</v>
      </c>
      <c r="F633" t="s">
        <v>1426</v>
      </c>
      <c r="G633" t="s">
        <v>14</v>
      </c>
      <c r="H633">
             </c>
      <c r="I633" t="s">
        <v>14</v>
      </c>
      <c r="J633" t="s">
        <v>152</v>
      </c>
      <c r="K633" t="s">
        <v>42</v>
      </c>
      <c r="L633" t="s">
        <v>20</v>
      </c>
      <c r="M633" t="s">
        <v>1387</v>
      </c>
      <c r="N633" t="s">
        <v>14</v>
      </c>
    </row>
    <row r="634" x14ac:dyDescent="0.25">
      <c r="A634" t="n">
        <v>25</v>
      </c>
      <c r="B634" t="s">
        <v>14</v>
      </c>
      <c r="C634" t="s">
        <v>51</v>
      </c>
      <c r="D634" s="2" t="s">
        <f>=HYPERLINK("https://main.knesset.gov.il/APPS/legislation/main/bills/2229238", "הצעת חוק החברות הממשלתיות (תיקון - הרחבת הייצוג והגיוון בחברות הממשלתיות), התשפ""ה-2025")</f>
        <v>1427</v>
      </c>
      <c r="E634" t="s">
        <v>1427</v>
      </c>
      <c r="F634" t="s">
        <v>1428</v>
      </c>
      <c r="G634" t="s">
        <v>14</v>
      </c>
      <c r="H634">
             </c>
      <c r="I634" t="s">
        <v>14</v>
      </c>
      <c r="J634" t="s">
        <v>152</v>
      </c>
      <c r="K634" t="s">
        <v>27</v>
      </c>
      <c r="L634" t="s">
        <v>20</v>
      </c>
      <c r="M634" t="s">
        <v>1429</v>
      </c>
      <c r="N634" t="s">
        <v>14</v>
      </c>
    </row>
    <row r="635" x14ac:dyDescent="0.25">
      <c r="A635" t="n">
        <v>25</v>
      </c>
      <c r="B635" t="s">
        <v>14</v>
      </c>
      <c r="C635" t="s">
        <v>51</v>
      </c>
      <c r="D635" s="2" t="s">
        <f>=HYPERLINK("https://main.knesset.gov.il/APPS/legislation/main/bills/2233344", "הצעת חוק אומנה לילדים (תיקון - העלאת גיל אומן), התשפ""ה-2025")</f>
        <v>1430</v>
      </c>
      <c r="E635" t="s">
        <v>1430</v>
      </c>
      <c r="F635" t="s">
        <v>1431</v>
      </c>
      <c r="G635" t="s">
        <v>14</v>
      </c>
      <c r="H635">
             </c>
      <c r="I635" t="s">
        <v>14</v>
      </c>
      <c r="J635" t="s">
        <v>183</v>
      </c>
      <c r="K635" t="s">
        <v>46</v>
      </c>
      <c r="L635" t="s">
        <v>20</v>
      </c>
      <c r="M635" t="s">
        <v>1429</v>
      </c>
      <c r="N635" t="s">
        <v>14</v>
      </c>
    </row>
    <row r="636" x14ac:dyDescent="0.25">
      <c r="A636" t="n">
        <v>25</v>
      </c>
      <c r="B636" t="s">
        <v>14</v>
      </c>
      <c r="C636" t="s">
        <v>51</v>
      </c>
      <c r="D636" s="2" t="s">
        <f>=HYPERLINK("https://main.knesset.gov.il/APPS/legislation/main/bills/2197950", "הצעת חוק החברות הממשלתיות (תיקון - כשירות מיוחדת), התשפ""ג-2022")</f>
        <v>1432</v>
      </c>
      <c r="E636" t="s">
        <v>1432</v>
      </c>
      <c r="F636" t="s">
        <v>1433</v>
      </c>
      <c r="G636" t="s">
        <v>14</v>
      </c>
      <c r="H636">
             </c>
      <c r="I636" t="s">
        <v>14</v>
      </c>
      <c r="J636" t="s">
        <v>152</v>
      </c>
      <c r="K636" t="s">
        <v>27</v>
      </c>
      <c r="L636" t="s">
        <v>20</v>
      </c>
      <c r="M636" t="s">
        <v>1429</v>
      </c>
      <c r="N636" t="s">
        <v>14</v>
      </c>
    </row>
    <row r="637" x14ac:dyDescent="0.25">
      <c r="A637" t="n">
        <v>25</v>
      </c>
      <c r="B637" t="s">
        <v>14</v>
      </c>
      <c r="C637" t="s">
        <v>15</v>
      </c>
      <c r="D637" s="2" t="s">
        <f>=HYPERLINK("https://main.knesset.gov.il/APPS/legislation/main/bills/1046556", "חוק לתיקון ולהארכת תוקפן של תקנות שעת חירום (חרבות ברזל) (הארכת מעצר לחשוד בעבירת ביטחון) (תיקון מס' 8), התשפ""ו-2026")</f>
        <v>1434</v>
      </c>
      <c r="E637" t="s">
        <v>1434</v>
      </c>
      <c r="F637" t="s">
        <v>14</v>
      </c>
      <c r="G637" t="s">
        <v>1435</v>
      </c>
      <c r="H637" t="n">
        <v>3491</v>
      </c>
      <c r="I637" t="s">
        <v>14</v>
      </c>
      <c r="J637" t="s">
        <v>18</v>
      </c>
      <c r="K637" t="s">
        <v>27</v>
      </c>
      <c r="L637" t="s">
        <v>20</v>
      </c>
      <c r="M637" t="s">
        <v>1436</v>
      </c>
      <c r="N637" t="s">
        <v>1437</v>
      </c>
    </row>
    <row r="638" x14ac:dyDescent="0.25">
      <c r="A638" t="n">
        <v>25</v>
      </c>
      <c r="B638" t="s">
        <v>14</v>
      </c>
      <c r="C638" t="s">
        <v>51</v>
      </c>
      <c r="D638" s="2" t="s">
        <f>=HYPERLINK("https://main.knesset.gov.il/APPS/legislation/main/bills/2228305", "הצעת חוק העונשין (תיקון - החמרת ענישה בעבירות החזקת נשק שלא כדין), התשפ""ה-2025")</f>
        <v>1438</v>
      </c>
      <c r="E638" t="s">
        <v>1438</v>
      </c>
      <c r="F638" t="s">
        <v>1439</v>
      </c>
      <c r="G638" t="s">
        <v>14</v>
      </c>
      <c r="H638">
             </c>
      <c r="I638" t="s">
        <v>14</v>
      </c>
      <c r="J638" t="s">
        <v>152</v>
      </c>
      <c r="K638" t="s">
        <v>27</v>
      </c>
      <c r="L638" t="s">
        <v>20</v>
      </c>
      <c r="M638" t="s">
        <v>1436</v>
      </c>
      <c r="N638" t="s">
        <v>14</v>
      </c>
    </row>
    <row r="639" x14ac:dyDescent="0.25">
      <c r="A639" t="n">
        <v>25</v>
      </c>
      <c r="B639" t="s">
        <v>14</v>
      </c>
      <c r="C639" t="s">
        <v>51</v>
      </c>
      <c r="D639" s="2" t="s">
        <f>=HYPERLINK("https://main.knesset.gov.il/APPS/legislation/main/bills/2205932", "הצעת חוק העונשין (תיקון - החמרת ענישה בגין ירי מנשק חם שלא כדין), התשפ""ג-2023")</f>
        <v>1440</v>
      </c>
      <c r="E639" t="s">
        <v>1440</v>
      </c>
      <c r="F639" t="s">
        <v>1441</v>
      </c>
      <c r="G639" t="s">
        <v>14</v>
      </c>
      <c r="H639">
             </c>
      <c r="I639" t="s">
        <v>14</v>
      </c>
      <c r="J639" t="s">
        <v>152</v>
      </c>
      <c r="K639" t="s">
        <v>27</v>
      </c>
      <c r="L639" t="s">
        <v>20</v>
      </c>
      <c r="M639" t="s">
        <v>1436</v>
      </c>
      <c r="N639" t="s">
        <v>14</v>
      </c>
    </row>
    <row r="640" x14ac:dyDescent="0.25">
      <c r="A640" t="n">
        <v>25</v>
      </c>
      <c r="B640" t="s">
        <v>14</v>
      </c>
      <c r="C640" t="s">
        <v>15</v>
      </c>
      <c r="D640" s="2" t="s">
        <f>=HYPERLINK("https://main.knesset.gov.il/APPS/legislation/main/bills/2230015", "חוק משפחות חיילים שנספו במערכה (תגמולים ושיקום) (תיקון מס' 47), התשפ""ו-2026")</f>
        <v>1442</v>
      </c>
      <c r="E640" t="s">
        <v>1442</v>
      </c>
      <c r="F640" t="s">
        <v>14</v>
      </c>
      <c r="G640" t="s">
        <v>1443</v>
      </c>
      <c r="H640" t="n">
        <v>3493</v>
      </c>
      <c r="I640" t="s">
        <v>14</v>
      </c>
      <c r="J640" t="s">
        <v>18</v>
      </c>
      <c r="K640" t="s">
        <v>46</v>
      </c>
      <c r="L640" t="s">
        <v>20</v>
      </c>
      <c r="M640" t="s">
        <v>1436</v>
      </c>
      <c r="N640" t="s">
        <v>1444</v>
      </c>
    </row>
    <row r="641" x14ac:dyDescent="0.25">
      <c r="A641" t="n">
        <v>25</v>
      </c>
      <c r="B641" t="s">
        <v>14</v>
      </c>
      <c r="C641" t="s">
        <v>15</v>
      </c>
      <c r="D641" s="2" t="s">
        <f>=HYPERLINK("https://main.knesset.gov.il/APPS/legislation/main/bills/1046420", "חוק התמודדות עם תקיפות סייבר חמורות במגזר השירותים הדיגיטליים ושירותי האחסון (הוראת שעה) (תיקון מס' 4), התשפ""ו-2026")</f>
        <v>1445</v>
      </c>
      <c r="E641" t="s">
        <v>1445</v>
      </c>
      <c r="F641" t="s">
        <v>14</v>
      </c>
      <c r="G641" t="s">
        <v>1446</v>
      </c>
      <c r="H641" t="n">
        <v>3492</v>
      </c>
      <c r="I641" t="s">
        <v>14</v>
      </c>
      <c r="J641" t="s">
        <v>18</v>
      </c>
      <c r="K641" t="s">
        <v>39</v>
      </c>
      <c r="L641" t="s">
        <v>20</v>
      </c>
      <c r="M641" t="s">
        <v>1436</v>
      </c>
      <c r="N641" t="s">
        <v>1447</v>
      </c>
    </row>
    <row r="642" x14ac:dyDescent="0.25">
      <c r="A642" t="n">
        <v>25</v>
      </c>
      <c r="B642" t="s">
        <v>14</v>
      </c>
      <c r="C642" t="s">
        <v>51</v>
      </c>
      <c r="D642" s="2" t="s">
        <f>=HYPERLINK("https://main.knesset.gov.il/APPS/legislation/main/bills/2239464", "הצעת חוק איסור לשון הרע (תיקון - פיצוי ללא הוכחת נזק), התשפ""ו-2026")</f>
        <v>1448</v>
      </c>
      <c r="E642" t="s">
        <v>1448</v>
      </c>
      <c r="F642" t="s">
        <v>1449</v>
      </c>
      <c r="G642" t="s">
        <v>14</v>
      </c>
      <c r="H642">
             </c>
      <c r="I642" t="s">
        <v>14</v>
      </c>
      <c r="J642" t="s">
        <v>242</v>
      </c>
      <c r="K642" t="s">
        <v>14</v>
      </c>
      <c r="L642" t="s">
        <v>20</v>
      </c>
      <c r="M642" t="s">
        <v>1436</v>
      </c>
      <c r="N642" t="s">
        <v>14</v>
      </c>
    </row>
    <row r="643" x14ac:dyDescent="0.25">
      <c r="A643" t="n">
        <v>25</v>
      </c>
      <c r="B643" t="s">
        <v>14</v>
      </c>
      <c r="C643" t="s">
        <v>51</v>
      </c>
      <c r="D643" s="2" t="s">
        <f>=HYPERLINK("https://main.knesset.gov.il/APPS/legislation/main/bills/2239348", "הצעת חוק בתי קברות צבאיים (תיקון - קבורה לחיילים שהתאבדו לאחר שירותם עקב הלם קרב), התשפ""ו-2026")</f>
        <v>1450</v>
      </c>
      <c r="E643" t="s">
        <v>1450</v>
      </c>
      <c r="F643" t="s">
        <v>1451</v>
      </c>
      <c r="G643" t="s">
        <v>14</v>
      </c>
      <c r="H643">
             </c>
      <c r="I643" t="s">
        <v>14</v>
      </c>
      <c r="J643" t="s">
        <v>242</v>
      </c>
      <c r="K643" t="s">
        <v>14</v>
      </c>
      <c r="L643" t="s">
        <v>20</v>
      </c>
      <c r="M643" t="s">
        <v>1436</v>
      </c>
      <c r="N643" t="s">
        <v>14</v>
      </c>
    </row>
    <row r="644" x14ac:dyDescent="0.25">
      <c r="A644" t="n">
        <v>25</v>
      </c>
      <c r="B644" t="s">
        <v>14</v>
      </c>
      <c r="C644" t="s">
        <v>51</v>
      </c>
      <c r="D644" s="2" t="s">
        <f>=HYPERLINK("https://main.knesset.gov.il/APPS/legislation/main/bills/2239490", "הצעת חוק בתי קברות צבאיים (תיקון - קבורה לחיילים שהתאבדו לאחר שירותם עקב הלם קרב), התשפ""ו-2026")</f>
        <v>1450</v>
      </c>
      <c r="E644" t="s">
        <v>1450</v>
      </c>
      <c r="F644" t="s">
        <v>1452</v>
      </c>
      <c r="G644" t="s">
        <v>14</v>
      </c>
      <c r="H644">
             </c>
      <c r="I644" t="s">
        <v>14</v>
      </c>
      <c r="J644" t="s">
        <v>242</v>
      </c>
      <c r="K644" t="s">
        <v>14</v>
      </c>
      <c r="L644" t="s">
        <v>20</v>
      </c>
      <c r="M644" t="s">
        <v>1436</v>
      </c>
      <c r="N644" t="s">
        <v>14</v>
      </c>
    </row>
    <row r="645" x14ac:dyDescent="0.25">
      <c r="A645" t="n">
        <v>25</v>
      </c>
      <c r="B645" t="s">
        <v>14</v>
      </c>
      <c r="C645" t="s">
        <v>51</v>
      </c>
      <c r="D645" s="2" t="s">
        <f>=HYPERLINK("https://main.knesset.gov.il/APPS/legislation/main/bills/2239384", "הצעת חוק איסור טיפולי המרה לקטין, התשפ""ו-2026")</f>
        <v>1453</v>
      </c>
      <c r="E645" t="s">
        <v>1453</v>
      </c>
      <c r="F645" t="s">
        <v>1454</v>
      </c>
      <c r="G645" t="s">
        <v>14</v>
      </c>
      <c r="H645">
             </c>
      <c r="I645" t="s">
        <v>14</v>
      </c>
      <c r="J645" t="s">
        <v>242</v>
      </c>
      <c r="K645" t="s">
        <v>14</v>
      </c>
      <c r="L645" t="s">
        <v>20</v>
      </c>
      <c r="M645" t="s">
        <v>1436</v>
      </c>
      <c r="N645" t="s">
        <v>14</v>
      </c>
    </row>
    <row r="646" x14ac:dyDescent="0.25">
      <c r="A646" t="n">
        <v>25</v>
      </c>
      <c r="B646" t="s">
        <v>14</v>
      </c>
      <c r="C646" t="s">
        <v>51</v>
      </c>
      <c r="D646" s="2" t="s">
        <f>=HYPERLINK("https://main.knesset.gov.il/APPS/legislation/main/bills/2239176", "הצעת חוק הרבנות הראשית לישראל (תיקון - שירות צבאי כתנאי כשירות), התשפ""ו-2026")</f>
        <v>1455</v>
      </c>
      <c r="E646" t="s">
        <v>1455</v>
      </c>
      <c r="F646" t="s">
        <v>1456</v>
      </c>
      <c r="G646" t="s">
        <v>14</v>
      </c>
      <c r="H646">
             </c>
      <c r="I646" t="s">
        <v>14</v>
      </c>
      <c r="J646" t="s">
        <v>202</v>
      </c>
      <c r="K646" t="s">
        <v>14</v>
      </c>
      <c r="L646" t="s">
        <v>20</v>
      </c>
      <c r="M646" t="s">
        <v>1436</v>
      </c>
      <c r="N646" t="s">
        <v>14</v>
      </c>
    </row>
    <row r="647" x14ac:dyDescent="0.25">
      <c r="A647" t="n">
        <v>25</v>
      </c>
      <c r="B647" t="s">
        <v>14</v>
      </c>
      <c r="C647" t="s">
        <v>51</v>
      </c>
      <c r="D647" s="2" t="s">
        <f>=HYPERLINK("https://main.knesset.gov.il/APPS/legislation/main/bills/2239363", "הצעת חוק מרשם האוכלוסין (תיקון - הגדרת יהודי), התשפ""ו-2026")</f>
        <v>1457</v>
      </c>
      <c r="E647" t="s">
        <v>1457</v>
      </c>
      <c r="F647" t="s">
        <v>1458</v>
      </c>
      <c r="G647" t="s">
        <v>14</v>
      </c>
      <c r="H647">
             </c>
      <c r="I647" t="s">
        <v>14</v>
      </c>
      <c r="J647" t="s">
        <v>242</v>
      </c>
      <c r="K647" t="s">
        <v>14</v>
      </c>
      <c r="L647" t="s">
        <v>20</v>
      </c>
      <c r="M647" t="s">
        <v>1436</v>
      </c>
      <c r="N647" t="s">
        <v>14</v>
      </c>
    </row>
    <row r="648" x14ac:dyDescent="0.25">
      <c r="A648" t="n">
        <v>25</v>
      </c>
      <c r="B648" t="s">
        <v>14</v>
      </c>
      <c r="C648" t="s">
        <v>51</v>
      </c>
      <c r="D648" s="2" t="s">
        <f>=HYPERLINK("https://main.knesset.gov.il/APPS/legislation/main/bills/2236706", "הצעת חוק הגנת הצרכן (תיקון - רכישת מוצרי חשמל, אלקטרוניקה וגז בהנחה ללא תקופת אחריות), התשפ""ו-2026")</f>
        <v>1459</v>
      </c>
      <c r="E648" t="s">
        <v>1459</v>
      </c>
      <c r="F648" t="s">
        <v>1460</v>
      </c>
      <c r="G648" t="s">
        <v>14</v>
      </c>
      <c r="H648">
             </c>
      <c r="I648" t="s">
        <v>14</v>
      </c>
      <c r="J648" t="s">
        <v>242</v>
      </c>
      <c r="K648" t="s">
        <v>14</v>
      </c>
      <c r="L648" t="s">
        <v>20</v>
      </c>
      <c r="M648" t="s">
        <v>1436</v>
      </c>
      <c r="N648" t="s">
        <v>14</v>
      </c>
    </row>
    <row r="649" x14ac:dyDescent="0.25">
      <c r="A649" t="n">
        <v>25</v>
      </c>
      <c r="B649" t="s">
        <v>14</v>
      </c>
      <c r="C649" t="s">
        <v>51</v>
      </c>
      <c r="D649" s="2" t="s">
        <f>=HYPERLINK("https://main.knesset.gov.il/APPS/legislation/main/bills/2239504", "הצעת חוק חובת דיווח שנתי על מצב הטבע והמגוון הביולוגי בישראל, התשפ""ו-2026")</f>
        <v>1461</v>
      </c>
      <c r="E649" t="s">
        <v>1461</v>
      </c>
      <c r="F649" t="s">
        <v>1462</v>
      </c>
      <c r="G649" t="s">
        <v>14</v>
      </c>
      <c r="H649">
             </c>
      <c r="I649" t="s">
        <v>14</v>
      </c>
      <c r="J649" t="s">
        <v>242</v>
      </c>
      <c r="K649" t="s">
        <v>14</v>
      </c>
      <c r="L649" t="s">
        <v>20</v>
      </c>
      <c r="M649" t="s">
        <v>1436</v>
      </c>
      <c r="N649" t="s">
        <v>14</v>
      </c>
    </row>
    <row r="650" x14ac:dyDescent="0.25">
      <c r="A650" t="n">
        <v>25</v>
      </c>
      <c r="B650" t="s">
        <v>14</v>
      </c>
      <c r="C650" t="s">
        <v>51</v>
      </c>
      <c r="D650" s="2" t="s">
        <f>=HYPERLINK("https://main.knesset.gov.il/APPS/legislation/main/bills/2239606", "הצעת חוק העמותות (תיקון - הסדרת מעמדן של אגודות עותמאניות כעמותות רשומות),  התשפ""ו-2026")</f>
        <v>1463</v>
      </c>
      <c r="E650" t="s">
        <v>1463</v>
      </c>
      <c r="F650" t="s">
        <v>1464</v>
      </c>
      <c r="G650" t="s">
        <v>14</v>
      </c>
      <c r="H650">
             </c>
      <c r="I650" t="s">
        <v>14</v>
      </c>
      <c r="J650" t="s">
        <v>242</v>
      </c>
      <c r="K650" t="s">
        <v>14</v>
      </c>
      <c r="L650" t="s">
        <v>20</v>
      </c>
      <c r="M650" t="s">
        <v>1436</v>
      </c>
      <c r="N650" t="s">
        <v>14</v>
      </c>
    </row>
    <row r="651" x14ac:dyDescent="0.25">
      <c r="A651" t="n">
        <v>25</v>
      </c>
      <c r="B651" t="s">
        <v>14</v>
      </c>
      <c r="C651" t="s">
        <v>51</v>
      </c>
      <c r="D651" s="2" t="s">
        <f>=HYPERLINK("https://main.knesset.gov.il/APPS/legislation/main/bills/2236464", "הצעת חוק העמותות (תיקון - הסדרת מעמדן של אגודות עותמאניות כעמותות רשומות), התשפ""ו-2026")</f>
        <v>1465</v>
      </c>
      <c r="E651" t="s">
        <v>1465</v>
      </c>
      <c r="F651" t="s">
        <v>1466</v>
      </c>
      <c r="G651" t="s">
        <v>14</v>
      </c>
      <c r="H651">
             </c>
      <c r="I651" t="s">
        <v>14</v>
      </c>
      <c r="J651" t="s">
        <v>242</v>
      </c>
      <c r="K651" t="s">
        <v>14</v>
      </c>
      <c r="L651" t="s">
        <v>20</v>
      </c>
      <c r="M651" t="s">
        <v>1436</v>
      </c>
      <c r="N651" t="s">
        <v>14</v>
      </c>
    </row>
    <row r="652" x14ac:dyDescent="0.25">
      <c r="A652" t="n">
        <v>25</v>
      </c>
      <c r="B652" t="s">
        <v>14</v>
      </c>
      <c r="C652" t="s">
        <v>51</v>
      </c>
      <c r="D652" s="2" t="s">
        <f>=HYPERLINK("https://main.knesset.gov.il/APPS/legislation/main/bills/2238651", "הצעת חוק להנצחת האדמו""ר מצאנז - הרב יקותיאל יהודה הלברשטאם, התשפ""ו-2026")</f>
        <v>1467</v>
      </c>
      <c r="E652" t="s">
        <v>1467</v>
      </c>
      <c r="F652" t="s">
        <v>1468</v>
      </c>
      <c r="G652" t="s">
        <v>14</v>
      </c>
      <c r="H652">
             </c>
      <c r="I652" t="s">
        <v>14</v>
      </c>
      <c r="J652" t="s">
        <v>242</v>
      </c>
      <c r="K652" t="s">
        <v>14</v>
      </c>
      <c r="L652" t="s">
        <v>20</v>
      </c>
      <c r="M652" t="s">
        <v>1436</v>
      </c>
      <c r="N652" t="s">
        <v>14</v>
      </c>
    </row>
    <row r="653" x14ac:dyDescent="0.25">
      <c r="A653" t="n">
        <v>25</v>
      </c>
      <c r="B653" t="s">
        <v>14</v>
      </c>
      <c r="C653" t="s">
        <v>51</v>
      </c>
      <c r="D653" s="2" t="s">
        <f>=HYPERLINK("https://main.knesset.gov.il/APPS/legislation/main/bills/2235092", "הצעת חוק גמלאות לנושאי משרה ברשויות השלטון (תיקון - התניית זכאות להטבות בשהייה רצופה בישראל), התשפ""ו-2026")</f>
        <v>1469</v>
      </c>
      <c r="E653" t="s">
        <v>1469</v>
      </c>
      <c r="F653" t="s">
        <v>1470</v>
      </c>
      <c r="G653" t="s">
        <v>14</v>
      </c>
      <c r="H653">
             </c>
      <c r="I653" t="s">
        <v>14</v>
      </c>
      <c r="J653" t="s">
        <v>242</v>
      </c>
      <c r="K653" t="s">
        <v>14</v>
      </c>
      <c r="L653" t="s">
        <v>20</v>
      </c>
      <c r="M653" t="s">
        <v>1436</v>
      </c>
      <c r="N653" t="s">
        <v>14</v>
      </c>
    </row>
    <row r="654" x14ac:dyDescent="0.25">
      <c r="A654" t="n">
        <v>25</v>
      </c>
      <c r="B654" t="s">
        <v>14</v>
      </c>
      <c r="C654" t="s">
        <v>51</v>
      </c>
      <c r="D654" s="2" t="s">
        <f>=HYPERLINK("https://main.knesset.gov.il/APPS/legislation/main/bills/2239070", "הצעת חוק יום לציון המאבק לעליית יהודי ברית המועצות לשעבר, התשפ""ו-2026")</f>
        <v>1471</v>
      </c>
      <c r="E654" t="s">
        <v>1471</v>
      </c>
      <c r="F654" t="s">
        <v>1472</v>
      </c>
      <c r="G654" t="s">
        <v>14</v>
      </c>
      <c r="H654">
             </c>
      <c r="I654" t="s">
        <v>14</v>
      </c>
      <c r="J654" t="s">
        <v>242</v>
      </c>
      <c r="K654" t="s">
        <v>14</v>
      </c>
      <c r="L654" t="s">
        <v>20</v>
      </c>
      <c r="M654" t="s">
        <v>1436</v>
      </c>
      <c r="N654" t="s">
        <v>14</v>
      </c>
    </row>
    <row r="655" x14ac:dyDescent="0.25">
      <c r="A655" t="n">
        <v>25</v>
      </c>
      <c r="B655" t="s">
        <v>14</v>
      </c>
      <c r="C655" t="s">
        <v>51</v>
      </c>
      <c r="D655" s="2" t="s">
        <f>=HYPERLINK("https://main.knesset.gov.il/APPS/legislation/main/bills/2238200", "הצעת חוק לתיקון פקודת מחלות בעלי חיים (שיקולי שמירה על ביטחון המזון של מדינת ישראל), התשפ""ו-2026")</f>
        <v>1473</v>
      </c>
      <c r="E655" t="s">
        <v>1473</v>
      </c>
      <c r="F655" t="s">
        <v>1474</v>
      </c>
      <c r="G655" t="s">
        <v>14</v>
      </c>
      <c r="H655">
             </c>
      <c r="I655" t="s">
        <v>14</v>
      </c>
      <c r="J655" t="s">
        <v>242</v>
      </c>
      <c r="K655" t="s">
        <v>14</v>
      </c>
      <c r="L655" t="s">
        <v>20</v>
      </c>
      <c r="M655" t="s">
        <v>1436</v>
      </c>
      <c r="N655" t="s">
        <v>14</v>
      </c>
    </row>
    <row r="656" x14ac:dyDescent="0.25">
      <c r="A656" t="n">
        <v>25</v>
      </c>
      <c r="B656" t="s">
        <v>14</v>
      </c>
      <c r="C656" t="s">
        <v>51</v>
      </c>
      <c r="D656" s="2" t="s">
        <f>=HYPERLINK("https://main.knesset.gov.il/APPS/legislation/main/bills/2239356", "הצעת חוק חובת המכרזים (תיקון - העדפה למעסיק משרתי מילואים), התשפ""ו-2026")</f>
        <v>1475</v>
      </c>
      <c r="E656" t="s">
        <v>1475</v>
      </c>
      <c r="F656" t="s">
        <v>1476</v>
      </c>
      <c r="G656" t="s">
        <v>14</v>
      </c>
      <c r="H656">
             </c>
      <c r="I656" t="s">
        <v>14</v>
      </c>
      <c r="J656" t="s">
        <v>242</v>
      </c>
      <c r="K656" t="s">
        <v>14</v>
      </c>
      <c r="L656" t="s">
        <v>20</v>
      </c>
      <c r="M656" t="s">
        <v>1436</v>
      </c>
      <c r="N656" t="s">
        <v>14</v>
      </c>
    </row>
    <row r="657" x14ac:dyDescent="0.25">
      <c r="A657" t="n">
        <v>25</v>
      </c>
      <c r="B657" t="s">
        <v>14</v>
      </c>
      <c r="C657" t="s">
        <v>51</v>
      </c>
      <c r="D657" s="2" t="s">
        <f>=HYPERLINK("https://main.knesset.gov.il/APPS/legislation/main/bills/2239503", "הצעת חוק שימוש חוזר במים אפורים, התשפ""ו-2026")</f>
        <v>1477</v>
      </c>
      <c r="E657" t="s">
        <v>1477</v>
      </c>
      <c r="F657" t="s">
        <v>1478</v>
      </c>
      <c r="G657" t="s">
        <v>14</v>
      </c>
      <c r="H657">
             </c>
      <c r="I657" t="s">
        <v>14</v>
      </c>
      <c r="J657" t="s">
        <v>242</v>
      </c>
      <c r="K657" t="s">
        <v>14</v>
      </c>
      <c r="L657" t="s">
        <v>20</v>
      </c>
      <c r="M657" t="s">
        <v>1436</v>
      </c>
      <c r="N657" t="s">
        <v>14</v>
      </c>
    </row>
    <row r="658" x14ac:dyDescent="0.25">
      <c r="A658" t="n">
        <v>25</v>
      </c>
      <c r="B658" t="s">
        <v>14</v>
      </c>
      <c r="C658" t="s">
        <v>51</v>
      </c>
      <c r="D658" s="2" t="s">
        <f>=HYPERLINK("https://main.knesset.gov.il/APPS/legislation/main/bills/2239506", "הצעת חוק הבטחת גישה למזון בשעת חירום, התשפ""ו-2026")</f>
        <v>1479</v>
      </c>
      <c r="E658" t="s">
        <v>1479</v>
      </c>
      <c r="F658" t="s">
        <v>1480</v>
      </c>
      <c r="G658" t="s">
        <v>14</v>
      </c>
      <c r="H658">
             </c>
      <c r="I658" t="s">
        <v>14</v>
      </c>
      <c r="J658" t="s">
        <v>242</v>
      </c>
      <c r="K658" t="s">
        <v>14</v>
      </c>
      <c r="L658" t="s">
        <v>20</v>
      </c>
      <c r="M658" t="s">
        <v>1436</v>
      </c>
      <c r="N658" t="s">
        <v>14</v>
      </c>
    </row>
    <row r="659" x14ac:dyDescent="0.25">
      <c r="A659" t="n">
        <v>25</v>
      </c>
      <c r="B659" t="s">
        <v>14</v>
      </c>
      <c r="C659" t="s">
        <v>51</v>
      </c>
      <c r="D659" s="2" t="s">
        <f>=HYPERLINK("https://main.knesset.gov.il/APPS/legislation/main/bills/2238816", "הצעת חוק לתיקון פקודת התעבורה (שינוי שיטת החישוב של דמי חניה בחניון), התשפ""ו-2026")</f>
        <v>1093</v>
      </c>
      <c r="E659" t="s">
        <v>1093</v>
      </c>
      <c r="F659" t="s">
        <v>1481</v>
      </c>
      <c r="G659" t="s">
        <v>14</v>
      </c>
      <c r="H659">
             </c>
      <c r="I659" t="s">
        <v>14</v>
      </c>
      <c r="J659" t="s">
        <v>202</v>
      </c>
      <c r="K659" t="s">
        <v>14</v>
      </c>
      <c r="L659" t="s">
        <v>20</v>
      </c>
      <c r="M659" t="s">
        <v>1436</v>
      </c>
      <c r="N659" t="s">
        <v>14</v>
      </c>
    </row>
    <row r="660" x14ac:dyDescent="0.25">
      <c r="A660" t="n">
        <v>25</v>
      </c>
      <c r="B660" t="s">
        <v>14</v>
      </c>
      <c r="C660" t="s">
        <v>51</v>
      </c>
      <c r="D660" s="2" t="s">
        <f>=HYPERLINK("https://main.knesset.gov.il/APPS/legislation/main/bills/2236124", "הצעת חוק עידוד העיתונות המקומית והקהילתית, התשפ""ו-2026")</f>
        <v>1482</v>
      </c>
      <c r="E660" t="s">
        <v>1482</v>
      </c>
      <c r="F660" t="s">
        <v>1483</v>
      </c>
      <c r="G660" t="s">
        <v>14</v>
      </c>
      <c r="H660">
             </c>
      <c r="I660" t="s">
        <v>14</v>
      </c>
      <c r="J660" t="s">
        <v>1372</v>
      </c>
      <c r="K660" t="s">
        <v>14</v>
      </c>
      <c r="L660" t="s">
        <v>20</v>
      </c>
      <c r="M660" t="s">
        <v>1436</v>
      </c>
      <c r="N660" t="s">
        <v>14</v>
      </c>
    </row>
    <row r="661" x14ac:dyDescent="0.25">
      <c r="A661" t="n">
        <v>25</v>
      </c>
      <c r="B661" t="s">
        <v>14</v>
      </c>
      <c r="C661" t="s">
        <v>51</v>
      </c>
      <c r="D661" s="2" t="s">
        <f>=HYPERLINK("https://main.knesset.gov.il/APPS/legislation/main/bills/2239505", "הצעת חוק לתיקון פקודת המשטרה (ביטול הכפיפות לשר וסמכותו להתוות מדיניות), התשפ""ו-2026")</f>
        <v>1484</v>
      </c>
      <c r="E661" t="s">
        <v>1484</v>
      </c>
      <c r="F661" t="s">
        <v>1485</v>
      </c>
      <c r="G661" t="s">
        <v>14</v>
      </c>
      <c r="H661">
             </c>
      <c r="I661" t="s">
        <v>14</v>
      </c>
      <c r="J661" t="s">
        <v>242</v>
      </c>
      <c r="K661" t="s">
        <v>14</v>
      </c>
      <c r="L661" t="s">
        <v>20</v>
      </c>
      <c r="M661" t="s">
        <v>1436</v>
      </c>
      <c r="N661" t="s">
        <v>14</v>
      </c>
    </row>
    <row r="662" x14ac:dyDescent="0.25">
      <c r="A662" t="n">
        <v>25</v>
      </c>
      <c r="B662" t="s">
        <v>14</v>
      </c>
      <c r="C662" t="s">
        <v>51</v>
      </c>
      <c r="D662" s="2" t="s">
        <f>=HYPERLINK("https://main.knesset.gov.il/APPS/legislation/main/bills/2239530", "הצעת חוק סמכויות לשם מניעת ביצוע עבירות באמצעות אתר אינטרנט (תיקון - מניעת הונאות באמצעי תשלום), התשפ""ו-2026")</f>
        <v>1486</v>
      </c>
      <c r="E662" t="s">
        <v>1486</v>
      </c>
      <c r="F662" t="s">
        <v>1487</v>
      </c>
      <c r="G662" t="s">
        <v>14</v>
      </c>
      <c r="H662">
             </c>
      <c r="I662" t="s">
        <v>14</v>
      </c>
      <c r="J662" t="s">
        <v>242</v>
      </c>
      <c r="K662" t="s">
        <v>14</v>
      </c>
      <c r="L662" t="s">
        <v>20</v>
      </c>
      <c r="M662" t="s">
        <v>1436</v>
      </c>
      <c r="N662" t="s">
        <v>14</v>
      </c>
    </row>
    <row r="663" x14ac:dyDescent="0.25">
      <c r="A663" t="n">
        <v>25</v>
      </c>
      <c r="B663" t="s">
        <v>14</v>
      </c>
      <c r="C663" t="s">
        <v>51</v>
      </c>
      <c r="D663" s="2" t="s">
        <f>=HYPERLINK("https://main.knesset.gov.il/APPS/legislation/main/bills/2239355", "הצעת חוק-יסוד: הממשלה (תיקון - הגבלת כהונת ראש הממשלה לשתי תקופות כהונה רצופות)")</f>
        <v>1488</v>
      </c>
      <c r="E663" t="s">
        <v>1488</v>
      </c>
      <c r="F663" t="s">
        <v>1489</v>
      </c>
      <c r="G663" t="s">
        <v>14</v>
      </c>
      <c r="H663">
             </c>
      <c r="I663" t="s">
        <v>14</v>
      </c>
      <c r="J663" t="s">
        <v>242</v>
      </c>
      <c r="K663" t="s">
        <v>14</v>
      </c>
      <c r="L663" t="s">
        <v>20</v>
      </c>
      <c r="M663" t="s">
        <v>1436</v>
      </c>
      <c r="N663" t="s">
        <v>14</v>
      </c>
    </row>
    <row r="664" x14ac:dyDescent="0.25">
      <c r="A664" t="n">
        <v>25</v>
      </c>
      <c r="B664" t="s">
        <v>14</v>
      </c>
      <c r="C664" t="s">
        <v>51</v>
      </c>
      <c r="D664" s="2" t="s">
        <f>=HYPERLINK("https://main.knesset.gov.il/APPS/legislation/main/bills/2239343", "הצעת חוק העונשין (תיקון - הוספת עבירת חרם חברתי חמור על קטין), התשפ""ו-2026")</f>
        <v>1490</v>
      </c>
      <c r="E664" t="s">
        <v>1490</v>
      </c>
      <c r="F664" t="s">
        <v>1491</v>
      </c>
      <c r="G664" t="s">
        <v>14</v>
      </c>
      <c r="H664">
             </c>
      <c r="I664" t="s">
        <v>14</v>
      </c>
      <c r="J664" t="s">
        <v>242</v>
      </c>
      <c r="K664" t="s">
        <v>14</v>
      </c>
      <c r="L664" t="s">
        <v>20</v>
      </c>
      <c r="M664" t="s">
        <v>1436</v>
      </c>
      <c r="N664" t="s">
        <v>14</v>
      </c>
    </row>
    <row r="665" x14ac:dyDescent="0.25">
      <c r="A665" t="n">
        <v>25</v>
      </c>
      <c r="B665" t="s">
        <v>14</v>
      </c>
      <c r="C665" t="s">
        <v>51</v>
      </c>
      <c r="D665" s="2" t="s">
        <f>=HYPERLINK("https://main.knesset.gov.il/APPS/legislation/main/bills/2238541", "הצעת חוק ביטוח סיעוד ממלכתי (הקמת ועדה ממלכתית), התשפ""ו-2026")</f>
        <v>1492</v>
      </c>
      <c r="E665" t="s">
        <v>1492</v>
      </c>
      <c r="F665" t="s">
        <v>1493</v>
      </c>
      <c r="G665" t="s">
        <v>14</v>
      </c>
      <c r="H665">
             </c>
      <c r="I665" t="s">
        <v>14</v>
      </c>
      <c r="J665" t="s">
        <v>242</v>
      </c>
      <c r="K665" t="s">
        <v>14</v>
      </c>
      <c r="L665" t="s">
        <v>20</v>
      </c>
      <c r="M665" t="s">
        <v>1436</v>
      </c>
      <c r="N665" t="s">
        <v>14</v>
      </c>
    </row>
    <row r="666" x14ac:dyDescent="0.25">
      <c r="A666" t="n">
        <v>25</v>
      </c>
      <c r="B666" t="s">
        <v>14</v>
      </c>
      <c r="C666" t="s">
        <v>51</v>
      </c>
      <c r="D666" s="2" t="s">
        <f>=HYPERLINK("https://main.knesset.gov.il/APPS/legislation/main/bills/2238309", "הצעת חוק התחרות הכלכלית (תיקון - חזקת מחיר מופרז), התשפ""ו-2026")</f>
        <v>1494</v>
      </c>
      <c r="E666" t="s">
        <v>1494</v>
      </c>
      <c r="F666" t="s">
        <v>1495</v>
      </c>
      <c r="G666" t="s">
        <v>14</v>
      </c>
      <c r="H666">
             </c>
      <c r="I666" t="s">
        <v>14</v>
      </c>
      <c r="J666" t="s">
        <v>242</v>
      </c>
      <c r="K666" t="s">
        <v>14</v>
      </c>
      <c r="L666" t="s">
        <v>20</v>
      </c>
      <c r="M666" t="s">
        <v>1436</v>
      </c>
      <c r="N666" t="s">
        <v>14</v>
      </c>
    </row>
    <row r="667" x14ac:dyDescent="0.25">
      <c r="A667" t="n">
        <v>25</v>
      </c>
      <c r="B667" t="s">
        <v>14</v>
      </c>
      <c r="C667" t="s">
        <v>51</v>
      </c>
      <c r="D667" s="2" t="s">
        <f>=HYPERLINK("https://main.knesset.gov.il/APPS/legislation/main/bills/2234316", "הצעת חוק הבנקאות (שירות ללקוח) (תיקון - חובת הדרכה פיננסית), התשפ""ו-2026")</f>
        <v>1496</v>
      </c>
      <c r="E667" t="s">
        <v>1496</v>
      </c>
      <c r="F667" t="s">
        <v>1497</v>
      </c>
      <c r="G667" t="s">
        <v>14</v>
      </c>
      <c r="H667">
             </c>
      <c r="I667" t="s">
        <v>14</v>
      </c>
      <c r="J667" t="s">
        <v>242</v>
      </c>
      <c r="K667" t="s">
        <v>14</v>
      </c>
      <c r="L667" t="s">
        <v>20</v>
      </c>
      <c r="M667" t="s">
        <v>1436</v>
      </c>
      <c r="N667" t="s">
        <v>14</v>
      </c>
    </row>
    <row r="668" x14ac:dyDescent="0.25">
      <c r="A668" t="n">
        <v>25</v>
      </c>
      <c r="B668" t="s">
        <v>14</v>
      </c>
      <c r="C668" t="s">
        <v>51</v>
      </c>
      <c r="D668" s="2" t="s">
        <f>=HYPERLINK("https://main.knesset.gov.il/APPS/legislation/main/bills/2239579", "הצעת חוק הביטוח הלאומי (תיקון - חישוב תגמולי מילואים בתקופת חירום), התשפ""ו-2026")</f>
        <v>1498</v>
      </c>
      <c r="E668" t="s">
        <v>1498</v>
      </c>
      <c r="F668" t="s">
        <v>1499</v>
      </c>
      <c r="G668" t="s">
        <v>14</v>
      </c>
      <c r="H668">
             </c>
      <c r="I668" t="s">
        <v>14</v>
      </c>
      <c r="J668" t="s">
        <v>242</v>
      </c>
      <c r="K668" t="s">
        <v>14</v>
      </c>
      <c r="L668" t="s">
        <v>20</v>
      </c>
      <c r="M668" t="s">
        <v>1436</v>
      </c>
      <c r="N668" t="s">
        <v>14</v>
      </c>
    </row>
    <row r="669" x14ac:dyDescent="0.25">
      <c r="A669" t="n">
        <v>25</v>
      </c>
      <c r="B669" t="s">
        <v>14</v>
      </c>
      <c r="C669" t="s">
        <v>51</v>
      </c>
      <c r="D669" s="2" t="s">
        <f>=HYPERLINK("https://main.knesset.gov.il/APPS/legislation/main/bills/2216081", "חוק מניעת העסקת עובד הוראה שיש לו תואר אקדמי ממוסד ברשות הפלסטינית (תיקוני חקיקה), התשפ""ו–2026")</f>
        <v>1500</v>
      </c>
      <c r="E669" t="s">
        <v>1500</v>
      </c>
      <c r="F669" t="s">
        <v>1501</v>
      </c>
      <c r="G669" t="s">
        <v>1502</v>
      </c>
      <c r="H669" t="n">
        <v>3490</v>
      </c>
      <c r="I669" t="s">
        <v>14</v>
      </c>
      <c r="J669" t="s">
        <v>18</v>
      </c>
      <c r="K669" t="s">
        <v>79</v>
      </c>
      <c r="L669" t="s">
        <v>20</v>
      </c>
      <c r="M669" t="s">
        <v>1503</v>
      </c>
      <c r="N669" t="s">
        <v>1504</v>
      </c>
    </row>
    <row r="670" x14ac:dyDescent="0.25">
      <c r="A670" t="n">
        <v>25</v>
      </c>
      <c r="B670" t="s">
        <v>14</v>
      </c>
      <c r="C670" t="s">
        <v>51</v>
      </c>
      <c r="D670" s="2" t="s">
        <f>=HYPERLINK("https://main.knesset.gov.il/APPS/legislation/main/bills/2197787", "חוק אומנה לילדים (תיקון מס' 7), התשפ""ו-2026")</f>
        <v>1505</v>
      </c>
      <c r="E670" t="s">
        <v>1505</v>
      </c>
      <c r="F670" t="s">
        <v>1506</v>
      </c>
      <c r="G670" t="s">
        <v>1507</v>
      </c>
      <c r="H670" t="n">
        <v>3489</v>
      </c>
      <c r="I670" t="s">
        <v>14</v>
      </c>
      <c r="J670" t="s">
        <v>18</v>
      </c>
      <c r="K670" t="s">
        <v>46</v>
      </c>
      <c r="L670" t="s">
        <v>20</v>
      </c>
      <c r="M670" t="s">
        <v>1503</v>
      </c>
      <c r="N670" t="s">
        <v>1508</v>
      </c>
    </row>
    <row r="671" x14ac:dyDescent="0.25">
      <c r="A671" t="n">
        <v>25</v>
      </c>
      <c r="B671" t="s">
        <v>14</v>
      </c>
      <c r="C671" t="s">
        <v>51</v>
      </c>
      <c r="D671" s="2" t="s">
        <f>=HYPERLINK("https://main.knesset.gov.il/APPS/legislation/main/bills/2236826", "הצעת חוק איסור הכחשת אירועי טבח 7 באוקטובר 2023 (טבח שמיני עצרת) (תיקון - איסור הכחשת חטיפה והחזקת חטוף בשבי), התשפ""ו-2025")</f>
        <v>1509</v>
      </c>
      <c r="E671" t="s">
        <v>1509</v>
      </c>
      <c r="F671" t="s">
        <v>1510</v>
      </c>
      <c r="G671" t="s">
        <v>14</v>
      </c>
      <c r="H671">
             </c>
      <c r="I671" t="s">
        <v>14</v>
      </c>
      <c r="J671" t="s">
        <v>193</v>
      </c>
      <c r="K671" t="s">
        <v>14</v>
      </c>
      <c r="L671" t="s">
        <v>20</v>
      </c>
      <c r="M671" t="s">
        <v>1503</v>
      </c>
      <c r="N671" t="s">
        <v>14</v>
      </c>
    </row>
    <row r="672" x14ac:dyDescent="0.25">
      <c r="A672" t="n">
        <v>25</v>
      </c>
      <c r="B672" t="s">
        <v>14</v>
      </c>
      <c r="C672" t="s">
        <v>51</v>
      </c>
      <c r="D672" s="2" t="s">
        <f>=HYPERLINK("https://main.knesset.gov.il/APPS/legislation/main/bills/2236314", "הצעת חוק הממשלה (תיקון - ועדת שרים לענייני ביטחון לאומי), התשפ״ו-2025")</f>
        <v>1511</v>
      </c>
      <c r="E672" t="s">
        <v>1511</v>
      </c>
      <c r="F672" t="s">
        <v>1512</v>
      </c>
      <c r="G672" t="s">
        <v>14</v>
      </c>
      <c r="H672">
             </c>
      <c r="I672" t="s">
        <v>14</v>
      </c>
      <c r="J672" t="s">
        <v>193</v>
      </c>
      <c r="K672" t="s">
        <v>14</v>
      </c>
      <c r="L672" t="s">
        <v>20</v>
      </c>
      <c r="M672" t="s">
        <v>1503</v>
      </c>
      <c r="N672" t="s">
        <v>14</v>
      </c>
    </row>
    <row r="673" x14ac:dyDescent="0.25">
      <c r="A673" t="n">
        <v>25</v>
      </c>
      <c r="B673" t="s">
        <v>14</v>
      </c>
      <c r="C673" t="s">
        <v>51</v>
      </c>
      <c r="D673" s="2" t="s">
        <f>=HYPERLINK("https://main.knesset.gov.il/APPS/legislation/main/bills/2236882", "הצעת חוק לתיקון פקודת בתי הסוהר (איסור טיפול רפואי באסירים ביטחוניים בבתי חולים ציבוריים), התשפ""ו-2025")</f>
        <v>1513</v>
      </c>
      <c r="E673" t="s">
        <v>1513</v>
      </c>
      <c r="F673" t="s">
        <v>1514</v>
      </c>
      <c r="G673" t="s">
        <v>14</v>
      </c>
      <c r="H673">
             </c>
      <c r="I673" t="s">
        <v>14</v>
      </c>
      <c r="J673" t="s">
        <v>193</v>
      </c>
      <c r="K673" t="s">
        <v>14</v>
      </c>
      <c r="L673" t="s">
        <v>20</v>
      </c>
      <c r="M673" t="s">
        <v>1503</v>
      </c>
      <c r="N673" t="s">
        <v>14</v>
      </c>
    </row>
    <row r="674" x14ac:dyDescent="0.25">
      <c r="A674" t="n">
        <v>25</v>
      </c>
      <c r="B674" t="s">
        <v>14</v>
      </c>
      <c r="C674" t="s">
        <v>51</v>
      </c>
      <c r="D674" s="2" t="s">
        <f>=HYPERLINK("https://main.knesset.gov.il/APPS/legislation/main/bills/2220831", "הצעת חוק מס ערך מוסף (תיקון - מס בשיעור אפס לבעלי עסקים בחבל תקומה ובקו העימות) (הוראת שעה), התשפ""ה-2024")</f>
        <v>1515</v>
      </c>
      <c r="E674" t="s">
        <v>1515</v>
      </c>
      <c r="F674" t="s">
        <v>1516</v>
      </c>
      <c r="G674" t="s">
        <v>14</v>
      </c>
      <c r="H674">
             </c>
      <c r="I674" t="s">
        <v>14</v>
      </c>
      <c r="J674" t="s">
        <v>432</v>
      </c>
      <c r="K674" t="s">
        <v>14</v>
      </c>
      <c r="L674" t="s">
        <v>20</v>
      </c>
      <c r="M674" t="s">
        <v>1503</v>
      </c>
      <c r="N674" t="s">
        <v>14</v>
      </c>
    </row>
    <row r="675" x14ac:dyDescent="0.25">
      <c r="A675" t="n">
        <v>25</v>
      </c>
      <c r="B675" t="s">
        <v>14</v>
      </c>
      <c r="C675" t="s">
        <v>51</v>
      </c>
      <c r="D675" s="2" t="s">
        <f>=HYPERLINK("https://main.knesset.gov.il/APPS/legislation/main/bills/2221855", "הצעת חוק התגמולים לנפגעי פעולות איבה (תיקון - זכאות לטיפול פסיכולוגי), התשפ""ה-2024")</f>
        <v>1517</v>
      </c>
      <c r="E675" t="s">
        <v>1517</v>
      </c>
      <c r="F675" t="s">
        <v>1518</v>
      </c>
      <c r="G675" t="s">
        <v>14</v>
      </c>
      <c r="H675">
             </c>
      <c r="I675" t="s">
        <v>14</v>
      </c>
      <c r="J675" t="s">
        <v>152</v>
      </c>
      <c r="K675" t="s">
        <v>46</v>
      </c>
      <c r="L675" t="s">
        <v>20</v>
      </c>
      <c r="M675" t="s">
        <v>1503</v>
      </c>
      <c r="N675" t="s">
        <v>14</v>
      </c>
    </row>
    <row r="676" x14ac:dyDescent="0.25">
      <c r="A676" t="n">
        <v>25</v>
      </c>
      <c r="B676" t="s">
        <v>14</v>
      </c>
      <c r="C676" t="s">
        <v>51</v>
      </c>
      <c r="D676" s="2" t="s">
        <f>=HYPERLINK("https://main.knesset.gov.il/APPS/legislation/main/bills/2220445", "הצעת חוק לתיקון פקודת הבנקאות (מס' 36) (חשבונות ללא תנועה), התשפ""ו–2026")</f>
        <v>1519</v>
      </c>
      <c r="E676" t="s">
        <v>1519</v>
      </c>
      <c r="F676" t="s">
        <v>1520</v>
      </c>
      <c r="G676" t="s">
        <v>606</v>
      </c>
      <c r="H676">
             </c>
      <c r="I676" t="s">
        <v>14</v>
      </c>
      <c r="J676" t="s">
        <v>162</v>
      </c>
      <c r="K676" t="s">
        <v>84</v>
      </c>
      <c r="L676" t="s">
        <v>20</v>
      </c>
      <c r="M676" t="s">
        <v>1503</v>
      </c>
      <c r="N676" t="s">
        <v>14</v>
      </c>
    </row>
    <row r="677" x14ac:dyDescent="0.25">
      <c r="A677" t="n">
        <v>25</v>
      </c>
      <c r="B677" t="s">
        <v>14</v>
      </c>
      <c r="C677" t="s">
        <v>51</v>
      </c>
      <c r="D677" s="2" t="s">
        <f>=HYPERLINK("https://main.knesset.gov.il/APPS/legislation/main/bills/2218696", "הצעת חוק דמי מחלה (היעדרות בשל מחלת ילד) (תיקון - היעדרות בשל טיפול במי שנפצע בעת שירותו הצבאי, שירותו בכוחות הביטחון או בפגיעת איבה), התשפ""ד-2024")</f>
        <v>1521</v>
      </c>
      <c r="E677" t="s">
        <v>1521</v>
      </c>
      <c r="F677" t="s">
        <v>1522</v>
      </c>
      <c r="G677" t="s">
        <v>14</v>
      </c>
      <c r="H677">
             </c>
      <c r="I677" t="s">
        <v>14</v>
      </c>
      <c r="J677" t="s">
        <v>193</v>
      </c>
      <c r="K677" t="s">
        <v>14</v>
      </c>
      <c r="L677" t="s">
        <v>20</v>
      </c>
      <c r="M677" t="s">
        <v>1503</v>
      </c>
      <c r="N677" t="s">
        <v>14</v>
      </c>
    </row>
    <row r="678" x14ac:dyDescent="0.25">
      <c r="A678" t="n">
        <v>25</v>
      </c>
      <c r="B678" t="s">
        <v>14</v>
      </c>
      <c r="C678" t="s">
        <v>51</v>
      </c>
      <c r="D678" s="2" t="s">
        <f>=HYPERLINK("https://main.knesset.gov.il/APPS/legislation/main/bills/2205686", "הצעת חוק לעיגון מעמדה של העדה הדרוזית, התשפ""ג-2023")</f>
        <v>1523</v>
      </c>
      <c r="E678" t="s">
        <v>1523</v>
      </c>
      <c r="F678" t="s">
        <v>1524</v>
      </c>
      <c r="G678" t="s">
        <v>14</v>
      </c>
      <c r="H678">
             </c>
      <c r="I678" t="s">
        <v>14</v>
      </c>
      <c r="J678" t="s">
        <v>193</v>
      </c>
      <c r="K678" t="s">
        <v>14</v>
      </c>
      <c r="L678" t="s">
        <v>20</v>
      </c>
      <c r="M678" t="s">
        <v>1503</v>
      </c>
      <c r="N678" t="s">
        <v>14</v>
      </c>
    </row>
    <row r="679" x14ac:dyDescent="0.25">
      <c r="A679" t="n">
        <v>25</v>
      </c>
      <c r="B679" t="s">
        <v>14</v>
      </c>
      <c r="C679" t="s">
        <v>51</v>
      </c>
      <c r="D679" s="2" t="s">
        <f>=HYPERLINK("https://main.knesset.gov.il/APPS/legislation/main/bills/2199082", "הצעת חוק-יסוד: העדה הדרוזית ")</f>
        <v>1097</v>
      </c>
      <c r="E679" t="s">
        <v>1097</v>
      </c>
      <c r="F679" t="s">
        <v>1525</v>
      </c>
      <c r="G679" t="s">
        <v>14</v>
      </c>
      <c r="H679">
             </c>
      <c r="I679" t="s">
        <v>14</v>
      </c>
      <c r="J679" t="s">
        <v>193</v>
      </c>
      <c r="K679" t="s">
        <v>14</v>
      </c>
      <c r="L679" t="s">
        <v>20</v>
      </c>
      <c r="M679" t="s">
        <v>1503</v>
      </c>
      <c r="N679" t="s">
        <v>14</v>
      </c>
    </row>
    <row r="680" x14ac:dyDescent="0.25">
      <c r="A680" t="n">
        <v>25</v>
      </c>
      <c r="B680" t="s">
        <v>14</v>
      </c>
      <c r="C680" t="s">
        <v>51</v>
      </c>
      <c r="D680" s="2" t="s">
        <f>=HYPERLINK("https://main.knesset.gov.il/APPS/legislation/main/bills/2197659", "הצעת חוק איסור הפליה במוצרים, בשירותים ובכניסה למקומות בידור ולמקומות ציבוריים (תיקון - איסור הפליה בדיור), התשפ""ג-2022")</f>
        <v>1526</v>
      </c>
      <c r="E680" t="s">
        <v>1526</v>
      </c>
      <c r="F680" t="s">
        <v>1527</v>
      </c>
      <c r="G680" t="s">
        <v>14</v>
      </c>
      <c r="H680">
             </c>
      <c r="I680" t="s">
        <v>14</v>
      </c>
      <c r="J680" t="s">
        <v>193</v>
      </c>
      <c r="K680" t="s">
        <v>14</v>
      </c>
      <c r="L680" t="s">
        <v>20</v>
      </c>
      <c r="M680" t="s">
        <v>1503</v>
      </c>
      <c r="N680" t="s">
        <v>14</v>
      </c>
    </row>
    <row r="681" x14ac:dyDescent="0.25">
      <c r="A681" t="n">
        <v>25</v>
      </c>
      <c r="B681" t="s">
        <v>14</v>
      </c>
      <c r="C681" t="s">
        <v>15</v>
      </c>
      <c r="D681" s="2" t="s">
        <f>=HYPERLINK("https://main.knesset.gov.il/APPS/legislation/main/bills/2229878", "חוק חדלות פירעון ושיקום כלכלי (תיקון מס' 9), התשפ""ו-2026")</f>
        <v>1528</v>
      </c>
      <c r="E681" t="s">
        <v>1528</v>
      </c>
      <c r="F681" t="s">
        <v>14</v>
      </c>
      <c r="G681" t="s">
        <v>1529</v>
      </c>
      <c r="H681" t="n">
        <v>3488</v>
      </c>
      <c r="I681" t="s">
        <v>14</v>
      </c>
      <c r="J681" t="s">
        <v>18</v>
      </c>
      <c r="K681" t="s">
        <v>27</v>
      </c>
      <c r="L681" t="s">
        <v>20</v>
      </c>
      <c r="M681" t="s">
        <v>1530</v>
      </c>
      <c r="N681" t="s">
        <v>1531</v>
      </c>
    </row>
    <row r="682" x14ac:dyDescent="0.25">
      <c r="A682" t="n">
        <v>25</v>
      </c>
      <c r="B682" t="s">
        <v>14</v>
      </c>
      <c r="C682" t="s">
        <v>51</v>
      </c>
      <c r="D682" s="2" t="s">
        <f>=HYPERLINK("https://main.knesset.gov.il/APPS/legislation/main/bills/2237802", "הצעת חוק הכרזה על תנועת האחים המוסלמים ועל הפלג הדרומי בתנועה האסלאמית כארגוני טרור ומחיקת מפלגות התומכות בטרור מפנקס המפלגות, התשפ""ו-2026")</f>
        <v>793</v>
      </c>
      <c r="E682" t="s">
        <v>793</v>
      </c>
      <c r="F682" t="s">
        <v>1532</v>
      </c>
      <c r="G682" t="s">
        <v>14</v>
      </c>
      <c r="H682">
             </c>
      <c r="I682" t="s">
        <v>14</v>
      </c>
      <c r="J682" t="s">
        <v>242</v>
      </c>
      <c r="K682" t="s">
        <v>14</v>
      </c>
      <c r="L682" t="s">
        <v>20</v>
      </c>
      <c r="M682" t="s">
        <v>1530</v>
      </c>
      <c r="N682" t="s">
        <v>14</v>
      </c>
    </row>
    <row r="683" x14ac:dyDescent="0.25">
      <c r="A683" t="n">
        <v>25</v>
      </c>
      <c r="B683" t="s">
        <v>14</v>
      </c>
      <c r="C683" t="s">
        <v>51</v>
      </c>
      <c r="D683" s="2" t="s">
        <f>=HYPERLINK("https://main.knesset.gov.il/APPS/legislation/main/bills/2238446", "הצעת חוק רישום קבלנים לעבודות הנדסה בנאיות (תיקון - עיצומים כספיים), התשפ""ו-2026")</f>
        <v>1533</v>
      </c>
      <c r="E683" t="s">
        <v>1533</v>
      </c>
      <c r="F683" t="s">
        <v>1534</v>
      </c>
      <c r="G683" t="s">
        <v>14</v>
      </c>
      <c r="H683">
             </c>
      <c r="I683" t="s">
        <v>14</v>
      </c>
      <c r="J683" t="s">
        <v>242</v>
      </c>
      <c r="K683" t="s">
        <v>14</v>
      </c>
      <c r="L683" t="s">
        <v>20</v>
      </c>
      <c r="M683" t="s">
        <v>1530</v>
      </c>
      <c r="N683" t="s">
        <v>14</v>
      </c>
    </row>
    <row r="684" x14ac:dyDescent="0.25">
      <c r="A684" t="n">
        <v>25</v>
      </c>
      <c r="B684" t="s">
        <v>14</v>
      </c>
      <c r="C684" t="s">
        <v>51</v>
      </c>
      <c r="D684" s="2" t="s">
        <f>=HYPERLINK("https://main.knesset.gov.il/APPS/legislation/main/bills/2238974", "הצעת חוק התכנון והבנייה (תיקון - סמכות עיכוב ביצוע צווי הריסה), התשפ""ו-2026")</f>
        <v>1535</v>
      </c>
      <c r="E684" t="s">
        <v>1535</v>
      </c>
      <c r="F684" t="s">
        <v>1536</v>
      </c>
      <c r="G684" t="s">
        <v>14</v>
      </c>
      <c r="H684">
             </c>
      <c r="I684" t="s">
        <v>14</v>
      </c>
      <c r="J684" t="s">
        <v>242</v>
      </c>
      <c r="K684" t="s">
        <v>14</v>
      </c>
      <c r="L684" t="s">
        <v>20</v>
      </c>
      <c r="M684" t="s">
        <v>1530</v>
      </c>
      <c r="N684" t="s">
        <v>14</v>
      </c>
    </row>
    <row r="685" x14ac:dyDescent="0.25">
      <c r="A685" t="n">
        <v>25</v>
      </c>
      <c r="B685" t="s">
        <v>14</v>
      </c>
      <c r="C685" t="s">
        <v>51</v>
      </c>
      <c r="D685" s="2" t="s">
        <f>=HYPERLINK("https://main.knesset.gov.il/APPS/legislation/main/bills/2235423", "הצעת חוק החזר רווח עודף למבוטחים בביטוח רכב, התשפ""ו-2026")</f>
        <v>1537</v>
      </c>
      <c r="E685" t="s">
        <v>1537</v>
      </c>
      <c r="F685" t="s">
        <v>1538</v>
      </c>
      <c r="G685" t="s">
        <v>14</v>
      </c>
      <c r="H685">
             </c>
      <c r="I685" t="s">
        <v>14</v>
      </c>
      <c r="J685" t="s">
        <v>242</v>
      </c>
      <c r="K685" t="s">
        <v>14</v>
      </c>
      <c r="L685" t="s">
        <v>20</v>
      </c>
      <c r="M685" t="s">
        <v>1530</v>
      </c>
      <c r="N685" t="s">
        <v>14</v>
      </c>
    </row>
    <row r="686" x14ac:dyDescent="0.25">
      <c r="A686" t="n">
        <v>25</v>
      </c>
      <c r="B686" t="s">
        <v>14</v>
      </c>
      <c r="C686" t="s">
        <v>51</v>
      </c>
      <c r="D686" s="2" t="s">
        <f>=HYPERLINK("https://main.knesset.gov.il/APPS/legislation/main/bills/2239203", "הצעת חוק רכזי ביטחון שוטף צבאיים, התשפ""ו-2026")</f>
        <v>1539</v>
      </c>
      <c r="E686" t="s">
        <v>1539</v>
      </c>
      <c r="F686" t="s">
        <v>1540</v>
      </c>
      <c r="G686" t="s">
        <v>14</v>
      </c>
      <c r="H686">
             </c>
      <c r="I686" t="s">
        <v>14</v>
      </c>
      <c r="J686" t="s">
        <v>242</v>
      </c>
      <c r="K686" t="s">
        <v>14</v>
      </c>
      <c r="L686" t="s">
        <v>20</v>
      </c>
      <c r="M686" t="s">
        <v>1530</v>
      </c>
      <c r="N686" t="s">
        <v>14</v>
      </c>
    </row>
    <row r="687" x14ac:dyDescent="0.25">
      <c r="A687" t="n">
        <v>25</v>
      </c>
      <c r="B687" t="s">
        <v>14</v>
      </c>
      <c r="C687" t="s">
        <v>51</v>
      </c>
      <c r="D687" s="2" t="s">
        <f>=HYPERLINK("https://main.knesset.gov.il/APPS/legislation/main/bills/2239222", "הצעת חוק גמול לחיילים בשירות סדיר, התשפ""ו-2026")</f>
        <v>1541</v>
      </c>
      <c r="E687" t="s">
        <v>1541</v>
      </c>
      <c r="F687" t="s">
        <v>1542</v>
      </c>
      <c r="G687" t="s">
        <v>14</v>
      </c>
      <c r="H687">
             </c>
      <c r="I687" t="s">
        <v>14</v>
      </c>
      <c r="J687" t="s">
        <v>242</v>
      </c>
      <c r="K687" t="s">
        <v>14</v>
      </c>
      <c r="L687" t="s">
        <v>20</v>
      </c>
      <c r="M687" t="s">
        <v>1530</v>
      </c>
      <c r="N687" t="s">
        <v>14</v>
      </c>
    </row>
    <row r="688" x14ac:dyDescent="0.25">
      <c r="A688" t="n">
        <v>25</v>
      </c>
      <c r="B688" t="s">
        <v>14</v>
      </c>
      <c r="C688" t="s">
        <v>51</v>
      </c>
      <c r="D688" s="2" t="s">
        <f>=HYPERLINK("https://main.knesset.gov.il/APPS/legislation/main/bills/2237588", "הצעת חוק הירושה (תיקון - צוואה לטובת מטפל), התשפ""ו-2026")</f>
        <v>1543</v>
      </c>
      <c r="E688" t="s">
        <v>1543</v>
      </c>
      <c r="F688" t="s">
        <v>1544</v>
      </c>
      <c r="G688" t="s">
        <v>14</v>
      </c>
      <c r="H688">
             </c>
      <c r="I688" t="s">
        <v>14</v>
      </c>
      <c r="J688" t="s">
        <v>242</v>
      </c>
      <c r="K688" t="s">
        <v>14</v>
      </c>
      <c r="L688" t="s">
        <v>20</v>
      </c>
      <c r="M688" t="s">
        <v>1530</v>
      </c>
      <c r="N688" t="s">
        <v>14</v>
      </c>
    </row>
    <row r="689" x14ac:dyDescent="0.25">
      <c r="A689" t="n">
        <v>25</v>
      </c>
      <c r="B689" t="s">
        <v>14</v>
      </c>
      <c r="C689" t="s">
        <v>51</v>
      </c>
      <c r="D689" s="2" t="s">
        <f>=HYPERLINK("https://main.knesset.gov.il/APPS/legislation/main/bills/2238913", "הצעת חוק הכנסת (תיקון - מסירת מידע למרכז המחקר והמידע), התשפ""ו-2026")</f>
        <v>1545</v>
      </c>
      <c r="E689" t="s">
        <v>1545</v>
      </c>
      <c r="F689" t="s">
        <v>1546</v>
      </c>
      <c r="G689" t="s">
        <v>14</v>
      </c>
      <c r="H689">
             </c>
      <c r="I689" t="s">
        <v>14</v>
      </c>
      <c r="J689" t="s">
        <v>202</v>
      </c>
      <c r="K689" t="s">
        <v>14</v>
      </c>
      <c r="L689" t="s">
        <v>20</v>
      </c>
      <c r="M689" t="s">
        <v>1530</v>
      </c>
      <c r="N689" t="s">
        <v>14</v>
      </c>
    </row>
    <row r="690" x14ac:dyDescent="0.25">
      <c r="A690" t="n">
        <v>25</v>
      </c>
      <c r="B690" t="s">
        <v>14</v>
      </c>
      <c r="C690" t="s">
        <v>51</v>
      </c>
      <c r="D690" s="2" t="s">
        <f>=HYPERLINK("https://main.knesset.gov.il/APPS/legislation/main/bills/2235425", "הצעת חוק לתיקון פקודת ביטוח רכב מנועי (איסור ביטוח רכב הרשום בישראל על ידי חברת ביטוח מהאזור), התשפ״ו-2026")</f>
        <v>1547</v>
      </c>
      <c r="E690" t="s">
        <v>1547</v>
      </c>
      <c r="F690" t="s">
        <v>1548</v>
      </c>
      <c r="G690" t="s">
        <v>14</v>
      </c>
      <c r="H690">
             </c>
      <c r="I690" t="s">
        <v>14</v>
      </c>
      <c r="J690" t="s">
        <v>242</v>
      </c>
      <c r="K690" t="s">
        <v>14</v>
      </c>
      <c r="L690" t="s">
        <v>20</v>
      </c>
      <c r="M690" t="s">
        <v>1530</v>
      </c>
      <c r="N690" t="s">
        <v>14</v>
      </c>
    </row>
    <row r="691" x14ac:dyDescent="0.25">
      <c r="A691" t="n">
        <v>25</v>
      </c>
      <c r="B691" t="s">
        <v>14</v>
      </c>
      <c r="C691" t="s">
        <v>51</v>
      </c>
      <c r="D691" s="2" t="s">
        <f>=HYPERLINK("https://main.knesset.gov.il/APPS/legislation/main/bills/2239008", "הצעת חוק איסור קבלת תמורה וחובת דיווח על קשרים עם מדינה זרה, התשפ״ו-2026")</f>
        <v>1549</v>
      </c>
      <c r="E691" t="s">
        <v>1549</v>
      </c>
      <c r="F691" t="s">
        <v>1550</v>
      </c>
      <c r="G691" t="s">
        <v>14</v>
      </c>
      <c r="H691">
             </c>
      <c r="I691" t="s">
        <v>14</v>
      </c>
      <c r="J691" t="s">
        <v>242</v>
      </c>
      <c r="K691" t="s">
        <v>14</v>
      </c>
      <c r="L691" t="s">
        <v>20</v>
      </c>
      <c r="M691" t="s">
        <v>1530</v>
      </c>
      <c r="N691" t="s">
        <v>14</v>
      </c>
    </row>
    <row r="692" x14ac:dyDescent="0.25">
      <c r="A692" t="n">
        <v>25</v>
      </c>
      <c r="B692" t="s">
        <v>14</v>
      </c>
      <c r="C692" t="s">
        <v>51</v>
      </c>
      <c r="D692" s="2" t="s">
        <f>=HYPERLINK("https://main.knesset.gov.il/APPS/legislation/main/bills/2236912", "הצעת חוק הטבות לניצולי שואה (תיקון - זכאות למענק הטבות שנתי לבן זוג של ניצול שואה שנפטר), התשפ""ו-2026")</f>
        <v>1551</v>
      </c>
      <c r="E692" t="s">
        <v>1551</v>
      </c>
      <c r="F692" t="s">
        <v>1552</v>
      </c>
      <c r="G692" t="s">
        <v>14</v>
      </c>
      <c r="H692">
             </c>
      <c r="I692" t="s">
        <v>14</v>
      </c>
      <c r="J692" t="s">
        <v>242</v>
      </c>
      <c r="K692" t="s">
        <v>14</v>
      </c>
      <c r="L692" t="s">
        <v>20</v>
      </c>
      <c r="M692" t="s">
        <v>1530</v>
      </c>
      <c r="N692" t="s">
        <v>14</v>
      </c>
    </row>
    <row r="693" x14ac:dyDescent="0.25">
      <c r="A693" t="n">
        <v>25</v>
      </c>
      <c r="B693" t="s">
        <v>14</v>
      </c>
      <c r="C693" t="s">
        <v>51</v>
      </c>
      <c r="D693" s="2" t="s">
        <f>=HYPERLINK("https://main.knesset.gov.il/APPS/legislation/main/bills/2239193", "הצעת חוק חסינות חברי הכנסת, זכויותיהם וחובותיהם (תיקון - סמכויות ועדת האתיקה בשל הפרעה בבית משפט וסמכויות בית משפט ביחס לחבר הכנסת), התשפ""ו-2026")</f>
        <v>1553</v>
      </c>
      <c r="E693" t="s">
        <v>1553</v>
      </c>
      <c r="F693" t="s">
        <v>1554</v>
      </c>
      <c r="G693" t="s">
        <v>14</v>
      </c>
      <c r="H693">
             </c>
      <c r="I693" t="s">
        <v>14</v>
      </c>
      <c r="J693" t="s">
        <v>242</v>
      </c>
      <c r="K693" t="s">
        <v>14</v>
      </c>
      <c r="L693" t="s">
        <v>20</v>
      </c>
      <c r="M693" t="s">
        <v>1530</v>
      </c>
      <c r="N693" t="s">
        <v>14</v>
      </c>
    </row>
    <row r="694" x14ac:dyDescent="0.25">
      <c r="A694" t="n">
        <v>25</v>
      </c>
      <c r="B694" t="s">
        <v>14</v>
      </c>
      <c r="C694" t="s">
        <v>51</v>
      </c>
      <c r="D694" s="2" t="s">
        <f>=HYPERLINK("https://main.knesset.gov.il/APPS/legislation/main/bills/2238616", "הצעת חוק החלת ריבונות על ביתר עילית, התשפ""ו-2026")</f>
        <v>1555</v>
      </c>
      <c r="E694" t="s">
        <v>1555</v>
      </c>
      <c r="F694" t="s">
        <v>1556</v>
      </c>
      <c r="G694" t="s">
        <v>14</v>
      </c>
      <c r="H694">
             </c>
      <c r="I694" t="s">
        <v>14</v>
      </c>
      <c r="J694" t="s">
        <v>242</v>
      </c>
      <c r="K694" t="s">
        <v>14</v>
      </c>
      <c r="L694" t="s">
        <v>20</v>
      </c>
      <c r="M694" t="s">
        <v>1530</v>
      </c>
      <c r="N694" t="s">
        <v>14</v>
      </c>
    </row>
    <row r="695" x14ac:dyDescent="0.25">
      <c r="A695" t="n">
        <v>25</v>
      </c>
      <c r="B695" t="s">
        <v>14</v>
      </c>
      <c r="C695" t="s">
        <v>51</v>
      </c>
      <c r="D695" s="2" t="s">
        <f>=HYPERLINK("https://main.knesset.gov.il/APPS/legislation/main/bills/2239174", "הצעת חוק התגמולים לנפגעי פעולות שנאה, התשפ""ו-2026")</f>
        <v>1557</v>
      </c>
      <c r="E695" t="s">
        <v>1557</v>
      </c>
      <c r="F695" t="s">
        <v>1558</v>
      </c>
      <c r="G695" t="s">
        <v>14</v>
      </c>
      <c r="H695">
             </c>
      <c r="I695" t="s">
        <v>14</v>
      </c>
      <c r="J695" t="s">
        <v>242</v>
      </c>
      <c r="K695" t="s">
        <v>14</v>
      </c>
      <c r="L695" t="s">
        <v>20</v>
      </c>
      <c r="M695" t="s">
        <v>1530</v>
      </c>
      <c r="N695" t="s">
        <v>14</v>
      </c>
    </row>
    <row r="696" x14ac:dyDescent="0.25">
      <c r="A696" t="n">
        <v>25</v>
      </c>
      <c r="B696" t="s">
        <v>14</v>
      </c>
      <c r="C696" t="s">
        <v>15</v>
      </c>
      <c r="D696" s="2" t="s">
        <f>=HYPERLINK("https://main.knesset.gov.il/APPS/legislation/main/bills/1044632", "הצעת חוק לתיקון פקודת מס הכנסה (מס' 285) (נכס דיגיטלי), התשפ""ו-2026")</f>
        <v>1559</v>
      </c>
      <c r="E696" t="s">
        <v>1559</v>
      </c>
      <c r="F696" t="s">
        <v>14</v>
      </c>
      <c r="G696" t="s">
        <v>1560</v>
      </c>
      <c r="H696">
             </c>
      <c r="I696" t="s">
        <v>14</v>
      </c>
      <c r="J696" t="s">
        <v>162</v>
      </c>
      <c r="K696" t="s">
        <v>14</v>
      </c>
      <c r="L696" t="s">
        <v>20</v>
      </c>
      <c r="M696" t="s">
        <v>1530</v>
      </c>
      <c r="N696" t="s">
        <v>14</v>
      </c>
    </row>
    <row r="697" x14ac:dyDescent="0.25">
      <c r="A697" t="n">
        <v>25</v>
      </c>
      <c r="B697" t="s">
        <v>14</v>
      </c>
      <c r="C697" t="s">
        <v>51</v>
      </c>
      <c r="D697" s="2" t="s">
        <f>=HYPERLINK("https://main.knesset.gov.il/APPS/legislation/main/bills/2199215", "הצעת חוק הבנקאות (שירות ללקוח) (תיקון - שירות מקוון ללקוח), התשפ""ג-2023")</f>
        <v>1561</v>
      </c>
      <c r="E697" t="s">
        <v>1561</v>
      </c>
      <c r="F697" t="s">
        <v>1562</v>
      </c>
      <c r="G697" t="s">
        <v>14</v>
      </c>
      <c r="H697">
             </c>
      <c r="I697" t="s">
        <v>14</v>
      </c>
      <c r="J697" t="s">
        <v>183</v>
      </c>
      <c r="K697" t="s">
        <v>84</v>
      </c>
      <c r="L697" t="s">
        <v>20</v>
      </c>
      <c r="M697" t="s">
        <v>1563</v>
      </c>
      <c r="N697" t="s">
        <v>14</v>
      </c>
    </row>
    <row r="698" x14ac:dyDescent="0.25">
      <c r="A698" t="n">
        <v>25</v>
      </c>
      <c r="B698" t="s">
        <v>14</v>
      </c>
      <c r="C698" t="s">
        <v>51</v>
      </c>
      <c r="D698" s="2" t="s">
        <f>=HYPERLINK("https://main.knesset.gov.il/APPS/legislation/main/bills/2220929", "חוק יום הוקרה ממלכתי לפצועי מערכות ישראל ונפגעי פעולות איבה, התשפ""ו–2026")</f>
        <v>1564</v>
      </c>
      <c r="E698" t="s">
        <v>1564</v>
      </c>
      <c r="F698" t="s">
        <v>1565</v>
      </c>
      <c r="G698" t="s">
        <v>1566</v>
      </c>
      <c r="H698" t="n">
        <v>3487</v>
      </c>
      <c r="I698" t="s">
        <v>14</v>
      </c>
      <c r="J698" t="s">
        <v>18</v>
      </c>
      <c r="K698" t="s">
        <v>79</v>
      </c>
      <c r="L698" t="s">
        <v>20</v>
      </c>
      <c r="M698" t="s">
        <v>1563</v>
      </c>
      <c r="N698" t="s">
        <v>1567</v>
      </c>
    </row>
    <row r="699" x14ac:dyDescent="0.25">
      <c r="A699" t="n">
        <v>25</v>
      </c>
      <c r="B699" t="s">
        <v>14</v>
      </c>
      <c r="C699" t="s">
        <v>51</v>
      </c>
      <c r="D699" s="2" t="s">
        <f>=HYPERLINK("https://main.knesset.gov.il/APPS/legislation/main/bills/2210330", "חוק הכשרות המשפטית והאפוטרופסות (תיקון מס' 24), התשפ""ו–2026")</f>
        <v>1568</v>
      </c>
      <c r="E699" t="s">
        <v>1568</v>
      </c>
      <c r="F699" t="s">
        <v>1569</v>
      </c>
      <c r="G699" t="s">
        <v>1570</v>
      </c>
      <c r="H699" t="n">
        <v>3486</v>
      </c>
      <c r="I699" t="s">
        <v>14</v>
      </c>
      <c r="J699" t="s">
        <v>18</v>
      </c>
      <c r="K699" t="s">
        <v>27</v>
      </c>
      <c r="L699" t="s">
        <v>20</v>
      </c>
      <c r="M699" t="s">
        <v>1563</v>
      </c>
      <c r="N699" t="s">
        <v>1571</v>
      </c>
    </row>
    <row r="700" x14ac:dyDescent="0.25">
      <c r="A700" t="n">
        <v>25</v>
      </c>
      <c r="B700" t="s">
        <v>14</v>
      </c>
      <c r="C700" t="s">
        <v>51</v>
      </c>
      <c r="D700" s="2" t="s">
        <f>=HYPERLINK("https://main.knesset.gov.il/APPS/legislation/main/bills/2198087", "חוק הרשויות המקומיות (בחירות) (תיקון מס' 58), התשפ""ו–2026")</f>
        <v>1572</v>
      </c>
      <c r="E700" t="s">
        <v>1572</v>
      </c>
      <c r="F700" t="s">
        <v>1573</v>
      </c>
      <c r="G700" t="s">
        <v>1574</v>
      </c>
      <c r="H700" t="n">
        <v>3485</v>
      </c>
      <c r="I700" t="s">
        <v>14</v>
      </c>
      <c r="J700" t="s">
        <v>18</v>
      </c>
      <c r="K700" t="s">
        <v>30</v>
      </c>
      <c r="L700" t="s">
        <v>20</v>
      </c>
      <c r="M700" t="s">
        <v>1563</v>
      </c>
      <c r="N700" t="s">
        <v>1575</v>
      </c>
    </row>
    <row r="701" x14ac:dyDescent="0.25">
      <c r="A701" t="n">
        <v>25</v>
      </c>
      <c r="B701" t="s">
        <v>14</v>
      </c>
      <c r="C701" t="s">
        <v>15</v>
      </c>
      <c r="D701" s="2" t="s">
        <f>=HYPERLINK("https://main.knesset.gov.il/APPS/legislation/main/bills/2235351", "חוק קצבאות שאירים של משרתי שירות הקבע ושירות המדינה וגמלאיהם (תיקוני חקיקה), התשפ""ו-2026")</f>
        <v>1576</v>
      </c>
      <c r="E701" t="s">
        <v>1576</v>
      </c>
      <c r="F701" t="s">
        <v>14</v>
      </c>
      <c r="G701" t="s">
        <v>1577</v>
      </c>
      <c r="H701" t="n">
        <v>3484</v>
      </c>
      <c r="I701" t="s">
        <v>14</v>
      </c>
      <c r="J701" t="s">
        <v>18</v>
      </c>
      <c r="K701" t="s">
        <v>46</v>
      </c>
      <c r="L701" t="s">
        <v>20</v>
      </c>
      <c r="M701" t="s">
        <v>1563</v>
      </c>
      <c r="N701" t="s">
        <v>1578</v>
      </c>
    </row>
    <row r="702" x14ac:dyDescent="0.25">
      <c r="A702" t="n">
        <v>25</v>
      </c>
      <c r="B702" t="s">
        <v>14</v>
      </c>
      <c r="C702" t="s">
        <v>51</v>
      </c>
      <c r="D702" s="2" t="s">
        <f>=HYPERLINK("https://main.knesset.gov.il/APPS/legislation/main/bills/2236919", "הצעת חוק-יסוד: הכנסת (תיקון - הזכות להיבחר)")</f>
        <v>1579</v>
      </c>
      <c r="E702" t="s">
        <v>1579</v>
      </c>
      <c r="F702" t="s">
        <v>1580</v>
      </c>
      <c r="G702" t="s">
        <v>14</v>
      </c>
      <c r="H702">
             </c>
      <c r="I702" t="s">
        <v>14</v>
      </c>
      <c r="J702" t="s">
        <v>193</v>
      </c>
      <c r="K702" t="s">
        <v>14</v>
      </c>
      <c r="L702" t="s">
        <v>20</v>
      </c>
      <c r="M702" t="s">
        <v>1563</v>
      </c>
      <c r="N702" t="s">
        <v>14</v>
      </c>
    </row>
    <row r="703" x14ac:dyDescent="0.25">
      <c r="A703" t="n">
        <v>25</v>
      </c>
      <c r="B703" t="s">
        <v>14</v>
      </c>
      <c r="C703" t="s">
        <v>51</v>
      </c>
      <c r="D703" s="2" t="s">
        <f>=HYPERLINK("https://main.knesset.gov.il/APPS/legislation/main/bills/2236009", "הצעת חוק יום המודעות לתרומת איברים, התשפ""ו-2025")</f>
        <v>1581</v>
      </c>
      <c r="E703" t="s">
        <v>1581</v>
      </c>
      <c r="F703" t="s">
        <v>1582</v>
      </c>
      <c r="G703" t="s">
        <v>14</v>
      </c>
      <c r="H703">
             </c>
      <c r="I703" t="s">
        <v>14</v>
      </c>
      <c r="J703" t="s">
        <v>152</v>
      </c>
      <c r="K703" t="s">
        <v>79</v>
      </c>
      <c r="L703" t="s">
        <v>20</v>
      </c>
      <c r="M703" t="s">
        <v>1563</v>
      </c>
      <c r="N703" t="s">
        <v>14</v>
      </c>
    </row>
    <row r="704" x14ac:dyDescent="0.25">
      <c r="A704" t="n">
        <v>25</v>
      </c>
      <c r="B704" t="s">
        <v>14</v>
      </c>
      <c r="C704" t="s">
        <v>51</v>
      </c>
      <c r="D704" s="2" t="s">
        <f>=HYPERLINK("https://main.knesset.gov.il/APPS/legislation/main/bills/2234346", "הצעת חוק-יסוד: הממשלה (תיקון - הגבלת תקופת כהונה של ראש הממשלה) ")</f>
        <v>1583</v>
      </c>
      <c r="E704" t="s">
        <v>1583</v>
      </c>
      <c r="F704" t="s">
        <v>1584</v>
      </c>
      <c r="G704" t="s">
        <v>14</v>
      </c>
      <c r="H704">
             </c>
      <c r="I704" t="s">
        <v>14</v>
      </c>
      <c r="J704" t="s">
        <v>193</v>
      </c>
      <c r="K704" t="s">
        <v>14</v>
      </c>
      <c r="L704" t="s">
        <v>20</v>
      </c>
      <c r="M704" t="s">
        <v>1563</v>
      </c>
      <c r="N704" t="s">
        <v>14</v>
      </c>
    </row>
    <row r="705" x14ac:dyDescent="0.25">
      <c r="A705" t="n">
        <v>25</v>
      </c>
      <c r="B705" t="s">
        <v>14</v>
      </c>
      <c r="C705" t="s">
        <v>51</v>
      </c>
      <c r="D705" s="2" t="s">
        <f>=HYPERLINK("https://main.knesset.gov.il/APPS/legislation/main/bills/2234004", "הצעת חוק איסור טיפולי המרה לקטין, התשפ""ה-2025")</f>
        <v>1585</v>
      </c>
      <c r="E705" t="s">
        <v>1585</v>
      </c>
      <c r="F705" t="s">
        <v>1586</v>
      </c>
      <c r="G705" t="s">
        <v>14</v>
      </c>
      <c r="H705">
             </c>
      <c r="I705" t="s">
        <v>14</v>
      </c>
      <c r="J705" t="s">
        <v>193</v>
      </c>
      <c r="K705" t="s">
        <v>14</v>
      </c>
      <c r="L705" t="s">
        <v>20</v>
      </c>
      <c r="M705" t="s">
        <v>1563</v>
      </c>
      <c r="N705" t="s">
        <v>14</v>
      </c>
    </row>
    <row r="706" x14ac:dyDescent="0.25">
      <c r="A706" t="n">
        <v>25</v>
      </c>
      <c r="B706" t="s">
        <v>14</v>
      </c>
      <c r="C706" t="s">
        <v>51</v>
      </c>
      <c r="D706" s="2" t="s">
        <f>=HYPERLINK("https://main.knesset.gov.il/APPS/legislation/main/bills/2232360", "הצעת חוק הבטחת גישה למזון בשעת חירום, התשפ""ה-2025")</f>
        <v>1587</v>
      </c>
      <c r="E706" t="s">
        <v>1587</v>
      </c>
      <c r="F706" t="s">
        <v>1588</v>
      </c>
      <c r="G706" t="s">
        <v>14</v>
      </c>
      <c r="H706">
             </c>
      <c r="I706" t="s">
        <v>14</v>
      </c>
      <c r="J706" t="s">
        <v>193</v>
      </c>
      <c r="K706" t="s">
        <v>14</v>
      </c>
      <c r="L706" t="s">
        <v>20</v>
      </c>
      <c r="M706" t="s">
        <v>1563</v>
      </c>
      <c r="N706" t="s">
        <v>14</v>
      </c>
    </row>
    <row r="707" x14ac:dyDescent="0.25">
      <c r="A707" t="n">
        <v>25</v>
      </c>
      <c r="B707" t="s">
        <v>14</v>
      </c>
      <c r="C707" t="s">
        <v>51</v>
      </c>
      <c r="D707" s="2" t="s">
        <f>=HYPERLINK("https://main.knesset.gov.il/APPS/legislation/main/bills/2232185", "הצעת חוק לציון אירועי ליל הבדולח, התשפ""ה-2025")</f>
        <v>1589</v>
      </c>
      <c r="E707" t="s">
        <v>1589</v>
      </c>
      <c r="F707" t="s">
        <v>1590</v>
      </c>
      <c r="G707" t="s">
        <v>14</v>
      </c>
      <c r="H707">
             </c>
      <c r="I707" t="s">
        <v>14</v>
      </c>
      <c r="J707" t="s">
        <v>152</v>
      </c>
      <c r="K707" t="s">
        <v>79</v>
      </c>
      <c r="L707" t="s">
        <v>20</v>
      </c>
      <c r="M707" t="s">
        <v>1563</v>
      </c>
      <c r="N707" t="s">
        <v>14</v>
      </c>
    </row>
    <row r="708" x14ac:dyDescent="0.25">
      <c r="A708" t="n">
        <v>25</v>
      </c>
      <c r="B708" t="s">
        <v>14</v>
      </c>
      <c r="C708" t="s">
        <v>51</v>
      </c>
      <c r="D708" s="2" t="s">
        <f>=HYPERLINK("https://main.knesset.gov.il/APPS/legislation/main/bills/2232198", "הצעת חוק חובת המכרזים (תיקון - העדפה למעסיק משרתי מילואים), התשפ""ה-2025")</f>
        <v>1591</v>
      </c>
      <c r="E708" t="s">
        <v>1591</v>
      </c>
      <c r="F708" t="s">
        <v>1592</v>
      </c>
      <c r="G708" t="s">
        <v>14</v>
      </c>
      <c r="H708">
             </c>
      <c r="I708" t="s">
        <v>14</v>
      </c>
      <c r="J708" t="s">
        <v>193</v>
      </c>
      <c r="K708" t="s">
        <v>14</v>
      </c>
      <c r="L708" t="s">
        <v>20</v>
      </c>
      <c r="M708" t="s">
        <v>1563</v>
      </c>
      <c r="N708" t="s">
        <v>14</v>
      </c>
    </row>
    <row r="709" x14ac:dyDescent="0.25">
      <c r="A709" t="n">
        <v>25</v>
      </c>
      <c r="B709" t="s">
        <v>14</v>
      </c>
      <c r="C709" t="s">
        <v>51</v>
      </c>
      <c r="D709" s="2" t="s">
        <f>=HYPERLINK("https://main.knesset.gov.il/APPS/legislation/main/bills/2231610", "הצעת חוק שירות המדינה (מינויים) (תיקון - מינוי נציב והטלת תפקיד זמני), התשפ״ה-2025")</f>
        <v>1593</v>
      </c>
      <c r="E709" t="s">
        <v>1593</v>
      </c>
      <c r="F709" t="s">
        <v>1594</v>
      </c>
      <c r="G709" t="s">
        <v>14</v>
      </c>
      <c r="H709">
             </c>
      <c r="I709" t="s">
        <v>14</v>
      </c>
      <c r="J709" t="s">
        <v>152</v>
      </c>
      <c r="K709" t="s">
        <v>27</v>
      </c>
      <c r="L709" t="s">
        <v>20</v>
      </c>
      <c r="M709" t="s">
        <v>1563</v>
      </c>
      <c r="N709" t="s">
        <v>14</v>
      </c>
    </row>
    <row r="710" x14ac:dyDescent="0.25">
      <c r="A710" t="n">
        <v>25</v>
      </c>
      <c r="B710" t="s">
        <v>14</v>
      </c>
      <c r="C710" t="s">
        <v>51</v>
      </c>
      <c r="D710" s="2" t="s">
        <f>=HYPERLINK("https://main.knesset.gov.il/APPS/legislation/main/bills/2225758", "הצעת חוק הגנה על בתי תפילה ותיקים (תיקוני חקיקה), התשפ""ה-2025")</f>
        <v>1595</v>
      </c>
      <c r="E710" t="s">
        <v>1595</v>
      </c>
      <c r="F710" t="s">
        <v>1596</v>
      </c>
      <c r="G710" t="s">
        <v>14</v>
      </c>
      <c r="H710">
             </c>
      <c r="I710" t="s">
        <v>14</v>
      </c>
      <c r="J710" t="s">
        <v>152</v>
      </c>
      <c r="K710" t="s">
        <v>30</v>
      </c>
      <c r="L710" t="s">
        <v>20</v>
      </c>
      <c r="M710" t="s">
        <v>1563</v>
      </c>
      <c r="N710" t="s">
        <v>14</v>
      </c>
    </row>
    <row r="711" x14ac:dyDescent="0.25">
      <c r="A711" t="n">
        <v>25</v>
      </c>
      <c r="B711" t="s">
        <v>14</v>
      </c>
      <c r="C711" t="s">
        <v>51</v>
      </c>
      <c r="D711" s="2" t="s">
        <f>=HYPERLINK("https://main.knesset.gov.il/APPS/legislation/main/bills/2225842", "הצעת חוק שירות ביטחון (תיקון - התמודדות עם הסתה נגד חיילים חרדים), התשפ""ה-2025")</f>
        <v>1597</v>
      </c>
      <c r="E711" t="s">
        <v>1597</v>
      </c>
      <c r="F711" t="s">
        <v>1598</v>
      </c>
      <c r="G711" t="s">
        <v>14</v>
      </c>
      <c r="H711">
             </c>
      <c r="I711" t="s">
        <v>14</v>
      </c>
      <c r="J711" t="s">
        <v>193</v>
      </c>
      <c r="K711" t="s">
        <v>14</v>
      </c>
      <c r="L711" t="s">
        <v>20</v>
      </c>
      <c r="M711" t="s">
        <v>1563</v>
      </c>
      <c r="N711" t="s">
        <v>14</v>
      </c>
    </row>
    <row r="712" x14ac:dyDescent="0.25">
      <c r="A712" t="n">
        <v>25</v>
      </c>
      <c r="B712" t="s">
        <v>14</v>
      </c>
      <c r="C712" t="s">
        <v>51</v>
      </c>
      <c r="D712" s="2" t="s">
        <f>=HYPERLINK("https://main.knesset.gov.il/APPS/legislation/main/bills/2209838", "הצעת חוק איסור טיפול המרה לקטין, התשפ""ד-2023 ")</f>
        <v>1599</v>
      </c>
      <c r="E712" t="s">
        <v>1599</v>
      </c>
      <c r="F712" t="s">
        <v>1600</v>
      </c>
      <c r="G712" t="s">
        <v>14</v>
      </c>
      <c r="H712">
             </c>
      <c r="I712" t="s">
        <v>14</v>
      </c>
      <c r="J712" t="s">
        <v>193</v>
      </c>
      <c r="K712" t="s">
        <v>14</v>
      </c>
      <c r="L712" t="s">
        <v>20</v>
      </c>
      <c r="M712" t="s">
        <v>1563</v>
      </c>
      <c r="N712" t="s">
        <v>14</v>
      </c>
    </row>
    <row r="713" x14ac:dyDescent="0.25">
      <c r="A713" t="n">
        <v>25</v>
      </c>
      <c r="B713" t="s">
        <v>14</v>
      </c>
      <c r="C713" t="s">
        <v>51</v>
      </c>
      <c r="D713" s="2" t="s">
        <f>=HYPERLINK("https://main.knesset.gov.il/APPS/legislation/main/bills/2207029", "הצעת חוק הגנת הצרכן (תיקון מס' 73) (קבלה דיגיטלית ושובר זיכוי דיגיטלי), התשפ""ה–2025")</f>
        <v>1601</v>
      </c>
      <c r="E713" t="s">
        <v>1601</v>
      </c>
      <c r="F713" t="s">
        <v>1602</v>
      </c>
      <c r="G713" t="s">
        <v>1603</v>
      </c>
      <c r="H713">
             </c>
      <c r="I713" t="s">
        <v>14</v>
      </c>
      <c r="J713" t="s">
        <v>38</v>
      </c>
      <c r="K713" t="s">
        <v>84</v>
      </c>
      <c r="L713" t="s">
        <v>20</v>
      </c>
      <c r="M713" t="s">
        <v>1563</v>
      </c>
      <c r="N713" t="s">
        <v>14</v>
      </c>
    </row>
    <row r="714" x14ac:dyDescent="0.25">
      <c r="A714" t="n">
        <v>25</v>
      </c>
      <c r="B714" t="s">
        <v>14</v>
      </c>
      <c r="C714" t="s">
        <v>51</v>
      </c>
      <c r="D714" s="2" t="s">
        <f>=HYPERLINK("https://main.knesset.gov.il/APPS/legislation/main/bills/2205845", "הצעת חוק להפחתת סכום הפיצוי הכספי בשל נסיעה ללא תיקוף כרטיס בתחבורה הציבורית (תיקוני חקיקה), התשפ""ו–2026")</f>
        <v>1604</v>
      </c>
      <c r="E714" t="s">
        <v>1604</v>
      </c>
      <c r="F714" t="s">
        <v>1605</v>
      </c>
      <c r="G714" t="s">
        <v>1606</v>
      </c>
      <c r="H714">
             </c>
      <c r="I714" t="s">
        <v>166</v>
      </c>
      <c r="J714" t="s">
        <v>180</v>
      </c>
      <c r="K714" t="s">
        <v>84</v>
      </c>
      <c r="L714" t="s">
        <v>20</v>
      </c>
      <c r="M714" t="s">
        <v>1563</v>
      </c>
      <c r="N714" t="s">
        <v>14</v>
      </c>
    </row>
    <row r="715" x14ac:dyDescent="0.25">
      <c r="A715" t="n">
        <v>25</v>
      </c>
      <c r="B715" t="s">
        <v>14</v>
      </c>
      <c r="C715" t="s">
        <v>51</v>
      </c>
      <c r="D715" s="2" t="s">
        <f>=HYPERLINK("https://main.knesset.gov.il/APPS/legislation/main/bills/2203407", "הצעת חוק-יסוד: הממשלה (תיקון - הגבלת כהונת ראש הממשלה לשתי תקופות כהונה רצופות)")</f>
        <v>1488</v>
      </c>
      <c r="E715" t="s">
        <v>1488</v>
      </c>
      <c r="F715" t="s">
        <v>1607</v>
      </c>
      <c r="G715" t="s">
        <v>14</v>
      </c>
      <c r="H715">
             </c>
      <c r="I715" t="s">
        <v>14</v>
      </c>
      <c r="J715" t="s">
        <v>193</v>
      </c>
      <c r="K715" t="s">
        <v>14</v>
      </c>
      <c r="L715" t="s">
        <v>20</v>
      </c>
      <c r="M715" t="s">
        <v>1563</v>
      </c>
      <c r="N715" t="s">
        <v>14</v>
      </c>
    </row>
    <row r="716" x14ac:dyDescent="0.25">
      <c r="A716" t="n">
        <v>25</v>
      </c>
      <c r="B716" t="s">
        <v>14</v>
      </c>
      <c r="C716" t="s">
        <v>51</v>
      </c>
      <c r="D716" s="2" t="s">
        <f>=HYPERLINK("https://main.knesset.gov.il/APPS/legislation/main/bills/2202588", "הצעת חוק מרשם האוכלוסין (תיקון - הגדרת יהודי), התשפ""ג-2023")</f>
        <v>1608</v>
      </c>
      <c r="E716" t="s">
        <v>1608</v>
      </c>
      <c r="F716" t="s">
        <v>1609</v>
      </c>
      <c r="G716" t="s">
        <v>14</v>
      </c>
      <c r="H716">
             </c>
      <c r="I716" t="s">
        <v>14</v>
      </c>
      <c r="J716" t="s">
        <v>193</v>
      </c>
      <c r="K716" t="s">
        <v>14</v>
      </c>
      <c r="L716" t="s">
        <v>20</v>
      </c>
      <c r="M716" t="s">
        <v>1563</v>
      </c>
      <c r="N716" t="s">
        <v>14</v>
      </c>
    </row>
    <row r="717" x14ac:dyDescent="0.25">
      <c r="A717" t="n">
        <v>25</v>
      </c>
      <c r="B717" t="s">
        <v>14</v>
      </c>
      <c r="C717" t="s">
        <v>51</v>
      </c>
      <c r="D717" s="2" t="s">
        <f>=HYPERLINK("https://main.knesset.gov.il/APPS/legislation/main/bills/2197656", "הצעת חוק איסור טיפול המרה לקטין, התשפ""ג-2022")</f>
        <v>1610</v>
      </c>
      <c r="E717" t="s">
        <v>1610</v>
      </c>
      <c r="F717" t="s">
        <v>1611</v>
      </c>
      <c r="G717" t="s">
        <v>14</v>
      </c>
      <c r="H717">
             </c>
      <c r="I717" t="s">
        <v>14</v>
      </c>
      <c r="J717" t="s">
        <v>193</v>
      </c>
      <c r="K717" t="s">
        <v>14</v>
      </c>
      <c r="L717" t="s">
        <v>20</v>
      </c>
      <c r="M717" t="s">
        <v>1563</v>
      </c>
      <c r="N717" t="s">
        <v>14</v>
      </c>
    </row>
    <row r="718" x14ac:dyDescent="0.25">
      <c r="A718" t="n">
        <v>25</v>
      </c>
      <c r="B718" t="s">
        <v>14</v>
      </c>
      <c r="C718" t="s">
        <v>51</v>
      </c>
      <c r="D718" s="2" t="s">
        <f>=HYPERLINK("https://main.knesset.gov.il/APPS/legislation/main/bills/2227783", "הצעת חוק משפחות חיילים שנספו במערכה (תגמולים ושיקום) (תיקון - עדכון הסיוע וההטבות לאלמנה), התשפ""ה-2025")</f>
        <v>1612</v>
      </c>
      <c r="E718" t="s">
        <v>1612</v>
      </c>
      <c r="F718" t="s">
        <v>1613</v>
      </c>
      <c r="G718" t="s">
        <v>14</v>
      </c>
      <c r="H718">
             </c>
      <c r="I718" t="s">
        <v>14</v>
      </c>
      <c r="J718" t="s">
        <v>183</v>
      </c>
      <c r="K718" t="s">
        <v>46</v>
      </c>
      <c r="L718" t="s">
        <v>20</v>
      </c>
      <c r="M718" t="s">
        <v>1614</v>
      </c>
      <c r="N718" t="s">
        <v>14</v>
      </c>
    </row>
    <row r="719" x14ac:dyDescent="0.25">
      <c r="A719" t="n">
        <v>25</v>
      </c>
      <c r="B719" t="s">
        <v>14</v>
      </c>
      <c r="C719" t="s">
        <v>51</v>
      </c>
      <c r="D719" s="2" t="s">
        <f>=HYPERLINK("https://main.knesset.gov.il/APPS/legislation/main/bills/2224634", "הצעת חוק העמותות (תיקון - תרומה מישות מדינית זרה), התשפ""ה-2024")</f>
        <v>1615</v>
      </c>
      <c r="E719" t="s">
        <v>1615</v>
      </c>
      <c r="F719" t="s">
        <v>1616</v>
      </c>
      <c r="G719" t="s">
        <v>14</v>
      </c>
      <c r="H719">
             </c>
      <c r="I719" t="s">
        <v>14</v>
      </c>
      <c r="J719" t="s">
        <v>152</v>
      </c>
      <c r="K719" t="s">
        <v>27</v>
      </c>
      <c r="L719" t="s">
        <v>20</v>
      </c>
      <c r="M719" t="s">
        <v>1614</v>
      </c>
      <c r="N719" t="s">
        <v>14</v>
      </c>
    </row>
    <row r="720" x14ac:dyDescent="0.25">
      <c r="A720" t="n">
        <v>25</v>
      </c>
      <c r="B720" t="s">
        <v>14</v>
      </c>
      <c r="C720" t="s">
        <v>51</v>
      </c>
      <c r="D720" s="2" t="s">
        <f>=HYPERLINK("https://main.knesset.gov.il/APPS/legislation/main/bills/2220285", "הצעת חוק משפחות חיילים שנספו במערכה (תגמולים ושיקום) (תיקון - תגמולי יתומים, אלמנות וגרושות), התשפ""ד-2024")</f>
        <v>1617</v>
      </c>
      <c r="E720" t="s">
        <v>1617</v>
      </c>
      <c r="F720" t="s">
        <v>1618</v>
      </c>
      <c r="G720" t="s">
        <v>14</v>
      </c>
      <c r="H720">
             </c>
      <c r="I720" t="s">
        <v>14</v>
      </c>
      <c r="J720" t="s">
        <v>183</v>
      </c>
      <c r="K720" t="s">
        <v>46</v>
      </c>
      <c r="L720" t="s">
        <v>20</v>
      </c>
      <c r="M720" t="s">
        <v>1614</v>
      </c>
      <c r="N720" t="s">
        <v>14</v>
      </c>
    </row>
    <row r="721" x14ac:dyDescent="0.25">
      <c r="A721" t="n">
        <v>25</v>
      </c>
      <c r="B721" t="s">
        <v>14</v>
      </c>
      <c r="C721" t="s">
        <v>51</v>
      </c>
      <c r="D721" s="2" t="s">
        <f>=HYPERLINK("https://main.knesset.gov.il/APPS/legislation/main/bills/2217355", "הצעת חוק משפחות חיילים שנספו במערכה (תגמולים ושיקום) (תיקון - תגמולי הורים, יתומים ואחים שכולים), התשפ""ד-2024")</f>
        <v>1619</v>
      </c>
      <c r="E721" t="s">
        <v>1619</v>
      </c>
      <c r="F721" t="s">
        <v>1620</v>
      </c>
      <c r="G721" t="s">
        <v>14</v>
      </c>
      <c r="H721">
             </c>
      <c r="I721" t="s">
        <v>14</v>
      </c>
      <c r="J721" t="s">
        <v>152</v>
      </c>
      <c r="K721" t="s">
        <v>46</v>
      </c>
      <c r="L721" t="s">
        <v>20</v>
      </c>
      <c r="M721" t="s">
        <v>1614</v>
      </c>
      <c r="N721" t="s">
        <v>14</v>
      </c>
    </row>
    <row r="722" x14ac:dyDescent="0.25">
      <c r="A722" t="n">
        <v>25</v>
      </c>
      <c r="B722" t="s">
        <v>14</v>
      </c>
      <c r="C722" t="s">
        <v>51</v>
      </c>
      <c r="D722" s="2" t="s">
        <f>=HYPERLINK("https://main.knesset.gov.il/APPS/legislation/main/bills/2216711", "הצעת חוק תגמולים ליתום משני הוריו שאחד מהם נספה במלחמת חרבות ברזל (תיקוני חקיקה), התשפ""ד-2024")</f>
        <v>1621</v>
      </c>
      <c r="E722" t="s">
        <v>1621</v>
      </c>
      <c r="F722" t="s">
        <v>1622</v>
      </c>
      <c r="G722" t="s">
        <v>14</v>
      </c>
      <c r="H722">
             </c>
      <c r="I722" t="s">
        <v>14</v>
      </c>
      <c r="J722" t="s">
        <v>183</v>
      </c>
      <c r="K722" t="s">
        <v>46</v>
      </c>
      <c r="L722" t="s">
        <v>20</v>
      </c>
      <c r="M722" t="s">
        <v>1614</v>
      </c>
      <c r="N722" t="s">
        <v>14</v>
      </c>
    </row>
    <row r="723" x14ac:dyDescent="0.25">
      <c r="A723" t="n">
        <v>25</v>
      </c>
      <c r="B723" t="s">
        <v>14</v>
      </c>
      <c r="C723" t="s">
        <v>51</v>
      </c>
      <c r="D723" s="2" t="s">
        <f>=HYPERLINK("https://main.knesset.gov.il/APPS/legislation/main/bills/2215745", "הצעת חוק שירות המדינה (גימלאות) (תיקון - קצבה ליתום משני הוריו), התשפ""ד-2024")</f>
        <v>1623</v>
      </c>
      <c r="E723" t="s">
        <v>1623</v>
      </c>
      <c r="F723" t="s">
        <v>1624</v>
      </c>
      <c r="G723" t="s">
        <v>14</v>
      </c>
      <c r="H723">
             </c>
      <c r="I723" t="s">
        <v>14</v>
      </c>
      <c r="J723" t="s">
        <v>183</v>
      </c>
      <c r="K723" t="s">
        <v>46</v>
      </c>
      <c r="L723" t="s">
        <v>20</v>
      </c>
      <c r="M723" t="s">
        <v>1614</v>
      </c>
      <c r="N723" t="s">
        <v>14</v>
      </c>
    </row>
    <row r="724" x14ac:dyDescent="0.25">
      <c r="A724" t="n">
        <v>25</v>
      </c>
      <c r="B724" t="s">
        <v>14</v>
      </c>
      <c r="C724" t="s">
        <v>51</v>
      </c>
      <c r="D724" s="2" t="s">
        <f>=HYPERLINK("https://main.knesset.gov.il/APPS/legislation/main/bills/2214239", "הצעת חוק משפחות חיילים שנספו במערכה (תגמולים ושיקום) (תיקון - הסדרת הזכויות של יתומים בוגרים), התשפ""ד-2024")</f>
        <v>1625</v>
      </c>
      <c r="E724" t="s">
        <v>1625</v>
      </c>
      <c r="F724" t="s">
        <v>1626</v>
      </c>
      <c r="G724" t="s">
        <v>14</v>
      </c>
      <c r="H724">
             </c>
      <c r="I724" t="s">
        <v>14</v>
      </c>
      <c r="J724" t="s">
        <v>183</v>
      </c>
      <c r="K724" t="s">
        <v>46</v>
      </c>
      <c r="L724" t="s">
        <v>20</v>
      </c>
      <c r="M724" t="s">
        <v>1614</v>
      </c>
      <c r="N724" t="s">
        <v>14</v>
      </c>
    </row>
    <row r="725" x14ac:dyDescent="0.25">
      <c r="A725" t="n">
        <v>25</v>
      </c>
      <c r="B725" t="s">
        <v>14</v>
      </c>
      <c r="C725" t="s">
        <v>51</v>
      </c>
      <c r="D725" s="2" t="s">
        <f>=HYPERLINK("https://main.knesset.gov.il/APPS/legislation/main/bills/2201628", "הצעת חוק משפחות חיילים שנספו במערכה (תגמולים ושיקום) (תיקון - הרחבת הזכאות ליתומים שמלאו להם 21 שנים), התשפ""ג-2023 ")</f>
        <v>1627</v>
      </c>
      <c r="E725" t="s">
        <v>1627</v>
      </c>
      <c r="F725" t="s">
        <v>1628</v>
      </c>
      <c r="G725" t="s">
        <v>14</v>
      </c>
      <c r="H725">
             </c>
      <c r="I725" t="s">
        <v>14</v>
      </c>
      <c r="J725" t="s">
        <v>183</v>
      </c>
      <c r="K725" t="s">
        <v>46</v>
      </c>
      <c r="L725" t="s">
        <v>20</v>
      </c>
      <c r="M725" t="s">
        <v>1614</v>
      </c>
      <c r="N725" t="s">
        <v>14</v>
      </c>
    </row>
    <row r="726" x14ac:dyDescent="0.25">
      <c r="A726" t="n">
        <v>25</v>
      </c>
      <c r="B726" t="s">
        <v>14</v>
      </c>
      <c r="C726" t="s">
        <v>51</v>
      </c>
      <c r="D726" s="2" t="s">
        <f>=HYPERLINK("https://main.knesset.gov.il/APPS/legislation/main/bills/2197759", "הצעת חוק משפחות חיילים שנספו במערכה (תיקון - יתומי צה""ל), התשפ""ג-2022")</f>
        <v>1629</v>
      </c>
      <c r="E726" t="s">
        <v>1629</v>
      </c>
      <c r="F726" t="s">
        <v>1630</v>
      </c>
      <c r="G726" t="s">
        <v>14</v>
      </c>
      <c r="H726">
             </c>
      <c r="I726" t="s">
        <v>14</v>
      </c>
      <c r="J726" t="s">
        <v>183</v>
      </c>
      <c r="K726" t="s">
        <v>46</v>
      </c>
      <c r="L726" t="s">
        <v>20</v>
      </c>
      <c r="M726" t="s">
        <v>1614</v>
      </c>
      <c r="N726" t="s">
        <v>14</v>
      </c>
    </row>
    <row r="727" x14ac:dyDescent="0.25">
      <c r="A727" t="n">
        <v>25</v>
      </c>
      <c r="B727" t="s">
        <v>14</v>
      </c>
      <c r="C727" t="s">
        <v>51</v>
      </c>
      <c r="D727" s="2" t="s">
        <f>=HYPERLINK("https://main.knesset.gov.il/APPS/legislation/main/bills/2223797", "הצעת חוק מסירת מידע סודי לראש הממשלה ולשרים (תיקוני חקיקה), התשפ""ה-2024")</f>
        <v>1631</v>
      </c>
      <c r="E727" t="s">
        <v>1631</v>
      </c>
      <c r="F727" t="s">
        <v>1632</v>
      </c>
      <c r="G727" t="s">
        <v>14</v>
      </c>
      <c r="H727">
             </c>
      <c r="I727" t="s">
        <v>14</v>
      </c>
      <c r="J727" t="s">
        <v>152</v>
      </c>
      <c r="K727" t="s">
        <v>39</v>
      </c>
      <c r="L727" t="s">
        <v>20</v>
      </c>
      <c r="M727" t="s">
        <v>1633</v>
      </c>
      <c r="N727" t="s">
        <v>14</v>
      </c>
    </row>
    <row r="728" x14ac:dyDescent="0.25">
      <c r="A728" t="n">
        <v>25</v>
      </c>
      <c r="B728" t="s">
        <v>14</v>
      </c>
      <c r="C728" t="s">
        <v>51</v>
      </c>
      <c r="D728" s="2" t="s">
        <f>=HYPERLINK("https://main.knesset.gov.il/APPS/legislation/main/bills/2234082", "הצעת חוק-יסוד: השפיטה (תיקון - רשות ערעור למדינה על זיכוי אדם בפלילים)")</f>
        <v>1634</v>
      </c>
      <c r="E728" t="s">
        <v>1634</v>
      </c>
      <c r="F728" t="s">
        <v>1635</v>
      </c>
      <c r="G728" t="s">
        <v>14</v>
      </c>
      <c r="H728">
             </c>
      <c r="I728" t="s">
        <v>14</v>
      </c>
      <c r="J728" t="s">
        <v>152</v>
      </c>
      <c r="K728" t="s">
        <v>27</v>
      </c>
      <c r="L728" t="s">
        <v>20</v>
      </c>
      <c r="M728" t="s">
        <v>1633</v>
      </c>
      <c r="N728" t="s">
        <v>14</v>
      </c>
    </row>
    <row r="729" x14ac:dyDescent="0.25">
      <c r="A729" t="n">
        <v>25</v>
      </c>
      <c r="B729" t="s">
        <v>14</v>
      </c>
      <c r="C729" t="s">
        <v>51</v>
      </c>
      <c r="D729" s="2" t="s">
        <f>=HYPERLINK("https://main.knesset.gov.il/APPS/legislation/main/bills/2225108", "הצעת חוק-יסוד: השפיטה (תיקון - רשות ערעור למדינה על זיכוי אדם בפלילים)")</f>
        <v>1634</v>
      </c>
      <c r="E729" t="s">
        <v>1634</v>
      </c>
      <c r="F729" t="s">
        <v>1636</v>
      </c>
      <c r="G729" t="s">
        <v>14</v>
      </c>
      <c r="H729">
             </c>
      <c r="I729" t="s">
        <v>14</v>
      </c>
      <c r="J729" t="s">
        <v>152</v>
      </c>
      <c r="K729" t="s">
        <v>27</v>
      </c>
      <c r="L729" t="s">
        <v>20</v>
      </c>
      <c r="M729" t="s">
        <v>1633</v>
      </c>
      <c r="N729" t="s">
        <v>14</v>
      </c>
    </row>
    <row r="730" x14ac:dyDescent="0.25">
      <c r="A730" t="n">
        <v>25</v>
      </c>
      <c r="B730" t="s">
        <v>14</v>
      </c>
      <c r="C730" t="s">
        <v>15</v>
      </c>
      <c r="D730" s="2" t="s">
        <f>=HYPERLINK("https://main.knesset.gov.il/APPS/legislation/main/bills/2230475", "חוק הקולנוע (תיקון מס' 7), התשפ""ו-2026")</f>
        <v>1637</v>
      </c>
      <c r="E730" t="s">
        <v>1637</v>
      </c>
      <c r="F730" t="s">
        <v>14</v>
      </c>
      <c r="G730" t="s">
        <v>1638</v>
      </c>
      <c r="H730" t="n">
        <v>3483</v>
      </c>
      <c r="I730" t="s">
        <v>14</v>
      </c>
      <c r="J730" t="s">
        <v>18</v>
      </c>
      <c r="K730" t="s">
        <v>79</v>
      </c>
      <c r="L730" t="s">
        <v>20</v>
      </c>
      <c r="M730" t="s">
        <v>1633</v>
      </c>
      <c r="N730" t="s">
        <v>1639</v>
      </c>
    </row>
    <row r="731" x14ac:dyDescent="0.25">
      <c r="A731" t="n">
        <v>25</v>
      </c>
      <c r="B731" t="s">
        <v>14</v>
      </c>
      <c r="C731" t="s">
        <v>51</v>
      </c>
      <c r="D731" s="2" t="s">
        <f>=HYPERLINK("https://main.knesset.gov.il/APPS/legislation/main/bills/2238725", "הצעת חוק השיפוט הצבאי (תיקון - גבולות המעורבות המשפטית בצה״ל), התשפ""ו-2026")</f>
        <v>1640</v>
      </c>
      <c r="E731" t="s">
        <v>1640</v>
      </c>
      <c r="F731" t="s">
        <v>1641</v>
      </c>
      <c r="G731" t="s">
        <v>14</v>
      </c>
      <c r="H731">
             </c>
      <c r="I731" t="s">
        <v>14</v>
      </c>
      <c r="J731" t="s">
        <v>242</v>
      </c>
      <c r="K731" t="s">
        <v>14</v>
      </c>
      <c r="L731" t="s">
        <v>20</v>
      </c>
      <c r="M731" t="s">
        <v>1633</v>
      </c>
      <c r="N731" t="s">
        <v>14</v>
      </c>
    </row>
    <row r="732" x14ac:dyDescent="0.25">
      <c r="A732" t="n">
        <v>25</v>
      </c>
      <c r="B732" t="s">
        <v>14</v>
      </c>
      <c r="C732" t="s">
        <v>51</v>
      </c>
      <c r="D732" s="2" t="s">
        <f>=HYPERLINK("https://main.knesset.gov.il/APPS/legislation/main/bills/2238532", "הצעת חוק ביטוח סיעודי ממלכתי (תיקוני חקיקה), התשפ""ו-2026")</f>
        <v>1642</v>
      </c>
      <c r="E732" t="s">
        <v>1642</v>
      </c>
      <c r="F732" t="s">
        <v>1643</v>
      </c>
      <c r="G732" t="s">
        <v>14</v>
      </c>
      <c r="H732">
             </c>
      <c r="I732" t="s">
        <v>14</v>
      </c>
      <c r="J732" t="s">
        <v>242</v>
      </c>
      <c r="K732" t="s">
        <v>14</v>
      </c>
      <c r="L732" t="s">
        <v>20</v>
      </c>
      <c r="M732" t="s">
        <v>1633</v>
      </c>
      <c r="N732" t="s">
        <v>14</v>
      </c>
    </row>
    <row r="733" x14ac:dyDescent="0.25">
      <c r="A733" t="n">
        <v>25</v>
      </c>
      <c r="B733" t="s">
        <v>14</v>
      </c>
      <c r="C733" t="s">
        <v>51</v>
      </c>
      <c r="D733" s="2" t="s">
        <f>=HYPERLINK("https://main.knesset.gov.il/APPS/legislation/main/bills/2237891", "הצעת חוק ועדות חקירה (תיקון - הקמת ועדה בהצבעה חשאית בכנסת), התשפ""ו-2026")</f>
        <v>1644</v>
      </c>
      <c r="E733" t="s">
        <v>1644</v>
      </c>
      <c r="F733" t="s">
        <v>1645</v>
      </c>
      <c r="G733" t="s">
        <v>14</v>
      </c>
      <c r="H733">
             </c>
      <c r="I733" t="s">
        <v>14</v>
      </c>
      <c r="J733" t="s">
        <v>242</v>
      </c>
      <c r="K733" t="s">
        <v>14</v>
      </c>
      <c r="L733" t="s">
        <v>20</v>
      </c>
      <c r="M733" t="s">
        <v>1633</v>
      </c>
      <c r="N733" t="s">
        <v>14</v>
      </c>
    </row>
    <row r="734" x14ac:dyDescent="0.25">
      <c r="A734" t="n">
        <v>25</v>
      </c>
      <c r="B734" t="s">
        <v>14</v>
      </c>
      <c r="C734" t="s">
        <v>51</v>
      </c>
      <c r="D734" s="2" t="s">
        <f>=HYPERLINK("https://main.knesset.gov.il/APPS/legislation/main/bills/2238876", " הצעת חוק קבלת ילד של משרת מילואים למעון יום והשתתפות המדינה בעלות שכר הלימוד בו, התשפ""ו-2026")</f>
        <v>1646</v>
      </c>
      <c r="E734" t="s">
        <v>1646</v>
      </c>
      <c r="F734" t="s">
        <v>1647</v>
      </c>
      <c r="G734" t="s">
        <v>14</v>
      </c>
      <c r="H734">
             </c>
      <c r="I734" t="s">
        <v>14</v>
      </c>
      <c r="J734" t="s">
        <v>242</v>
      </c>
      <c r="K734" t="s">
        <v>14</v>
      </c>
      <c r="L734" t="s">
        <v>20</v>
      </c>
      <c r="M734" t="s">
        <v>1633</v>
      </c>
      <c r="N734" t="s">
        <v>14</v>
      </c>
    </row>
    <row r="735" x14ac:dyDescent="0.25">
      <c r="A735" t="n">
        <v>25</v>
      </c>
      <c r="B735" t="s">
        <v>14</v>
      </c>
      <c r="C735" t="s">
        <v>51</v>
      </c>
      <c r="D735" s="2" t="s">
        <f>=HYPERLINK("https://main.knesset.gov.il/APPS/legislation/main/bills/2238185", "הצעת חוק-יסוד: משאל עם לאישור חוקת מדינת ישראל")</f>
        <v>1648</v>
      </c>
      <c r="E735" t="s">
        <v>1648</v>
      </c>
      <c r="F735" t="s">
        <v>1649</v>
      </c>
      <c r="G735" t="s">
        <v>14</v>
      </c>
      <c r="H735">
             </c>
      <c r="I735" t="s">
        <v>14</v>
      </c>
      <c r="J735" t="s">
        <v>242</v>
      </c>
      <c r="K735" t="s">
        <v>14</v>
      </c>
      <c r="L735" t="s">
        <v>20</v>
      </c>
      <c r="M735" t="s">
        <v>1633</v>
      </c>
      <c r="N735" t="s">
        <v>14</v>
      </c>
    </row>
    <row r="736" x14ac:dyDescent="0.25">
      <c r="A736" t="n">
        <v>25</v>
      </c>
      <c r="B736" t="s">
        <v>14</v>
      </c>
      <c r="C736" t="s">
        <v>51</v>
      </c>
      <c r="D736" s="2" t="s">
        <f>=HYPERLINK("https://main.knesset.gov.il/APPS/legislation/main/bills/2238906", "הצעת חוק למניעת הטרדה מינית (תיקון - הרחבת תחולה על עובדים עצמאים ועובדי כלכלת הפלטפורמה), התשפ״ו-2026")</f>
        <v>1650</v>
      </c>
      <c r="E736" t="s">
        <v>1650</v>
      </c>
      <c r="F736" t="s">
        <v>1651</v>
      </c>
      <c r="G736" t="s">
        <v>14</v>
      </c>
      <c r="H736">
             </c>
      <c r="I736" t="s">
        <v>14</v>
      </c>
      <c r="J736" t="s">
        <v>242</v>
      </c>
      <c r="K736" t="s">
        <v>14</v>
      </c>
      <c r="L736" t="s">
        <v>20</v>
      </c>
      <c r="M736" t="s">
        <v>1633</v>
      </c>
      <c r="N736" t="s">
        <v>14</v>
      </c>
    </row>
    <row r="737" x14ac:dyDescent="0.25">
      <c r="A737" t="n">
        <v>25</v>
      </c>
      <c r="B737" t="s">
        <v>14</v>
      </c>
      <c r="C737" t="s">
        <v>51</v>
      </c>
      <c r="D737" s="2" t="s">
        <f>=HYPERLINK("https://main.knesset.gov.il/APPS/legislation/main/bills/2237920", "הצעת חוק העונשין (תיקון - הוספת עבירת חרם חברתי חמור על קטין), התשפ""ו-2026")</f>
        <v>1490</v>
      </c>
      <c r="E737" t="s">
        <v>1490</v>
      </c>
      <c r="F737" t="s">
        <v>1652</v>
      </c>
      <c r="G737" t="s">
        <v>14</v>
      </c>
      <c r="H737">
             </c>
      <c r="I737" t="s">
        <v>14</v>
      </c>
      <c r="J737" t="s">
        <v>242</v>
      </c>
      <c r="K737" t="s">
        <v>14</v>
      </c>
      <c r="L737" t="s">
        <v>20</v>
      </c>
      <c r="M737" t="s">
        <v>1633</v>
      </c>
      <c r="N737" t="s">
        <v>14</v>
      </c>
    </row>
    <row r="738" x14ac:dyDescent="0.25">
      <c r="A738" t="n">
        <v>25</v>
      </c>
      <c r="B738" t="s">
        <v>14</v>
      </c>
      <c r="C738" t="s">
        <v>51</v>
      </c>
      <c r="D738" s="2" t="s">
        <f>=HYPERLINK("https://main.knesset.gov.il/APPS/legislation/main/bills/2231878", "הצעת חוק הגבלת מכירת מוצרי עישון, התשפ""ו-2026")</f>
        <v>1653</v>
      </c>
      <c r="E738" t="s">
        <v>1653</v>
      </c>
      <c r="F738" t="s">
        <v>1654</v>
      </c>
      <c r="G738" t="s">
        <v>14</v>
      </c>
      <c r="H738">
             </c>
      <c r="I738" t="s">
        <v>14</v>
      </c>
      <c r="J738" t="s">
        <v>242</v>
      </c>
      <c r="K738" t="s">
        <v>14</v>
      </c>
      <c r="L738" t="s">
        <v>20</v>
      </c>
      <c r="M738" t="s">
        <v>1633</v>
      </c>
      <c r="N738" t="s">
        <v>14</v>
      </c>
    </row>
    <row r="739" x14ac:dyDescent="0.25">
      <c r="A739" t="n">
        <v>25</v>
      </c>
      <c r="B739" t="s">
        <v>14</v>
      </c>
      <c r="C739" t="s">
        <v>51</v>
      </c>
      <c r="D739" s="2" t="s">
        <f>=HYPERLINK("https://main.knesset.gov.il/APPS/legislation/main/bills/2238168", "הצעת חוק העדפה מתקנת לבני העדה הדרוזית, התשפ""ו-2026")</f>
        <v>1655</v>
      </c>
      <c r="E739" t="s">
        <v>1655</v>
      </c>
      <c r="F739" t="s">
        <v>1656</v>
      </c>
      <c r="G739" t="s">
        <v>14</v>
      </c>
      <c r="H739">
             </c>
      <c r="I739" t="s">
        <v>14</v>
      </c>
      <c r="J739" t="s">
        <v>202</v>
      </c>
      <c r="K739" t="s">
        <v>14</v>
      </c>
      <c r="L739" t="s">
        <v>20</v>
      </c>
      <c r="M739" t="s">
        <v>1633</v>
      </c>
      <c r="N739" t="s">
        <v>14</v>
      </c>
    </row>
    <row r="740" x14ac:dyDescent="0.25">
      <c r="A740" t="n">
        <v>25</v>
      </c>
      <c r="B740" t="s">
        <v>14</v>
      </c>
      <c r="C740" t="s">
        <v>51</v>
      </c>
      <c r="D740" s="2" t="s">
        <f>=HYPERLINK("https://main.knesset.gov.il/APPS/legislation/main/bills/2239012", "הצעת חוק שירות המדינה (מינויים) (תיקון - תואר אקדמי רלוונטי), התשפ""ו-2026")</f>
        <v>1657</v>
      </c>
      <c r="E740" t="s">
        <v>1657</v>
      </c>
      <c r="F740" t="s">
        <v>1658</v>
      </c>
      <c r="G740" t="s">
        <v>14</v>
      </c>
      <c r="H740">
             </c>
      <c r="I740" t="s">
        <v>14</v>
      </c>
      <c r="J740" t="s">
        <v>242</v>
      </c>
      <c r="K740" t="s">
        <v>14</v>
      </c>
      <c r="L740" t="s">
        <v>20</v>
      </c>
      <c r="M740" t="s">
        <v>1633</v>
      </c>
      <c r="N740" t="s">
        <v>14</v>
      </c>
    </row>
    <row r="741" x14ac:dyDescent="0.25">
      <c r="A741" t="n">
        <v>25</v>
      </c>
      <c r="B741" t="s">
        <v>14</v>
      </c>
      <c r="C741" t="s">
        <v>51</v>
      </c>
      <c r="D741" s="2" t="s">
        <f>=HYPERLINK("https://main.knesset.gov.il/APPS/legislation/main/bills/2238327", "הצעת חוק העונשין (תיקון - עבירת הפרת אמונים), התשפ""ו-2026")</f>
        <v>1659</v>
      </c>
      <c r="E741" t="s">
        <v>1659</v>
      </c>
      <c r="F741" t="s">
        <v>1660</v>
      </c>
      <c r="G741" t="s">
        <v>14</v>
      </c>
      <c r="H741">
             </c>
      <c r="I741" t="s">
        <v>14</v>
      </c>
      <c r="J741" t="s">
        <v>242</v>
      </c>
      <c r="K741" t="s">
        <v>14</v>
      </c>
      <c r="L741" t="s">
        <v>20</v>
      </c>
      <c r="M741" t="s">
        <v>1633</v>
      </c>
      <c r="N741" t="s">
        <v>14</v>
      </c>
    </row>
    <row r="742" x14ac:dyDescent="0.25">
      <c r="A742" t="n">
        <v>25</v>
      </c>
      <c r="B742" t="s">
        <v>14</v>
      </c>
      <c r="C742" t="s">
        <v>51</v>
      </c>
      <c r="D742" s="2" t="s">
        <f>=HYPERLINK("https://main.knesset.gov.il/APPS/legislation/main/bills/2239013", "הצעת חוק הפרשנות (תיקון - הגדרת  הפליה על רקע נטייה מינית או זהות מגדרית), התשפ""ו-2026")</f>
        <v>1661</v>
      </c>
      <c r="E742" t="s">
        <v>1661</v>
      </c>
      <c r="F742" t="s">
        <v>1662</v>
      </c>
      <c r="G742" t="s">
        <v>14</v>
      </c>
      <c r="H742">
             </c>
      <c r="I742" t="s">
        <v>14</v>
      </c>
      <c r="J742" t="s">
        <v>242</v>
      </c>
      <c r="K742" t="s">
        <v>14</v>
      </c>
      <c r="L742" t="s">
        <v>20</v>
      </c>
      <c r="M742" t="s">
        <v>1633</v>
      </c>
      <c r="N742" t="s">
        <v>14</v>
      </c>
    </row>
    <row r="743" x14ac:dyDescent="0.25">
      <c r="A743" t="n">
        <v>25</v>
      </c>
      <c r="B743" t="s">
        <v>14</v>
      </c>
      <c r="C743" t="s">
        <v>51</v>
      </c>
      <c r="D743" s="2" t="s">
        <f>=HYPERLINK("https://main.knesset.gov.il/APPS/legislation/main/bills/2238322", "הצעת חוק העונשין (תיקון - ביטול עבירת מרמה והפרת אמונים), התשפ""ו-2026")</f>
        <v>1663</v>
      </c>
      <c r="E743" t="s">
        <v>1663</v>
      </c>
      <c r="F743" t="s">
        <v>1664</v>
      </c>
      <c r="G743" t="s">
        <v>14</v>
      </c>
      <c r="H743">
             </c>
      <c r="I743" t="s">
        <v>14</v>
      </c>
      <c r="J743" t="s">
        <v>242</v>
      </c>
      <c r="K743" t="s">
        <v>14</v>
      </c>
      <c r="L743" t="s">
        <v>20</v>
      </c>
      <c r="M743" t="s">
        <v>1633</v>
      </c>
      <c r="N743" t="s">
        <v>14</v>
      </c>
    </row>
    <row r="744" x14ac:dyDescent="0.25">
      <c r="A744" t="n">
        <v>25</v>
      </c>
      <c r="B744" t="s">
        <v>14</v>
      </c>
      <c r="C744" t="s">
        <v>51</v>
      </c>
      <c r="D744" s="2" t="s">
        <f>=HYPERLINK("https://main.knesset.gov.il/APPS/legislation/main/bills/2238614", "הצעת חוק בתי קברות צבאיים (תיקון - קבורה לחיילים שהתאבדו לאחר שירותם עקב הלם קרב), התשפ""ו-2026")</f>
        <v>1450</v>
      </c>
      <c r="E744" t="s">
        <v>1450</v>
      </c>
      <c r="F744" t="s">
        <v>1665</v>
      </c>
      <c r="G744" t="s">
        <v>14</v>
      </c>
      <c r="H744">
             </c>
      <c r="I744" t="s">
        <v>14</v>
      </c>
      <c r="J744" t="s">
        <v>242</v>
      </c>
      <c r="K744" t="s">
        <v>14</v>
      </c>
      <c r="L744" t="s">
        <v>20</v>
      </c>
      <c r="M744" t="s">
        <v>1633</v>
      </c>
      <c r="N744" t="s">
        <v>14</v>
      </c>
    </row>
    <row r="745" x14ac:dyDescent="0.25">
      <c r="A745" t="n">
        <v>25</v>
      </c>
      <c r="B745" t="s">
        <v>14</v>
      </c>
      <c r="C745" t="s">
        <v>51</v>
      </c>
      <c r="D745" s="2" t="s">
        <f>=HYPERLINK("https://main.knesset.gov.il/APPS/legislation/main/bills/2237289", "הצעת חוק מוסר תשלומים לספקים (תיקון - מועדי תשלום בעד ביצוע עבודות הנדסה בנאיות),  התשפ""ו-2026 ")</f>
        <v>1666</v>
      </c>
      <c r="E745" t="s">
        <v>1666</v>
      </c>
      <c r="F745" t="s">
        <v>1667</v>
      </c>
      <c r="G745" t="s">
        <v>14</v>
      </c>
      <c r="H745">
             </c>
      <c r="I745" t="s">
        <v>14</v>
      </c>
      <c r="J745" t="s">
        <v>242</v>
      </c>
      <c r="K745" t="s">
        <v>14</v>
      </c>
      <c r="L745" t="s">
        <v>20</v>
      </c>
      <c r="M745" t="s">
        <v>1633</v>
      </c>
      <c r="N745" t="s">
        <v>14</v>
      </c>
    </row>
    <row r="746" x14ac:dyDescent="0.25">
      <c r="A746" t="n">
        <v>25</v>
      </c>
      <c r="B746" t="s">
        <v>14</v>
      </c>
      <c r="C746" t="s">
        <v>51</v>
      </c>
      <c r="D746" s="2" t="s">
        <f>=HYPERLINK("https://main.knesset.gov.il/APPS/legislation/main/bills/2238833", "הצעת חוק הפרשנות (תיקון - הגדרת הפליה על רקע זהות מגדרית, נטייה מינית או אמונה דתית), התשפ""ו-2026")</f>
        <v>1668</v>
      </c>
      <c r="E746" t="s">
        <v>1668</v>
      </c>
      <c r="F746" t="s">
        <v>1669</v>
      </c>
      <c r="G746" t="s">
        <v>14</v>
      </c>
      <c r="H746">
             </c>
      <c r="I746" t="s">
        <v>14</v>
      </c>
      <c r="J746" t="s">
        <v>202</v>
      </c>
      <c r="K746" t="s">
        <v>14</v>
      </c>
      <c r="L746" t="s">
        <v>20</v>
      </c>
      <c r="M746" t="s">
        <v>1633</v>
      </c>
      <c r="N746" t="s">
        <v>14</v>
      </c>
    </row>
    <row r="747" x14ac:dyDescent="0.25">
      <c r="A747" t="n">
        <v>25</v>
      </c>
      <c r="B747" t="s">
        <v>14</v>
      </c>
      <c r="C747" t="s">
        <v>51</v>
      </c>
      <c r="D747" s="2" t="s">
        <f>=HYPERLINK("https://main.knesset.gov.il/APPS/legislation/main/bills/2238114", "הצעת חוק יום לציון המאבק באלימות נגד נשים, התשפ""ו-2026")</f>
        <v>1670</v>
      </c>
      <c r="E747" t="s">
        <v>1670</v>
      </c>
      <c r="F747" t="s">
        <v>1671</v>
      </c>
      <c r="G747" t="s">
        <v>14</v>
      </c>
      <c r="H747">
             </c>
      <c r="I747" t="s">
        <v>14</v>
      </c>
      <c r="J747" t="s">
        <v>242</v>
      </c>
      <c r="K747" t="s">
        <v>14</v>
      </c>
      <c r="L747" t="s">
        <v>20</v>
      </c>
      <c r="M747" t="s">
        <v>1633</v>
      </c>
      <c r="N747" t="s">
        <v>14</v>
      </c>
    </row>
    <row r="748" x14ac:dyDescent="0.25">
      <c r="A748" t="n">
        <v>25</v>
      </c>
      <c r="B748" t="s">
        <v>14</v>
      </c>
      <c r="C748" t="s">
        <v>51</v>
      </c>
      <c r="D748" s="2" t="s">
        <f>=HYPERLINK("https://main.knesset.gov.il/APPS/legislation/main/bills/2238564", "הצעת חוק שחרור על-תנאי ממאסר (תיקון - שינוי ברירת המחדל בהחלטה על שחרור על-תנאי ממאסר), התשפ""ו-2026")</f>
        <v>1672</v>
      </c>
      <c r="E748" t="s">
        <v>1672</v>
      </c>
      <c r="F748" t="s">
        <v>1673</v>
      </c>
      <c r="G748" t="s">
        <v>14</v>
      </c>
      <c r="H748">
             </c>
      <c r="I748" t="s">
        <v>14</v>
      </c>
      <c r="J748" t="s">
        <v>202</v>
      </c>
      <c r="K748" t="s">
        <v>14</v>
      </c>
      <c r="L748" t="s">
        <v>20</v>
      </c>
      <c r="M748" t="s">
        <v>1633</v>
      </c>
      <c r="N748" t="s">
        <v>14</v>
      </c>
    </row>
    <row r="749" x14ac:dyDescent="0.25">
      <c r="A749" t="n">
        <v>25</v>
      </c>
      <c r="B749" t="s">
        <v>14</v>
      </c>
      <c r="C749" t="s">
        <v>51</v>
      </c>
      <c r="D749" s="2" t="s">
        <f>=HYPERLINK("https://main.knesset.gov.il/APPS/legislation/main/bills/2238563", "הצעת חוק הכרה בשפת הסימנים הישראלית, התשפ""ו-2026")</f>
        <v>1674</v>
      </c>
      <c r="E749" t="s">
        <v>1674</v>
      </c>
      <c r="F749" t="s">
        <v>1675</v>
      </c>
      <c r="G749" t="s">
        <v>14</v>
      </c>
      <c r="H749">
             </c>
      <c r="I749" t="s">
        <v>14</v>
      </c>
      <c r="J749" t="s">
        <v>242</v>
      </c>
      <c r="K749" t="s">
        <v>14</v>
      </c>
      <c r="L749" t="s">
        <v>20</v>
      </c>
      <c r="M749" t="s">
        <v>1633</v>
      </c>
      <c r="N749" t="s">
        <v>14</v>
      </c>
    </row>
    <row r="750" x14ac:dyDescent="0.25">
      <c r="A750" t="n">
        <v>25</v>
      </c>
      <c r="B750" t="s">
        <v>14</v>
      </c>
      <c r="C750" t="s">
        <v>51</v>
      </c>
      <c r="D750" s="2" t="s">
        <f>=HYPERLINK("https://main.knesset.gov.il/APPS/legislation/main/bills/2206637", "הצעת חוק לקידום הבנייה במתחמים מועדפים (הוראת שעה) (תיקון מס' 10) (הוספת נציג האוכלוסייה החרדית לוועדה למתחמים מועדפים), התשפ""ו–2026")</f>
        <v>1676</v>
      </c>
      <c r="E750" t="s">
        <v>1676</v>
      </c>
      <c r="F750" t="s">
        <v>1677</v>
      </c>
      <c r="G750" t="s">
        <v>1678</v>
      </c>
      <c r="H750">
             </c>
      <c r="I750" t="s">
        <v>14</v>
      </c>
      <c r="J750" t="s">
        <v>162</v>
      </c>
      <c r="K750" t="s">
        <v>30</v>
      </c>
      <c r="L750" t="s">
        <v>20</v>
      </c>
      <c r="M750" t="s">
        <v>1633</v>
      </c>
      <c r="N750" t="s">
        <v>14</v>
      </c>
    </row>
    <row r="751" x14ac:dyDescent="0.25">
      <c r="A751" t="n">
        <v>25</v>
      </c>
      <c r="B751" t="s">
        <v>14</v>
      </c>
      <c r="C751" t="s">
        <v>51</v>
      </c>
      <c r="D751" s="2" t="s">
        <f>=HYPERLINK("https://main.knesset.gov.il/APPS/legislation/main/bills/2236458", "הצעת חוק קרן קיימת לישראל (תיקון - מעבר לחברה ממשלתית), התשפ""ו-2025")</f>
        <v>1679</v>
      </c>
      <c r="E751" t="s">
        <v>1679</v>
      </c>
      <c r="F751" t="s">
        <v>1680</v>
      </c>
      <c r="G751" t="s">
        <v>14</v>
      </c>
      <c r="H751">
             </c>
      <c r="I751" t="s">
        <v>14</v>
      </c>
      <c r="J751" t="s">
        <v>193</v>
      </c>
      <c r="K751" t="s">
        <v>14</v>
      </c>
      <c r="L751" t="s">
        <v>20</v>
      </c>
      <c r="M751" t="s">
        <v>1681</v>
      </c>
      <c r="N751" t="s">
        <v>14</v>
      </c>
    </row>
    <row r="752" x14ac:dyDescent="0.25">
      <c r="A752" t="n">
        <v>25</v>
      </c>
      <c r="B752" t="s">
        <v>14</v>
      </c>
      <c r="C752" t="s">
        <v>51</v>
      </c>
      <c r="D752" s="2" t="s">
        <f>=HYPERLINK("https://main.knesset.gov.il/APPS/legislation/main/bills/2236084", "הצעת חוק יסודות התקציב (תיקון - מניעת תמיכה במוסדות המסיתים להשתמטות), התשפ""ו-2025")</f>
        <v>1682</v>
      </c>
      <c r="E752" t="s">
        <v>1682</v>
      </c>
      <c r="F752" t="s">
        <v>1683</v>
      </c>
      <c r="G752" t="s">
        <v>14</v>
      </c>
      <c r="H752">
             </c>
      <c r="I752" t="s">
        <v>14</v>
      </c>
      <c r="J752" t="s">
        <v>193</v>
      </c>
      <c r="K752" t="s">
        <v>14</v>
      </c>
      <c r="L752" t="s">
        <v>20</v>
      </c>
      <c r="M752" t="s">
        <v>1681</v>
      </c>
      <c r="N752" t="s">
        <v>14</v>
      </c>
    </row>
    <row r="753" x14ac:dyDescent="0.25">
      <c r="A753" t="n">
        <v>25</v>
      </c>
      <c r="B753" t="s">
        <v>14</v>
      </c>
      <c r="C753" t="s">
        <v>51</v>
      </c>
      <c r="D753" s="2" t="s">
        <f>=HYPERLINK("https://main.knesset.gov.il/APPS/legislation/main/bills/2235820", "הצעת חוק כביש אגרה (כביש ארצי לישראל) (תיקון - פטור מאגרה לתחבורה ציבורית), התשפ""ו-2025")</f>
        <v>1684</v>
      </c>
      <c r="E753" t="s">
        <v>1684</v>
      </c>
      <c r="F753" t="s">
        <v>1685</v>
      </c>
      <c r="G753" t="s">
        <v>14</v>
      </c>
      <c r="H753">
             </c>
      <c r="I753" t="s">
        <v>14</v>
      </c>
      <c r="J753" t="s">
        <v>202</v>
      </c>
      <c r="K753" t="s">
        <v>14</v>
      </c>
      <c r="L753" t="s">
        <v>20</v>
      </c>
      <c r="M753" t="s">
        <v>1681</v>
      </c>
      <c r="N753" t="s">
        <v>14</v>
      </c>
    </row>
    <row r="754" x14ac:dyDescent="0.25">
      <c r="A754" t="n">
        <v>25</v>
      </c>
      <c r="B754" t="s">
        <v>14</v>
      </c>
      <c r="C754" t="s">
        <v>51</v>
      </c>
      <c r="D754" s="2" t="s">
        <f>=HYPERLINK("https://main.knesset.gov.il/APPS/legislation/main/bills/2234031", "הצעת חוק התגמולים לנפגעי פעולות שנאה, התשפ""ה-2025")</f>
        <v>1686</v>
      </c>
      <c r="E754" t="s">
        <v>1686</v>
      </c>
      <c r="F754" t="s">
        <v>1687</v>
      </c>
      <c r="G754" t="s">
        <v>14</v>
      </c>
      <c r="H754">
             </c>
      <c r="I754" t="s">
        <v>14</v>
      </c>
      <c r="J754" t="s">
        <v>193</v>
      </c>
      <c r="K754" t="s">
        <v>14</v>
      </c>
      <c r="L754" t="s">
        <v>20</v>
      </c>
      <c r="M754" t="s">
        <v>1681</v>
      </c>
      <c r="N754" t="s">
        <v>14</v>
      </c>
    </row>
    <row r="755" x14ac:dyDescent="0.25">
      <c r="A755" t="n">
        <v>25</v>
      </c>
      <c r="B755" t="s">
        <v>14</v>
      </c>
      <c r="C755" t="s">
        <v>51</v>
      </c>
      <c r="D755" s="2" t="s">
        <f>=HYPERLINK("https://main.knesset.gov.il/APPS/legislation/main/bills/2215695", "הצעת חוק שירות המדינה (מינויים) (תיקון - הצהרת אמונים), התשפ""ד-2024")</f>
        <v>1688</v>
      </c>
      <c r="E755" t="s">
        <v>1688</v>
      </c>
      <c r="F755" t="s">
        <v>1689</v>
      </c>
      <c r="G755" t="s">
        <v>14</v>
      </c>
      <c r="H755">
             </c>
      <c r="I755" t="s">
        <v>14</v>
      </c>
      <c r="J755" t="s">
        <v>193</v>
      </c>
      <c r="K755" t="s">
        <v>14</v>
      </c>
      <c r="L755" t="s">
        <v>20</v>
      </c>
      <c r="M755" t="s">
        <v>1681</v>
      </c>
      <c r="N755" t="s">
        <v>14</v>
      </c>
    </row>
    <row r="756" x14ac:dyDescent="0.25">
      <c r="A756" t="n">
        <v>25</v>
      </c>
      <c r="B756" t="s">
        <v>14</v>
      </c>
      <c r="C756" t="s">
        <v>51</v>
      </c>
      <c r="D756" s="2" t="s">
        <f>=HYPERLINK("https://main.knesset.gov.il/APPS/legislation/main/bills/2206863", "הצעת חוק שירות הציבור (הגבלות לאחר פרישה) (תיקון מס' 6) (תקופת צינון לעובד ציבור ברשויות פיקוח על גופים פיננסיים), התשפ""ו–2026")</f>
        <v>1690</v>
      </c>
      <c r="E756" t="s">
        <v>1690</v>
      </c>
      <c r="F756" t="s">
        <v>1691</v>
      </c>
      <c r="G756" t="s">
        <v>1692</v>
      </c>
      <c r="H756">
             </c>
      <c r="I756" t="s">
        <v>14</v>
      </c>
      <c r="J756" t="s">
        <v>162</v>
      </c>
      <c r="K756" t="s">
        <v>46</v>
      </c>
      <c r="L756" t="s">
        <v>20</v>
      </c>
      <c r="M756" t="s">
        <v>1681</v>
      </c>
      <c r="N756" t="s">
        <v>14</v>
      </c>
    </row>
    <row r="757" x14ac:dyDescent="0.25">
      <c r="A757" t="n">
        <v>25</v>
      </c>
      <c r="B757" t="s">
        <v>14</v>
      </c>
      <c r="C757" t="s">
        <v>51</v>
      </c>
      <c r="D757" s="2" t="s">
        <f>=HYPERLINK("https://main.knesset.gov.il/APPS/legislation/main/bills/2200985", "הצעת חוק התגמולים לנפגעי פעולות איבה (תיקון - פשעי שנאה), התשפ""ג-2023")</f>
        <v>1693</v>
      </c>
      <c r="E757" t="s">
        <v>1693</v>
      </c>
      <c r="F757" t="s">
        <v>1694</v>
      </c>
      <c r="G757" t="s">
        <v>14</v>
      </c>
      <c r="H757">
             </c>
      <c r="I757" t="s">
        <v>14</v>
      </c>
      <c r="J757" t="s">
        <v>193</v>
      </c>
      <c r="K757" t="s">
        <v>14</v>
      </c>
      <c r="L757" t="s">
        <v>20</v>
      </c>
      <c r="M757" t="s">
        <v>1681</v>
      </c>
      <c r="N757" t="s">
        <v>14</v>
      </c>
    </row>
    <row r="758" x14ac:dyDescent="0.25">
      <c r="A758" t="n">
        <v>25</v>
      </c>
      <c r="B758" t="s">
        <v>14</v>
      </c>
      <c r="C758" t="s">
        <v>51</v>
      </c>
      <c r="D758" s="2" t="s">
        <f>=HYPERLINK("https://main.knesset.gov.il/APPS/legislation/main/bills/2200325", "הצעת חוק התגמולים לנפגעי פעולות שנאה, התשפ""ג-2023")</f>
        <v>1695</v>
      </c>
      <c r="E758" t="s">
        <v>1695</v>
      </c>
      <c r="F758" t="s">
        <v>1696</v>
      </c>
      <c r="G758" t="s">
        <v>14</v>
      </c>
      <c r="H758">
             </c>
      <c r="I758" t="s">
        <v>14</v>
      </c>
      <c r="J758" t="s">
        <v>193</v>
      </c>
      <c r="K758" t="s">
        <v>14</v>
      </c>
      <c r="L758" t="s">
        <v>20</v>
      </c>
      <c r="M758" t="s">
        <v>1681</v>
      </c>
      <c r="N758" t="s">
        <v>14</v>
      </c>
    </row>
    <row r="759" x14ac:dyDescent="0.25">
      <c r="A759" t="n">
        <v>25</v>
      </c>
      <c r="B759" t="s">
        <v>14</v>
      </c>
      <c r="C759" t="s">
        <v>51</v>
      </c>
      <c r="D759" s="2" t="s">
        <f>=HYPERLINK("https://main.knesset.gov.il/APPS/legislation/main/bills/2198509", "הצעת חוק לתיקון פקודת התעבורה (איסור נהיגת שטח בדרך שאינה ייעודית לנסיעת שטח), התשפ""ג-2023")</f>
        <v>1697</v>
      </c>
      <c r="E759" t="s">
        <v>1697</v>
      </c>
      <c r="F759" t="s">
        <v>1698</v>
      </c>
      <c r="G759" t="s">
        <v>14</v>
      </c>
      <c r="H759">
             </c>
      <c r="I759" t="s">
        <v>14</v>
      </c>
      <c r="J759" t="s">
        <v>202</v>
      </c>
      <c r="K759" t="s">
        <v>14</v>
      </c>
      <c r="L759" t="s">
        <v>20</v>
      </c>
      <c r="M759" t="s">
        <v>1681</v>
      </c>
      <c r="N759" t="s">
        <v>14</v>
      </c>
    </row>
    <row r="760" x14ac:dyDescent="0.25">
      <c r="A760" t="n">
        <v>25</v>
      </c>
      <c r="B760" t="s">
        <v>14</v>
      </c>
      <c r="C760" t="s">
        <v>20</v>
      </c>
      <c r="D760" s="2" t="s">
        <f>=HYPERLINK("https://main.knesset.gov.il/APPS/legislation/main/bills/2238003", "הצעת חוק משכן הכנסת, רחבתו ומשמר הכנסת (תיקון מס' 20) (גבולות רחבת הכנסת), התשפ""ו–2025")</f>
        <v>1699</v>
      </c>
      <c r="E760" t="s">
        <v>1699</v>
      </c>
      <c r="F760" t="s">
        <v>14</v>
      </c>
      <c r="G760" t="s">
        <v>1700</v>
      </c>
      <c r="H760">
             </c>
      <c r="I760" t="s">
        <v>14</v>
      </c>
      <c r="J760" t="s">
        <v>38</v>
      </c>
      <c r="K760" t="s">
        <v>42</v>
      </c>
      <c r="L760" t="s">
        <v>20</v>
      </c>
      <c r="M760" t="s">
        <v>1681</v>
      </c>
      <c r="N760" t="s">
        <v>14</v>
      </c>
    </row>
    <row r="761" x14ac:dyDescent="0.25">
      <c r="A761" t="n">
        <v>25</v>
      </c>
      <c r="B761" t="s">
        <v>14</v>
      </c>
      <c r="C761" t="s">
        <v>51</v>
      </c>
      <c r="D761" s="2" t="s">
        <f>=HYPERLINK("https://main.knesset.gov.il/APPS/legislation/main/bills/2228505", "הצעת חוק שירות הקבע בצבא הגנה לישראל (גמלאות) (תיקון - קצבאות שאירים - תיקונים שונים), התשפ""ה-2025")</f>
        <v>1701</v>
      </c>
      <c r="E761" t="s">
        <v>1701</v>
      </c>
      <c r="F761" t="s">
        <v>1702</v>
      </c>
      <c r="G761" t="s">
        <v>14</v>
      </c>
      <c r="H761">
             </c>
      <c r="I761" t="s">
        <v>14</v>
      </c>
      <c r="J761" t="s">
        <v>183</v>
      </c>
      <c r="K761" t="s">
        <v>46</v>
      </c>
      <c r="L761" t="s">
        <v>20</v>
      </c>
      <c r="M761" t="s">
        <v>1703</v>
      </c>
      <c r="N761" t="s">
        <v>14</v>
      </c>
    </row>
    <row r="762" x14ac:dyDescent="0.25">
      <c r="A762" t="n">
        <v>25</v>
      </c>
      <c r="B762" t="s">
        <v>14</v>
      </c>
      <c r="C762" t="s">
        <v>51</v>
      </c>
      <c r="D762" s="2" t="s">
        <f>=HYPERLINK("https://main.knesset.gov.il/APPS/legislation/main/bills/2198072", "הצעת חוק שירות הקבע בצבא הגנה לישראל (גמלאות) (תיקון - ביטול ניכוי מקצבה), התשפ""ג-2023")</f>
        <v>1704</v>
      </c>
      <c r="E762" t="s">
        <v>1704</v>
      </c>
      <c r="F762" t="s">
        <v>1705</v>
      </c>
      <c r="G762" t="s">
        <v>14</v>
      </c>
      <c r="H762">
             </c>
      <c r="I762" t="s">
        <v>14</v>
      </c>
      <c r="J762" t="s">
        <v>183</v>
      </c>
      <c r="K762" t="s">
        <v>46</v>
      </c>
      <c r="L762" t="s">
        <v>20</v>
      </c>
      <c r="M762" t="s">
        <v>1703</v>
      </c>
      <c r="N762" t="s">
        <v>14</v>
      </c>
    </row>
    <row r="763" x14ac:dyDescent="0.25">
      <c r="A763" t="n">
        <v>25</v>
      </c>
      <c r="B763" t="s">
        <v>14</v>
      </c>
      <c r="C763" t="s">
        <v>51</v>
      </c>
      <c r="D763" s="2" t="s">
        <f>=HYPERLINK("https://main.knesset.gov.il/APPS/legislation/main/bills/2196528", "חוק עבודת נשים (תיקון מס' 67), התשפ""ו–2026")</f>
        <v>1706</v>
      </c>
      <c r="E763" t="s">
        <v>1706</v>
      </c>
      <c r="F763" t="s">
        <v>1707</v>
      </c>
      <c r="G763" t="s">
        <v>1708</v>
      </c>
      <c r="H763" t="n">
        <v>3482</v>
      </c>
      <c r="I763" t="s">
        <v>14</v>
      </c>
      <c r="J763" t="s">
        <v>18</v>
      </c>
      <c r="K763" t="s">
        <v>46</v>
      </c>
      <c r="L763" t="s">
        <v>20</v>
      </c>
      <c r="M763" t="s">
        <v>1703</v>
      </c>
      <c r="N763" t="s">
        <v>14</v>
      </c>
    </row>
    <row r="764" x14ac:dyDescent="0.25">
      <c r="A764" t="n">
        <v>25</v>
      </c>
      <c r="B764" t="s">
        <v>14</v>
      </c>
      <c r="C764" t="s">
        <v>51</v>
      </c>
      <c r="D764" s="2" t="s">
        <f>=HYPERLINK("https://main.knesset.gov.il/APPS/legislation/main/bills/2225107", "הצעת חוק סדר הדין הפלילי (תיקון - הגבלת משך זמן החקירה המשטרתית וטיפול התביעה בתיק החקירה עד להגשת כתב אישום), התשפ""ה-2024")</f>
        <v>1709</v>
      </c>
      <c r="E764" t="s">
        <v>1709</v>
      </c>
      <c r="F764" t="s">
        <v>1710</v>
      </c>
      <c r="G764" t="s">
        <v>14</v>
      </c>
      <c r="H764">
             </c>
      <c r="I764" t="s">
        <v>14</v>
      </c>
      <c r="J764" t="s">
        <v>152</v>
      </c>
      <c r="K764" t="s">
        <v>27</v>
      </c>
      <c r="L764" t="s">
        <v>20</v>
      </c>
      <c r="M764" t="s">
        <v>1711</v>
      </c>
      <c r="N764" t="s">
        <v>14</v>
      </c>
    </row>
    <row r="765" x14ac:dyDescent="0.25">
      <c r="A765" t="n">
        <v>25</v>
      </c>
      <c r="B765" t="s">
        <v>14</v>
      </c>
      <c r="C765" t="s">
        <v>15</v>
      </c>
      <c r="D765" s="2" t="s">
        <f>=HYPERLINK("https://main.knesset.gov.il/APPS/legislation/main/bills/2214242", "חוק החוזים (חלק כללי) (תיקון מס' 3), התשפ""ו-2026")</f>
        <v>1712</v>
      </c>
      <c r="E765" t="s">
        <v>1712</v>
      </c>
      <c r="F765" t="s">
        <v>14</v>
      </c>
      <c r="G765" t="s">
        <v>1713</v>
      </c>
      <c r="H765" t="n">
        <v>3481</v>
      </c>
      <c r="I765" t="s">
        <v>14</v>
      </c>
      <c r="J765" t="s">
        <v>18</v>
      </c>
      <c r="K765" t="s">
        <v>27</v>
      </c>
      <c r="L765" t="s">
        <v>20</v>
      </c>
      <c r="M765" t="s">
        <v>1711</v>
      </c>
      <c r="N765" t="s">
        <v>1714</v>
      </c>
    </row>
    <row r="766" x14ac:dyDescent="0.25">
      <c r="A766" t="n">
        <v>25</v>
      </c>
      <c r="B766" t="s">
        <v>14</v>
      </c>
      <c r="C766" t="s">
        <v>51</v>
      </c>
      <c r="D766" s="2" t="s">
        <f>=HYPERLINK("https://main.knesset.gov.il/APPS/legislation/main/bills/2238565", "הצעת חוק שירות ביטחון (תיקון - השוואת תהליכי המיון, השיבוץ, התקינה וההכשרה, המסלולים המקצועיים ואופקי הקידום לנשים וגברים), התשפ""ו-2026")</f>
        <v>1715</v>
      </c>
      <c r="E766" t="s">
        <v>1715</v>
      </c>
      <c r="F766" t="s">
        <v>1716</v>
      </c>
      <c r="G766" t="s">
        <v>14</v>
      </c>
      <c r="H766">
             </c>
      <c r="I766" t="s">
        <v>14</v>
      </c>
      <c r="J766" t="s">
        <v>242</v>
      </c>
      <c r="K766" t="s">
        <v>14</v>
      </c>
      <c r="L766" t="s">
        <v>20</v>
      </c>
      <c r="M766" t="s">
        <v>1711</v>
      </c>
      <c r="N766" t="s">
        <v>14</v>
      </c>
    </row>
    <row r="767" x14ac:dyDescent="0.25">
      <c r="A767" t="n">
        <v>25</v>
      </c>
      <c r="B767" t="s">
        <v>14</v>
      </c>
      <c r="C767" t="s">
        <v>51</v>
      </c>
      <c r="D767" s="2" t="s">
        <f>=HYPERLINK("https://main.knesset.gov.il/APPS/legislation/main/bills/2238162", "הצעת חוק הכנסת נשק ברישיון למקומות ציבוריים, התשפ""ו-2026")</f>
        <v>1717</v>
      </c>
      <c r="E767" t="s">
        <v>1717</v>
      </c>
      <c r="F767" t="s">
        <v>1718</v>
      </c>
      <c r="G767" t="s">
        <v>14</v>
      </c>
      <c r="H767">
             </c>
      <c r="I767" t="s">
        <v>14</v>
      </c>
      <c r="J767" t="s">
        <v>242</v>
      </c>
      <c r="K767" t="s">
        <v>14</v>
      </c>
      <c r="L767" t="s">
        <v>20</v>
      </c>
      <c r="M767" t="s">
        <v>1711</v>
      </c>
      <c r="N767" t="s">
        <v>14</v>
      </c>
    </row>
    <row r="768" x14ac:dyDescent="0.25">
      <c r="A768" t="n">
        <v>25</v>
      </c>
      <c r="B768" t="s">
        <v>14</v>
      </c>
      <c r="C768" t="s">
        <v>51</v>
      </c>
      <c r="D768" s="2" t="s">
        <f>=HYPERLINK("https://main.knesset.gov.il/APPS/legislation/main/bills/2237397", "הצעת חוק הסרת תכנים מיניים שמפורסמים ללא הסכמה מרשת חברתית, התשפ״ו-2026")</f>
        <v>1719</v>
      </c>
      <c r="E768" t="s">
        <v>1719</v>
      </c>
      <c r="F768" t="s">
        <v>1720</v>
      </c>
      <c r="G768" t="s">
        <v>14</v>
      </c>
      <c r="H768">
             </c>
      <c r="I768" t="s">
        <v>14</v>
      </c>
      <c r="J768" t="s">
        <v>242</v>
      </c>
      <c r="K768" t="s">
        <v>14</v>
      </c>
      <c r="L768" t="s">
        <v>20</v>
      </c>
      <c r="M768" t="s">
        <v>1711</v>
      </c>
      <c r="N768" t="s">
        <v>14</v>
      </c>
    </row>
    <row r="769" x14ac:dyDescent="0.25">
      <c r="A769" t="n">
        <v>25</v>
      </c>
      <c r="B769" t="s">
        <v>14</v>
      </c>
      <c r="C769" t="s">
        <v>51</v>
      </c>
      <c r="D769" s="2" t="s">
        <f>=HYPERLINK("https://main.knesset.gov.il/APPS/legislation/main/bills/2236720", "הצעת חוק הסרת תכנים מיניים שמפורסמים ללא הסכמה מרשת חברתית, התשפ״ו-2026")</f>
        <v>1719</v>
      </c>
      <c r="E769" t="s">
        <v>1719</v>
      </c>
      <c r="F769" t="s">
        <v>1721</v>
      </c>
      <c r="G769" t="s">
        <v>14</v>
      </c>
      <c r="H769">
             </c>
      <c r="I769" t="s">
        <v>14</v>
      </c>
      <c r="J769" t="s">
        <v>202</v>
      </c>
      <c r="K769" t="s">
        <v>14</v>
      </c>
      <c r="L769" t="s">
        <v>20</v>
      </c>
      <c r="M769" t="s">
        <v>1711</v>
      </c>
      <c r="N769" t="s">
        <v>14</v>
      </c>
    </row>
    <row r="770" x14ac:dyDescent="0.25">
      <c r="A770" t="n">
        <v>25</v>
      </c>
      <c r="B770" t="s">
        <v>14</v>
      </c>
      <c r="C770" t="s">
        <v>51</v>
      </c>
      <c r="D770" s="2" t="s">
        <f>=HYPERLINK("https://main.knesset.gov.il/APPS/legislation/main/bills/2237270", "הצעת חוק האזרחים הוותיקים (תיקון - גיל המקנה אי-המתנה בתור), התשפ״ו-2026")</f>
        <v>1722</v>
      </c>
      <c r="E770" t="s">
        <v>1722</v>
      </c>
      <c r="F770" t="s">
        <v>1723</v>
      </c>
      <c r="G770" t="s">
        <v>14</v>
      </c>
      <c r="H770">
             </c>
      <c r="I770" t="s">
        <v>14</v>
      </c>
      <c r="J770" t="s">
        <v>242</v>
      </c>
      <c r="K770" t="s">
        <v>14</v>
      </c>
      <c r="L770" t="s">
        <v>20</v>
      </c>
      <c r="M770" t="s">
        <v>1711</v>
      </c>
      <c r="N770" t="s">
        <v>14</v>
      </c>
    </row>
    <row r="771" x14ac:dyDescent="0.25">
      <c r="A771" t="n">
        <v>25</v>
      </c>
      <c r="B771" t="s">
        <v>14</v>
      </c>
      <c r="C771" t="s">
        <v>51</v>
      </c>
      <c r="D771" s="2" t="s">
        <f>=HYPERLINK("https://main.knesset.gov.il/APPS/legislation/main/bills/2238649", "הצעת חוק הקמת חדר מיון בקריית שמונה, התשפ""ו-2026")</f>
        <v>1724</v>
      </c>
      <c r="E771" t="s">
        <v>1724</v>
      </c>
      <c r="F771" t="s">
        <v>1725</v>
      </c>
      <c r="G771" t="s">
        <v>14</v>
      </c>
      <c r="H771">
             </c>
      <c r="I771" t="s">
        <v>14</v>
      </c>
      <c r="J771" t="s">
        <v>242</v>
      </c>
      <c r="K771" t="s">
        <v>14</v>
      </c>
      <c r="L771" t="s">
        <v>20</v>
      </c>
      <c r="M771" t="s">
        <v>1711</v>
      </c>
      <c r="N771" t="s">
        <v>14</v>
      </c>
    </row>
    <row r="772" x14ac:dyDescent="0.25">
      <c r="A772" t="n">
        <v>25</v>
      </c>
      <c r="B772" t="s">
        <v>14</v>
      </c>
      <c r="C772" t="s">
        <v>51</v>
      </c>
      <c r="D772" s="2" t="s">
        <f>=HYPERLINK("https://main.knesset.gov.il/APPS/legislation/main/bills/2236614", "הצעת חוק לתיקון פקודת בתי הסוהר (העסקת סוהרים בתשלום), התשפ""ו-2026")</f>
        <v>1726</v>
      </c>
      <c r="E772" t="s">
        <v>1726</v>
      </c>
      <c r="F772" t="s">
        <v>1727</v>
      </c>
      <c r="G772" t="s">
        <v>14</v>
      </c>
      <c r="H772">
             </c>
      <c r="I772" t="s">
        <v>14</v>
      </c>
      <c r="J772" t="s">
        <v>242</v>
      </c>
      <c r="K772" t="s">
        <v>14</v>
      </c>
      <c r="L772" t="s">
        <v>20</v>
      </c>
      <c r="M772" t="s">
        <v>1711</v>
      </c>
      <c r="N772" t="s">
        <v>14</v>
      </c>
    </row>
    <row r="773" x14ac:dyDescent="0.25">
      <c r="A773" t="n">
        <v>25</v>
      </c>
      <c r="B773" t="s">
        <v>14</v>
      </c>
      <c r="C773" t="s">
        <v>51</v>
      </c>
      <c r="D773" s="2" t="s">
        <f>=HYPERLINK("https://main.knesset.gov.il/APPS/legislation/main/bills/2237942", "הצעת חוק לתיקון פקודת התעבורה (אכיפת עבירות תעבורה על ידי רשויות מקומיות), התשפ""ו-2026")</f>
        <v>1728</v>
      </c>
      <c r="E773" t="s">
        <v>1728</v>
      </c>
      <c r="F773" t="s">
        <v>1729</v>
      </c>
      <c r="G773" t="s">
        <v>14</v>
      </c>
      <c r="H773">
             </c>
      <c r="I773" t="s">
        <v>14</v>
      </c>
      <c r="J773" t="s">
        <v>202</v>
      </c>
      <c r="K773" t="s">
        <v>14</v>
      </c>
      <c r="L773" t="s">
        <v>20</v>
      </c>
      <c r="M773" t="s">
        <v>1711</v>
      </c>
      <c r="N773" t="s">
        <v>14</v>
      </c>
    </row>
    <row r="774" x14ac:dyDescent="0.25">
      <c r="A774" t="n">
        <v>25</v>
      </c>
      <c r="B774" t="s">
        <v>14</v>
      </c>
      <c r="C774" t="s">
        <v>51</v>
      </c>
      <c r="D774" s="2" t="s">
        <f>=HYPERLINK("https://main.knesset.gov.il/APPS/legislation/main/bills/2237394", "הצעת חוק הבטחת קשר בין ילדים והוריהם, התשפ""ו-2026")</f>
        <v>560</v>
      </c>
      <c r="E774" t="s">
        <v>560</v>
      </c>
      <c r="F774" t="s">
        <v>1730</v>
      </c>
      <c r="G774" t="s">
        <v>14</v>
      </c>
      <c r="H774">
             </c>
      <c r="I774" t="s">
        <v>14</v>
      </c>
      <c r="J774" t="s">
        <v>242</v>
      </c>
      <c r="K774" t="s">
        <v>14</v>
      </c>
      <c r="L774" t="s">
        <v>20</v>
      </c>
      <c r="M774" t="s">
        <v>1711</v>
      </c>
      <c r="N774" t="s">
        <v>14</v>
      </c>
    </row>
    <row r="775" x14ac:dyDescent="0.25">
      <c r="A775" t="n">
        <v>25</v>
      </c>
      <c r="B775" t="s">
        <v>14</v>
      </c>
      <c r="C775" t="s">
        <v>51</v>
      </c>
      <c r="D775" s="2" t="s">
        <f>=HYPERLINK("https://main.knesset.gov.il/APPS/legislation/main/bills/2238632", "הצעת חוק סדר הדין הפלילי (סמכויות אכיפה - מעצרים) (תיקון - פיצוי לעצור ששוחרר ממעצר), התשפ""ו-2026")</f>
        <v>1731</v>
      </c>
      <c r="E775" t="s">
        <v>1731</v>
      </c>
      <c r="F775" t="s">
        <v>1732</v>
      </c>
      <c r="G775" t="s">
        <v>14</v>
      </c>
      <c r="H775">
             </c>
      <c r="I775" t="s">
        <v>14</v>
      </c>
      <c r="J775" t="s">
        <v>242</v>
      </c>
      <c r="K775" t="s">
        <v>14</v>
      </c>
      <c r="L775" t="s">
        <v>20</v>
      </c>
      <c r="M775" t="s">
        <v>1711</v>
      </c>
      <c r="N775" t="s">
        <v>14</v>
      </c>
    </row>
    <row r="776" x14ac:dyDescent="0.25">
      <c r="A776" t="n">
        <v>25</v>
      </c>
      <c r="B776" t="s">
        <v>14</v>
      </c>
      <c r="C776" t="s">
        <v>51</v>
      </c>
      <c r="D776" s="2" t="s">
        <f>=HYPERLINK("https://main.knesset.gov.il/APPS/legislation/main/bills/2238629", "הצעת חוק סדר הדין הפלילי (סמכויות אכיפה - מעצרים) (תיקון - משך מעצר מרבי ועילות מעצר), התשפ""ו-2026")</f>
        <v>1733</v>
      </c>
      <c r="E776" t="s">
        <v>1733</v>
      </c>
      <c r="F776" t="s">
        <v>1734</v>
      </c>
      <c r="G776" t="s">
        <v>14</v>
      </c>
      <c r="H776">
             </c>
      <c r="I776" t="s">
        <v>14</v>
      </c>
      <c r="J776" t="s">
        <v>202</v>
      </c>
      <c r="K776" t="s">
        <v>14</v>
      </c>
      <c r="L776" t="s">
        <v>20</v>
      </c>
      <c r="M776" t="s">
        <v>1711</v>
      </c>
      <c r="N776" t="s">
        <v>14</v>
      </c>
    </row>
    <row r="777" x14ac:dyDescent="0.25">
      <c r="A777" t="n">
        <v>25</v>
      </c>
      <c r="B777" t="s">
        <v>14</v>
      </c>
      <c r="C777" t="s">
        <v>51</v>
      </c>
      <c r="D777" s="2" t="s">
        <f>=HYPERLINK("https://main.knesset.gov.il/APPS/legislation/main/bills/2238567", "הצעת חוק-יסוד: הכנסת (תיקון - ייצוג מינימלי לשני המינים ברשימת מועמדים לכנסת) ")</f>
        <v>1735</v>
      </c>
      <c r="E777" t="s">
        <v>1735</v>
      </c>
      <c r="F777" t="s">
        <v>1736</v>
      </c>
      <c r="G777" t="s">
        <v>14</v>
      </c>
      <c r="H777">
             </c>
      <c r="I777" t="s">
        <v>14</v>
      </c>
      <c r="J777" t="s">
        <v>242</v>
      </c>
      <c r="K777" t="s">
        <v>14</v>
      </c>
      <c r="L777" t="s">
        <v>20</v>
      </c>
      <c r="M777" t="s">
        <v>1711</v>
      </c>
      <c r="N777" t="s">
        <v>14</v>
      </c>
    </row>
    <row r="778" x14ac:dyDescent="0.25">
      <c r="A778" t="n">
        <v>25</v>
      </c>
      <c r="B778" t="s">
        <v>14</v>
      </c>
      <c r="C778" t="s">
        <v>51</v>
      </c>
      <c r="D778" s="2" t="s">
        <f>=HYPERLINK("https://main.knesset.gov.il/APPS/legislation/main/bills/2237905", "הצעת חוק הבנקאות (שירות ללקוח) (תיקון - מחיקת חוב בנקאי לעסקים זעירים, קטנים, בינוניים ואזרחים חדלי פירעון), התשפ""ו-2026")</f>
        <v>1737</v>
      </c>
      <c r="E778" t="s">
        <v>1737</v>
      </c>
      <c r="F778" t="s">
        <v>1738</v>
      </c>
      <c r="G778" t="s">
        <v>14</v>
      </c>
      <c r="H778">
             </c>
      <c r="I778" t="s">
        <v>14</v>
      </c>
      <c r="J778" t="s">
        <v>242</v>
      </c>
      <c r="K778" t="s">
        <v>14</v>
      </c>
      <c r="L778" t="s">
        <v>20</v>
      </c>
      <c r="M778" t="s">
        <v>1711</v>
      </c>
      <c r="N778" t="s">
        <v>14</v>
      </c>
    </row>
    <row r="779" x14ac:dyDescent="0.25">
      <c r="A779" t="n">
        <v>25</v>
      </c>
      <c r="B779" t="s">
        <v>14</v>
      </c>
      <c r="C779" t="s">
        <v>51</v>
      </c>
      <c r="D779" s="2" t="s">
        <f>=HYPERLINK("https://main.knesset.gov.il/APPS/legislation/main/bills/2237821", "הצעת חוק עיון במרשמי המקרקעין ביהודה והשומרון, התשפ""ו-2026")</f>
        <v>1739</v>
      </c>
      <c r="E779" t="s">
        <v>1739</v>
      </c>
      <c r="F779" t="s">
        <v>1740</v>
      </c>
      <c r="G779" t="s">
        <v>14</v>
      </c>
      <c r="H779">
             </c>
      <c r="I779" t="s">
        <v>14</v>
      </c>
      <c r="J779" t="s">
        <v>242</v>
      </c>
      <c r="K779" t="s">
        <v>14</v>
      </c>
      <c r="L779" t="s">
        <v>20</v>
      </c>
      <c r="M779" t="s">
        <v>1711</v>
      </c>
      <c r="N779" t="s">
        <v>14</v>
      </c>
    </row>
    <row r="780" x14ac:dyDescent="0.25">
      <c r="A780" t="n">
        <v>25</v>
      </c>
      <c r="B780" t="s">
        <v>14</v>
      </c>
      <c r="C780" t="s">
        <v>51</v>
      </c>
      <c r="D780" s="2" t="s">
        <f>=HYPERLINK("https://main.knesset.gov.il/APPS/legislation/main/bills/2237968", "הצעת חוק שירות מידע פיננסי (תיקון - פטור וגישה למידע לסוכני ביטוח), התשפ״ו-2026")</f>
        <v>1741</v>
      </c>
      <c r="E780" t="s">
        <v>1741</v>
      </c>
      <c r="F780" t="s">
        <v>1742</v>
      </c>
      <c r="G780" t="s">
        <v>14</v>
      </c>
      <c r="H780">
             </c>
      <c r="I780" t="s">
        <v>14</v>
      </c>
      <c r="J780" t="s">
        <v>242</v>
      </c>
      <c r="K780" t="s">
        <v>14</v>
      </c>
      <c r="L780" t="s">
        <v>20</v>
      </c>
      <c r="M780" t="s">
        <v>1711</v>
      </c>
      <c r="N780" t="s">
        <v>14</v>
      </c>
    </row>
    <row r="781" x14ac:dyDescent="0.25">
      <c r="A781" t="n">
        <v>25</v>
      </c>
      <c r="B781" t="s">
        <v>14</v>
      </c>
      <c r="C781" t="s">
        <v>51</v>
      </c>
      <c r="D781" s="2" t="s">
        <f>=HYPERLINK("https://main.knesset.gov.il/APPS/legislation/main/bills/2238375", "הצעת חוק שיפוט בתי דין רבניים (נישואין וגירושין) (תיקון - מתן פסק דין במקרי אלימות קשים), התשפ""ו-2026")</f>
        <v>1743</v>
      </c>
      <c r="E781" t="s">
        <v>1743</v>
      </c>
      <c r="F781" t="s">
        <v>1744</v>
      </c>
      <c r="G781" t="s">
        <v>14</v>
      </c>
      <c r="H781">
             </c>
      <c r="I781" t="s">
        <v>14</v>
      </c>
      <c r="J781" t="s">
        <v>242</v>
      </c>
      <c r="K781" t="s">
        <v>14</v>
      </c>
      <c r="L781" t="s">
        <v>20</v>
      </c>
      <c r="M781" t="s">
        <v>1711</v>
      </c>
      <c r="N781" t="s">
        <v>14</v>
      </c>
    </row>
    <row r="782" x14ac:dyDescent="0.25">
      <c r="A782" t="n">
        <v>25</v>
      </c>
      <c r="B782" t="s">
        <v>14</v>
      </c>
      <c r="C782" t="s">
        <v>51</v>
      </c>
      <c r="D782" s="2" t="s">
        <f>=HYPERLINK("https://main.knesset.gov.il/APPS/legislation/main/bills/2235832", "הצעת חוק לפיצוי קורבנות טרור (פיצויים לדוגמה) (תיקון - דרכי מימוש והחלה על פסקי דין חלוטים), התשפ""ו-2026")</f>
        <v>1745</v>
      </c>
      <c r="E782" t="s">
        <v>1745</v>
      </c>
      <c r="F782" t="s">
        <v>1746</v>
      </c>
      <c r="G782" t="s">
        <v>14</v>
      </c>
      <c r="H782">
             </c>
      <c r="I782" t="s">
        <v>14</v>
      </c>
      <c r="J782" t="s">
        <v>242</v>
      </c>
      <c r="K782" t="s">
        <v>14</v>
      </c>
      <c r="L782" t="s">
        <v>20</v>
      </c>
      <c r="M782" t="s">
        <v>1711</v>
      </c>
      <c r="N782" t="s">
        <v>14</v>
      </c>
    </row>
    <row r="783" x14ac:dyDescent="0.25">
      <c r="A783" t="n">
        <v>25</v>
      </c>
      <c r="B783" t="s">
        <v>14</v>
      </c>
      <c r="C783" t="s">
        <v>51</v>
      </c>
      <c r="D783" s="2" t="s">
        <f>=HYPERLINK("https://main.knesset.gov.il/APPS/legislation/main/bills/2238129", "הצעת חוק דיווח לכנסת על הטרדות מיניות בשירות הביטחון הכללי ובמוסד למודיעין ולתפקידים מיוחדים והטיפול בהן, התשפ״ו-2026")</f>
        <v>1747</v>
      </c>
      <c r="E783" t="s">
        <v>1747</v>
      </c>
      <c r="F783" t="s">
        <v>1748</v>
      </c>
      <c r="G783" t="s">
        <v>14</v>
      </c>
      <c r="H783">
             </c>
      <c r="I783" t="s">
        <v>14</v>
      </c>
      <c r="J783" t="s">
        <v>242</v>
      </c>
      <c r="K783" t="s">
        <v>14</v>
      </c>
      <c r="L783" t="s">
        <v>20</v>
      </c>
      <c r="M783" t="s">
        <v>1711</v>
      </c>
      <c r="N783" t="s">
        <v>14</v>
      </c>
    </row>
    <row r="784" x14ac:dyDescent="0.25">
      <c r="A784" t="n">
        <v>25</v>
      </c>
      <c r="B784" t="s">
        <v>14</v>
      </c>
      <c r="C784" t="s">
        <v>51</v>
      </c>
      <c r="D784" s="2" t="s">
        <f>=HYPERLINK("https://main.knesset.gov.il/APPS/legislation/main/bills/2238180", "הצעת חוק זכויות הסטודנט (תיקון - איסור הפליה מחמת מוגבלות), התשפ""ו-2026")</f>
        <v>1749</v>
      </c>
      <c r="E784" t="s">
        <v>1749</v>
      </c>
      <c r="F784" t="s">
        <v>1750</v>
      </c>
      <c r="G784" t="s">
        <v>14</v>
      </c>
      <c r="H784">
             </c>
      <c r="I784" t="s">
        <v>14</v>
      </c>
      <c r="J784" t="s">
        <v>202</v>
      </c>
      <c r="K784" t="s">
        <v>14</v>
      </c>
      <c r="L784" t="s">
        <v>20</v>
      </c>
      <c r="M784" t="s">
        <v>1711</v>
      </c>
      <c r="N784" t="s">
        <v>14</v>
      </c>
    </row>
    <row r="785" x14ac:dyDescent="0.25">
      <c r="A785" t="n">
        <v>25</v>
      </c>
      <c r="B785" t="s">
        <v>14</v>
      </c>
      <c r="C785" t="s">
        <v>51</v>
      </c>
      <c r="D785" s="2" t="s">
        <f>=HYPERLINK("https://main.knesset.gov.il/APPS/legislation/main/bills/2227059", "הצעת חוק הביטוח הלאומי (תיקון - דמי לידה לעצמאיות - מתן זכות לעבודה חלקית), התשפ""ה-2025")</f>
        <v>1751</v>
      </c>
      <c r="E785" t="s">
        <v>1751</v>
      </c>
      <c r="F785" t="s">
        <v>1752</v>
      </c>
      <c r="G785" t="s">
        <v>14</v>
      </c>
      <c r="H785">
             </c>
      <c r="I785" t="s">
        <v>14</v>
      </c>
      <c r="J785" t="s">
        <v>152</v>
      </c>
      <c r="K785" t="s">
        <v>46</v>
      </c>
      <c r="L785" t="s">
        <v>20</v>
      </c>
      <c r="M785" t="s">
        <v>1753</v>
      </c>
      <c r="N785" t="s">
        <v>14</v>
      </c>
    </row>
    <row r="786" x14ac:dyDescent="0.25">
      <c r="A786" t="n">
        <v>25</v>
      </c>
      <c r="B786" t="s">
        <v>14</v>
      </c>
      <c r="C786" t="s">
        <v>51</v>
      </c>
      <c r="D786" s="2" t="s">
        <f>=HYPERLINK("https://main.knesset.gov.il/APPS/legislation/main/bills/2198443", "הצעת חוק העונשין (תיקון - עונש מוות למחבלים), התשפ""ג-2023")</f>
        <v>1754</v>
      </c>
      <c r="E786" t="s">
        <v>1754</v>
      </c>
      <c r="F786" t="s">
        <v>1755</v>
      </c>
      <c r="G786" t="s">
        <v>14</v>
      </c>
      <c r="H786">
             </c>
      <c r="I786" t="s">
        <v>14</v>
      </c>
      <c r="J786" t="s">
        <v>183</v>
      </c>
      <c r="K786" t="s">
        <v>19</v>
      </c>
      <c r="L786" t="s">
        <v>20</v>
      </c>
      <c r="M786" t="s">
        <v>1753</v>
      </c>
      <c r="N786" t="s">
        <v>14</v>
      </c>
    </row>
    <row r="787" x14ac:dyDescent="0.25">
      <c r="A787" t="n">
        <v>25</v>
      </c>
      <c r="B787" t="s">
        <v>14</v>
      </c>
      <c r="C787" t="s">
        <v>51</v>
      </c>
      <c r="D787" s="2" t="s">
        <f>=HYPERLINK("https://main.knesset.gov.il/APPS/legislation/main/bills/2227961", "חוק להגדלת היצע הדיור ברשויות מקומיות (תיקוני חקיקה), התשפ""ה-2025")</f>
        <v>1756</v>
      </c>
      <c r="E787" t="s">
        <v>1756</v>
      </c>
      <c r="F787" t="s">
        <v>1757</v>
      </c>
      <c r="G787" t="s">
        <v>1758</v>
      </c>
      <c r="H787" t="n">
        <v>3427</v>
      </c>
      <c r="I787" t="s">
        <v>14</v>
      </c>
      <c r="J787" t="s">
        <v>18</v>
      </c>
      <c r="K787" t="s">
        <v>30</v>
      </c>
      <c r="L787" t="s">
        <v>20</v>
      </c>
      <c r="M787" t="s">
        <v>1753</v>
      </c>
      <c r="N787" t="s">
        <v>1759</v>
      </c>
    </row>
    <row r="788" x14ac:dyDescent="0.25">
      <c r="A788" t="n">
        <v>25</v>
      </c>
      <c r="B788" t="s">
        <v>14</v>
      </c>
      <c r="C788" t="s">
        <v>15</v>
      </c>
      <c r="D788" s="2" t="s">
        <f>=HYPERLINK("https://main.knesset.gov.il/APPS/legislation/main/bills/1046387", "חוק לתיקון פקודת בתי הסוהר (מס' 70 והוראת שעה), התשפ""ו-2026")</f>
        <v>1760</v>
      </c>
      <c r="E788" t="s">
        <v>1760</v>
      </c>
      <c r="F788" t="s">
        <v>14</v>
      </c>
      <c r="G788" t="s">
        <v>1761</v>
      </c>
      <c r="H788" t="n">
        <v>3478</v>
      </c>
      <c r="I788" t="s">
        <v>14</v>
      </c>
      <c r="J788" t="s">
        <v>18</v>
      </c>
      <c r="K788" t="s">
        <v>19</v>
      </c>
      <c r="L788" t="s">
        <v>20</v>
      </c>
      <c r="M788" t="s">
        <v>1753</v>
      </c>
      <c r="N788" t="s">
        <v>1762</v>
      </c>
    </row>
    <row r="789" x14ac:dyDescent="0.25">
      <c r="A789" t="n">
        <v>25</v>
      </c>
      <c r="B789" t="s">
        <v>14</v>
      </c>
      <c r="C789" t="s">
        <v>51</v>
      </c>
      <c r="D789" s="2" t="s">
        <f>=HYPERLINK("https://main.knesset.gov.il/APPS/legislation/main/bills/2217506", "חוק בתי קברות צבאיים (תיקון מס' 5) (תיקון), התשפ""ו–2026")</f>
        <v>1763</v>
      </c>
      <c r="E789" t="s">
        <v>1763</v>
      </c>
      <c r="F789" t="s">
        <v>1764</v>
      </c>
      <c r="G789" t="s">
        <v>1765</v>
      </c>
      <c r="H789" t="n">
        <v>3480</v>
      </c>
      <c r="I789" t="s">
        <v>14</v>
      </c>
      <c r="J789" t="s">
        <v>18</v>
      </c>
      <c r="K789" t="s">
        <v>19</v>
      </c>
      <c r="L789" t="s">
        <v>20</v>
      </c>
      <c r="M789" t="s">
        <v>1753</v>
      </c>
      <c r="N789" t="s">
        <v>1766</v>
      </c>
    </row>
    <row r="790" x14ac:dyDescent="0.25">
      <c r="A790" t="n">
        <v>25</v>
      </c>
      <c r="B790" t="s">
        <v>14</v>
      </c>
      <c r="C790" t="s">
        <v>15</v>
      </c>
      <c r="D790" s="2" t="s">
        <f>=HYPERLINK("https://main.knesset.gov.il/APPS/legislation/main/bills/2219137", "חוק שירות הקבע בצבא הגנה לישראל (גמלאות) (תיקון מס' 37), התשפ""ו-2026")</f>
        <v>1767</v>
      </c>
      <c r="E790" t="s">
        <v>1767</v>
      </c>
      <c r="F790" t="s">
        <v>14</v>
      </c>
      <c r="G790" t="s">
        <v>1768</v>
      </c>
      <c r="H790" t="n">
        <v>3479</v>
      </c>
      <c r="I790" t="s">
        <v>14</v>
      </c>
      <c r="J790" t="s">
        <v>18</v>
      </c>
      <c r="K790" t="s">
        <v>39</v>
      </c>
      <c r="L790" t="s">
        <v>20</v>
      </c>
      <c r="M790" t="s">
        <v>1753</v>
      </c>
      <c r="N790" t="s">
        <v>1769</v>
      </c>
    </row>
    <row r="791" x14ac:dyDescent="0.25">
      <c r="A791" t="n">
        <v>25</v>
      </c>
      <c r="B791" t="s">
        <v>14</v>
      </c>
      <c r="C791" t="s">
        <v>51</v>
      </c>
      <c r="D791" s="2" t="s">
        <f>=HYPERLINK("https://main.knesset.gov.il/APPS/legislation/main/bills/2235929", "הצעת חוק החלת ריבונות על ביתר עילית, התשפ""ו-2025")</f>
        <v>1770</v>
      </c>
      <c r="E791" t="s">
        <v>1770</v>
      </c>
      <c r="F791" t="s">
        <v>1771</v>
      </c>
      <c r="G791" t="s">
        <v>14</v>
      </c>
      <c r="H791">
             </c>
      <c r="I791" t="s">
        <v>14</v>
      </c>
      <c r="J791" t="s">
        <v>193</v>
      </c>
      <c r="K791" t="s">
        <v>14</v>
      </c>
      <c r="L791" t="s">
        <v>20</v>
      </c>
      <c r="M791" t="s">
        <v>1753</v>
      </c>
      <c r="N791" t="s">
        <v>14</v>
      </c>
    </row>
    <row r="792" x14ac:dyDescent="0.25">
      <c r="A792" t="n">
        <v>25</v>
      </c>
      <c r="B792" t="s">
        <v>14</v>
      </c>
      <c r="C792" t="s">
        <v>51</v>
      </c>
      <c r="D792" s="2" t="s">
        <f>=HYPERLINK("https://main.knesset.gov.il/APPS/legislation/main/bills/2234029", "הצעת חוק הפרשנות (תיקון - הגדרת הפליה על רקע נטייה מינית או זהות מגדרית), התשפ""ה-2025")</f>
        <v>1772</v>
      </c>
      <c r="E792" t="s">
        <v>1772</v>
      </c>
      <c r="F792" t="s">
        <v>1773</v>
      </c>
      <c r="G792" t="s">
        <v>14</v>
      </c>
      <c r="H792">
             </c>
      <c r="I792" t="s">
        <v>14</v>
      </c>
      <c r="J792" t="s">
        <v>193</v>
      </c>
      <c r="K792" t="s">
        <v>14</v>
      </c>
      <c r="L792" t="s">
        <v>20</v>
      </c>
      <c r="M792" t="s">
        <v>1753</v>
      </c>
      <c r="N792" t="s">
        <v>14</v>
      </c>
    </row>
    <row r="793" x14ac:dyDescent="0.25">
      <c r="A793" t="n">
        <v>25</v>
      </c>
      <c r="B793" t="s">
        <v>14</v>
      </c>
      <c r="C793" t="s">
        <v>51</v>
      </c>
      <c r="D793" s="2" t="s">
        <f>=HYPERLINK("https://main.knesset.gov.il/APPS/legislation/main/bills/2230689", "הצעת חוק איסור קבלת תמורה וחובת דיווח על קשרים עם מדינה זרה, התשפ״ה-2025 ")</f>
        <v>1774</v>
      </c>
      <c r="E793" t="s">
        <v>1774</v>
      </c>
      <c r="F793" t="s">
        <v>1775</v>
      </c>
      <c r="G793" t="s">
        <v>14</v>
      </c>
      <c r="H793">
             </c>
      <c r="I793" t="s">
        <v>14</v>
      </c>
      <c r="J793" t="s">
        <v>193</v>
      </c>
      <c r="K793" t="s">
        <v>14</v>
      </c>
      <c r="L793" t="s">
        <v>20</v>
      </c>
      <c r="M793" t="s">
        <v>1753</v>
      </c>
      <c r="N793" t="s">
        <v>14</v>
      </c>
    </row>
    <row r="794" x14ac:dyDescent="0.25">
      <c r="A794" t="n">
        <v>25</v>
      </c>
      <c r="B794" t="s">
        <v>14</v>
      </c>
      <c r="C794" t="s">
        <v>51</v>
      </c>
      <c r="D794" s="2" t="s">
        <f>=HYPERLINK("https://main.knesset.gov.il/APPS/legislation/main/bills/2228608", "הצעת חוק הרשות הלאומית למאבק בסמים ובשימוש לרעה באלכוהול, התשפ""ה-2025")</f>
        <v>1776</v>
      </c>
      <c r="E794" t="s">
        <v>1776</v>
      </c>
      <c r="F794" t="s">
        <v>1777</v>
      </c>
      <c r="G794" t="s">
        <v>14</v>
      </c>
      <c r="H794">
             </c>
      <c r="I794" t="s">
        <v>14</v>
      </c>
      <c r="J794" t="s">
        <v>193</v>
      </c>
      <c r="K794" t="s">
        <v>14</v>
      </c>
      <c r="L794" t="s">
        <v>20</v>
      </c>
      <c r="M794" t="s">
        <v>1753</v>
      </c>
      <c r="N794" t="s">
        <v>14</v>
      </c>
    </row>
    <row r="795" x14ac:dyDescent="0.25">
      <c r="A795" t="n">
        <v>25</v>
      </c>
      <c r="B795" t="s">
        <v>14</v>
      </c>
      <c r="C795" t="s">
        <v>51</v>
      </c>
      <c r="D795" s="2" t="s">
        <f>=HYPERLINK("https://main.knesset.gov.il/APPS/legislation/main/bills/2227416", "הצעת חוק פטור מאגרה ללוחמים בשירות מילואים בנסיעה בכבישי אגרה ובנתיבים מהירים (תיקוני חקיקה), התשפ""ה-2025 ")</f>
        <v>1778</v>
      </c>
      <c r="E795" t="s">
        <v>1778</v>
      </c>
      <c r="F795" t="s">
        <v>1779</v>
      </c>
      <c r="G795" t="s">
        <v>14</v>
      </c>
      <c r="H795">
             </c>
      <c r="I795" t="s">
        <v>14</v>
      </c>
      <c r="J795" t="s">
        <v>193</v>
      </c>
      <c r="K795" t="s">
        <v>14</v>
      </c>
      <c r="L795" t="s">
        <v>20</v>
      </c>
      <c r="M795" t="s">
        <v>1753</v>
      </c>
      <c r="N795" t="s">
        <v>14</v>
      </c>
    </row>
    <row r="796" x14ac:dyDescent="0.25">
      <c r="A796" t="n">
        <v>25</v>
      </c>
      <c r="B796" t="s">
        <v>14</v>
      </c>
      <c r="C796" t="s">
        <v>51</v>
      </c>
      <c r="D796" s="2" t="s">
        <f>=HYPERLINK("https://main.knesset.gov.il/APPS/legislation/main/bills/2213740", "הצעת חוק הפרשנות (תיקון - הגדרת הפליה על רקע נטייה מינית או זהות מגדרית), התשפ""ד-2024")</f>
        <v>1780</v>
      </c>
      <c r="E796" t="s">
        <v>1780</v>
      </c>
      <c r="F796" t="s">
        <v>1781</v>
      </c>
      <c r="G796" t="s">
        <v>14</v>
      </c>
      <c r="H796">
             </c>
      <c r="I796" t="s">
        <v>14</v>
      </c>
      <c r="J796" t="s">
        <v>193</v>
      </c>
      <c r="K796" t="s">
        <v>14</v>
      </c>
      <c r="L796" t="s">
        <v>20</v>
      </c>
      <c r="M796" t="s">
        <v>1753</v>
      </c>
      <c r="N796" t="s">
        <v>14</v>
      </c>
    </row>
    <row r="797" x14ac:dyDescent="0.25">
      <c r="A797" t="n">
        <v>25</v>
      </c>
      <c r="B797" t="s">
        <v>14</v>
      </c>
      <c r="C797" t="s">
        <v>51</v>
      </c>
      <c r="D797" s="2" t="s">
        <f>=HYPERLINK("https://main.knesset.gov.il/APPS/legislation/main/bills/2212595", "הצעת חוק הפרשנות (תיקון - הגדרת הפליה על רקע זהות מגדרית, נטייה מינית או אמונה דתית), התשפ""ד-2023")</f>
        <v>1782</v>
      </c>
      <c r="E797" t="s">
        <v>1782</v>
      </c>
      <c r="F797" t="s">
        <v>1783</v>
      </c>
      <c r="G797" t="s">
        <v>14</v>
      </c>
      <c r="H797">
             </c>
      <c r="I797" t="s">
        <v>14</v>
      </c>
      <c r="J797" t="s">
        <v>193</v>
      </c>
      <c r="K797" t="s">
        <v>14</v>
      </c>
      <c r="L797" t="s">
        <v>20</v>
      </c>
      <c r="M797" t="s">
        <v>1753</v>
      </c>
      <c r="N797" t="s">
        <v>14</v>
      </c>
    </row>
    <row r="798" x14ac:dyDescent="0.25">
      <c r="A798" t="n">
        <v>25</v>
      </c>
      <c r="B798" t="s">
        <v>14</v>
      </c>
      <c r="C798" t="s">
        <v>51</v>
      </c>
      <c r="D798" s="2" t="s">
        <f>=HYPERLINK("https://main.knesset.gov.il/APPS/legislation/main/bills/2204400", "הצעת חוק התכנון והבנייה (תיקון - ייצוג הולם לנשים במוסדות התכנון), התשפ""ג-2023")</f>
        <v>1784</v>
      </c>
      <c r="E798" t="s">
        <v>1784</v>
      </c>
      <c r="F798" t="s">
        <v>1785</v>
      </c>
      <c r="G798" t="s">
        <v>14</v>
      </c>
      <c r="H798">
             </c>
      <c r="I798" t="s">
        <v>14</v>
      </c>
      <c r="J798" t="s">
        <v>193</v>
      </c>
      <c r="K798" t="s">
        <v>14</v>
      </c>
      <c r="L798" t="s">
        <v>20</v>
      </c>
      <c r="M798" t="s">
        <v>1753</v>
      </c>
      <c r="N798" t="s">
        <v>14</v>
      </c>
    </row>
    <row r="799" x14ac:dyDescent="0.25">
      <c r="A799" t="n">
        <v>25</v>
      </c>
      <c r="B799" t="s">
        <v>14</v>
      </c>
      <c r="C799" t="s">
        <v>51</v>
      </c>
      <c r="D799" s="2" t="s">
        <f>=HYPERLINK("https://main.knesset.gov.il/APPS/legislation/main/bills/2225755", "דיור והקצאת קרקעות מתוך הצעת חוק למתן הטבות למשרתים במילואים, התשפ""ה-2024")</f>
        <v>1786</v>
      </c>
      <c r="E799" t="s">
        <v>1786</v>
      </c>
      <c r="F799" t="s">
        <v>1787</v>
      </c>
      <c r="G799" t="s">
        <v>14</v>
      </c>
      <c r="H799">
             </c>
      <c r="I799" t="s">
        <v>14</v>
      </c>
      <c r="J799" t="s">
        <v>152</v>
      </c>
      <c r="K799" t="s">
        <v>39</v>
      </c>
      <c r="L799" t="s">
        <v>20</v>
      </c>
      <c r="M799" t="s">
        <v>1788</v>
      </c>
      <c r="N799" t="s">
        <v>14</v>
      </c>
    </row>
    <row r="800" x14ac:dyDescent="0.25">
      <c r="A800" t="n">
        <v>25</v>
      </c>
      <c r="B800" t="s">
        <v>14</v>
      </c>
      <c r="C800" t="s">
        <v>15</v>
      </c>
      <c r="D800" s="2" t="s">
        <f>=HYPERLINK("https://main.knesset.gov.il/APPS/legislation/main/bills/1045508", "הצעת חוק הפטנטים (תיקון מס' 15), התשפ""ו-2025")</f>
        <v>1789</v>
      </c>
      <c r="E800" t="s">
        <v>1789</v>
      </c>
      <c r="F800" t="s">
        <v>14</v>
      </c>
      <c r="G800" t="s">
        <v>1790</v>
      </c>
      <c r="H800">
             </c>
      <c r="I800" t="s">
        <v>14</v>
      </c>
      <c r="J800" t="s">
        <v>162</v>
      </c>
      <c r="K800" t="s">
        <v>14</v>
      </c>
      <c r="L800" t="s">
        <v>20</v>
      </c>
      <c r="M800" t="s">
        <v>1788</v>
      </c>
      <c r="N800" t="s">
        <v>14</v>
      </c>
    </row>
    <row r="801" x14ac:dyDescent="0.25">
      <c r="A801" t="n">
        <v>25</v>
      </c>
      <c r="B801" t="s">
        <v>14</v>
      </c>
      <c r="C801" t="s">
        <v>51</v>
      </c>
      <c r="D801" s="2" t="s">
        <f>=HYPERLINK("https://main.knesset.gov.il/APPS/legislation/main/bills/2213308", "הצעת חוק הגנת השכר (תיקון מס' 32) (הגברת האכיפה – ניכויים משכר עבודה), התשפ""ה–2025")</f>
        <v>1791</v>
      </c>
      <c r="E801" t="s">
        <v>1791</v>
      </c>
      <c r="F801" t="s">
        <v>1792</v>
      </c>
      <c r="G801" t="s">
        <v>1793</v>
      </c>
      <c r="H801">
             </c>
      <c r="I801" t="s">
        <v>166</v>
      </c>
      <c r="J801" t="s">
        <v>38</v>
      </c>
      <c r="K801" t="s">
        <v>46</v>
      </c>
      <c r="L801" t="s">
        <v>20</v>
      </c>
      <c r="M801" t="s">
        <v>1794</v>
      </c>
      <c r="N801" t="s">
        <v>14</v>
      </c>
    </row>
    <row r="802" x14ac:dyDescent="0.25">
      <c r="A802" t="n">
        <v>25</v>
      </c>
      <c r="B802" t="s">
        <v>14</v>
      </c>
      <c r="C802" t="s">
        <v>15</v>
      </c>
      <c r="D802" s="2" t="s">
        <f>=HYPERLINK("https://main.knesset.gov.il/APPS/legislation/main/bills/1045860", "חוק להפסקת פעילות אונר""א (תיקון), התשפ""ו-2025")</f>
        <v>1795</v>
      </c>
      <c r="E802" t="s">
        <v>1795</v>
      </c>
      <c r="F802" t="s">
        <v>14</v>
      </c>
      <c r="G802" t="s">
        <v>1796</v>
      </c>
      <c r="H802" t="n">
        <v>3477</v>
      </c>
      <c r="I802" t="s">
        <v>14</v>
      </c>
      <c r="J802" t="s">
        <v>18</v>
      </c>
      <c r="K802" t="s">
        <v>39</v>
      </c>
      <c r="L802" t="s">
        <v>20</v>
      </c>
      <c r="M802" t="s">
        <v>1794</v>
      </c>
      <c r="N802" t="s">
        <v>1797</v>
      </c>
    </row>
    <row r="803" x14ac:dyDescent="0.25">
      <c r="A803" t="n">
        <v>25</v>
      </c>
      <c r="B803" t="s">
        <v>14</v>
      </c>
      <c r="C803" t="s">
        <v>15</v>
      </c>
      <c r="D803" s="2" t="s">
        <f>=HYPERLINK("https://main.knesset.gov.il/APPS/legislation/main/bills/1046189", "חוק מס חברות מזערי בקבוצה רב-לאומית, התשפ""ו-2025")</f>
        <v>1798</v>
      </c>
      <c r="E803" t="s">
        <v>1798</v>
      </c>
      <c r="F803" t="s">
        <v>14</v>
      </c>
      <c r="G803" t="s">
        <v>1799</v>
      </c>
      <c r="H803" t="n">
        <v>3476</v>
      </c>
      <c r="I803" t="s">
        <v>14</v>
      </c>
      <c r="J803" t="s">
        <v>18</v>
      </c>
      <c r="K803" t="s">
        <v>24</v>
      </c>
      <c r="L803" t="s">
        <v>20</v>
      </c>
      <c r="M803" t="s">
        <v>1794</v>
      </c>
      <c r="N803" t="s">
        <v>14</v>
      </c>
    </row>
    <row r="804" x14ac:dyDescent="0.25">
      <c r="A804" t="n">
        <v>25</v>
      </c>
      <c r="B804" t="s">
        <v>14</v>
      </c>
      <c r="C804" t="s">
        <v>51</v>
      </c>
      <c r="D804" s="2" t="s">
        <f>=HYPERLINK("https://main.knesset.gov.il/APPS/legislation/main/bills/2225805", "חוק קידום התחרות בענפי המזון והפארם (תיקון מס' 9), התשפ""ו–2025")</f>
        <v>1800</v>
      </c>
      <c r="E804" t="s">
        <v>1800</v>
      </c>
      <c r="F804" t="s">
        <v>1801</v>
      </c>
      <c r="G804" t="s">
        <v>1802</v>
      </c>
      <c r="H804" t="n">
        <v>3475</v>
      </c>
      <c r="I804" t="s">
        <v>14</v>
      </c>
      <c r="J804" t="s">
        <v>18</v>
      </c>
      <c r="K804" t="s">
        <v>84</v>
      </c>
      <c r="L804" t="s">
        <v>20</v>
      </c>
      <c r="M804" t="s">
        <v>1794</v>
      </c>
      <c r="N804" t="s">
        <v>1803</v>
      </c>
    </row>
    <row r="805" x14ac:dyDescent="0.25">
      <c r="A805" t="n">
        <v>25</v>
      </c>
      <c r="B805" t="s">
        <v>14</v>
      </c>
      <c r="C805" t="s">
        <v>51</v>
      </c>
      <c r="D805" s="2" t="s">
        <f>=HYPERLINK("https://main.knesset.gov.il/APPS/legislation/main/bills/2238067", "הצעת חוק הסכמים קיבוציים (תיקון - הסדרת גביית דמי טיפול ארגוני-מקצועי לארגון מעבידים), התשפ""ו-2025")</f>
        <v>1804</v>
      </c>
      <c r="E805" t="s">
        <v>1804</v>
      </c>
      <c r="F805" t="s">
        <v>1805</v>
      </c>
      <c r="G805" t="s">
        <v>14</v>
      </c>
      <c r="H805">
             </c>
      <c r="I805" t="s">
        <v>14</v>
      </c>
      <c r="J805" t="s">
        <v>242</v>
      </c>
      <c r="K805" t="s">
        <v>14</v>
      </c>
      <c r="L805" t="s">
        <v>20</v>
      </c>
      <c r="M805" t="s">
        <v>1794</v>
      </c>
      <c r="N805" t="s">
        <v>14</v>
      </c>
    </row>
    <row r="806" x14ac:dyDescent="0.25">
      <c r="A806" t="n">
        <v>25</v>
      </c>
      <c r="B806" t="s">
        <v>14</v>
      </c>
      <c r="C806" t="s">
        <v>51</v>
      </c>
      <c r="D806" s="2" t="s">
        <f>=HYPERLINK("https://main.knesset.gov.il/APPS/legislation/main/bills/2235679", "הצעת חוק בתי המשפט (תיקון - סייגים לעניין חברי הכנסת), התשפ""ו-2025")</f>
        <v>1806</v>
      </c>
      <c r="E806" t="s">
        <v>1806</v>
      </c>
      <c r="F806" t="s">
        <v>1807</v>
      </c>
      <c r="G806" t="s">
        <v>14</v>
      </c>
      <c r="H806">
             </c>
      <c r="I806" t="s">
        <v>14</v>
      </c>
      <c r="J806" t="s">
        <v>242</v>
      </c>
      <c r="K806" t="s">
        <v>14</v>
      </c>
      <c r="L806" t="s">
        <v>20</v>
      </c>
      <c r="M806" t="s">
        <v>1794</v>
      </c>
      <c r="N806" t="s">
        <v>14</v>
      </c>
    </row>
    <row r="807" x14ac:dyDescent="0.25">
      <c r="A807" t="n">
        <v>25</v>
      </c>
      <c r="B807" t="s">
        <v>14</v>
      </c>
      <c r="C807" t="s">
        <v>51</v>
      </c>
      <c r="D807" s="2" t="s">
        <f>=HYPERLINK("https://main.knesset.gov.il/APPS/legislation/main/bills/2237640", "הצעת חוק הדיינים (תיקון - תנאי הסמכה להליכים מוסכמים והבטחת ייצוג נשים), התשפ""ו-2025")</f>
        <v>1808</v>
      </c>
      <c r="E807" t="s">
        <v>1808</v>
      </c>
      <c r="F807" t="s">
        <v>1809</v>
      </c>
      <c r="G807" t="s">
        <v>14</v>
      </c>
      <c r="H807">
             </c>
      <c r="I807" t="s">
        <v>14</v>
      </c>
      <c r="J807" t="s">
        <v>242</v>
      </c>
      <c r="K807" t="s">
        <v>14</v>
      </c>
      <c r="L807" t="s">
        <v>20</v>
      </c>
      <c r="M807" t="s">
        <v>1794</v>
      </c>
      <c r="N807" t="s">
        <v>14</v>
      </c>
    </row>
    <row r="808" x14ac:dyDescent="0.25">
      <c r="A808" t="n">
        <v>25</v>
      </c>
      <c r="B808" t="s">
        <v>14</v>
      </c>
      <c r="C808" t="s">
        <v>51</v>
      </c>
      <c r="D808" s="2" t="s">
        <f>=HYPERLINK("https://main.knesset.gov.il/APPS/legislation/main/bills/2238237", "הצעת חוק הסיוע המשפטי (תיקון - סיוע משפטי לנכי צה""ל ולנפגעי פעולות איבה),  התשפ""ו-2025")</f>
        <v>1810</v>
      </c>
      <c r="E808" t="s">
        <v>1810</v>
      </c>
      <c r="F808" t="s">
        <v>1811</v>
      </c>
      <c r="G808" t="s">
        <v>14</v>
      </c>
      <c r="H808">
             </c>
      <c r="I808" t="s">
        <v>14</v>
      </c>
      <c r="J808" t="s">
        <v>242</v>
      </c>
      <c r="K808" t="s">
        <v>14</v>
      </c>
      <c r="L808" t="s">
        <v>20</v>
      </c>
      <c r="M808" t="s">
        <v>1794</v>
      </c>
      <c r="N808" t="s">
        <v>14</v>
      </c>
    </row>
    <row r="809" x14ac:dyDescent="0.25">
      <c r="A809" t="n">
        <v>25</v>
      </c>
      <c r="B809" t="s">
        <v>14</v>
      </c>
      <c r="C809" t="s">
        <v>51</v>
      </c>
      <c r="D809" s="2" t="s">
        <f>=HYPERLINK("https://main.knesset.gov.il/APPS/legislation/main/bills/2233345", "הצעת חוק הפיקוח על שירותים פיננסיים (ביטוח) (תיקון - החלת הוראות חוק חוזה סוכנות (סוכן מסחרי וספק) על חוזה בין מבטח לסוכן), התשפ""ו-2025")</f>
        <v>1812</v>
      </c>
      <c r="E809" t="s">
        <v>1812</v>
      </c>
      <c r="F809" t="s">
        <v>1813</v>
      </c>
      <c r="G809" t="s">
        <v>14</v>
      </c>
      <c r="H809">
             </c>
      <c r="I809" t="s">
        <v>14</v>
      </c>
      <c r="J809" t="s">
        <v>242</v>
      </c>
      <c r="K809" t="s">
        <v>14</v>
      </c>
      <c r="L809" t="s">
        <v>20</v>
      </c>
      <c r="M809" t="s">
        <v>1794</v>
      </c>
      <c r="N809" t="s">
        <v>14</v>
      </c>
    </row>
    <row r="810" x14ac:dyDescent="0.25">
      <c r="A810" t="n">
        <v>25</v>
      </c>
      <c r="B810" t="s">
        <v>14</v>
      </c>
      <c r="C810" t="s">
        <v>51</v>
      </c>
      <c r="D810" s="2" t="s">
        <f>=HYPERLINK("https://main.knesset.gov.il/APPS/legislation/main/bills/2237459", "הצעת חוק לתיקון פקודת בריאות העם (עדכון על זכאות אפשרית לגמלה), התשפ""ו-2025")</f>
        <v>1814</v>
      </c>
      <c r="E810" t="s">
        <v>1814</v>
      </c>
      <c r="F810" t="s">
        <v>1815</v>
      </c>
      <c r="G810" t="s">
        <v>14</v>
      </c>
      <c r="H810">
             </c>
      <c r="I810" t="s">
        <v>14</v>
      </c>
      <c r="J810" t="s">
        <v>202</v>
      </c>
      <c r="K810" t="s">
        <v>14</v>
      </c>
      <c r="L810" t="s">
        <v>20</v>
      </c>
      <c r="M810" t="s">
        <v>1794</v>
      </c>
      <c r="N810" t="s">
        <v>14</v>
      </c>
    </row>
    <row r="811" x14ac:dyDescent="0.25">
      <c r="A811" t="n">
        <v>25</v>
      </c>
      <c r="B811" t="s">
        <v>14</v>
      </c>
      <c r="C811" t="s">
        <v>51</v>
      </c>
      <c r="D811" s="2" t="s">
        <f>=HYPERLINK("https://main.knesset.gov.il/APPS/legislation/main/bills/2238246", "הצעת חוק שמירת הניקיון (תיקון - טיפול בפסולת בניין), התשפ""ו-2025")</f>
        <v>1816</v>
      </c>
      <c r="E811" t="s">
        <v>1816</v>
      </c>
      <c r="F811" t="s">
        <v>1817</v>
      </c>
      <c r="G811" t="s">
        <v>14</v>
      </c>
      <c r="H811">
             </c>
      <c r="I811" t="s">
        <v>14</v>
      </c>
      <c r="J811" t="s">
        <v>242</v>
      </c>
      <c r="K811" t="s">
        <v>14</v>
      </c>
      <c r="L811" t="s">
        <v>20</v>
      </c>
      <c r="M811" t="s">
        <v>1794</v>
      </c>
      <c r="N811" t="s">
        <v>14</v>
      </c>
    </row>
    <row r="812" x14ac:dyDescent="0.25">
      <c r="A812" t="n">
        <v>25</v>
      </c>
      <c r="B812" t="s">
        <v>14</v>
      </c>
      <c r="C812" t="s">
        <v>51</v>
      </c>
      <c r="D812" s="2" t="s">
        <f>=HYPERLINK("https://main.knesset.gov.il/APPS/legislation/main/bills/2237682", "הצעת חוק לתיקון פקודת התעבורה (שינוי שיטת חישוב דמי חניה בחניון ופטור מתשלום עבור עשר הדקות הראשונות),  התשפ""ו-2025")</f>
        <v>1818</v>
      </c>
      <c r="E812" t="s">
        <v>1818</v>
      </c>
      <c r="F812" t="s">
        <v>1819</v>
      </c>
      <c r="G812" t="s">
        <v>14</v>
      </c>
      <c r="H812">
             </c>
      <c r="I812" t="s">
        <v>14</v>
      </c>
      <c r="J812" t="s">
        <v>242</v>
      </c>
      <c r="K812" t="s">
        <v>14</v>
      </c>
      <c r="L812" t="s">
        <v>20</v>
      </c>
      <c r="M812" t="s">
        <v>1794</v>
      </c>
      <c r="N812" t="s">
        <v>14</v>
      </c>
    </row>
    <row r="813" x14ac:dyDescent="0.25">
      <c r="A813" t="n">
        <v>25</v>
      </c>
      <c r="B813" t="s">
        <v>14</v>
      </c>
      <c r="C813" t="s">
        <v>51</v>
      </c>
      <c r="D813" s="2" t="s">
        <f>=HYPERLINK("https://main.knesset.gov.il/APPS/legislation/main/bills/2236609", "הצעת חוק רשות מקרקעי ישראל (השגה על שומת מקרקעין), התשפ""ו-2025")</f>
        <v>1820</v>
      </c>
      <c r="E813" t="s">
        <v>1820</v>
      </c>
      <c r="F813" t="s">
        <v>1821</v>
      </c>
      <c r="G813" t="s">
        <v>14</v>
      </c>
      <c r="H813">
             </c>
      <c r="I813" t="s">
        <v>14</v>
      </c>
      <c r="J813" t="s">
        <v>242</v>
      </c>
      <c r="K813" t="s">
        <v>14</v>
      </c>
      <c r="L813" t="s">
        <v>20</v>
      </c>
      <c r="M813" t="s">
        <v>1794</v>
      </c>
      <c r="N813" t="s">
        <v>14</v>
      </c>
    </row>
    <row r="814" x14ac:dyDescent="0.25">
      <c r="A814" t="n">
        <v>25</v>
      </c>
      <c r="B814" t="s">
        <v>14</v>
      </c>
      <c r="C814" t="s">
        <v>51</v>
      </c>
      <c r="D814" s="2" t="s">
        <f>=HYPERLINK("https://main.knesset.gov.il/APPS/legislation/main/bills/2238181", "הצעת חוק החברות (תיקון - מכסות ייצוג לנשים בדירקטוריונים של חברות ציבוריות), התשפ""ו-2025")</f>
        <v>1822</v>
      </c>
      <c r="E814" t="s">
        <v>1822</v>
      </c>
      <c r="F814" t="s">
        <v>1823</v>
      </c>
      <c r="G814" t="s">
        <v>14</v>
      </c>
      <c r="H814">
             </c>
      <c r="I814" t="s">
        <v>14</v>
      </c>
      <c r="J814" t="s">
        <v>242</v>
      </c>
      <c r="K814" t="s">
        <v>14</v>
      </c>
      <c r="L814" t="s">
        <v>20</v>
      </c>
      <c r="M814" t="s">
        <v>1794</v>
      </c>
      <c r="N814" t="s">
        <v>14</v>
      </c>
    </row>
    <row r="815" x14ac:dyDescent="0.25">
      <c r="A815" t="n">
        <v>25</v>
      </c>
      <c r="B815" t="s">
        <v>14</v>
      </c>
      <c r="C815" t="s">
        <v>51</v>
      </c>
      <c r="D815" s="2" t="s">
        <f>=HYPERLINK("https://main.knesset.gov.il/APPS/legislation/main/bills/2237519", "הצעת חוק הגנה על קטינים ברשת (הגבלת גיל), התשפ״ו-2025")</f>
        <v>1824</v>
      </c>
      <c r="E815" t="s">
        <v>1824</v>
      </c>
      <c r="F815" t="s">
        <v>1825</v>
      </c>
      <c r="G815" t="s">
        <v>14</v>
      </c>
      <c r="H815">
             </c>
      <c r="I815" t="s">
        <v>14</v>
      </c>
      <c r="J815" t="s">
        <v>242</v>
      </c>
      <c r="K815" t="s">
        <v>14</v>
      </c>
      <c r="L815" t="s">
        <v>20</v>
      </c>
      <c r="M815" t="s">
        <v>1794</v>
      </c>
      <c r="N815" t="s">
        <v>14</v>
      </c>
    </row>
    <row r="816" x14ac:dyDescent="0.25">
      <c r="A816" t="n">
        <v>25</v>
      </c>
      <c r="B816" t="s">
        <v>14</v>
      </c>
      <c r="C816" t="s">
        <v>51</v>
      </c>
      <c r="D816" s="2" t="s">
        <f>=HYPERLINK("https://main.knesset.gov.il/APPS/legislation/main/bills/2237707", "הצעת חוק מענק לחטוף ששב מן השבי או למשפחתו של חטוף שנרצח בשבי וגופתו הושבה בעקבות מתקפת 7 באוקטובר, התשפ""ו-2025 ")</f>
        <v>1826</v>
      </c>
      <c r="E816" t="s">
        <v>1826</v>
      </c>
      <c r="F816" t="s">
        <v>1827</v>
      </c>
      <c r="G816" t="s">
        <v>14</v>
      </c>
      <c r="H816">
             </c>
      <c r="I816" t="s">
        <v>14</v>
      </c>
      <c r="J816" t="s">
        <v>242</v>
      </c>
      <c r="K816" t="s">
        <v>14</v>
      </c>
      <c r="L816" t="s">
        <v>20</v>
      </c>
      <c r="M816" t="s">
        <v>1794</v>
      </c>
      <c r="N816" t="s">
        <v>14</v>
      </c>
    </row>
    <row r="817" x14ac:dyDescent="0.25">
      <c r="A817" t="n">
        <v>25</v>
      </c>
      <c r="B817" t="s">
        <v>14</v>
      </c>
      <c r="C817" t="s">
        <v>51</v>
      </c>
      <c r="D817" s="2" t="s">
        <f>=HYPERLINK("https://main.knesset.gov.il/APPS/legislation/main/bills/2238199", "הצעת חוק הביטוח הלאומי (תיקון - חישוב תגמולי מילואים בתקופת חירום), התשפ""ו-2025")</f>
        <v>1393</v>
      </c>
      <c r="E817" t="s">
        <v>1393</v>
      </c>
      <c r="F817" t="s">
        <v>1828</v>
      </c>
      <c r="G817" t="s">
        <v>14</v>
      </c>
      <c r="H817">
             </c>
      <c r="I817" t="s">
        <v>14</v>
      </c>
      <c r="J817" t="s">
        <v>242</v>
      </c>
      <c r="K817" t="s">
        <v>14</v>
      </c>
      <c r="L817" t="s">
        <v>20</v>
      </c>
      <c r="M817" t="s">
        <v>1794</v>
      </c>
      <c r="N817" t="s">
        <v>14</v>
      </c>
    </row>
    <row r="818" x14ac:dyDescent="0.25">
      <c r="A818" t="n">
        <v>25</v>
      </c>
      <c r="B818" t="s">
        <v>14</v>
      </c>
      <c r="C818" t="s">
        <v>51</v>
      </c>
      <c r="D818" s="2" t="s">
        <f>=HYPERLINK("https://main.knesset.gov.il/APPS/legislation/main/bills/2235105", "הצעת חוק הגבלת תשלום בעד טיפול בתביעה לגמלת סיעוד ולתגמולי ביטוח סיעודי (תיקוני חקיקה), התשפ""ו-2025")</f>
        <v>1829</v>
      </c>
      <c r="E818" t="s">
        <v>1829</v>
      </c>
      <c r="F818" t="s">
        <v>1830</v>
      </c>
      <c r="G818" t="s">
        <v>14</v>
      </c>
      <c r="H818">
             </c>
      <c r="I818" t="s">
        <v>14</v>
      </c>
      <c r="J818" t="s">
        <v>242</v>
      </c>
      <c r="K818" t="s">
        <v>14</v>
      </c>
      <c r="L818" t="s">
        <v>20</v>
      </c>
      <c r="M818" t="s">
        <v>1794</v>
      </c>
      <c r="N818" t="s">
        <v>14</v>
      </c>
    </row>
    <row r="819" x14ac:dyDescent="0.25">
      <c r="A819" t="n">
        <v>25</v>
      </c>
      <c r="B819" t="s">
        <v>14</v>
      </c>
      <c r="C819" t="s">
        <v>51</v>
      </c>
      <c r="D819" s="2" t="s">
        <f>=HYPERLINK("https://main.knesset.gov.il/APPS/legislation/main/bills/2238031", "הצעת חוק הגנה על קטינים (הזכות למחיקת מידע אישי), התשפ""ו-2025")</f>
        <v>1831</v>
      </c>
      <c r="E819" t="s">
        <v>1831</v>
      </c>
      <c r="F819" t="s">
        <v>1832</v>
      </c>
      <c r="G819" t="s">
        <v>14</v>
      </c>
      <c r="H819">
             </c>
      <c r="I819" t="s">
        <v>14</v>
      </c>
      <c r="J819" t="s">
        <v>242</v>
      </c>
      <c r="K819" t="s">
        <v>14</v>
      </c>
      <c r="L819" t="s">
        <v>20</v>
      </c>
      <c r="M819" t="s">
        <v>1794</v>
      </c>
      <c r="N819" t="s">
        <v>14</v>
      </c>
    </row>
    <row r="820" x14ac:dyDescent="0.25">
      <c r="A820" t="n">
        <v>25</v>
      </c>
      <c r="B820" t="s">
        <v>14</v>
      </c>
      <c r="C820" t="s">
        <v>51</v>
      </c>
      <c r="D820" s="2" t="s">
        <f>=HYPERLINK("https://main.knesset.gov.il/APPS/legislation/main/bills/2237792", "הצעת חוק נכסי המדינה (תיקון - הרשאת שימוש לשם הקמת מיתקני שידור לתקשורת בשיטה התאית), התשפ""ו-2025")</f>
        <v>1833</v>
      </c>
      <c r="E820" t="s">
        <v>1833</v>
      </c>
      <c r="F820" t="s">
        <v>1834</v>
      </c>
      <c r="G820" t="s">
        <v>14</v>
      </c>
      <c r="H820">
             </c>
      <c r="I820" t="s">
        <v>14</v>
      </c>
      <c r="J820" t="s">
        <v>202</v>
      </c>
      <c r="K820" t="s">
        <v>14</v>
      </c>
      <c r="L820" t="s">
        <v>20</v>
      </c>
      <c r="M820" t="s">
        <v>1794</v>
      </c>
      <c r="N820" t="s">
        <v>14</v>
      </c>
    </row>
    <row r="821" x14ac:dyDescent="0.25">
      <c r="A821" t="n">
        <v>25</v>
      </c>
      <c r="B821" t="s">
        <v>14</v>
      </c>
      <c r="C821" t="s">
        <v>51</v>
      </c>
      <c r="D821" s="2" t="s">
        <f>=HYPERLINK("https://main.knesset.gov.il/APPS/legislation/main/bills/2233165", "הצעת חוק לשיקום מהיר של מבנים שניזוקו במלחמת עם כלביא (תיקוני חקיקה), התשפ""ה-2025")</f>
        <v>1835</v>
      </c>
      <c r="E821" t="s">
        <v>1835</v>
      </c>
      <c r="F821" t="s">
        <v>1836</v>
      </c>
      <c r="G821" t="s">
        <v>14</v>
      </c>
      <c r="H821">
             </c>
      <c r="I821" t="s">
        <v>14</v>
      </c>
      <c r="J821" t="s">
        <v>183</v>
      </c>
      <c r="K821" t="s">
        <v>30</v>
      </c>
      <c r="L821" t="s">
        <v>20</v>
      </c>
      <c r="M821" t="s">
        <v>1837</v>
      </c>
      <c r="N821" t="s">
        <v>14</v>
      </c>
    </row>
    <row r="822" x14ac:dyDescent="0.25">
      <c r="A822" t="n">
        <v>25</v>
      </c>
      <c r="B822" t="s">
        <v>14</v>
      </c>
      <c r="C822" t="s">
        <v>15</v>
      </c>
      <c r="D822" s="2" t="s">
        <f>=HYPERLINK("https://main.knesset.gov.il/APPS/legislation/main/bills/1046391", "חוק כליאתם של לוחמים בלתי חוקיים (תיקון מס' 4 והוראת שעה – חרבות ברזל) (תיקון מס' 6), התשפ""ו-2025")</f>
        <v>1838</v>
      </c>
      <c r="E822" t="s">
        <v>1838</v>
      </c>
      <c r="F822" t="s">
        <v>14</v>
      </c>
      <c r="G822" t="s">
        <v>1839</v>
      </c>
      <c r="H822" t="n">
        <v>3474</v>
      </c>
      <c r="I822" t="s">
        <v>14</v>
      </c>
      <c r="J822" t="s">
        <v>18</v>
      </c>
      <c r="K822" t="s">
        <v>39</v>
      </c>
      <c r="L822" t="s">
        <v>20</v>
      </c>
      <c r="M822" t="s">
        <v>1840</v>
      </c>
      <c r="N822" t="s">
        <v>1841</v>
      </c>
    </row>
    <row r="823" x14ac:dyDescent="0.25">
      <c r="A823" t="n">
        <v>25</v>
      </c>
      <c r="B823" t="s">
        <v>14</v>
      </c>
      <c r="C823" t="s">
        <v>15</v>
      </c>
      <c r="D823" s="2" t="s">
        <f>=HYPERLINK("https://main.knesset.gov.il/APPS/legislation/main/bills/1046277", "חוק לתיקון פקודת בתי הסוהר (תיקון מס' 66 – הוראת שעה – חרבות ברזל) (חופשה מיוחדת לאסיר) (תיקון מס' 4), התשפ""ו-2025")</f>
        <v>1842</v>
      </c>
      <c r="E823" t="s">
        <v>1842</v>
      </c>
      <c r="F823" t="s">
        <v>14</v>
      </c>
      <c r="G823" t="s">
        <v>1843</v>
      </c>
      <c r="H823" t="n">
        <v>3472</v>
      </c>
      <c r="I823" t="s">
        <v>14</v>
      </c>
      <c r="J823" t="s">
        <v>18</v>
      </c>
      <c r="K823" t="s">
        <v>19</v>
      </c>
      <c r="L823" t="s">
        <v>20</v>
      </c>
      <c r="M823" t="s">
        <v>1840</v>
      </c>
      <c r="N823" t="s">
        <v>1844</v>
      </c>
    </row>
    <row r="824" x14ac:dyDescent="0.25">
      <c r="A824" t="n">
        <v>25</v>
      </c>
      <c r="B824" t="s">
        <v>14</v>
      </c>
      <c r="C824" t="s">
        <v>15</v>
      </c>
      <c r="D824" s="2" t="s">
        <f>=HYPERLINK("https://main.knesset.gov.il/APPS/legislation/main/bills/1046280", "חוק שירות ביטחון (תיקון מס' 7 והוראת שעה) (שירות במשטרה ושירות מוכר) (תיקון מס' 19), התשפ""ו-2025")</f>
        <v>1845</v>
      </c>
      <c r="E824" t="s">
        <v>1845</v>
      </c>
      <c r="F824" t="s">
        <v>14</v>
      </c>
      <c r="G824" t="s">
        <v>1846</v>
      </c>
      <c r="H824" t="n">
        <v>3473</v>
      </c>
      <c r="I824" t="s">
        <v>14</v>
      </c>
      <c r="J824" t="s">
        <v>18</v>
      </c>
      <c r="K824" t="s">
        <v>39</v>
      </c>
      <c r="L824" t="s">
        <v>20</v>
      </c>
      <c r="M824" t="s">
        <v>1840</v>
      </c>
      <c r="N824" t="s">
        <v>1847</v>
      </c>
    </row>
    <row r="825" x14ac:dyDescent="0.25">
      <c r="A825" t="n">
        <v>25</v>
      </c>
      <c r="B825" t="s">
        <v>14</v>
      </c>
      <c r="C825" t="s">
        <v>15</v>
      </c>
      <c r="D825" s="2" t="s">
        <f>=HYPERLINK("https://main.knesset.gov.il/APPS/legislation/main/bills/1046327", "חוק הסמכת צבא הגנה לישראל ושירות הביטחון הכללי לביצוע חדירה לחומר מחשב המשמש להפעלת מצלמה נייחת ופעולה בו (הוראת שעה – חרבות ברזל) (תיקון מס' 5), התשפ""ו-2025")</f>
        <v>1848</v>
      </c>
      <c r="E825" t="s">
        <v>1848</v>
      </c>
      <c r="F825" t="s">
        <v>14</v>
      </c>
      <c r="G825" t="s">
        <v>1849</v>
      </c>
      <c r="H825" t="n">
        <v>3471</v>
      </c>
      <c r="I825" t="s">
        <v>14</v>
      </c>
      <c r="J825" t="s">
        <v>18</v>
      </c>
      <c r="K825" t="s">
        <v>39</v>
      </c>
      <c r="L825" t="s">
        <v>20</v>
      </c>
      <c r="M825" t="s">
        <v>1840</v>
      </c>
      <c r="N825" t="s">
        <v>1850</v>
      </c>
    </row>
    <row r="826" x14ac:dyDescent="0.25">
      <c r="A826" t="n">
        <v>25</v>
      </c>
      <c r="B826" t="s">
        <v>14</v>
      </c>
      <c r="C826" t="s">
        <v>51</v>
      </c>
      <c r="D826" s="2" t="s">
        <f>=HYPERLINK("https://main.knesset.gov.il/APPS/legislation/main/bills/2235677", "הצעת חוק מלחמת שמחת תורה, התשפ""ו-2025")</f>
        <v>1851</v>
      </c>
      <c r="E826" t="s">
        <v>1851</v>
      </c>
      <c r="F826" t="s">
        <v>1852</v>
      </c>
      <c r="G826" t="s">
        <v>14</v>
      </c>
      <c r="H826">
             </c>
      <c r="I826" t="s">
        <v>14</v>
      </c>
      <c r="J826" t="s">
        <v>193</v>
      </c>
      <c r="K826" t="s">
        <v>14</v>
      </c>
      <c r="L826" t="s">
        <v>20</v>
      </c>
      <c r="M826" t="s">
        <v>1840</v>
      </c>
      <c r="N826" t="s">
        <v>14</v>
      </c>
    </row>
    <row r="827" x14ac:dyDescent="0.25">
      <c r="A827" t="n">
        <v>25</v>
      </c>
      <c r="B827" t="s">
        <v>14</v>
      </c>
      <c r="C827" t="s">
        <v>51</v>
      </c>
      <c r="D827" s="2" t="s">
        <f>=HYPERLINK("https://main.knesset.gov.il/APPS/legislation/main/bills/2235479", "הצעת חוק החברות (תיקון - פרסום דוחות כספיים של מונופול), התשפ""ו-2025")</f>
        <v>1853</v>
      </c>
      <c r="E827" t="s">
        <v>1853</v>
      </c>
      <c r="F827" t="s">
        <v>1854</v>
      </c>
      <c r="G827" t="s">
        <v>14</v>
      </c>
      <c r="H827">
             </c>
      <c r="I827" t="s">
        <v>14</v>
      </c>
      <c r="J827" t="s">
        <v>193</v>
      </c>
      <c r="K827" t="s">
        <v>14</v>
      </c>
      <c r="L827" t="s">
        <v>20</v>
      </c>
      <c r="M827" t="s">
        <v>1840</v>
      </c>
      <c r="N827" t="s">
        <v>14</v>
      </c>
    </row>
    <row r="828" x14ac:dyDescent="0.25">
      <c r="A828" t="n">
        <v>25</v>
      </c>
      <c r="B828" t="s">
        <v>14</v>
      </c>
      <c r="C828" t="s">
        <v>51</v>
      </c>
      <c r="D828" s="2" t="s">
        <f>=HYPERLINK("https://main.knesset.gov.il/APPS/legislation/main/bills/2235091", "הצעת חוק-יסוד: הממשלה (תיקון - התניית חברות בוועדת השרים לענייני ביטחון לאומי בשירות צבאי)")</f>
        <v>1855</v>
      </c>
      <c r="E828" t="s">
        <v>1855</v>
      </c>
      <c r="F828" t="s">
        <v>1856</v>
      </c>
      <c r="G828" t="s">
        <v>14</v>
      </c>
      <c r="H828">
             </c>
      <c r="I828" t="s">
        <v>14</v>
      </c>
      <c r="J828" t="s">
        <v>193</v>
      </c>
      <c r="K828" t="s">
        <v>14</v>
      </c>
      <c r="L828" t="s">
        <v>20</v>
      </c>
      <c r="M828" t="s">
        <v>1840</v>
      </c>
      <c r="N828" t="s">
        <v>14</v>
      </c>
    </row>
    <row r="829" x14ac:dyDescent="0.25">
      <c r="A829" t="n">
        <v>25</v>
      </c>
      <c r="B829" t="s">
        <v>14</v>
      </c>
      <c r="C829" t="s">
        <v>51</v>
      </c>
      <c r="D829" s="2" t="s">
        <f>=HYPERLINK("https://main.knesset.gov.il/APPS/legislation/main/bills/2228024", "הצעת חוק הליכי שפיטה וייצוג של נוער (תיקוני חקיקה), התשפ""ה-2025")</f>
        <v>1857</v>
      </c>
      <c r="E829" t="s">
        <v>1857</v>
      </c>
      <c r="F829" t="s">
        <v>1858</v>
      </c>
      <c r="G829" t="s">
        <v>14</v>
      </c>
      <c r="H829">
             </c>
      <c r="I829" t="s">
        <v>14</v>
      </c>
      <c r="J829" t="s">
        <v>202</v>
      </c>
      <c r="K829" t="s">
        <v>14</v>
      </c>
      <c r="L829" t="s">
        <v>20</v>
      </c>
      <c r="M829" t="s">
        <v>1840</v>
      </c>
      <c r="N829" t="s">
        <v>14</v>
      </c>
    </row>
    <row r="830" x14ac:dyDescent="0.25">
      <c r="A830" t="n">
        <v>25</v>
      </c>
      <c r="B830" t="s">
        <v>14</v>
      </c>
      <c r="C830" t="s">
        <v>51</v>
      </c>
      <c r="D830" s="2" t="s">
        <f>=HYPERLINK("https://main.knesset.gov.il/APPS/legislation/main/bills/2227877", "הצעת חוק קבלת מידע לשם זיהוי חללים ונעדרים בשל אירוע רב-נפגעים, התשפ""ה-2025")</f>
        <v>1859</v>
      </c>
      <c r="E830" t="s">
        <v>1859</v>
      </c>
      <c r="F830" t="s">
        <v>1860</v>
      </c>
      <c r="G830" t="s">
        <v>14</v>
      </c>
      <c r="H830">
             </c>
      <c r="I830" t="s">
        <v>14</v>
      </c>
      <c r="J830" t="s">
        <v>202</v>
      </c>
      <c r="K830" t="s">
        <v>14</v>
      </c>
      <c r="L830" t="s">
        <v>20</v>
      </c>
      <c r="M830" t="s">
        <v>1840</v>
      </c>
      <c r="N830" t="s">
        <v>14</v>
      </c>
    </row>
    <row r="831" x14ac:dyDescent="0.25">
      <c r="A831" t="n">
        <v>25</v>
      </c>
      <c r="B831" t="s">
        <v>14</v>
      </c>
      <c r="C831" t="s">
        <v>51</v>
      </c>
      <c r="D831" s="2" t="s">
        <f>=HYPERLINK("https://main.knesset.gov.il/APPS/legislation/main/bills/2196113", "הצעת חוק הכרה אזרחית בהכשרות צבאיות (תיקון - הכרה בניסיון פיקודי כניסיון ניהולי), התשפ""ה-2024")</f>
        <v>1861</v>
      </c>
      <c r="E831" t="s">
        <v>1861</v>
      </c>
      <c r="F831" t="s">
        <v>1862</v>
      </c>
      <c r="G831" t="s">
        <v>14</v>
      </c>
      <c r="H831">
             </c>
      <c r="I831" t="s">
        <v>14</v>
      </c>
      <c r="J831" t="s">
        <v>193</v>
      </c>
      <c r="K831" t="s">
        <v>14</v>
      </c>
      <c r="L831" t="s">
        <v>20</v>
      </c>
      <c r="M831" t="s">
        <v>1840</v>
      </c>
      <c r="N831" t="s">
        <v>14</v>
      </c>
    </row>
    <row r="832" x14ac:dyDescent="0.25">
      <c r="A832" t="n">
        <v>25</v>
      </c>
      <c r="B832" t="s">
        <v>14</v>
      </c>
      <c r="C832" t="s">
        <v>51</v>
      </c>
      <c r="D832" s="2" t="s">
        <f>=HYPERLINK("https://main.knesset.gov.il/APPS/legislation/main/bills/2224764", "הצעת חוק הרשויות המקומיות (פטור חיילים, נפגעי מלחמה ושוטרים מארנונה) (תיקון - הנחה בארנונה למשרת בשירות מילואים פעיל) (הוראת שעה), התשפ""ה-2024")</f>
        <v>1863</v>
      </c>
      <c r="E832" t="s">
        <v>1863</v>
      </c>
      <c r="F832" t="s">
        <v>1864</v>
      </c>
      <c r="G832" t="s">
        <v>14</v>
      </c>
      <c r="H832">
             </c>
      <c r="I832" t="s">
        <v>14</v>
      </c>
      <c r="J832" t="s">
        <v>193</v>
      </c>
      <c r="K832" t="s">
        <v>14</v>
      </c>
      <c r="L832" t="s">
        <v>20</v>
      </c>
      <c r="M832" t="s">
        <v>1840</v>
      </c>
      <c r="N832" t="s">
        <v>14</v>
      </c>
    </row>
    <row r="833" x14ac:dyDescent="0.25">
      <c r="A833" t="n">
        <v>25</v>
      </c>
      <c r="B833" t="s">
        <v>14</v>
      </c>
      <c r="C833" t="s">
        <v>51</v>
      </c>
      <c r="D833" s="2" t="s">
        <f>=HYPERLINK("https://main.knesset.gov.il/APPS/legislation/main/bills/2223817", "הצעת חוק איסור שימוש בטלפונים חכמים במוסדות חינוך, התשפ""ה-2024")</f>
        <v>1865</v>
      </c>
      <c r="E833" t="s">
        <v>1865</v>
      </c>
      <c r="F833" t="s">
        <v>1866</v>
      </c>
      <c r="G833" t="s">
        <v>14</v>
      </c>
      <c r="H833">
             </c>
      <c r="I833" t="s">
        <v>14</v>
      </c>
      <c r="J833" t="s">
        <v>193</v>
      </c>
      <c r="K833" t="s">
        <v>14</v>
      </c>
      <c r="L833" t="s">
        <v>20</v>
      </c>
      <c r="M833" t="s">
        <v>1840</v>
      </c>
      <c r="N833" t="s">
        <v>14</v>
      </c>
    </row>
    <row r="834" x14ac:dyDescent="0.25">
      <c r="A834" t="n">
        <v>25</v>
      </c>
      <c r="B834" t="s">
        <v>14</v>
      </c>
      <c r="C834" t="s">
        <v>51</v>
      </c>
      <c r="D834" s="2" t="s">
        <f>=HYPERLINK("https://main.knesset.gov.il/APPS/legislation/main/bills/2209715", "הצעת חוק זכויות ושירותים לילדים ובני נוער עם קשיים נפשיים, התשפ""ד-2023")</f>
        <v>1867</v>
      </c>
      <c r="E834" t="s">
        <v>1867</v>
      </c>
      <c r="F834" t="s">
        <v>1868</v>
      </c>
      <c r="G834" t="s">
        <v>14</v>
      </c>
      <c r="H834">
             </c>
      <c r="I834" t="s">
        <v>14</v>
      </c>
      <c r="J834" t="s">
        <v>193</v>
      </c>
      <c r="K834" t="s">
        <v>14</v>
      </c>
      <c r="L834" t="s">
        <v>20</v>
      </c>
      <c r="M834" t="s">
        <v>1840</v>
      </c>
      <c r="N834" t="s">
        <v>14</v>
      </c>
    </row>
    <row r="835" x14ac:dyDescent="0.25">
      <c r="A835" t="n">
        <v>25</v>
      </c>
      <c r="B835" t="s">
        <v>14</v>
      </c>
      <c r="C835" t="s">
        <v>51</v>
      </c>
      <c r="D835" s="2" t="s">
        <f>=HYPERLINK("https://main.knesset.gov.il/APPS/legislation/main/bills/2204830", "הצעת חוק שיפוט בתי דין רבניים (נישואין וגירושין) (תיקון - מתן פסק דין במקרי אלימות קשים), התשפ""ג-2023")</f>
        <v>1869</v>
      </c>
      <c r="E835" t="s">
        <v>1869</v>
      </c>
      <c r="F835" t="s">
        <v>1870</v>
      </c>
      <c r="G835" t="s">
        <v>14</v>
      </c>
      <c r="H835">
             </c>
      <c r="I835" t="s">
        <v>14</v>
      </c>
      <c r="J835" t="s">
        <v>193</v>
      </c>
      <c r="K835" t="s">
        <v>14</v>
      </c>
      <c r="L835" t="s">
        <v>20</v>
      </c>
      <c r="M835" t="s">
        <v>1840</v>
      </c>
      <c r="N835" t="s">
        <v>14</v>
      </c>
    </row>
    <row r="836" x14ac:dyDescent="0.25">
      <c r="A836" t="n">
        <v>25</v>
      </c>
      <c r="B836" t="s">
        <v>14</v>
      </c>
      <c r="C836" t="s">
        <v>51</v>
      </c>
      <c r="D836" s="2" t="s">
        <f>=HYPERLINK("https://main.knesset.gov.il/APPS/legislation/main/bills/2203944", "הצעת חוק שיפוט בתי דין רבניים (נישואין וגירושין) (תיקון - הגבלת משך זמן ההליך), התשפ""ג-2023")</f>
        <v>1871</v>
      </c>
      <c r="E836" t="s">
        <v>1871</v>
      </c>
      <c r="F836" t="s">
        <v>1872</v>
      </c>
      <c r="G836" t="s">
        <v>14</v>
      </c>
      <c r="H836">
             </c>
      <c r="I836" t="s">
        <v>14</v>
      </c>
      <c r="J836" t="s">
        <v>193</v>
      </c>
      <c r="K836" t="s">
        <v>14</v>
      </c>
      <c r="L836" t="s">
        <v>20</v>
      </c>
      <c r="M836" t="s">
        <v>1840</v>
      </c>
      <c r="N836" t="s">
        <v>14</v>
      </c>
    </row>
    <row r="837" x14ac:dyDescent="0.25">
      <c r="A837" t="n">
        <v>25</v>
      </c>
      <c r="B837" t="s">
        <v>14</v>
      </c>
      <c r="C837" t="s">
        <v>51</v>
      </c>
      <c r="D837" s="2" t="s">
        <f>=HYPERLINK("https://main.knesset.gov.il/APPS/legislation/main/bills/2196991", "הצעת חוק נישואים אזרחיים, התשפ""ג-2022")</f>
        <v>1873</v>
      </c>
      <c r="E837" t="s">
        <v>1873</v>
      </c>
      <c r="F837" t="s">
        <v>1874</v>
      </c>
      <c r="G837" t="s">
        <v>14</v>
      </c>
      <c r="H837">
             </c>
      <c r="I837" t="s">
        <v>14</v>
      </c>
      <c r="J837" t="s">
        <v>193</v>
      </c>
      <c r="K837" t="s">
        <v>14</v>
      </c>
      <c r="L837" t="s">
        <v>20</v>
      </c>
      <c r="M837" t="s">
        <v>1840</v>
      </c>
      <c r="N837" t="s">
        <v>14</v>
      </c>
    </row>
    <row r="838" x14ac:dyDescent="0.25">
      <c r="A838" t="n">
        <v>25</v>
      </c>
      <c r="B838" t="s">
        <v>14</v>
      </c>
      <c r="C838" t="s">
        <v>15</v>
      </c>
      <c r="D838" s="2" t="s">
        <f>=HYPERLINK("https://main.knesset.gov.il/APPS/legislation/main/bills/1046160", "הצעת חוק רישוי שירותים ומקצועות בענף הרכב (תיקון מס' 14) (הוראות לעניין סייבר והעדפת מכס-ארץ המקור), התשפ""ו-2025")</f>
        <v>1875</v>
      </c>
      <c r="E838" t="s">
        <v>1875</v>
      </c>
      <c r="F838" t="s">
        <v>14</v>
      </c>
      <c r="G838" t="s">
        <v>1876</v>
      </c>
      <c r="H838">
             </c>
      <c r="I838" t="s">
        <v>14</v>
      </c>
      <c r="J838" t="s">
        <v>162</v>
      </c>
      <c r="K838" t="s">
        <v>14</v>
      </c>
      <c r="L838" t="s">
        <v>20</v>
      </c>
      <c r="M838" t="s">
        <v>1840</v>
      </c>
      <c r="N838" t="s">
        <v>14</v>
      </c>
    </row>
    <row r="839" x14ac:dyDescent="0.25">
      <c r="A839" t="n">
        <v>25</v>
      </c>
      <c r="B839" t="s">
        <v>14</v>
      </c>
      <c r="C839" t="s">
        <v>51</v>
      </c>
      <c r="D839" s="2" t="s">
        <f>=HYPERLINK("https://main.knesset.gov.il/APPS/legislation/main/bills/2230612", "הצעת חוק תשלומים לפדויי שבי ולחטופים ששוחררו (תיקון - העלאת דרגת הנכות ל-100% לחטופים ששוחררו), התשפ""ה-2025")</f>
        <v>1877</v>
      </c>
      <c r="E839" t="s">
        <v>1877</v>
      </c>
      <c r="F839" t="s">
        <v>1878</v>
      </c>
      <c r="G839" t="s">
        <v>14</v>
      </c>
      <c r="H839">
             </c>
      <c r="I839" t="s">
        <v>14</v>
      </c>
      <c r="J839" t="s">
        <v>152</v>
      </c>
      <c r="K839" t="s">
        <v>46</v>
      </c>
      <c r="L839" t="s">
        <v>20</v>
      </c>
      <c r="M839" t="s">
        <v>1879</v>
      </c>
      <c r="N839" t="s">
        <v>14</v>
      </c>
    </row>
    <row r="840" x14ac:dyDescent="0.25">
      <c r="A840" t="n">
        <v>25</v>
      </c>
      <c r="B840" t="s">
        <v>14</v>
      </c>
      <c r="C840" t="s">
        <v>51</v>
      </c>
      <c r="D840" s="2" t="s">
        <f>=HYPERLINK("https://main.knesset.gov.il/APPS/legislation/main/bills/2229075", "הצעת חוק תשלומים לפדויי שבי ולחטופים ששוחררו (תיקון - העלאת דרגת הנכות בשנה הראשונה לשחרור), התשפ""ה-2025")</f>
        <v>1880</v>
      </c>
      <c r="E840" t="s">
        <v>1880</v>
      </c>
      <c r="F840" t="s">
        <v>1881</v>
      </c>
      <c r="G840" t="s">
        <v>14</v>
      </c>
      <c r="H840">
             </c>
      <c r="I840" t="s">
        <v>14</v>
      </c>
      <c r="J840" t="s">
        <v>152</v>
      </c>
      <c r="K840" t="s">
        <v>46</v>
      </c>
      <c r="L840" t="s">
        <v>20</v>
      </c>
      <c r="M840" t="s">
        <v>1879</v>
      </c>
      <c r="N840" t="s">
        <v>14</v>
      </c>
    </row>
    <row r="841" x14ac:dyDescent="0.25">
      <c r="A841" t="n">
        <v>25</v>
      </c>
      <c r="B841" t="s">
        <v>14</v>
      </c>
      <c r="C841" t="s">
        <v>51</v>
      </c>
      <c r="D841" s="2" t="s">
        <f>=HYPERLINK("https://main.knesset.gov.il/APPS/legislation/main/bills/2228324", "הצעת חוק תשלומים לפדויי שבי ולחטופים ששוחררו (תיקון - הרחבת הזכאויות לחטופים ששוחררו), התשפ""ה-2025 ")</f>
        <v>1882</v>
      </c>
      <c r="E841" t="s">
        <v>1882</v>
      </c>
      <c r="F841" t="s">
        <v>1883</v>
      </c>
      <c r="G841" t="s">
        <v>14</v>
      </c>
      <c r="H841">
             </c>
      <c r="I841" t="s">
        <v>14</v>
      </c>
      <c r="J841" t="s">
        <v>152</v>
      </c>
      <c r="K841" t="s">
        <v>46</v>
      </c>
      <c r="L841" t="s">
        <v>20</v>
      </c>
      <c r="M841" t="s">
        <v>1879</v>
      </c>
      <c r="N841" t="s">
        <v>14</v>
      </c>
    </row>
    <row r="842" x14ac:dyDescent="0.25">
      <c r="A842" t="n">
        <v>25</v>
      </c>
      <c r="B842" t="s">
        <v>14</v>
      </c>
      <c r="C842" t="s">
        <v>51</v>
      </c>
      <c r="D842" s="2" t="s">
        <f>=HYPERLINK("https://main.knesset.gov.il/APPS/legislation/main/bills/2226415", "הצעת חוק תשלומים לפדויי שבי ולחטופים ששוחררו (תיקון - העלאת דרגת הנכות ל-100% לחטופים ששוחררו), התשפ""ה-2025 ")</f>
        <v>1884</v>
      </c>
      <c r="E842" t="s">
        <v>1884</v>
      </c>
      <c r="F842" t="s">
        <v>1885</v>
      </c>
      <c r="G842" t="s">
        <v>14</v>
      </c>
      <c r="H842">
             </c>
      <c r="I842" t="s">
        <v>14</v>
      </c>
      <c r="J842" t="s">
        <v>152</v>
      </c>
      <c r="K842" t="s">
        <v>46</v>
      </c>
      <c r="L842" t="s">
        <v>20</v>
      </c>
      <c r="M842" t="s">
        <v>1879</v>
      </c>
      <c r="N842" t="s">
        <v>14</v>
      </c>
    </row>
    <row r="843" x14ac:dyDescent="0.25">
      <c r="A843" t="n">
        <v>25</v>
      </c>
      <c r="B843" t="s">
        <v>14</v>
      </c>
      <c r="C843" t="s">
        <v>15</v>
      </c>
      <c r="D843" s="2" t="s">
        <f>=HYPERLINK("https://main.knesset.gov.il/APPS/legislation/main/bills/2231783", "הצעת חוק תשלומים לפדויי שבי ולחטופים ששוחררו (תיקון מס' 7), התשפ""ה-2025 ")</f>
        <v>1886</v>
      </c>
      <c r="E843" t="s">
        <v>1886</v>
      </c>
      <c r="F843" t="s">
        <v>14</v>
      </c>
      <c r="G843" t="s">
        <v>1887</v>
      </c>
      <c r="H843">
             </c>
      <c r="I843" t="s">
        <v>14</v>
      </c>
      <c r="J843" t="s">
        <v>38</v>
      </c>
      <c r="K843" t="s">
        <v>46</v>
      </c>
      <c r="L843" t="s">
        <v>20</v>
      </c>
      <c r="M843" t="s">
        <v>1879</v>
      </c>
      <c r="N843" t="s">
        <v>14</v>
      </c>
    </row>
    <row r="844" x14ac:dyDescent="0.25">
      <c r="A844" t="n">
        <v>25</v>
      </c>
      <c r="B844" t="s">
        <v>14</v>
      </c>
      <c r="C844" t="s">
        <v>51</v>
      </c>
      <c r="D844" s="2" t="s">
        <f>=HYPERLINK("https://main.knesset.gov.il/APPS/legislation/main/bills/2197997", "הצעת חוק הגנת השכר (תיקון - איסור ניכוי חוב או קנס), התשפ""ג-2023")</f>
        <v>1888</v>
      </c>
      <c r="E844" t="s">
        <v>1888</v>
      </c>
      <c r="F844" t="s">
        <v>1889</v>
      </c>
      <c r="G844" t="s">
        <v>14</v>
      </c>
      <c r="H844">
             </c>
      <c r="I844" t="s">
        <v>14</v>
      </c>
      <c r="J844" t="s">
        <v>183</v>
      </c>
      <c r="K844" t="s">
        <v>46</v>
      </c>
      <c r="L844" t="s">
        <v>20</v>
      </c>
      <c r="M844" t="s">
        <v>1879</v>
      </c>
      <c r="N844" t="s">
        <v>14</v>
      </c>
    </row>
    <row r="845" x14ac:dyDescent="0.25">
      <c r="A845" t="n">
        <v>25</v>
      </c>
      <c r="B845" t="s">
        <v>14</v>
      </c>
      <c r="C845" t="s">
        <v>51</v>
      </c>
      <c r="D845" s="2" t="s">
        <f>=HYPERLINK("https://main.knesset.gov.il/APPS/legislation/main/bills/2218391", "חוק מניעת פגיעת גוף שידורים זר בביטחון המדינה (הוראת שעה), התשפ""ו–2025")</f>
        <v>1890</v>
      </c>
      <c r="E845" t="s">
        <v>1890</v>
      </c>
      <c r="F845" t="s">
        <v>1891</v>
      </c>
      <c r="G845" t="s">
        <v>1892</v>
      </c>
      <c r="H845" t="n">
        <v>3470</v>
      </c>
      <c r="I845" t="s">
        <v>14</v>
      </c>
      <c r="J845" t="s">
        <v>18</v>
      </c>
      <c r="K845" t="s">
        <v>19</v>
      </c>
      <c r="L845" t="s">
        <v>20</v>
      </c>
      <c r="M845" t="s">
        <v>1879</v>
      </c>
      <c r="N845" t="s">
        <v>1893</v>
      </c>
    </row>
    <row r="846" x14ac:dyDescent="0.25">
      <c r="A846" t="n">
        <v>25</v>
      </c>
      <c r="B846" t="s">
        <v>14</v>
      </c>
      <c r="C846" t="s">
        <v>51</v>
      </c>
      <c r="D846" s="2" t="s">
        <f>=HYPERLINK("https://main.knesset.gov.il/APPS/legislation/main/bills/2237496", "הצעת חוק סמכויות לשם שמירה על ביטחון הציבור (תיקון - הסדרת סיירות ביטחון ברשויות המקומיות), התשפ""ו-2025")</f>
        <v>1894</v>
      </c>
      <c r="E846" t="s">
        <v>1894</v>
      </c>
      <c r="F846" t="s">
        <v>1895</v>
      </c>
      <c r="G846" t="s">
        <v>14</v>
      </c>
      <c r="H846">
             </c>
      <c r="I846" t="s">
        <v>14</v>
      </c>
      <c r="J846" t="s">
        <v>242</v>
      </c>
      <c r="K846" t="s">
        <v>14</v>
      </c>
      <c r="L846" t="s">
        <v>20</v>
      </c>
      <c r="M846" t="s">
        <v>1879</v>
      </c>
      <c r="N846" t="s">
        <v>14</v>
      </c>
    </row>
    <row r="847" x14ac:dyDescent="0.25">
      <c r="A847" t="n">
        <v>25</v>
      </c>
      <c r="B847" t="s">
        <v>14</v>
      </c>
      <c r="C847" t="s">
        <v>51</v>
      </c>
      <c r="D847" s="2" t="s">
        <f>=HYPERLINK("https://main.knesset.gov.il/APPS/legislation/main/bills/2237941", "הצעת חוק למאבק בהברחות נשק (תיקוני חקיקה), התשפ""ו-2025")</f>
        <v>1896</v>
      </c>
      <c r="E847" t="s">
        <v>1896</v>
      </c>
      <c r="F847" t="s">
        <v>1897</v>
      </c>
      <c r="G847" t="s">
        <v>14</v>
      </c>
      <c r="H847">
             </c>
      <c r="I847" t="s">
        <v>14</v>
      </c>
      <c r="J847" t="s">
        <v>242</v>
      </c>
      <c r="K847" t="s">
        <v>14</v>
      </c>
      <c r="L847" t="s">
        <v>20</v>
      </c>
      <c r="M847" t="s">
        <v>1879</v>
      </c>
      <c r="N847" t="s">
        <v>14</v>
      </c>
    </row>
    <row r="848" x14ac:dyDescent="0.25">
      <c r="A848" t="n">
        <v>25</v>
      </c>
      <c r="B848" t="s">
        <v>14</v>
      </c>
      <c r="C848" t="s">
        <v>51</v>
      </c>
      <c r="D848" s="2" t="s">
        <f>=HYPERLINK("https://main.knesset.gov.il/APPS/legislation/main/bills/2237967", "הצעת חוק החלת הריבונות הישראלית על מתחם מערת המכפלה, התשפ""ו-2025")</f>
        <v>1898</v>
      </c>
      <c r="E848" t="s">
        <v>1898</v>
      </c>
      <c r="F848" t="s">
        <v>1899</v>
      </c>
      <c r="G848" t="s">
        <v>14</v>
      </c>
      <c r="H848">
             </c>
      <c r="I848" t="s">
        <v>14</v>
      </c>
      <c r="J848" t="s">
        <v>242</v>
      </c>
      <c r="K848" t="s">
        <v>14</v>
      </c>
      <c r="L848" t="s">
        <v>20</v>
      </c>
      <c r="M848" t="s">
        <v>1879</v>
      </c>
      <c r="N848" t="s">
        <v>14</v>
      </c>
    </row>
    <row r="849" x14ac:dyDescent="0.25">
      <c r="A849" t="n">
        <v>25</v>
      </c>
      <c r="B849" t="s">
        <v>14</v>
      </c>
      <c r="C849" t="s">
        <v>51</v>
      </c>
      <c r="D849" s="2" t="s">
        <f>=HYPERLINK("https://main.knesset.gov.il/APPS/legislation/main/bills/2237970", "הצעת חוק להפסקת פעילות אונר""א (תיקון - אי-אספקת חשמל ומים וסמכות תפיסת חזקה במקרקעין), התשפ""ו-2025")</f>
        <v>1900</v>
      </c>
      <c r="E849" t="s">
        <v>1900</v>
      </c>
      <c r="F849" t="s">
        <v>1901</v>
      </c>
      <c r="G849" t="s">
        <v>14</v>
      </c>
      <c r="H849">
             </c>
      <c r="I849" t="s">
        <v>14</v>
      </c>
      <c r="J849" t="s">
        <v>242</v>
      </c>
      <c r="K849" t="s">
        <v>14</v>
      </c>
      <c r="L849" t="s">
        <v>20</v>
      </c>
      <c r="M849" t="s">
        <v>1879</v>
      </c>
      <c r="N849" t="s">
        <v>14</v>
      </c>
    </row>
    <row r="850" x14ac:dyDescent="0.25">
      <c r="A850" t="n">
        <v>25</v>
      </c>
      <c r="B850" t="s">
        <v>14</v>
      </c>
      <c r="C850" t="s">
        <v>51</v>
      </c>
      <c r="D850" s="2" t="s">
        <f>=HYPERLINK("https://main.knesset.gov.il/APPS/legislation/main/bills/2237282", "הצעת חוק ביטוח בריאות ממלכתי (תיקון - חידוש חברות בקופת חולים לחייל משוחרר), התשפ״ו-2025")</f>
        <v>1902</v>
      </c>
      <c r="E850" t="s">
        <v>1902</v>
      </c>
      <c r="F850" t="s">
        <v>1903</v>
      </c>
      <c r="G850" t="s">
        <v>14</v>
      </c>
      <c r="H850">
             </c>
      <c r="I850" t="s">
        <v>14</v>
      </c>
      <c r="J850" t="s">
        <v>242</v>
      </c>
      <c r="K850" t="s">
        <v>14</v>
      </c>
      <c r="L850" t="s">
        <v>20</v>
      </c>
      <c r="M850" t="s">
        <v>1879</v>
      </c>
      <c r="N850" t="s">
        <v>14</v>
      </c>
    </row>
    <row r="851" x14ac:dyDescent="0.25">
      <c r="A851" t="n">
        <v>25</v>
      </c>
      <c r="B851" t="s">
        <v>14</v>
      </c>
      <c r="C851" t="s">
        <v>51</v>
      </c>
      <c r="D851" s="2" t="s">
        <f>=HYPERLINK("https://main.knesset.gov.il/APPS/legislation/main/bills/2237073", "הצעת חוק חברות ניהול בניין מגורים או משרדים, התשפ""ו-2025")</f>
        <v>1904</v>
      </c>
      <c r="E851" t="s">
        <v>1904</v>
      </c>
      <c r="F851" t="s">
        <v>1905</v>
      </c>
      <c r="G851" t="s">
        <v>14</v>
      </c>
      <c r="H851">
             </c>
      <c r="I851" t="s">
        <v>14</v>
      </c>
      <c r="J851" t="s">
        <v>242</v>
      </c>
      <c r="K851" t="s">
        <v>14</v>
      </c>
      <c r="L851" t="s">
        <v>20</v>
      </c>
      <c r="M851" t="s">
        <v>1879</v>
      </c>
      <c r="N851" t="s">
        <v>14</v>
      </c>
    </row>
    <row r="852" x14ac:dyDescent="0.25">
      <c r="A852" t="n">
        <v>25</v>
      </c>
      <c r="B852" t="s">
        <v>14</v>
      </c>
      <c r="C852" t="s">
        <v>51</v>
      </c>
      <c r="D852" s="2" t="s">
        <f>=HYPERLINK("https://main.knesset.gov.il/APPS/legislation/main/bills/2237089", "הצעת חוק סדר הדין הפלילי (סמכויות אכיפה - מעצרים) (תיקון - משך מעצר מרבי ועילות מעצר), התשפ""ו-2025")</f>
        <v>1906</v>
      </c>
      <c r="E852" t="s">
        <v>1906</v>
      </c>
      <c r="F852" t="s">
        <v>1907</v>
      </c>
      <c r="G852" t="s">
        <v>14</v>
      </c>
      <c r="H852">
             </c>
      <c r="I852" t="s">
        <v>14</v>
      </c>
      <c r="J852" t="s">
        <v>242</v>
      </c>
      <c r="K852" t="s">
        <v>14</v>
      </c>
      <c r="L852" t="s">
        <v>20</v>
      </c>
      <c r="M852" t="s">
        <v>1879</v>
      </c>
      <c r="N852" t="s">
        <v>14</v>
      </c>
    </row>
    <row r="853" x14ac:dyDescent="0.25">
      <c r="A853" t="n">
        <v>25</v>
      </c>
      <c r="B853" t="s">
        <v>14</v>
      </c>
      <c r="C853" t="s">
        <v>51</v>
      </c>
      <c r="D853" s="2" t="s">
        <f>=HYPERLINK("https://main.knesset.gov.il/APPS/legislation/main/bills/2237316", "הצעת חוק איסור לשון הרע (תיקון - פיצוי ללא הוכחת נזק), התשפ""ו-2025")</f>
        <v>1908</v>
      </c>
      <c r="E853" t="s">
        <v>1908</v>
      </c>
      <c r="F853" t="s">
        <v>1909</v>
      </c>
      <c r="G853" t="s">
        <v>14</v>
      </c>
      <c r="H853">
             </c>
      <c r="I853" t="s">
        <v>14</v>
      </c>
      <c r="J853" t="s">
        <v>242</v>
      </c>
      <c r="K853" t="s">
        <v>14</v>
      </c>
      <c r="L853" t="s">
        <v>20</v>
      </c>
      <c r="M853" t="s">
        <v>1879</v>
      </c>
      <c r="N853" t="s">
        <v>14</v>
      </c>
    </row>
    <row r="854" x14ac:dyDescent="0.25">
      <c r="A854" t="n">
        <v>25</v>
      </c>
      <c r="B854" t="s">
        <v>14</v>
      </c>
      <c r="C854" t="s">
        <v>51</v>
      </c>
      <c r="D854" s="2" t="s">
        <f>=HYPERLINK("https://main.knesset.gov.il/APPS/legislation/main/bills/2237774", "הצעת חוק שעות עבודה ומנוחה (תיקון - אי-תחולת החוק על כבאים), התשפ""ו-2025 ")</f>
        <v>1910</v>
      </c>
      <c r="E854" t="s">
        <v>1910</v>
      </c>
      <c r="F854" t="s">
        <v>1911</v>
      </c>
      <c r="G854" t="s">
        <v>14</v>
      </c>
      <c r="H854">
             </c>
      <c r="I854" t="s">
        <v>14</v>
      </c>
      <c r="J854" t="s">
        <v>242</v>
      </c>
      <c r="K854" t="s">
        <v>14</v>
      </c>
      <c r="L854" t="s">
        <v>20</v>
      </c>
      <c r="M854" t="s">
        <v>1879</v>
      </c>
      <c r="N854" t="s">
        <v>14</v>
      </c>
    </row>
    <row r="855" x14ac:dyDescent="0.25">
      <c r="A855" t="n">
        <v>25</v>
      </c>
      <c r="B855" t="s">
        <v>14</v>
      </c>
      <c r="C855" t="s">
        <v>51</v>
      </c>
      <c r="D855" s="2" t="s">
        <f>=HYPERLINK("https://main.knesset.gov.il/APPS/legislation/main/bills/2236212", "הצעת חוק מינוי תובע מיוחד, התשפ״ו-2025")</f>
        <v>1912</v>
      </c>
      <c r="E855" t="s">
        <v>1912</v>
      </c>
      <c r="F855" t="s">
        <v>1913</v>
      </c>
      <c r="G855" t="s">
        <v>14</v>
      </c>
      <c r="H855">
             </c>
      <c r="I855" t="s">
        <v>14</v>
      </c>
      <c r="J855" t="s">
        <v>242</v>
      </c>
      <c r="K855" t="s">
        <v>14</v>
      </c>
      <c r="L855" t="s">
        <v>20</v>
      </c>
      <c r="M855" t="s">
        <v>1879</v>
      </c>
      <c r="N855" t="s">
        <v>14</v>
      </c>
    </row>
    <row r="856" x14ac:dyDescent="0.25">
      <c r="A856" t="n">
        <v>25</v>
      </c>
      <c r="B856" t="s">
        <v>14</v>
      </c>
      <c r="C856" t="s">
        <v>51</v>
      </c>
      <c r="D856" s="2" t="s">
        <f>=HYPERLINK("https://main.knesset.gov.il/APPS/legislation/main/bills/2237333", "הצעת חוק הפיקוח על מוצר ביטוח ארוך טווח, התשפ""ו-2025")</f>
        <v>1914</v>
      </c>
      <c r="E856" t="s">
        <v>1914</v>
      </c>
      <c r="F856" t="s">
        <v>1915</v>
      </c>
      <c r="G856" t="s">
        <v>14</v>
      </c>
      <c r="H856">
             </c>
      <c r="I856" t="s">
        <v>14</v>
      </c>
      <c r="J856" t="s">
        <v>242</v>
      </c>
      <c r="K856" t="s">
        <v>14</v>
      </c>
      <c r="L856" t="s">
        <v>20</v>
      </c>
      <c r="M856" t="s">
        <v>1879</v>
      </c>
      <c r="N856" t="s">
        <v>14</v>
      </c>
    </row>
    <row r="857" x14ac:dyDescent="0.25">
      <c r="A857" t="n">
        <v>25</v>
      </c>
      <c r="B857" t="s">
        <v>14</v>
      </c>
      <c r="C857" t="s">
        <v>51</v>
      </c>
      <c r="D857" s="2" t="s">
        <f>=HYPERLINK("https://main.knesset.gov.il/APPS/legislation/main/bills/2237776", "הצעת חוק משפחות חיילים שנספו במערכה (תגמולים ושיקום) (תיקון - הגדלת סכום ההשתתפות בהוצאות אזכרה), התשפ""ו-2025")</f>
        <v>1916</v>
      </c>
      <c r="E857" t="s">
        <v>1916</v>
      </c>
      <c r="F857" t="s">
        <v>1917</v>
      </c>
      <c r="G857" t="s">
        <v>14</v>
      </c>
      <c r="H857">
             </c>
      <c r="I857" t="s">
        <v>14</v>
      </c>
      <c r="J857" t="s">
        <v>242</v>
      </c>
      <c r="K857" t="s">
        <v>14</v>
      </c>
      <c r="L857" t="s">
        <v>20</v>
      </c>
      <c r="M857" t="s">
        <v>1879</v>
      </c>
      <c r="N857" t="s">
        <v>14</v>
      </c>
    </row>
    <row r="858" x14ac:dyDescent="0.25">
      <c r="A858" t="n">
        <v>25</v>
      </c>
      <c r="B858" t="s">
        <v>14</v>
      </c>
      <c r="C858" t="s">
        <v>51</v>
      </c>
      <c r="D858" s="2" t="s">
        <f>=HYPERLINK("https://main.knesset.gov.il/APPS/legislation/main/bills/2235417", "הצעת חוק חסינות במילוי תפקיד לראש רשות מקומית (תיקוני חקיקה), התשפ""ו-2025")</f>
        <v>1918</v>
      </c>
      <c r="E858" t="s">
        <v>1918</v>
      </c>
      <c r="F858" t="s">
        <v>1919</v>
      </c>
      <c r="G858" t="s">
        <v>14</v>
      </c>
      <c r="H858">
             </c>
      <c r="I858" t="s">
        <v>14</v>
      </c>
      <c r="J858" t="s">
        <v>242</v>
      </c>
      <c r="K858" t="s">
        <v>14</v>
      </c>
      <c r="L858" t="s">
        <v>20</v>
      </c>
      <c r="M858" t="s">
        <v>1879</v>
      </c>
      <c r="N858" t="s">
        <v>14</v>
      </c>
    </row>
    <row r="859" x14ac:dyDescent="0.25">
      <c r="A859" t="n">
        <v>25</v>
      </c>
      <c r="B859" t="s">
        <v>14</v>
      </c>
      <c r="C859" t="s">
        <v>51</v>
      </c>
      <c r="D859" s="2" t="s">
        <f>=HYPERLINK("https://main.knesset.gov.il/APPS/legislation/main/bills/2237701", "הצעת חוק לתיקון פקודת התעבורה (שינוי שיטת החישוב של דמי חניה בחניון), התשפ""ו-2025")</f>
        <v>1920</v>
      </c>
      <c r="E859" t="s">
        <v>1920</v>
      </c>
      <c r="F859" t="s">
        <v>1921</v>
      </c>
      <c r="G859" t="s">
        <v>14</v>
      </c>
      <c r="H859">
             </c>
      <c r="I859" t="s">
        <v>14</v>
      </c>
      <c r="J859" t="s">
        <v>242</v>
      </c>
      <c r="K859" t="s">
        <v>14</v>
      </c>
      <c r="L859" t="s">
        <v>20</v>
      </c>
      <c r="M859" t="s">
        <v>1879</v>
      </c>
      <c r="N859" t="s">
        <v>14</v>
      </c>
    </row>
    <row r="860" x14ac:dyDescent="0.25">
      <c r="A860" t="n">
        <v>25</v>
      </c>
      <c r="B860" t="s">
        <v>14</v>
      </c>
      <c r="C860" t="s">
        <v>51</v>
      </c>
      <c r="D860" s="2" t="s">
        <f>=HYPERLINK("https://main.knesset.gov.il/APPS/legislation/main/bills/2237961", "הצעת חוק המזונות (הבטחת תשלום) (תיקון - סכום שלא יובא בחשבון במבחן ההכנסה בשבע השנים הראשונות), התשפ""ו-2025")</f>
        <v>1922</v>
      </c>
      <c r="E860" t="s">
        <v>1922</v>
      </c>
      <c r="F860" t="s">
        <v>1923</v>
      </c>
      <c r="G860" t="s">
        <v>14</v>
      </c>
      <c r="H860">
             </c>
      <c r="I860" t="s">
        <v>14</v>
      </c>
      <c r="J860" t="s">
        <v>242</v>
      </c>
      <c r="K860" t="s">
        <v>14</v>
      </c>
      <c r="L860" t="s">
        <v>20</v>
      </c>
      <c r="M860" t="s">
        <v>1879</v>
      </c>
      <c r="N860" t="s">
        <v>14</v>
      </c>
    </row>
    <row r="861" x14ac:dyDescent="0.25">
      <c r="A861" t="n">
        <v>25</v>
      </c>
      <c r="B861" t="s">
        <v>14</v>
      </c>
      <c r="C861" t="s">
        <v>51</v>
      </c>
      <c r="D861" s="2" t="s">
        <f>=HYPERLINK("https://main.knesset.gov.il/APPS/legislation/main/bills/2237960", "הצעת חוק תגמולים לבני משפחה של חטופים ונעדרים בפעולת איבה (תיקון - מתן זכויות של נפגעי איבה לבן משפחה של חטוף), התשפ""ו-2025")</f>
        <v>1924</v>
      </c>
      <c r="E861" t="s">
        <v>1924</v>
      </c>
      <c r="F861" t="s">
        <v>1925</v>
      </c>
      <c r="G861" t="s">
        <v>14</v>
      </c>
      <c r="H861">
             </c>
      <c r="I861" t="s">
        <v>14</v>
      </c>
      <c r="J861" t="s">
        <v>242</v>
      </c>
      <c r="K861" t="s">
        <v>14</v>
      </c>
      <c r="L861" t="s">
        <v>20</v>
      </c>
      <c r="M861" t="s">
        <v>1879</v>
      </c>
      <c r="N861" t="s">
        <v>14</v>
      </c>
    </row>
    <row r="862" x14ac:dyDescent="0.25">
      <c r="A862" t="n">
        <v>25</v>
      </c>
      <c r="B862" t="s">
        <v>14</v>
      </c>
      <c r="C862" t="s">
        <v>51</v>
      </c>
      <c r="D862" s="2" t="s">
        <f>=HYPERLINK("https://main.knesset.gov.il/APPS/legislation/main/bills/2237768", "הצעת חוק משפחות חיילים שנספו במערכה (תגמולים ושיקום) (תיקון - שעת הורות בעבודה לאלמן או לאלמנה בשנת האבל הראשונה), התשפ""ו-2025")</f>
        <v>1926</v>
      </c>
      <c r="E862" t="s">
        <v>1926</v>
      </c>
      <c r="F862" t="s">
        <v>1927</v>
      </c>
      <c r="G862" t="s">
        <v>14</v>
      </c>
      <c r="H862">
             </c>
      <c r="I862" t="s">
        <v>14</v>
      </c>
      <c r="J862" t="s">
        <v>242</v>
      </c>
      <c r="K862" t="s">
        <v>14</v>
      </c>
      <c r="L862" t="s">
        <v>20</v>
      </c>
      <c r="M862" t="s">
        <v>1879</v>
      </c>
      <c r="N862" t="s">
        <v>14</v>
      </c>
    </row>
    <row r="863" x14ac:dyDescent="0.25">
      <c r="A863" t="n">
        <v>25</v>
      </c>
      <c r="B863" t="s">
        <v>14</v>
      </c>
      <c r="C863" t="s">
        <v>51</v>
      </c>
      <c r="D863" s="2" t="s">
        <f>=HYPERLINK("https://main.knesset.gov.il/APPS/legislation/main/bills/2237696", "הצעת חוק לתיקון פקודת מס הכנסה (פטור ממס למשרת מילואים פעיל) (הוראת שעה - חרבות ברזל), התשפ""ו-2025")</f>
        <v>1928</v>
      </c>
      <c r="E863" t="s">
        <v>1928</v>
      </c>
      <c r="F863" t="s">
        <v>1929</v>
      </c>
      <c r="G863" t="s">
        <v>14</v>
      </c>
      <c r="H863">
             </c>
      <c r="I863" t="s">
        <v>14</v>
      </c>
      <c r="J863" t="s">
        <v>242</v>
      </c>
      <c r="K863" t="s">
        <v>14</v>
      </c>
      <c r="L863" t="s">
        <v>20</v>
      </c>
      <c r="M863" t="s">
        <v>1879</v>
      </c>
      <c r="N863" t="s">
        <v>14</v>
      </c>
    </row>
    <row r="864" x14ac:dyDescent="0.25">
      <c r="A864" t="n">
        <v>25</v>
      </c>
      <c r="B864" t="s">
        <v>14</v>
      </c>
      <c r="C864" t="s">
        <v>51</v>
      </c>
      <c r="D864" s="2" t="s">
        <f>=HYPERLINK("https://main.knesset.gov.il/APPS/legislation/main/bills/2237695", "הצעת חוק לימוד חובה (תיקון - הפחתת תקציב בשל אי-גיוס בוגרים), התשפ""ו- 2025")</f>
        <v>1930</v>
      </c>
      <c r="E864" t="s">
        <v>1930</v>
      </c>
      <c r="F864" t="s">
        <v>1931</v>
      </c>
      <c r="G864" t="s">
        <v>14</v>
      </c>
      <c r="H864">
             </c>
      <c r="I864" t="s">
        <v>14</v>
      </c>
      <c r="J864" t="s">
        <v>242</v>
      </c>
      <c r="K864" t="s">
        <v>14</v>
      </c>
      <c r="L864" t="s">
        <v>20</v>
      </c>
      <c r="M864" t="s">
        <v>1879</v>
      </c>
      <c r="N864" t="s">
        <v>14</v>
      </c>
    </row>
    <row r="865" x14ac:dyDescent="0.25">
      <c r="A865" t="n">
        <v>25</v>
      </c>
      <c r="B865" t="s">
        <v>14</v>
      </c>
      <c r="C865" t="s">
        <v>51</v>
      </c>
      <c r="D865" s="2" t="s">
        <f>=HYPERLINK("https://main.knesset.gov.il/APPS/legislation/main/bills/2237088", "הצעת חוק מענק לחטופים ולבני משפחות הנרצחים במתקפת 7 באוקטובר, התשפ""ו-2025")</f>
        <v>1932</v>
      </c>
      <c r="E865" t="s">
        <v>1932</v>
      </c>
      <c r="F865" t="s">
        <v>1933</v>
      </c>
      <c r="G865" t="s">
        <v>14</v>
      </c>
      <c r="H865">
             </c>
      <c r="I865" t="s">
        <v>14</v>
      </c>
      <c r="J865" t="s">
        <v>242</v>
      </c>
      <c r="K865" t="s">
        <v>14</v>
      </c>
      <c r="L865" t="s">
        <v>20</v>
      </c>
      <c r="M865" t="s">
        <v>1879</v>
      </c>
      <c r="N865" t="s">
        <v>14</v>
      </c>
    </row>
    <row r="866" x14ac:dyDescent="0.25">
      <c r="A866" t="n">
        <v>25</v>
      </c>
      <c r="B866" t="s">
        <v>14</v>
      </c>
      <c r="C866" t="s">
        <v>51</v>
      </c>
      <c r="D866" s="2" t="s">
        <f>=HYPERLINK("https://main.knesset.gov.il/APPS/legislation/main/bills/2237685", "הצעת חוק לתיקון פקודת התעבורה (שינוי שיטת החישוב של דמי חניה בחניון), התשפ""ו-2025")</f>
        <v>1920</v>
      </c>
      <c r="E866" t="s">
        <v>1920</v>
      </c>
      <c r="F866" t="s">
        <v>1934</v>
      </c>
      <c r="G866" t="s">
        <v>14</v>
      </c>
      <c r="H866">
             </c>
      <c r="I866" t="s">
        <v>14</v>
      </c>
      <c r="J866" t="s">
        <v>202</v>
      </c>
      <c r="K866" t="s">
        <v>14</v>
      </c>
      <c r="L866" t="s">
        <v>20</v>
      </c>
      <c r="M866" t="s">
        <v>1879</v>
      </c>
      <c r="N866" t="s">
        <v>14</v>
      </c>
    </row>
    <row r="867" x14ac:dyDescent="0.25">
      <c r="A867" t="n">
        <v>25</v>
      </c>
      <c r="B867" t="s">
        <v>14</v>
      </c>
      <c r="C867" t="s">
        <v>20</v>
      </c>
      <c r="D867" s="2" t="s">
        <f>=HYPERLINK("https://main.knesset.gov.il/APPS/legislation/main/bills/2237641", "הצעת חוק חסינות חברי הכנסת, זכויותיהם וחובותיהם (תיקון מס' 46) (אבטחת חבר הכנסת בחוץ לארץ), התשפ""ו–2025")</f>
        <v>1935</v>
      </c>
      <c r="E867" t="s">
        <v>1935</v>
      </c>
      <c r="F867" t="s">
        <v>14</v>
      </c>
      <c r="G867" t="s">
        <v>1936</v>
      </c>
      <c r="H867">
             </c>
      <c r="I867" t="s">
        <v>14</v>
      </c>
      <c r="J867" t="s">
        <v>162</v>
      </c>
      <c r="K867" t="s">
        <v>42</v>
      </c>
      <c r="L867" t="s">
        <v>20</v>
      </c>
      <c r="M867" t="s">
        <v>1879</v>
      </c>
      <c r="N867" t="s">
        <v>14</v>
      </c>
    </row>
    <row r="868" x14ac:dyDescent="0.25">
      <c r="A868" t="n">
        <v>25</v>
      </c>
      <c r="B868" t="s">
        <v>14</v>
      </c>
      <c r="C868" t="s">
        <v>15</v>
      </c>
      <c r="D868" s="2" t="s">
        <f>=HYPERLINK("https://main.knesset.gov.il/APPS/legislation/main/bills/1045890", "הצעת חוק העמותות (תיקון מס' 20) (עיצומים כספיים), התשפ""ו- 2025")</f>
        <v>1937</v>
      </c>
      <c r="E868" t="s">
        <v>1937</v>
      </c>
      <c r="F868" t="s">
        <v>14</v>
      </c>
      <c r="G868" t="s">
        <v>1938</v>
      </c>
      <c r="H868">
             </c>
      <c r="I868" t="s">
        <v>14</v>
      </c>
      <c r="J868" t="s">
        <v>162</v>
      </c>
      <c r="K868" t="s">
        <v>14</v>
      </c>
      <c r="L868" t="s">
        <v>20</v>
      </c>
      <c r="M868" t="s">
        <v>1879</v>
      </c>
      <c r="N868" t="s">
        <v>14</v>
      </c>
    </row>
    <row r="869" x14ac:dyDescent="0.25">
      <c r="A869" t="n">
        <v>25</v>
      </c>
      <c r="B869" t="s">
        <v>14</v>
      </c>
      <c r="C869" t="s">
        <v>51</v>
      </c>
      <c r="D869" s="2" t="s">
        <f>=HYPERLINK("https://main.knesset.gov.il/APPS/legislation/main/bills/2229950", "הצעת חוק רמת הגולן (תיקון - פיתוח וחיזוק רמת הגולן, וקביעת יום לציון רמת הגולן), התשפ""ה-2025")</f>
        <v>1939</v>
      </c>
      <c r="E869" t="s">
        <v>1939</v>
      </c>
      <c r="F869" t="s">
        <v>1940</v>
      </c>
      <c r="G869" t="s">
        <v>14</v>
      </c>
      <c r="H869">
             </c>
      <c r="I869" t="s">
        <v>14</v>
      </c>
      <c r="J869" t="s">
        <v>152</v>
      </c>
      <c r="K869" t="s">
        <v>39</v>
      </c>
      <c r="L869" t="s">
        <v>20</v>
      </c>
      <c r="M869" t="s">
        <v>1941</v>
      </c>
      <c r="N869" t="s">
        <v>14</v>
      </c>
    </row>
    <row r="870" x14ac:dyDescent="0.25">
      <c r="A870" t="n">
        <v>25</v>
      </c>
      <c r="B870" t="s">
        <v>14</v>
      </c>
      <c r="C870" t="s">
        <v>51</v>
      </c>
      <c r="D870" s="2" t="s">
        <f>=HYPERLINK("https://main.knesset.gov.il/APPS/legislation/main/bills/2230441", "הצעת חוק הגנה על קטינים (הזכות למחיקת מידע אישי), התשפ""ה-2025")</f>
        <v>1942</v>
      </c>
      <c r="E870" t="s">
        <v>1942</v>
      </c>
      <c r="F870" t="s">
        <v>1943</v>
      </c>
      <c r="G870" t="s">
        <v>14</v>
      </c>
      <c r="H870">
             </c>
      <c r="I870" t="s">
        <v>14</v>
      </c>
      <c r="J870" t="s">
        <v>152</v>
      </c>
      <c r="K870" t="s">
        <v>27</v>
      </c>
      <c r="L870" t="s">
        <v>20</v>
      </c>
      <c r="M870" t="s">
        <v>1941</v>
      </c>
      <c r="N870" t="s">
        <v>14</v>
      </c>
    </row>
    <row r="871" x14ac:dyDescent="0.25">
      <c r="A871" t="n">
        <v>25</v>
      </c>
      <c r="B871" t="s">
        <v>14</v>
      </c>
      <c r="C871" t="s">
        <v>51</v>
      </c>
      <c r="D871" s="2" t="s">
        <f>=HYPERLINK("https://main.knesset.gov.il/APPS/legislation/main/bills/2228371", "הצעת חוק הגנה על קטינים (הזכות למחיקת מידע אישי), התשפ""ה-2025")</f>
        <v>1942</v>
      </c>
      <c r="E871" t="s">
        <v>1942</v>
      </c>
      <c r="F871" t="s">
        <v>1944</v>
      </c>
      <c r="G871" t="s">
        <v>14</v>
      </c>
      <c r="H871">
             </c>
      <c r="I871" t="s">
        <v>14</v>
      </c>
      <c r="J871" t="s">
        <v>152</v>
      </c>
      <c r="K871" t="s">
        <v>27</v>
      </c>
      <c r="L871" t="s">
        <v>20</v>
      </c>
      <c r="M871" t="s">
        <v>1941</v>
      </c>
      <c r="N871" t="s">
        <v>14</v>
      </c>
    </row>
    <row r="872" x14ac:dyDescent="0.25">
      <c r="A872" t="n">
        <v>25</v>
      </c>
      <c r="B872" t="s">
        <v>14</v>
      </c>
      <c r="C872" t="s">
        <v>51</v>
      </c>
      <c r="D872" s="2" t="s">
        <f>=HYPERLINK("https://main.knesset.gov.il/APPS/legislation/main/bills/2226372", "הצעת חוק הגנה על קטינים (הזכות למחיקת מידע אישי), התשפ""ה-2025")</f>
        <v>1942</v>
      </c>
      <c r="E872" t="s">
        <v>1942</v>
      </c>
      <c r="F872" t="s">
        <v>1945</v>
      </c>
      <c r="G872" t="s">
        <v>14</v>
      </c>
      <c r="H872">
             </c>
      <c r="I872" t="s">
        <v>14</v>
      </c>
      <c r="J872" t="s">
        <v>152</v>
      </c>
      <c r="K872" t="s">
        <v>27</v>
      </c>
      <c r="L872" t="s">
        <v>20</v>
      </c>
      <c r="M872" t="s">
        <v>1941</v>
      </c>
      <c r="N872" t="s">
        <v>14</v>
      </c>
    </row>
    <row r="873" x14ac:dyDescent="0.25">
      <c r="A873" t="n">
        <v>25</v>
      </c>
      <c r="B873" t="s">
        <v>14</v>
      </c>
      <c r="C873" t="s">
        <v>51</v>
      </c>
      <c r="D873" s="2" t="s">
        <f>=HYPERLINK("https://main.knesset.gov.il/APPS/legislation/main/bills/2224908", "הצעת חוק סדר הדין הפלילי (תיקון - מניעת ניגודי עניינים בחקירת היועץ המשפטי לממשלה ופרקליט המדינה), התשפ""ה-2024")</f>
        <v>1946</v>
      </c>
      <c r="E873" t="s">
        <v>1946</v>
      </c>
      <c r="F873" t="s">
        <v>1947</v>
      </c>
      <c r="G873" t="s">
        <v>14</v>
      </c>
      <c r="H873">
             </c>
      <c r="I873" t="s">
        <v>14</v>
      </c>
      <c r="J873" t="s">
        <v>152</v>
      </c>
      <c r="K873" t="s">
        <v>27</v>
      </c>
      <c r="L873" t="s">
        <v>20</v>
      </c>
      <c r="M873" t="s">
        <v>1948</v>
      </c>
      <c r="N873" t="s">
        <v>14</v>
      </c>
    </row>
    <row r="874" x14ac:dyDescent="0.25">
      <c r="A874" t="n">
        <v>25</v>
      </c>
      <c r="B874" t="s">
        <v>14</v>
      </c>
      <c r="C874" t="s">
        <v>51</v>
      </c>
      <c r="D874" s="2" t="s">
        <f>=HYPERLINK("https://main.knesset.gov.il/APPS/legislation/main/bills/2235662", "הצעת חוק להפסקת פעילות אונר""א (תיקון - אי-הספקת חשמל ומים וסמכות תפיסת חזקה במקרקעין), התשפ""ו-2025")</f>
        <v>1949</v>
      </c>
      <c r="E874" t="s">
        <v>1949</v>
      </c>
      <c r="F874" t="s">
        <v>1950</v>
      </c>
      <c r="G874" t="s">
        <v>14</v>
      </c>
      <c r="H874">
             </c>
      <c r="I874" t="s">
        <v>14</v>
      </c>
      <c r="J874" t="s">
        <v>183</v>
      </c>
      <c r="K874" t="s">
        <v>39</v>
      </c>
      <c r="L874" t="s">
        <v>20</v>
      </c>
      <c r="M874" t="s">
        <v>1948</v>
      </c>
      <c r="N874" t="s">
        <v>14</v>
      </c>
    </row>
    <row r="875" x14ac:dyDescent="0.25">
      <c r="A875" t="n">
        <v>25</v>
      </c>
      <c r="B875" t="s">
        <v>14</v>
      </c>
      <c r="C875" t="s">
        <v>51</v>
      </c>
      <c r="D875" s="2" t="s">
        <f>=HYPERLINK("https://main.knesset.gov.il/APPS/legislation/main/bills/2233528", "הצעת חוק להפסקת פעילות אונר""א בשטח מדינת ישראל (תיקון - תפיסת חזקה בכל שטח שהוחזק בידי אונר""א), התשפ""ה-2025")</f>
        <v>1951</v>
      </c>
      <c r="E875" t="s">
        <v>1951</v>
      </c>
      <c r="F875" t="s">
        <v>1952</v>
      </c>
      <c r="G875" t="s">
        <v>14</v>
      </c>
      <c r="H875">
             </c>
      <c r="I875" t="s">
        <v>14</v>
      </c>
      <c r="J875" t="s">
        <v>183</v>
      </c>
      <c r="K875" t="s">
        <v>39</v>
      </c>
      <c r="L875" t="s">
        <v>20</v>
      </c>
      <c r="M875" t="s">
        <v>1948</v>
      </c>
      <c r="N875" t="s">
        <v>14</v>
      </c>
    </row>
    <row r="876" x14ac:dyDescent="0.25">
      <c r="A876" t="n">
        <v>25</v>
      </c>
      <c r="B876" t="s">
        <v>14</v>
      </c>
      <c r="C876" t="s">
        <v>51</v>
      </c>
      <c r="D876" s="2" t="s">
        <f>=HYPERLINK("https://main.knesset.gov.il/APPS/legislation/main/bills/2228568", "הצעת חוק הליכי חקירה והעדה (התאמה לאנשים עם מוגבלות שכלית או נפשית) (תיקון - חקירה והעדה מותאמת למתמודדי נפש), התשפ""ה-2025")</f>
        <v>1953</v>
      </c>
      <c r="E876" t="s">
        <v>1953</v>
      </c>
      <c r="F876" t="s">
        <v>1954</v>
      </c>
      <c r="G876" t="s">
        <v>14</v>
      </c>
      <c r="H876">
             </c>
      <c r="I876" t="s">
        <v>14</v>
      </c>
      <c r="J876" t="s">
        <v>183</v>
      </c>
      <c r="K876" t="s">
        <v>27</v>
      </c>
      <c r="L876" t="s">
        <v>20</v>
      </c>
      <c r="M876" t="s">
        <v>1948</v>
      </c>
      <c r="N876" t="s">
        <v>14</v>
      </c>
    </row>
    <row r="877" x14ac:dyDescent="0.25">
      <c r="A877" t="n">
        <v>25</v>
      </c>
      <c r="B877" t="s">
        <v>14</v>
      </c>
      <c r="C877" t="s">
        <v>20</v>
      </c>
      <c r="D877" s="2" t="s">
        <f>=HYPERLINK("https://main.knesset.gov.il/APPS/legislation/main/bills/2194599", "חוק מימון מפלגות (תיקון מס' 44), התשפ""ו–2025")</f>
        <v>1955</v>
      </c>
      <c r="E877" t="s">
        <v>1955</v>
      </c>
      <c r="F877" t="s">
        <v>14</v>
      </c>
      <c r="G877" t="s">
        <v>1956</v>
      </c>
      <c r="H877" t="n">
        <v>3469</v>
      </c>
      <c r="I877" t="s">
        <v>14</v>
      </c>
      <c r="J877" t="s">
        <v>18</v>
      </c>
      <c r="K877" t="s">
        <v>42</v>
      </c>
      <c r="L877" t="s">
        <v>20</v>
      </c>
      <c r="M877" t="s">
        <v>1957</v>
      </c>
      <c r="N877" t="s">
        <v>1958</v>
      </c>
    </row>
    <row r="878" x14ac:dyDescent="0.25">
      <c r="A878" t="n">
        <v>25</v>
      </c>
      <c r="B878" t="s">
        <v>14</v>
      </c>
      <c r="C878" t="s">
        <v>51</v>
      </c>
      <c r="D878" s="2" t="s">
        <f>=HYPERLINK("https://main.knesset.gov.il/APPS/legislation/main/bills/2237276", "הצעת חוק הממשלה (תיקון - נסיעת שר או סגן שר לחוץ לארץ), התשפ""ו-2025")</f>
        <v>1959</v>
      </c>
      <c r="E878" t="s">
        <v>1959</v>
      </c>
      <c r="F878" t="s">
        <v>1960</v>
      </c>
      <c r="G878" t="s">
        <v>14</v>
      </c>
      <c r="H878">
             </c>
      <c r="I878" t="s">
        <v>14</v>
      </c>
      <c r="J878" t="s">
        <v>242</v>
      </c>
      <c r="K878" t="s">
        <v>14</v>
      </c>
      <c r="L878" t="s">
        <v>20</v>
      </c>
      <c r="M878" t="s">
        <v>1957</v>
      </c>
      <c r="N878" t="s">
        <v>14</v>
      </c>
    </row>
    <row r="879" x14ac:dyDescent="0.25">
      <c r="A879" t="n">
        <v>25</v>
      </c>
      <c r="B879" t="s">
        <v>14</v>
      </c>
      <c r="C879" t="s">
        <v>51</v>
      </c>
      <c r="D879" s="2" t="s">
        <f>=HYPERLINK("https://main.knesset.gov.il/APPS/legislation/main/bills/2237092", "הצעת חוק שחרור על-תנאי ממאסר (תיקון - שחרור על-תנאי ממאסר), התשפ""ו-2025")</f>
        <v>1961</v>
      </c>
      <c r="E879" t="s">
        <v>1961</v>
      </c>
      <c r="F879" t="s">
        <v>1962</v>
      </c>
      <c r="G879" t="s">
        <v>14</v>
      </c>
      <c r="H879">
             </c>
      <c r="I879" t="s">
        <v>14</v>
      </c>
      <c r="J879" t="s">
        <v>242</v>
      </c>
      <c r="K879" t="s">
        <v>14</v>
      </c>
      <c r="L879" t="s">
        <v>20</v>
      </c>
      <c r="M879" t="s">
        <v>1957</v>
      </c>
      <c r="N879" t="s">
        <v>14</v>
      </c>
    </row>
    <row r="880" x14ac:dyDescent="0.25">
      <c r="A880" t="n">
        <v>25</v>
      </c>
      <c r="B880" t="s">
        <v>14</v>
      </c>
      <c r="C880" t="s">
        <v>51</v>
      </c>
      <c r="D880" s="2" t="s">
        <f>=HYPERLINK("https://main.knesset.gov.il/APPS/legislation/main/bills/2235427", "הצעת חוק שימוע למינויים בכירים ושופטים, התשפ״ו-2025")</f>
        <v>1963</v>
      </c>
      <c r="E880" t="s">
        <v>1963</v>
      </c>
      <c r="F880" t="s">
        <v>1964</v>
      </c>
      <c r="G880" t="s">
        <v>14</v>
      </c>
      <c r="H880">
             </c>
      <c r="I880" t="s">
        <v>14</v>
      </c>
      <c r="J880" t="s">
        <v>242</v>
      </c>
      <c r="K880" t="s">
        <v>14</v>
      </c>
      <c r="L880" t="s">
        <v>20</v>
      </c>
      <c r="M880" t="s">
        <v>1957</v>
      </c>
      <c r="N880" t="s">
        <v>14</v>
      </c>
    </row>
    <row r="881" x14ac:dyDescent="0.25">
      <c r="A881" t="n">
        <v>25</v>
      </c>
      <c r="B881" t="s">
        <v>14</v>
      </c>
      <c r="C881" t="s">
        <v>51</v>
      </c>
      <c r="D881" s="2" t="s">
        <f>=HYPERLINK("https://main.knesset.gov.il/APPS/legislation/main/bills/2235933", "הצעת חוק לתיקון פקודת הראיות (אי-קבילות ראיה שהושגה שלא כדין), התשפ״ו-2025")</f>
        <v>1965</v>
      </c>
      <c r="E881" t="s">
        <v>1965</v>
      </c>
      <c r="F881" t="s">
        <v>1966</v>
      </c>
      <c r="G881" t="s">
        <v>14</v>
      </c>
      <c r="H881">
             </c>
      <c r="I881" t="s">
        <v>14</v>
      </c>
      <c r="J881" t="s">
        <v>242</v>
      </c>
      <c r="K881" t="s">
        <v>14</v>
      </c>
      <c r="L881" t="s">
        <v>20</v>
      </c>
      <c r="M881" t="s">
        <v>1957</v>
      </c>
      <c r="N881" t="s">
        <v>14</v>
      </c>
    </row>
    <row r="882" x14ac:dyDescent="0.25">
      <c r="A882" t="n">
        <v>25</v>
      </c>
      <c r="B882" t="s">
        <v>14</v>
      </c>
      <c r="C882" t="s">
        <v>51</v>
      </c>
      <c r="D882" s="2" t="s">
        <f>=HYPERLINK("https://main.knesset.gov.il/APPS/legislation/main/bills/2231895", "הצעת חוק הקאדים (תיקון - הבטחת ייצוג נשים בוועדה לבחירת קאדים), התשפ""ו-2025")</f>
        <v>1967</v>
      </c>
      <c r="E882" t="s">
        <v>1967</v>
      </c>
      <c r="F882" t="s">
        <v>1968</v>
      </c>
      <c r="G882" t="s">
        <v>14</v>
      </c>
      <c r="H882">
             </c>
      <c r="I882" t="s">
        <v>14</v>
      </c>
      <c r="J882" t="s">
        <v>242</v>
      </c>
      <c r="K882" t="s">
        <v>14</v>
      </c>
      <c r="L882" t="s">
        <v>20</v>
      </c>
      <c r="M882" t="s">
        <v>1957</v>
      </c>
      <c r="N882" t="s">
        <v>14</v>
      </c>
    </row>
    <row r="883" x14ac:dyDescent="0.25">
      <c r="A883" t="n">
        <v>25</v>
      </c>
      <c r="B883" t="s">
        <v>14</v>
      </c>
      <c r="C883" t="s">
        <v>51</v>
      </c>
      <c r="D883" s="2" t="s">
        <f>=HYPERLINK("https://main.knesset.gov.il/APPS/legislation/main/bills/2237689", "הצעת חוק תגמולים לבני משפחה של חטופים ונעדרים בפעולת איבה (תיקון - מתן זכויות של נפגעי איבה לבן משפחה של חטוף), התשפ""ו-2025")</f>
        <v>1924</v>
      </c>
      <c r="E883" t="s">
        <v>1924</v>
      </c>
      <c r="F883" t="s">
        <v>1969</v>
      </c>
      <c r="G883" t="s">
        <v>14</v>
      </c>
      <c r="H883">
             </c>
      <c r="I883" t="s">
        <v>14</v>
      </c>
      <c r="J883" t="s">
        <v>242</v>
      </c>
      <c r="K883" t="s">
        <v>14</v>
      </c>
      <c r="L883" t="s">
        <v>20</v>
      </c>
      <c r="M883" t="s">
        <v>1957</v>
      </c>
      <c r="N883" t="s">
        <v>14</v>
      </c>
    </row>
    <row r="884" x14ac:dyDescent="0.25">
      <c r="A884" t="n">
        <v>25</v>
      </c>
      <c r="B884" t="s">
        <v>14</v>
      </c>
      <c r="C884" t="s">
        <v>51</v>
      </c>
      <c r="D884" s="2" t="s">
        <f>=HYPERLINK("https://main.knesset.gov.il/APPS/legislation/main/bills/2237087", "הצעת חוק סדר הדין הפלילי (סמכויות אכיפה - מעצרים) (תיקון - פיצוי לעצור ששוחרר ממעצר), התשפ""ו-2025")</f>
        <v>1970</v>
      </c>
      <c r="E884" t="s">
        <v>1970</v>
      </c>
      <c r="F884" t="s">
        <v>1971</v>
      </c>
      <c r="G884" t="s">
        <v>14</v>
      </c>
      <c r="H884">
             </c>
      <c r="I884" t="s">
        <v>14</v>
      </c>
      <c r="J884" t="s">
        <v>242</v>
      </c>
      <c r="K884" t="s">
        <v>14</v>
      </c>
      <c r="L884" t="s">
        <v>20</v>
      </c>
      <c r="M884" t="s">
        <v>1957</v>
      </c>
      <c r="N884" t="s">
        <v>14</v>
      </c>
    </row>
    <row r="885" x14ac:dyDescent="0.25">
      <c r="A885" t="n">
        <v>25</v>
      </c>
      <c r="B885" t="s">
        <v>14</v>
      </c>
      <c r="C885" t="s">
        <v>51</v>
      </c>
      <c r="D885" s="2" t="s">
        <f>=HYPERLINK("https://main.knesset.gov.il/APPS/legislation/main/bills/2237560", "הצעת חוק-יסוד: הכנסת (תיקון - שלילת זכות הצבעה מאסירים)")</f>
        <v>1972</v>
      </c>
      <c r="E885" t="s">
        <v>1972</v>
      </c>
      <c r="F885" t="s">
        <v>1973</v>
      </c>
      <c r="G885" t="s">
        <v>14</v>
      </c>
      <c r="H885">
             </c>
      <c r="I885" t="s">
        <v>14</v>
      </c>
      <c r="J885" t="s">
        <v>242</v>
      </c>
      <c r="K885" t="s">
        <v>14</v>
      </c>
      <c r="L885" t="s">
        <v>20</v>
      </c>
      <c r="M885" t="s">
        <v>1957</v>
      </c>
      <c r="N885" t="s">
        <v>14</v>
      </c>
    </row>
    <row r="886" x14ac:dyDescent="0.25">
      <c r="A886" t="n">
        <v>25</v>
      </c>
      <c r="B886" t="s">
        <v>14</v>
      </c>
      <c r="C886" t="s">
        <v>51</v>
      </c>
      <c r="D886" s="2" t="s">
        <f>=HYPERLINK("https://main.knesset.gov.il/APPS/legislation/main/bills/2237663", "הצעת חוק הביטוח הלאומי (תיקון - פטור מתשלום דמי ביטוח לאומי עד גיל 21), התשפ""ו-2025")</f>
        <v>1974</v>
      </c>
      <c r="E886" t="s">
        <v>1974</v>
      </c>
      <c r="F886" t="s">
        <v>1975</v>
      </c>
      <c r="G886" t="s">
        <v>14</v>
      </c>
      <c r="H886">
             </c>
      <c r="I886" t="s">
        <v>14</v>
      </c>
      <c r="J886" t="s">
        <v>242</v>
      </c>
      <c r="K886" t="s">
        <v>14</v>
      </c>
      <c r="L886" t="s">
        <v>20</v>
      </c>
      <c r="M886" t="s">
        <v>1957</v>
      </c>
      <c r="N886" t="s">
        <v>14</v>
      </c>
    </row>
    <row r="887" x14ac:dyDescent="0.25">
      <c r="A887" t="n">
        <v>25</v>
      </c>
      <c r="B887" t="s">
        <v>14</v>
      </c>
      <c r="C887" t="s">
        <v>51</v>
      </c>
      <c r="D887" s="2" t="s">
        <f>=HYPERLINK("https://main.knesset.gov.il/APPS/legislation/main/bills/2236861", "הצעת חוק המזונות (הבטחת תשלום) (תיקון - סכום שלא יובא בחשבון במבחן ההכנסה בשבע השנים הראשונות), התשפ""ו-2025")</f>
        <v>1922</v>
      </c>
      <c r="E887" t="s">
        <v>1922</v>
      </c>
      <c r="F887" t="s">
        <v>1976</v>
      </c>
      <c r="G887" t="s">
        <v>14</v>
      </c>
      <c r="H887">
             </c>
      <c r="I887" t="s">
        <v>14</v>
      </c>
      <c r="J887" t="s">
        <v>242</v>
      </c>
      <c r="K887" t="s">
        <v>14</v>
      </c>
      <c r="L887" t="s">
        <v>20</v>
      </c>
      <c r="M887" t="s">
        <v>1957</v>
      </c>
      <c r="N887" t="s">
        <v>14</v>
      </c>
    </row>
    <row r="888" x14ac:dyDescent="0.25">
      <c r="A888" t="n">
        <v>25</v>
      </c>
      <c r="B888" t="s">
        <v>14</v>
      </c>
      <c r="C888" t="s">
        <v>51</v>
      </c>
      <c r="D888" s="2" t="s">
        <f>=HYPERLINK("https://main.knesset.gov.il/APPS/legislation/main/bills/2236619", "הצעת חוק ביטוח בריאות ממלכתי (תיקון - מינוי ועדה ציבורית להרחבת סל שירותי הבריאות המפורט בתוספת השנייה), התשפ""ו-2025 ")</f>
        <v>1977</v>
      </c>
      <c r="E888" t="s">
        <v>1977</v>
      </c>
      <c r="F888" t="s">
        <v>1978</v>
      </c>
      <c r="G888" t="s">
        <v>14</v>
      </c>
      <c r="H888">
             </c>
      <c r="I888" t="s">
        <v>14</v>
      </c>
      <c r="J888" t="s">
        <v>242</v>
      </c>
      <c r="K888" t="s">
        <v>14</v>
      </c>
      <c r="L888" t="s">
        <v>20</v>
      </c>
      <c r="M888" t="s">
        <v>1957</v>
      </c>
      <c r="N888" t="s">
        <v>14</v>
      </c>
    </row>
    <row r="889" x14ac:dyDescent="0.25">
      <c r="A889" t="n">
        <v>25</v>
      </c>
      <c r="B889" t="s">
        <v>14</v>
      </c>
      <c r="C889" t="s">
        <v>51</v>
      </c>
      <c r="D889" s="2" t="s">
        <f>=HYPERLINK("https://main.knesset.gov.il/APPS/legislation/main/bills/2237495", "הצעת חוק חינוך ממלכתי (תיקון - חינוך ממלכתי חרדי), התשפ""ו-2025")</f>
        <v>1979</v>
      </c>
      <c r="E889" t="s">
        <v>1979</v>
      </c>
      <c r="F889" t="s">
        <v>1980</v>
      </c>
      <c r="G889" t="s">
        <v>14</v>
      </c>
      <c r="H889">
             </c>
      <c r="I889" t="s">
        <v>14</v>
      </c>
      <c r="J889" t="s">
        <v>242</v>
      </c>
      <c r="K889" t="s">
        <v>14</v>
      </c>
      <c r="L889" t="s">
        <v>20</v>
      </c>
      <c r="M889" t="s">
        <v>1957</v>
      </c>
      <c r="N889" t="s">
        <v>14</v>
      </c>
    </row>
    <row r="890" x14ac:dyDescent="0.25">
      <c r="A890" t="n">
        <v>25</v>
      </c>
      <c r="B890" t="s">
        <v>14</v>
      </c>
      <c r="C890" t="s">
        <v>51</v>
      </c>
      <c r="D890" s="2" t="s">
        <f>=HYPERLINK("https://main.knesset.gov.il/APPS/legislation/main/bills/2234565", "הצעת חוק הלוואות לדיור (תיקון - מענק מיוחד לרכישת דירה בירושלים), התשפ""ו-2025")</f>
        <v>1981</v>
      </c>
      <c r="E890" t="s">
        <v>1981</v>
      </c>
      <c r="F890" t="s">
        <v>1982</v>
      </c>
      <c r="G890" t="s">
        <v>14</v>
      </c>
      <c r="H890">
             </c>
      <c r="I890" t="s">
        <v>14</v>
      </c>
      <c r="J890" t="s">
        <v>242</v>
      </c>
      <c r="K890" t="s">
        <v>14</v>
      </c>
      <c r="L890" t="s">
        <v>20</v>
      </c>
      <c r="M890" t="s">
        <v>1957</v>
      </c>
      <c r="N890" t="s">
        <v>14</v>
      </c>
    </row>
    <row r="891" x14ac:dyDescent="0.25">
      <c r="A891" t="n">
        <v>25</v>
      </c>
      <c r="B891" t="s">
        <v>14</v>
      </c>
      <c r="C891" t="s">
        <v>51</v>
      </c>
      <c r="D891" s="2" t="s">
        <f>=HYPERLINK("https://main.knesset.gov.il/APPS/legislation/main/bills/2237059", "הצעת חוק מימון הוצאות למשפחות שבויים, חטופים ונעדרים (תיקון - מענק הסתגלות לבני זוג והורים של חטוף שגופתו הושבה), התשפ""ו-2025")</f>
        <v>1983</v>
      </c>
      <c r="E891" t="s">
        <v>1983</v>
      </c>
      <c r="F891" t="s">
        <v>1984</v>
      </c>
      <c r="G891" t="s">
        <v>14</v>
      </c>
      <c r="H891">
             </c>
      <c r="I891" t="s">
        <v>14</v>
      </c>
      <c r="J891" t="s">
        <v>242</v>
      </c>
      <c r="K891" t="s">
        <v>14</v>
      </c>
      <c r="L891" t="s">
        <v>20</v>
      </c>
      <c r="M891" t="s">
        <v>1957</v>
      </c>
      <c r="N891" t="s">
        <v>14</v>
      </c>
    </row>
    <row r="892" x14ac:dyDescent="0.25">
      <c r="A892" t="n">
        <v>25</v>
      </c>
      <c r="B892" t="s">
        <v>14</v>
      </c>
      <c r="C892" t="s">
        <v>51</v>
      </c>
      <c r="D892" s="2" t="s">
        <f>=HYPERLINK("https://main.knesset.gov.il/APPS/legislation/main/bills/2237642", "הצעת חוק בתי קברות צבאיים (תיקון - הצהרת חייל בדבר רצונו בקבורה בבית קברות צבאי), התשפ""ו-2025")</f>
        <v>1985</v>
      </c>
      <c r="E892" t="s">
        <v>1985</v>
      </c>
      <c r="F892" t="s">
        <v>1986</v>
      </c>
      <c r="G892" t="s">
        <v>14</v>
      </c>
      <c r="H892">
             </c>
      <c r="I892" t="s">
        <v>14</v>
      </c>
      <c r="J892" t="s">
        <v>242</v>
      </c>
      <c r="K892" t="s">
        <v>14</v>
      </c>
      <c r="L892" t="s">
        <v>20</v>
      </c>
      <c r="M892" t="s">
        <v>1957</v>
      </c>
      <c r="N892" t="s">
        <v>14</v>
      </c>
    </row>
    <row r="893" x14ac:dyDescent="0.25">
      <c r="A893" t="n">
        <v>25</v>
      </c>
      <c r="B893" t="s">
        <v>14</v>
      </c>
      <c r="C893" t="s">
        <v>51</v>
      </c>
      <c r="D893" s="2" t="s">
        <f>=HYPERLINK("https://main.knesset.gov.il/APPS/legislation/main/bills/2237086", "הצעת חוק חג הסיגד (תיקון - דרכי קיום), התשפ""ו-2025")</f>
        <v>1987</v>
      </c>
      <c r="E893" t="s">
        <v>1987</v>
      </c>
      <c r="F893" t="s">
        <v>1988</v>
      </c>
      <c r="G893" t="s">
        <v>14</v>
      </c>
      <c r="H893">
             </c>
      <c r="I893" t="s">
        <v>14</v>
      </c>
      <c r="J893" t="s">
        <v>242</v>
      </c>
      <c r="K893" t="s">
        <v>14</v>
      </c>
      <c r="L893" t="s">
        <v>20</v>
      </c>
      <c r="M893" t="s">
        <v>1957</v>
      </c>
      <c r="N893" t="s">
        <v>14</v>
      </c>
    </row>
    <row r="894" x14ac:dyDescent="0.25">
      <c r="A894" t="n">
        <v>25</v>
      </c>
      <c r="B894" t="s">
        <v>14</v>
      </c>
      <c r="C894" t="s">
        <v>51</v>
      </c>
      <c r="D894" s="2" t="s">
        <f>=HYPERLINK("https://main.knesset.gov.il/APPS/legislation/main/bills/2236923", "הצעת חוק שירות מידע פיננסי (תיקון - פטור וגישה למידע לסוכני ביטוח), התשפ״ו-2025")</f>
        <v>1989</v>
      </c>
      <c r="E894" t="s">
        <v>1989</v>
      </c>
      <c r="F894" t="s">
        <v>1990</v>
      </c>
      <c r="G894" t="s">
        <v>14</v>
      </c>
      <c r="H894">
             </c>
      <c r="I894" t="s">
        <v>14</v>
      </c>
      <c r="J894" t="s">
        <v>242</v>
      </c>
      <c r="K894" t="s">
        <v>14</v>
      </c>
      <c r="L894" t="s">
        <v>20</v>
      </c>
      <c r="M894" t="s">
        <v>1957</v>
      </c>
      <c r="N894" t="s">
        <v>14</v>
      </c>
    </row>
    <row r="895" x14ac:dyDescent="0.25">
      <c r="A895" t="n">
        <v>25</v>
      </c>
      <c r="B895" t="s">
        <v>14</v>
      </c>
      <c r="C895" t="s">
        <v>51</v>
      </c>
      <c r="D895" s="2" t="s">
        <f>=HYPERLINK("https://main.knesset.gov.il/APPS/legislation/main/bills/2237643", "הצעת חוק השבות (תיקון - הוספת המילה כהלכה), התשפ""ו-2025")</f>
        <v>1991</v>
      </c>
      <c r="E895" t="s">
        <v>1991</v>
      </c>
      <c r="F895" t="s">
        <v>1992</v>
      </c>
      <c r="G895" t="s">
        <v>14</v>
      </c>
      <c r="H895">
             </c>
      <c r="I895" t="s">
        <v>14</v>
      </c>
      <c r="J895" t="s">
        <v>242</v>
      </c>
      <c r="K895" t="s">
        <v>14</v>
      </c>
      <c r="L895" t="s">
        <v>20</v>
      </c>
      <c r="M895" t="s">
        <v>1957</v>
      </c>
      <c r="N895" t="s">
        <v>14</v>
      </c>
    </row>
    <row r="896" x14ac:dyDescent="0.25">
      <c r="A896" t="n">
        <v>25</v>
      </c>
      <c r="B896" t="s">
        <v>14</v>
      </c>
      <c r="C896" t="s">
        <v>51</v>
      </c>
      <c r="D896" s="2" t="s">
        <f>=HYPERLINK("https://main.knesset.gov.il/APPS/legislation/main/bills/2237670", "הצעת חוק לתיקון פקודת התעבורה (שינוי שיטת החישוב של דמי חניה בחניון), התשפ""ו-2025")</f>
        <v>1920</v>
      </c>
      <c r="E896" t="s">
        <v>1920</v>
      </c>
      <c r="F896" t="s">
        <v>1993</v>
      </c>
      <c r="G896" t="s">
        <v>14</v>
      </c>
      <c r="H896">
             </c>
      <c r="I896" t="s">
        <v>14</v>
      </c>
      <c r="J896" t="s">
        <v>202</v>
      </c>
      <c r="K896" t="s">
        <v>14</v>
      </c>
      <c r="L896" t="s">
        <v>20</v>
      </c>
      <c r="M896" t="s">
        <v>1957</v>
      </c>
      <c r="N896" t="s">
        <v>14</v>
      </c>
    </row>
    <row r="897" x14ac:dyDescent="0.25">
      <c r="A897" t="n">
        <v>25</v>
      </c>
      <c r="B897" t="s">
        <v>14</v>
      </c>
      <c r="C897" t="s">
        <v>51</v>
      </c>
      <c r="D897" s="2" t="s">
        <f>=HYPERLINK("https://main.knesset.gov.il/APPS/legislation/main/bills/2230479", "הצעת חוק אספקת החשמל (הוראת שעה), התשפ""ו-2025")</f>
        <v>1994</v>
      </c>
      <c r="E897" t="s">
        <v>1994</v>
      </c>
      <c r="F897" t="s">
        <v>1995</v>
      </c>
      <c r="G897" t="s">
        <v>14</v>
      </c>
      <c r="H897">
             </c>
      <c r="I897" t="s">
        <v>14</v>
      </c>
      <c r="J897" t="s">
        <v>242</v>
      </c>
      <c r="K897" t="s">
        <v>14</v>
      </c>
      <c r="L897" t="s">
        <v>20</v>
      </c>
      <c r="M897" t="s">
        <v>1957</v>
      </c>
      <c r="N897" t="s">
        <v>14</v>
      </c>
    </row>
    <row r="898" x14ac:dyDescent="0.25">
      <c r="A898" t="n">
        <v>25</v>
      </c>
      <c r="B898" t="s">
        <v>14</v>
      </c>
      <c r="C898" t="s">
        <v>51</v>
      </c>
      <c r="D898" s="2" t="s">
        <f>=HYPERLINK("https://main.knesset.gov.il/APPS/legislation/main/bills/2235005", "הצעת חוק מס ערך מוסף (תיקון - הגדרת עוסק פטור), התשפ""ו-2025")</f>
        <v>1996</v>
      </c>
      <c r="E898" t="s">
        <v>1996</v>
      </c>
      <c r="F898" t="s">
        <v>1997</v>
      </c>
      <c r="G898" t="s">
        <v>14</v>
      </c>
      <c r="H898">
             </c>
      <c r="I898" t="s">
        <v>14</v>
      </c>
      <c r="J898" t="s">
        <v>242</v>
      </c>
      <c r="K898" t="s">
        <v>14</v>
      </c>
      <c r="L898" t="s">
        <v>20</v>
      </c>
      <c r="M898" t="s">
        <v>1957</v>
      </c>
      <c r="N898" t="s">
        <v>14</v>
      </c>
    </row>
    <row r="899" x14ac:dyDescent="0.25">
      <c r="A899" t="n">
        <v>25</v>
      </c>
      <c r="B899" t="s">
        <v>14</v>
      </c>
      <c r="C899" t="s">
        <v>51</v>
      </c>
      <c r="D899" s="2" t="s">
        <f>=HYPERLINK("https://main.knesset.gov.il/APPS/legislation/main/bills/2236432", "הצעת חוק המרכז למורשת ארגון אליאנס: כל ישראל חברים, התשפ""ו-2025")</f>
        <v>1998</v>
      </c>
      <c r="E899" t="s">
        <v>1998</v>
      </c>
      <c r="F899" t="s">
        <v>1999</v>
      </c>
      <c r="G899" t="s">
        <v>14</v>
      </c>
      <c r="H899">
             </c>
      <c r="I899" t="s">
        <v>14</v>
      </c>
      <c r="J899" t="s">
        <v>242</v>
      </c>
      <c r="K899" t="s">
        <v>14</v>
      </c>
      <c r="L899" t="s">
        <v>20</v>
      </c>
      <c r="M899" t="s">
        <v>1957</v>
      </c>
      <c r="N899" t="s">
        <v>14</v>
      </c>
    </row>
    <row r="900" x14ac:dyDescent="0.25">
      <c r="A900" t="n">
        <v>25</v>
      </c>
      <c r="B900" t="s">
        <v>14</v>
      </c>
      <c r="C900" t="s">
        <v>15</v>
      </c>
      <c r="D900" s="2" t="s">
        <f>=HYPERLINK("https://main.knesset.gov.il/APPS/legislation/main/bills/1040059", "הצעת חוק זכויות החולה (תיקון מס' 20) (מסירת מידע לצורך מניעת פגיעה), התשפ""ו-2025")</f>
        <v>2000</v>
      </c>
      <c r="E900" t="s">
        <v>2000</v>
      </c>
      <c r="F900" t="s">
        <v>14</v>
      </c>
      <c r="G900" t="s">
        <v>2001</v>
      </c>
      <c r="H900">
             </c>
      <c r="I900" t="s">
        <v>14</v>
      </c>
      <c r="J900" t="s">
        <v>162</v>
      </c>
      <c r="K900" t="s">
        <v>14</v>
      </c>
      <c r="L900" t="s">
        <v>20</v>
      </c>
      <c r="M900" t="s">
        <v>1957</v>
      </c>
      <c r="N900" t="s">
        <v>14</v>
      </c>
    </row>
    <row r="901" x14ac:dyDescent="0.25">
      <c r="A901" t="n">
        <v>25</v>
      </c>
      <c r="B901" t="s">
        <v>14</v>
      </c>
      <c r="C901" t="s">
        <v>51</v>
      </c>
      <c r="D901" s="2" t="s">
        <f>=HYPERLINK("https://main.knesset.gov.il/APPS/legislation/main/bills/2224549", "חוק לתיקון פקודת התעבורה (מס' 138), התשפ""ו-2025")</f>
        <v>2002</v>
      </c>
      <c r="E901" t="s">
        <v>2002</v>
      </c>
      <c r="F901" t="s">
        <v>2003</v>
      </c>
      <c r="G901" t="s">
        <v>2004</v>
      </c>
      <c r="H901" t="n">
        <v>3467</v>
      </c>
      <c r="I901" t="s">
        <v>14</v>
      </c>
      <c r="J901" t="s">
        <v>18</v>
      </c>
      <c r="K901" t="s">
        <v>84</v>
      </c>
      <c r="L901" t="s">
        <v>20</v>
      </c>
      <c r="M901" t="s">
        <v>2005</v>
      </c>
      <c r="N901" t="s">
        <v>2006</v>
      </c>
    </row>
    <row r="902" x14ac:dyDescent="0.25">
      <c r="A902" t="n">
        <v>25</v>
      </c>
      <c r="B902" t="s">
        <v>14</v>
      </c>
      <c r="C902" t="s">
        <v>51</v>
      </c>
      <c r="D902" s="2" t="s">
        <f>=HYPERLINK("https://main.knesset.gov.il/APPS/legislation/main/bills/2230601", "הצעת חוק הבנקאות (שירות ללקוח) (תיקון - ביטול פעולה מכוח הרשאה לחיוב בשל היעדר יתרה מספקת בחשבון והגבלת עמלות בשל הרשאה לחיוב), התשפ""ה-2025")</f>
        <v>2007</v>
      </c>
      <c r="E902" t="s">
        <v>2007</v>
      </c>
      <c r="F902" t="s">
        <v>2008</v>
      </c>
      <c r="G902" t="s">
        <v>14</v>
      </c>
      <c r="H902">
             </c>
      <c r="I902" t="s">
        <v>14</v>
      </c>
      <c r="J902" t="s">
        <v>152</v>
      </c>
      <c r="K902" t="s">
        <v>84</v>
      </c>
      <c r="L902" t="s">
        <v>20</v>
      </c>
      <c r="M902" t="s">
        <v>2005</v>
      </c>
      <c r="N902" t="s">
        <v>14</v>
      </c>
    </row>
    <row r="903" x14ac:dyDescent="0.25">
      <c r="A903" t="n">
        <v>25</v>
      </c>
      <c r="B903" t="s">
        <v>14</v>
      </c>
      <c r="C903" t="s">
        <v>51</v>
      </c>
      <c r="D903" s="2" t="s">
        <f>=HYPERLINK("https://main.knesset.gov.il/APPS/legislation/main/bills/2232274", "הצעת חוק משפחות חיילים שנספו במערכה (תגמולים ושיקום) (תיקון - שעת הורות בעבודה לאלמן או לאלמנה בשנת האבל הראשונה), התשפ""ה-2025")</f>
        <v>2009</v>
      </c>
      <c r="E903" t="s">
        <v>2009</v>
      </c>
      <c r="F903" t="s">
        <v>2010</v>
      </c>
      <c r="G903" t="s">
        <v>14</v>
      </c>
      <c r="H903">
             </c>
      <c r="I903" t="s">
        <v>14</v>
      </c>
      <c r="J903" t="s">
        <v>193</v>
      </c>
      <c r="K903" t="s">
        <v>14</v>
      </c>
      <c r="L903" t="s">
        <v>20</v>
      </c>
      <c r="M903" t="s">
        <v>2005</v>
      </c>
      <c r="N903" t="s">
        <v>14</v>
      </c>
    </row>
    <row r="904" x14ac:dyDescent="0.25">
      <c r="A904" t="n">
        <v>25</v>
      </c>
      <c r="B904" t="s">
        <v>14</v>
      </c>
      <c r="C904" t="s">
        <v>51</v>
      </c>
      <c r="D904" s="2" t="s">
        <f>=HYPERLINK("https://main.knesset.gov.il/APPS/legislation/main/bills/2224229", "הצעת חוק עיון במרשמי המקרקעין ביהודה והשומרון, התשפ""ה-2025")</f>
        <v>2011</v>
      </c>
      <c r="E904" t="s">
        <v>2011</v>
      </c>
      <c r="F904" t="s">
        <v>2012</v>
      </c>
      <c r="G904" t="s">
        <v>14</v>
      </c>
      <c r="H904">
             </c>
      <c r="I904" t="s">
        <v>14</v>
      </c>
      <c r="J904" t="s">
        <v>193</v>
      </c>
      <c r="K904" t="s">
        <v>14</v>
      </c>
      <c r="L904" t="s">
        <v>20</v>
      </c>
      <c r="M904" t="s">
        <v>2005</v>
      </c>
      <c r="N904" t="s">
        <v>14</v>
      </c>
    </row>
    <row r="905" x14ac:dyDescent="0.25">
      <c r="A905" t="n">
        <v>25</v>
      </c>
      <c r="B905" t="s">
        <v>14</v>
      </c>
      <c r="C905" t="s">
        <v>51</v>
      </c>
      <c r="D905" s="2" t="s">
        <f>=HYPERLINK("https://main.knesset.gov.il/APPS/legislation/main/bills/2230845", "הצעת חוק למאבק בהברחות נשק (תיקוני חקיקה), התשפ""ה-2025")</f>
        <v>2013</v>
      </c>
      <c r="E905" t="s">
        <v>2013</v>
      </c>
      <c r="F905" t="s">
        <v>2014</v>
      </c>
      <c r="G905" t="s">
        <v>14</v>
      </c>
      <c r="H905">
             </c>
      <c r="I905" t="s">
        <v>14</v>
      </c>
      <c r="J905" t="s">
        <v>193</v>
      </c>
      <c r="K905" t="s">
        <v>14</v>
      </c>
      <c r="L905" t="s">
        <v>20</v>
      </c>
      <c r="M905" t="s">
        <v>2005</v>
      </c>
      <c r="N905" t="s">
        <v>14</v>
      </c>
    </row>
    <row r="906" x14ac:dyDescent="0.25">
      <c r="A906" t="n">
        <v>25</v>
      </c>
      <c r="B906" t="s">
        <v>14</v>
      </c>
      <c r="C906" t="s">
        <v>51</v>
      </c>
      <c r="D906" s="2" t="s">
        <f>=HYPERLINK("https://main.knesset.gov.il/APPS/legislation/main/bills/2231035", "הצעת חוק קבלת ילד של משרת מילואים למעון יום והשתתפות המדינה בעלות שכר הלימוד בו, התשפ""ה-2025")</f>
        <v>2015</v>
      </c>
      <c r="E906" t="s">
        <v>2015</v>
      </c>
      <c r="F906" t="s">
        <v>2016</v>
      </c>
      <c r="G906" t="s">
        <v>14</v>
      </c>
      <c r="H906">
             </c>
      <c r="I906" t="s">
        <v>14</v>
      </c>
      <c r="J906" t="s">
        <v>193</v>
      </c>
      <c r="K906" t="s">
        <v>14</v>
      </c>
      <c r="L906" t="s">
        <v>20</v>
      </c>
      <c r="M906" t="s">
        <v>2005</v>
      </c>
      <c r="N906" t="s">
        <v>14</v>
      </c>
    </row>
    <row r="907" x14ac:dyDescent="0.25">
      <c r="A907" t="n">
        <v>25</v>
      </c>
      <c r="B907" t="s">
        <v>14</v>
      </c>
      <c r="C907" t="s">
        <v>51</v>
      </c>
      <c r="D907" s="2" t="s">
        <f>=HYPERLINK("https://main.knesset.gov.il/APPS/legislation/main/bills/2229729", "הצעת חוק מניעת חרמות במערכת החינוך, התשפ""ה-2025")</f>
        <v>2017</v>
      </c>
      <c r="E907" t="s">
        <v>2017</v>
      </c>
      <c r="F907" t="s">
        <v>2018</v>
      </c>
      <c r="G907" t="s">
        <v>14</v>
      </c>
      <c r="H907">
             </c>
      <c r="I907" t="s">
        <v>14</v>
      </c>
      <c r="J907" t="s">
        <v>152</v>
      </c>
      <c r="K907" t="s">
        <v>79</v>
      </c>
      <c r="L907" t="s">
        <v>20</v>
      </c>
      <c r="M907" t="s">
        <v>2005</v>
      </c>
      <c r="N907" t="s">
        <v>14</v>
      </c>
    </row>
    <row r="908" x14ac:dyDescent="0.25">
      <c r="A908" t="n">
        <v>25</v>
      </c>
      <c r="B908" t="s">
        <v>14</v>
      </c>
      <c r="C908" t="s">
        <v>51</v>
      </c>
      <c r="D908" s="2" t="s">
        <f>=HYPERLINK("https://main.knesset.gov.il/APPS/legislation/main/bills/2227412", "הצעת חוק קבלת ילד של משרת מילואים למעון יום והשתתפות המדינה בעלות שכר הלימוד בו, התשפ""ה-2025")</f>
        <v>2015</v>
      </c>
      <c r="E908" t="s">
        <v>2015</v>
      </c>
      <c r="F908" t="s">
        <v>2019</v>
      </c>
      <c r="G908" t="s">
        <v>14</v>
      </c>
      <c r="H908">
             </c>
      <c r="I908" t="s">
        <v>14</v>
      </c>
      <c r="J908" t="s">
        <v>193</v>
      </c>
      <c r="K908" t="s">
        <v>14</v>
      </c>
      <c r="L908" t="s">
        <v>20</v>
      </c>
      <c r="M908" t="s">
        <v>2005</v>
      </c>
      <c r="N908" t="s">
        <v>14</v>
      </c>
    </row>
    <row r="909" x14ac:dyDescent="0.25">
      <c r="A909" t="n">
        <v>25</v>
      </c>
      <c r="B909" t="s">
        <v>14</v>
      </c>
      <c r="C909" t="s">
        <v>51</v>
      </c>
      <c r="D909" s="2" t="s">
        <f>=HYPERLINK("https://main.knesset.gov.il/APPS/legislation/main/bills/2223265", "הצעת חוק העונשין (תיקון - תקיפת עיתונאים), התשפ""ה-2024")</f>
        <v>2020</v>
      </c>
      <c r="E909" t="s">
        <v>2020</v>
      </c>
      <c r="F909" t="s">
        <v>2021</v>
      </c>
      <c r="G909" t="s">
        <v>14</v>
      </c>
      <c r="H909">
             </c>
      <c r="I909" t="s">
        <v>14</v>
      </c>
      <c r="J909" t="s">
        <v>193</v>
      </c>
      <c r="K909" t="s">
        <v>14</v>
      </c>
      <c r="L909" t="s">
        <v>20</v>
      </c>
      <c r="M909" t="s">
        <v>2005</v>
      </c>
      <c r="N909" t="s">
        <v>14</v>
      </c>
    </row>
    <row r="910" x14ac:dyDescent="0.25">
      <c r="A910" t="n">
        <v>25</v>
      </c>
      <c r="B910" t="s">
        <v>14</v>
      </c>
      <c r="C910" t="s">
        <v>51</v>
      </c>
      <c r="D910" s="2" t="s">
        <f>=HYPERLINK("https://main.knesset.gov.il/APPS/legislation/main/bills/2199041", "הצעת חוק הביטוח הלאומי (תיקון - דמי לידה לעצמאיות - מתן זכות לעבודה חלקית), התשפ""ג-2023")</f>
        <v>2022</v>
      </c>
      <c r="E910" t="s">
        <v>2022</v>
      </c>
      <c r="F910" t="s">
        <v>2023</v>
      </c>
      <c r="G910" t="s">
        <v>14</v>
      </c>
      <c r="H910">
             </c>
      <c r="I910" t="s">
        <v>14</v>
      </c>
      <c r="J910" t="s">
        <v>193</v>
      </c>
      <c r="K910" t="s">
        <v>14</v>
      </c>
      <c r="L910" t="s">
        <v>20</v>
      </c>
      <c r="M910" t="s">
        <v>2005</v>
      </c>
      <c r="N910" t="s">
        <v>14</v>
      </c>
    </row>
    <row r="911" x14ac:dyDescent="0.25">
      <c r="A911" t="n">
        <v>25</v>
      </c>
      <c r="B911" t="s">
        <v>14</v>
      </c>
      <c r="C911" t="s">
        <v>51</v>
      </c>
      <c r="D911" s="2" t="s">
        <f>=HYPERLINK("https://main.knesset.gov.il/APPS/legislation/main/bills/2199482", "הצעת חוק לתיקון פקודת התעבורה (הצגת משך הזמן שנותר לאותות ברמזורים), התשפ""ג-2023")</f>
        <v>2024</v>
      </c>
      <c r="E911" t="s">
        <v>2024</v>
      </c>
      <c r="F911" t="s">
        <v>2025</v>
      </c>
      <c r="G911" t="s">
        <v>14</v>
      </c>
      <c r="H911">
             </c>
      <c r="I911" t="s">
        <v>14</v>
      </c>
      <c r="J911" t="s">
        <v>202</v>
      </c>
      <c r="K911" t="s">
        <v>14</v>
      </c>
      <c r="L911" t="s">
        <v>20</v>
      </c>
      <c r="M911" t="s">
        <v>2005</v>
      </c>
      <c r="N911" t="s">
        <v>14</v>
      </c>
    </row>
    <row r="912" x14ac:dyDescent="0.25">
      <c r="A912" t="n">
        <v>25</v>
      </c>
      <c r="B912" t="s">
        <v>14</v>
      </c>
      <c r="C912" t="s">
        <v>51</v>
      </c>
      <c r="D912" s="2" t="s">
        <f>=HYPERLINK("https://main.knesset.gov.il/APPS/legislation/main/bills/2236240", "הצעת חוק מינוי תובע מיוחד, התשפ""ו-2025")</f>
        <v>2026</v>
      </c>
      <c r="E912" t="s">
        <v>2026</v>
      </c>
      <c r="F912" t="s">
        <v>2027</v>
      </c>
      <c r="G912" t="s">
        <v>14</v>
      </c>
      <c r="H912">
             </c>
      <c r="I912" t="s">
        <v>14</v>
      </c>
      <c r="J912" t="s">
        <v>242</v>
      </c>
      <c r="K912" t="s">
        <v>14</v>
      </c>
      <c r="L912" t="s">
        <v>20</v>
      </c>
      <c r="M912" t="s">
        <v>2028</v>
      </c>
      <c r="N912" t="s">
        <v>14</v>
      </c>
    </row>
    <row r="913" x14ac:dyDescent="0.25">
      <c r="A913" t="n">
        <v>25</v>
      </c>
      <c r="B913" t="s">
        <v>14</v>
      </c>
      <c r="C913" t="s">
        <v>51</v>
      </c>
      <c r="D913" s="2" t="s">
        <f>=HYPERLINK("https://main.knesset.gov.il/APPS/legislation/main/bills/2234642", "הצעת חוק קידום הביטחון התזונתי בישראל, התשפ""ו-2025")</f>
        <v>2029</v>
      </c>
      <c r="E913" t="s">
        <v>2029</v>
      </c>
      <c r="F913" t="s">
        <v>2030</v>
      </c>
      <c r="G913" t="s">
        <v>14</v>
      </c>
      <c r="H913">
             </c>
      <c r="I913" t="s">
        <v>14</v>
      </c>
      <c r="J913" t="s">
        <v>242</v>
      </c>
      <c r="K913" t="s">
        <v>14</v>
      </c>
      <c r="L913" t="s">
        <v>20</v>
      </c>
      <c r="M913" t="s">
        <v>2028</v>
      </c>
      <c r="N913" t="s">
        <v>14</v>
      </c>
    </row>
    <row r="914" x14ac:dyDescent="0.25">
      <c r="A914" t="n">
        <v>25</v>
      </c>
      <c r="B914" t="s">
        <v>14</v>
      </c>
      <c r="C914" t="s">
        <v>51</v>
      </c>
      <c r="D914" s="2" t="s">
        <f>=HYPERLINK("https://main.knesset.gov.il/APPS/legislation/main/bills/2235668", "הצעת חוק התקשורת (שידורים), התשפ""ו-2025")</f>
        <v>2031</v>
      </c>
      <c r="E914" t="s">
        <v>2031</v>
      </c>
      <c r="F914" t="s">
        <v>2032</v>
      </c>
      <c r="G914" t="s">
        <v>14</v>
      </c>
      <c r="H914">
             </c>
      <c r="I914" t="s">
        <v>14</v>
      </c>
      <c r="J914" t="s">
        <v>242</v>
      </c>
      <c r="K914" t="s">
        <v>14</v>
      </c>
      <c r="L914" t="s">
        <v>20</v>
      </c>
      <c r="M914" t="s">
        <v>2028</v>
      </c>
      <c r="N914" t="s">
        <v>14</v>
      </c>
    </row>
    <row r="915" x14ac:dyDescent="0.25">
      <c r="A915" t="n">
        <v>25</v>
      </c>
      <c r="B915" t="s">
        <v>14</v>
      </c>
      <c r="C915" t="s">
        <v>51</v>
      </c>
      <c r="D915" s="2" t="s">
        <f>=HYPERLINK("https://main.knesset.gov.il/APPS/legislation/main/bills/2237509", "הצעת חוק הכללת אמצעי זיהוי ביומטריים ונתוני זיהוי ביומטריים במסמכי זיהוי ובמאגר מידע (תיקון - קבלת תמונת טביעת אצבע של נפטר על ידי יורשו), התשפ""ו-2025")</f>
        <v>2033</v>
      </c>
      <c r="E915" t="s">
        <v>2033</v>
      </c>
      <c r="F915" t="s">
        <v>2034</v>
      </c>
      <c r="G915" t="s">
        <v>14</v>
      </c>
      <c r="H915">
             </c>
      <c r="I915" t="s">
        <v>14</v>
      </c>
      <c r="J915" t="s">
        <v>242</v>
      </c>
      <c r="K915" t="s">
        <v>14</v>
      </c>
      <c r="L915" t="s">
        <v>20</v>
      </c>
      <c r="M915" t="s">
        <v>2028</v>
      </c>
      <c r="N915" t="s">
        <v>14</v>
      </c>
    </row>
    <row r="916" x14ac:dyDescent="0.25">
      <c r="A916" t="n">
        <v>25</v>
      </c>
      <c r="B916" t="s">
        <v>14</v>
      </c>
      <c r="C916" t="s">
        <v>51</v>
      </c>
      <c r="D916" s="2" t="s">
        <f>=HYPERLINK("https://main.knesset.gov.il/APPS/legislation/main/bills/2236060", "הצעת חוק לטיפול סביבתי בציוד חשמלי ואלקטרוני ובסוללות (תיקון - חובת מיחזור פסולת סוללות לרכב חשמלי ורכב היברידי), התשפ""ו-2025")</f>
        <v>2035</v>
      </c>
      <c r="E916" t="s">
        <v>2035</v>
      </c>
      <c r="F916" t="s">
        <v>2036</v>
      </c>
      <c r="G916" t="s">
        <v>14</v>
      </c>
      <c r="H916">
             </c>
      <c r="I916" t="s">
        <v>14</v>
      </c>
      <c r="J916" t="s">
        <v>242</v>
      </c>
      <c r="K916" t="s">
        <v>14</v>
      </c>
      <c r="L916" t="s">
        <v>20</v>
      </c>
      <c r="M916" t="s">
        <v>2028</v>
      </c>
      <c r="N916" t="s">
        <v>14</v>
      </c>
    </row>
    <row r="917" x14ac:dyDescent="0.25">
      <c r="A917" t="n">
        <v>25</v>
      </c>
      <c r="B917" t="s">
        <v>14</v>
      </c>
      <c r="C917" t="s">
        <v>51</v>
      </c>
      <c r="D917" s="2" t="s">
        <f>=HYPERLINK("https://main.knesset.gov.il/APPS/legislation/main/bills/2234580", "הצעת חוק הרשויות המקומיות (בחירת ראש הרשות וסגניו וכהונתם) (תיקון - סגני ראש הרשות), התשפ״ו-2025")</f>
        <v>2037</v>
      </c>
      <c r="E917" t="s">
        <v>2037</v>
      </c>
      <c r="F917" t="s">
        <v>2038</v>
      </c>
      <c r="G917" t="s">
        <v>14</v>
      </c>
      <c r="H917">
             </c>
      <c r="I917" t="s">
        <v>14</v>
      </c>
      <c r="J917" t="s">
        <v>242</v>
      </c>
      <c r="K917" t="s">
        <v>14</v>
      </c>
      <c r="L917" t="s">
        <v>20</v>
      </c>
      <c r="M917" t="s">
        <v>2028</v>
      </c>
      <c r="N917" t="s">
        <v>14</v>
      </c>
    </row>
    <row r="918" x14ac:dyDescent="0.25">
      <c r="A918" t="n">
        <v>25</v>
      </c>
      <c r="B918" t="s">
        <v>14</v>
      </c>
      <c r="C918" t="s">
        <v>51</v>
      </c>
      <c r="D918" s="2" t="s">
        <f>=HYPERLINK("https://main.knesset.gov.il/APPS/legislation/main/bills/2237451", "הצעת חוק מענק לחטוף ששב מן השבי או למשפחתו של חטוף שנרצח בשבי וגופתו הושבה בעקבות מתקפת 7 באוקטובר, התשפ""ו–2025 ")</f>
        <v>2039</v>
      </c>
      <c r="E918" t="s">
        <v>2039</v>
      </c>
      <c r="F918" t="s">
        <v>2040</v>
      </c>
      <c r="G918" t="s">
        <v>14</v>
      </c>
      <c r="H918">
             </c>
      <c r="I918" t="s">
        <v>14</v>
      </c>
      <c r="J918" t="s">
        <v>242</v>
      </c>
      <c r="K918" t="s">
        <v>14</v>
      </c>
      <c r="L918" t="s">
        <v>20</v>
      </c>
      <c r="M918" t="s">
        <v>2028</v>
      </c>
      <c r="N918" t="s">
        <v>14</v>
      </c>
    </row>
    <row r="919" x14ac:dyDescent="0.25">
      <c r="A919" t="n">
        <v>25</v>
      </c>
      <c r="B919" t="s">
        <v>14</v>
      </c>
      <c r="C919" t="s">
        <v>51</v>
      </c>
      <c r="D919" s="2" t="s">
        <f>=HYPERLINK("https://main.knesset.gov.il/APPS/legislation/main/bills/2236726", "הצעת חוק החלת הריבונות הישראלית על מתחם מערת המכפלה, התשפ""ו-2025")</f>
        <v>1898</v>
      </c>
      <c r="E919" t="s">
        <v>1898</v>
      </c>
      <c r="F919" t="s">
        <v>2041</v>
      </c>
      <c r="G919" t="s">
        <v>14</v>
      </c>
      <c r="H919">
             </c>
      <c r="I919" t="s">
        <v>14</v>
      </c>
      <c r="J919" t="s">
        <v>242</v>
      </c>
      <c r="K919" t="s">
        <v>14</v>
      </c>
      <c r="L919" t="s">
        <v>20</v>
      </c>
      <c r="M919" t="s">
        <v>2028</v>
      </c>
      <c r="N919" t="s">
        <v>14</v>
      </c>
    </row>
    <row r="920" x14ac:dyDescent="0.25">
      <c r="A920" t="n">
        <v>25</v>
      </c>
      <c r="B920" t="s">
        <v>14</v>
      </c>
      <c r="C920" t="s">
        <v>51</v>
      </c>
      <c r="D920" s="2" t="s">
        <f>=HYPERLINK("https://main.knesset.gov.il/APPS/legislation/main/bills/2237457", "הצעת חוק שירות ביטחון (תיקון - סיוע טיפולי לבוגרי השירות הצבאי), התשפ""ו-2025")</f>
        <v>2042</v>
      </c>
      <c r="E920" t="s">
        <v>2042</v>
      </c>
      <c r="F920" t="s">
        <v>2043</v>
      </c>
      <c r="G920" t="s">
        <v>14</v>
      </c>
      <c r="H920">
             </c>
      <c r="I920" t="s">
        <v>14</v>
      </c>
      <c r="J920" t="s">
        <v>242</v>
      </c>
      <c r="K920" t="s">
        <v>14</v>
      </c>
      <c r="L920" t="s">
        <v>20</v>
      </c>
      <c r="M920" t="s">
        <v>2028</v>
      </c>
      <c r="N920" t="s">
        <v>14</v>
      </c>
    </row>
    <row r="921" x14ac:dyDescent="0.25">
      <c r="A921" t="n">
        <v>25</v>
      </c>
      <c r="B921" t="s">
        <v>14</v>
      </c>
      <c r="C921" t="s">
        <v>51</v>
      </c>
      <c r="D921" s="2" t="s">
        <f>=HYPERLINK("https://main.knesset.gov.il/APPS/legislation/main/bills/2235026", "הצעת חוק האזרחות והכניסה לישראל (הוראת שעה) (תיקון - איסור שהייה וישיבה של פעילי טרור וקרוביהם), התשפ""ו-2025")</f>
        <v>2044</v>
      </c>
      <c r="E921" t="s">
        <v>2044</v>
      </c>
      <c r="F921" t="s">
        <v>2045</v>
      </c>
      <c r="G921" t="s">
        <v>14</v>
      </c>
      <c r="H921">
             </c>
      <c r="I921" t="s">
        <v>14</v>
      </c>
      <c r="J921" t="s">
        <v>242</v>
      </c>
      <c r="K921" t="s">
        <v>14</v>
      </c>
      <c r="L921" t="s">
        <v>20</v>
      </c>
      <c r="M921" t="s">
        <v>2028</v>
      </c>
      <c r="N921" t="s">
        <v>14</v>
      </c>
    </row>
    <row r="922" x14ac:dyDescent="0.25">
      <c r="A922" t="n">
        <v>25</v>
      </c>
      <c r="B922" t="s">
        <v>14</v>
      </c>
      <c r="C922" t="s">
        <v>51</v>
      </c>
      <c r="D922" s="2" t="s">
        <f>=HYPERLINK("https://main.knesset.gov.il/APPS/legislation/main/bills/2236899", "הצעת חוק הנצחת זכרם של קורבנות הטבח בכפר קאסם, התשפ""ו-2025")</f>
        <v>2046</v>
      </c>
      <c r="E922" t="s">
        <v>2046</v>
      </c>
      <c r="F922" t="s">
        <v>2047</v>
      </c>
      <c r="G922" t="s">
        <v>14</v>
      </c>
      <c r="H922">
             </c>
      <c r="I922" t="s">
        <v>14</v>
      </c>
      <c r="J922" t="s">
        <v>242</v>
      </c>
      <c r="K922" t="s">
        <v>14</v>
      </c>
      <c r="L922" t="s">
        <v>20</v>
      </c>
      <c r="M922" t="s">
        <v>2028</v>
      </c>
      <c r="N922" t="s">
        <v>14</v>
      </c>
    </row>
    <row r="923" x14ac:dyDescent="0.25">
      <c r="A923" t="n">
        <v>25</v>
      </c>
      <c r="B923" t="s">
        <v>14</v>
      </c>
      <c r="C923" t="s">
        <v>51</v>
      </c>
      <c r="D923" s="2" t="s">
        <f>=HYPERLINK("https://main.knesset.gov.il/APPS/legislation/main/bills/2236029", "הצעת חוק התכנון והבנייה (תיקון - מורשה להיתר), התשפ""ו-2025")</f>
        <v>2048</v>
      </c>
      <c r="E923" t="s">
        <v>2048</v>
      </c>
      <c r="F923" t="s">
        <v>2049</v>
      </c>
      <c r="G923" t="s">
        <v>14</v>
      </c>
      <c r="H923">
             </c>
      <c r="I923" t="s">
        <v>14</v>
      </c>
      <c r="J923" t="s">
        <v>242</v>
      </c>
      <c r="K923" t="s">
        <v>14</v>
      </c>
      <c r="L923" t="s">
        <v>20</v>
      </c>
      <c r="M923" t="s">
        <v>2028</v>
      </c>
      <c r="N923" t="s">
        <v>14</v>
      </c>
    </row>
    <row r="924" x14ac:dyDescent="0.25">
      <c r="A924" t="n">
        <v>25</v>
      </c>
      <c r="B924" t="s">
        <v>14</v>
      </c>
      <c r="C924" t="s">
        <v>51</v>
      </c>
      <c r="D924" s="2" t="s">
        <f>=HYPERLINK("https://main.knesset.gov.il/APPS/legislation/main/bills/2237242", "הצעת חוק האגודות העותומניות (רישום ופיקוח), התשפ""ו-2025")</f>
        <v>2050</v>
      </c>
      <c r="E924" t="s">
        <v>2050</v>
      </c>
      <c r="F924" t="s">
        <v>2051</v>
      </c>
      <c r="G924" t="s">
        <v>14</v>
      </c>
      <c r="H924">
             </c>
      <c r="I924" t="s">
        <v>14</v>
      </c>
      <c r="J924" t="s">
        <v>242</v>
      </c>
      <c r="K924" t="s">
        <v>14</v>
      </c>
      <c r="L924" t="s">
        <v>20</v>
      </c>
      <c r="M924" t="s">
        <v>2028</v>
      </c>
      <c r="N924" t="s">
        <v>14</v>
      </c>
    </row>
    <row r="925" x14ac:dyDescent="0.25">
      <c r="A925" t="n">
        <v>25</v>
      </c>
      <c r="B925" t="s">
        <v>14</v>
      </c>
      <c r="C925" t="s">
        <v>51</v>
      </c>
      <c r="D925" s="2" t="s">
        <f>=HYPERLINK("https://main.knesset.gov.il/APPS/legislation/main/bills/2237269", "הצעת חוק החברות (תיקון - פרסום דוחות כספיים של מונופול), התשפ""ו-2025")</f>
        <v>1853</v>
      </c>
      <c r="E925" t="s">
        <v>1853</v>
      </c>
      <c r="F925" t="s">
        <v>2052</v>
      </c>
      <c r="G925" t="s">
        <v>14</v>
      </c>
      <c r="H925">
             </c>
      <c r="I925" t="s">
        <v>14</v>
      </c>
      <c r="J925" t="s">
        <v>242</v>
      </c>
      <c r="K925" t="s">
        <v>14</v>
      </c>
      <c r="L925" t="s">
        <v>20</v>
      </c>
      <c r="M925" t="s">
        <v>2028</v>
      </c>
      <c r="N925" t="s">
        <v>14</v>
      </c>
    </row>
    <row r="926" x14ac:dyDescent="0.25">
      <c r="A926" t="n">
        <v>25</v>
      </c>
      <c r="B926" t="s">
        <v>14</v>
      </c>
      <c r="C926" t="s">
        <v>51</v>
      </c>
      <c r="D926" s="2" t="s">
        <f>=HYPERLINK("https://main.knesset.gov.il/APPS/legislation/main/bills/2237260", "הצעת חוק המרכז למורשת ארגון אליאנס: כל ישראל חברים, התשפ""ו-2025")</f>
        <v>1998</v>
      </c>
      <c r="E926" t="s">
        <v>1998</v>
      </c>
      <c r="F926" t="s">
        <v>2053</v>
      </c>
      <c r="G926" t="s">
        <v>14</v>
      </c>
      <c r="H926">
             </c>
      <c r="I926" t="s">
        <v>14</v>
      </c>
      <c r="J926" t="s">
        <v>242</v>
      </c>
      <c r="K926" t="s">
        <v>14</v>
      </c>
      <c r="L926" t="s">
        <v>20</v>
      </c>
      <c r="M926" t="s">
        <v>2028</v>
      </c>
      <c r="N926" t="s">
        <v>14</v>
      </c>
    </row>
    <row r="927" x14ac:dyDescent="0.25">
      <c r="A927" t="n">
        <v>25</v>
      </c>
      <c r="B927" t="s">
        <v>14</v>
      </c>
      <c r="C927" t="s">
        <v>15</v>
      </c>
      <c r="D927" s="2" t="s">
        <f>=HYPERLINK("https://main.knesset.gov.il/APPS/legislation/main/bills/1046149", "חוק לתיקון דיני הראיות (הגנת ילדים) (תיקון מס' 20), התשפ""ו-2025")</f>
        <v>2054</v>
      </c>
      <c r="E927" t="s">
        <v>2054</v>
      </c>
      <c r="F927" t="s">
        <v>14</v>
      </c>
      <c r="G927" t="s">
        <v>2055</v>
      </c>
      <c r="H927" t="n">
        <v>3466</v>
      </c>
      <c r="I927" t="s">
        <v>14</v>
      </c>
      <c r="J927" t="s">
        <v>18</v>
      </c>
      <c r="K927" t="s">
        <v>27</v>
      </c>
      <c r="L927" t="s">
        <v>20</v>
      </c>
      <c r="M927" t="s">
        <v>2056</v>
      </c>
      <c r="N927" t="s">
        <v>2057</v>
      </c>
    </row>
    <row r="928" x14ac:dyDescent="0.25">
      <c r="A928" t="n">
        <v>25</v>
      </c>
      <c r="B928" t="s">
        <v>14</v>
      </c>
      <c r="C928" t="s">
        <v>51</v>
      </c>
      <c r="D928" s="2" t="s">
        <f>=HYPERLINK("https://main.knesset.gov.il/APPS/legislation/main/bills/2201314", "הצעת חוק לתיקון דיני הראיות (הגנת ילדים) (תיקון - הרחבת ההסדרים הקבועים בחוק לילדים אשר עברו את גיל 14 במועד העדות), התשפ""ג-2023")</f>
        <v>2058</v>
      </c>
      <c r="E928" t="s">
        <v>2058</v>
      </c>
      <c r="F928" t="s">
        <v>2059</v>
      </c>
      <c r="G928" t="s">
        <v>14</v>
      </c>
      <c r="H928">
             </c>
      <c r="I928" t="s">
        <v>14</v>
      </c>
      <c r="J928" t="s">
        <v>183</v>
      </c>
      <c r="K928" t="s">
        <v>27</v>
      </c>
      <c r="L928" t="s">
        <v>20</v>
      </c>
      <c r="M928" t="s">
        <v>2056</v>
      </c>
      <c r="N928" t="s">
        <v>14</v>
      </c>
    </row>
    <row r="929" x14ac:dyDescent="0.25">
      <c r="A929" t="n">
        <v>25</v>
      </c>
      <c r="B929" t="s">
        <v>14</v>
      </c>
      <c r="C929" t="s">
        <v>51</v>
      </c>
      <c r="D929" s="2" t="s">
        <f>=HYPERLINK("https://main.knesset.gov.il/APPS/legislation/main/bills/2211746", "הצעת חוק הביטוח הלאומי (תיקון - הגבלת שכר טרחה עבור טיפול בתביעה לנפגעי איבה), התשפ""ד-2023")</f>
        <v>2060</v>
      </c>
      <c r="E929" t="s">
        <v>2060</v>
      </c>
      <c r="F929" t="s">
        <v>2061</v>
      </c>
      <c r="G929" t="s">
        <v>14</v>
      </c>
      <c r="H929">
             </c>
      <c r="I929" t="s">
        <v>14</v>
      </c>
      <c r="J929" t="s">
        <v>183</v>
      </c>
      <c r="K929" t="s">
        <v>46</v>
      </c>
      <c r="L929" t="s">
        <v>20</v>
      </c>
      <c r="M929" t="s">
        <v>2056</v>
      </c>
      <c r="N929" t="s">
        <v>14</v>
      </c>
    </row>
    <row r="930" x14ac:dyDescent="0.25">
      <c r="A930" t="n">
        <v>25</v>
      </c>
      <c r="B930" t="s">
        <v>14</v>
      </c>
      <c r="C930" t="s">
        <v>51</v>
      </c>
      <c r="D930" s="2" t="s">
        <f>=HYPERLINK("https://main.knesset.gov.il/APPS/legislation/main/bills/2198770", "הצעת חוק הנכים (תגמולים ושיקום) (תיקון - הגבלת שכר טרחת עורך דין), התשפ""ג-2023")</f>
        <v>2062</v>
      </c>
      <c r="E930" t="s">
        <v>2062</v>
      </c>
      <c r="F930" t="s">
        <v>2063</v>
      </c>
      <c r="G930" t="s">
        <v>14</v>
      </c>
      <c r="H930">
             </c>
      <c r="I930" t="s">
        <v>14</v>
      </c>
      <c r="J930" t="s">
        <v>183</v>
      </c>
      <c r="K930" t="s">
        <v>46</v>
      </c>
      <c r="L930" t="s">
        <v>20</v>
      </c>
      <c r="M930" t="s">
        <v>2056</v>
      </c>
      <c r="N930" t="s">
        <v>14</v>
      </c>
    </row>
    <row r="931" x14ac:dyDescent="0.25">
      <c r="A931" t="n">
        <v>25</v>
      </c>
      <c r="B931" t="s">
        <v>14</v>
      </c>
      <c r="C931" t="s">
        <v>51</v>
      </c>
      <c r="D931" s="2" t="s">
        <f>=HYPERLINK("https://main.knesset.gov.il/APPS/legislation/main/bills/2235093", "הצעת חוק שירות ביטחון (תיקון - מתווה בן-גוריון לדחייה ופטור משירות מטעמי לימודי דת), התשפ""ו-2025")</f>
        <v>2064</v>
      </c>
      <c r="E931" t="s">
        <v>2064</v>
      </c>
      <c r="F931" t="s">
        <v>2065</v>
      </c>
      <c r="G931" t="s">
        <v>14</v>
      </c>
      <c r="H931">
             </c>
      <c r="I931" t="s">
        <v>14</v>
      </c>
      <c r="J931" t="s">
        <v>193</v>
      </c>
      <c r="K931" t="s">
        <v>14</v>
      </c>
      <c r="L931" t="s">
        <v>20</v>
      </c>
      <c r="M931" t="s">
        <v>2056</v>
      </c>
      <c r="N931" t="s">
        <v>14</v>
      </c>
    </row>
    <row r="932" x14ac:dyDescent="0.25">
      <c r="A932" t="n">
        <v>25</v>
      </c>
      <c r="B932" t="s">
        <v>14</v>
      </c>
      <c r="C932" t="s">
        <v>51</v>
      </c>
      <c r="D932" s="2" t="s">
        <f>=HYPERLINK("https://main.knesset.gov.il/APPS/legislation/main/bills/2221211", "הצעת חוק התכנון והבנייה (תיקון - הצללת המרחב הציבורי), התשפ""ה-2025")</f>
        <v>2066</v>
      </c>
      <c r="E932" t="s">
        <v>2066</v>
      </c>
      <c r="F932" t="s">
        <v>2067</v>
      </c>
      <c r="G932" t="s">
        <v>14</v>
      </c>
      <c r="H932">
             </c>
      <c r="I932" t="s">
        <v>14</v>
      </c>
      <c r="J932" t="s">
        <v>202</v>
      </c>
      <c r="K932" t="s">
        <v>14</v>
      </c>
      <c r="L932" t="s">
        <v>20</v>
      </c>
      <c r="M932" t="s">
        <v>2056</v>
      </c>
      <c r="N932" t="s">
        <v>14</v>
      </c>
    </row>
    <row r="933" x14ac:dyDescent="0.25">
      <c r="A933" t="n">
        <v>25</v>
      </c>
      <c r="B933" t="s">
        <v>14</v>
      </c>
      <c r="C933" t="s">
        <v>51</v>
      </c>
      <c r="D933" s="2" t="s">
        <f>=HYPERLINK("https://main.knesset.gov.il/APPS/legislation/main/bills/2234224", "הצעת חוק-יסוד: הכנסת (תיקון - ייצוג מינימלי לשני המינים ברשימת מועמדים לכנסת)")</f>
        <v>2068</v>
      </c>
      <c r="E933" t="s">
        <v>2068</v>
      </c>
      <c r="F933" t="s">
        <v>2069</v>
      </c>
      <c r="G933" t="s">
        <v>14</v>
      </c>
      <c r="H933">
             </c>
      <c r="I933" t="s">
        <v>14</v>
      </c>
      <c r="J933" t="s">
        <v>193</v>
      </c>
      <c r="K933" t="s">
        <v>14</v>
      </c>
      <c r="L933" t="s">
        <v>20</v>
      </c>
      <c r="M933" t="s">
        <v>2056</v>
      </c>
      <c r="N933" t="s">
        <v>14</v>
      </c>
    </row>
    <row r="934" x14ac:dyDescent="0.25">
      <c r="A934" t="n">
        <v>25</v>
      </c>
      <c r="B934" t="s">
        <v>14</v>
      </c>
      <c r="C934" t="s">
        <v>51</v>
      </c>
      <c r="D934" s="2" t="s">
        <f>=HYPERLINK("https://main.knesset.gov.il/APPS/legislation/main/bills/2228218", "הצעת חוק-יסוד: הכנסת (תיקון - ייצוג הולם לנשים ברשימת מועמדים לכנסת)")</f>
        <v>292</v>
      </c>
      <c r="E934" t="s">
        <v>292</v>
      </c>
      <c r="F934" t="s">
        <v>2070</v>
      </c>
      <c r="G934" t="s">
        <v>14</v>
      </c>
      <c r="H934">
             </c>
      <c r="I934" t="s">
        <v>14</v>
      </c>
      <c r="J934" t="s">
        <v>193</v>
      </c>
      <c r="K934" t="s">
        <v>14</v>
      </c>
      <c r="L934" t="s">
        <v>20</v>
      </c>
      <c r="M934" t="s">
        <v>2056</v>
      </c>
      <c r="N934" t="s">
        <v>14</v>
      </c>
    </row>
    <row r="935" x14ac:dyDescent="0.25">
      <c r="A935" t="n">
        <v>25</v>
      </c>
      <c r="B935" t="s">
        <v>14</v>
      </c>
      <c r="C935" t="s">
        <v>51</v>
      </c>
      <c r="D935" s="2" t="s">
        <f>=HYPERLINK("https://main.knesset.gov.il/APPS/legislation/main/bills/2227423", "הצעת חוק לתיקון פקודת מס הכנסה (פטור ממס למשרת מילואים פעיל) (הוראת שעה - חרבות ברזל), התשפ""ה-2025")</f>
        <v>2071</v>
      </c>
      <c r="E935" t="s">
        <v>2071</v>
      </c>
      <c r="F935" t="s">
        <v>2072</v>
      </c>
      <c r="G935" t="s">
        <v>14</v>
      </c>
      <c r="H935">
             </c>
      <c r="I935" t="s">
        <v>14</v>
      </c>
      <c r="J935" t="s">
        <v>193</v>
      </c>
      <c r="K935" t="s">
        <v>14</v>
      </c>
      <c r="L935" t="s">
        <v>20</v>
      </c>
      <c r="M935" t="s">
        <v>2056</v>
      </c>
      <c r="N935" t="s">
        <v>14</v>
      </c>
    </row>
    <row r="936" x14ac:dyDescent="0.25">
      <c r="A936" t="n">
        <v>25</v>
      </c>
      <c r="B936" t="s">
        <v>14</v>
      </c>
      <c r="C936" t="s">
        <v>51</v>
      </c>
      <c r="D936" s="2" t="s">
        <f>=HYPERLINK("https://main.knesset.gov.il/APPS/legislation/main/bills/2223489", "הצעת חוק העונשין (תיקון - החמרת ענישה על סיוע לאויב במלחמה), התשפ""ה-2024")</f>
        <v>2073</v>
      </c>
      <c r="E936" t="s">
        <v>2073</v>
      </c>
      <c r="F936" t="s">
        <v>2074</v>
      </c>
      <c r="G936" t="s">
        <v>14</v>
      </c>
      <c r="H936">
             </c>
      <c r="I936" t="s">
        <v>14</v>
      </c>
      <c r="J936" t="s">
        <v>202</v>
      </c>
      <c r="K936" t="s">
        <v>14</v>
      </c>
      <c r="L936" t="s">
        <v>20</v>
      </c>
      <c r="M936" t="s">
        <v>2056</v>
      </c>
      <c r="N936" t="s">
        <v>14</v>
      </c>
    </row>
    <row r="937" x14ac:dyDescent="0.25">
      <c r="A937" t="n">
        <v>25</v>
      </c>
      <c r="B937" t="s">
        <v>14</v>
      </c>
      <c r="C937" t="s">
        <v>51</v>
      </c>
      <c r="D937" s="2" t="s">
        <f>=HYPERLINK("https://main.knesset.gov.il/APPS/legislation/main/bills/2203203", "הצעת חוק משק החשמל (תיקון - תעריף מופחת לבתי חולים בפריפריה), התשפ""ג-2023")</f>
        <v>2075</v>
      </c>
      <c r="E937" t="s">
        <v>2075</v>
      </c>
      <c r="F937" t="s">
        <v>2076</v>
      </c>
      <c r="G937" t="s">
        <v>14</v>
      </c>
      <c r="H937">
             </c>
      <c r="I937" t="s">
        <v>14</v>
      </c>
      <c r="J937" t="s">
        <v>193</v>
      </c>
      <c r="K937" t="s">
        <v>14</v>
      </c>
      <c r="L937" t="s">
        <v>20</v>
      </c>
      <c r="M937" t="s">
        <v>2056</v>
      </c>
      <c r="N937" t="s">
        <v>14</v>
      </c>
    </row>
    <row r="938" x14ac:dyDescent="0.25">
      <c r="A938" t="n">
        <v>25</v>
      </c>
      <c r="B938" t="s">
        <v>14</v>
      </c>
      <c r="C938" t="s">
        <v>51</v>
      </c>
      <c r="D938" s="2" t="s">
        <f>=HYPERLINK("https://main.knesset.gov.il/APPS/legislation/main/bills/2199030", "הצעת חוק משק החשמל (תיקון - תעריף מופחת לבתי חולים בפריפריה), התשפ""ג-2023")</f>
        <v>2075</v>
      </c>
      <c r="E938" t="s">
        <v>2075</v>
      </c>
      <c r="F938" t="s">
        <v>2077</v>
      </c>
      <c r="G938" t="s">
        <v>14</v>
      </c>
      <c r="H938">
             </c>
      <c r="I938" t="s">
        <v>14</v>
      </c>
      <c r="J938" t="s">
        <v>193</v>
      </c>
      <c r="K938" t="s">
        <v>14</v>
      </c>
      <c r="L938" t="s">
        <v>20</v>
      </c>
      <c r="M938" t="s">
        <v>2056</v>
      </c>
      <c r="N938" t="s">
        <v>14</v>
      </c>
    </row>
    <row r="939" x14ac:dyDescent="0.25">
      <c r="A939" t="n">
        <v>25</v>
      </c>
      <c r="B939" t="s">
        <v>14</v>
      </c>
      <c r="C939" t="s">
        <v>51</v>
      </c>
      <c r="D939" s="2" t="s">
        <f>=HYPERLINK("https://main.knesset.gov.il/APPS/legislation/main/bills/2196029", "הצעת חוק הטבות לניצולי שואה (תיקון - זכאות למענק הטבות שנתי לבן זוג של ניצול שואה שנפטר), התשפ""ג-2022")</f>
        <v>2078</v>
      </c>
      <c r="E939" t="s">
        <v>2078</v>
      </c>
      <c r="F939" t="s">
        <v>2079</v>
      </c>
      <c r="G939" t="s">
        <v>14</v>
      </c>
      <c r="H939">
             </c>
      <c r="I939" t="s">
        <v>14</v>
      </c>
      <c r="J939" t="s">
        <v>193</v>
      </c>
      <c r="K939" t="s">
        <v>14</v>
      </c>
      <c r="L939" t="s">
        <v>20</v>
      </c>
      <c r="M939" t="s">
        <v>2056</v>
      </c>
      <c r="N939" t="s">
        <v>14</v>
      </c>
    </row>
    <row r="940" x14ac:dyDescent="0.25">
      <c r="A940" t="n">
        <v>25</v>
      </c>
      <c r="B940" t="s">
        <v>14</v>
      </c>
      <c r="C940" t="s">
        <v>51</v>
      </c>
      <c r="D940" s="2" t="s">
        <f>=HYPERLINK("https://main.knesset.gov.il/APPS/legislation/main/bills/2219753", "הצעת חוק מניעת פגיעת גוף שידורים זר בביטחון המדינה (הוראת שעה - חרבות ברזל) (תיקון - מניעת שידורים), התשפ""ד-2024")</f>
        <v>2080</v>
      </c>
      <c r="E940" t="s">
        <v>2080</v>
      </c>
      <c r="F940" t="s">
        <v>2081</v>
      </c>
      <c r="G940" t="s">
        <v>14</v>
      </c>
      <c r="H940">
             </c>
      <c r="I940" t="s">
        <v>14</v>
      </c>
      <c r="J940" t="s">
        <v>2082</v>
      </c>
      <c r="K940" t="s">
        <v>19</v>
      </c>
      <c r="L940" t="s">
        <v>20</v>
      </c>
      <c r="M940" t="s">
        <v>2083</v>
      </c>
      <c r="N940" t="s">
        <v>14</v>
      </c>
    </row>
    <row r="941" x14ac:dyDescent="0.25">
      <c r="A941" t="n">
        <v>25</v>
      </c>
      <c r="B941" t="s">
        <v>14</v>
      </c>
      <c r="C941" t="s">
        <v>15</v>
      </c>
      <c r="D941" s="2" t="s">
        <f>=HYPERLINK("https://main.knesset.gov.il/APPS/legislation/main/bills/2231121", "חוק הסיוע המשפטי (תיקון מס' 30), התשפ""ו–2025")</f>
        <v>2084</v>
      </c>
      <c r="E941" t="s">
        <v>2084</v>
      </c>
      <c r="F941" t="s">
        <v>14</v>
      </c>
      <c r="G941" t="s">
        <v>2085</v>
      </c>
      <c r="H941" t="n">
        <v>3465</v>
      </c>
      <c r="I941" t="s">
        <v>14</v>
      </c>
      <c r="J941" t="s">
        <v>18</v>
      </c>
      <c r="K941" t="s">
        <v>27</v>
      </c>
      <c r="L941" t="s">
        <v>20</v>
      </c>
      <c r="M941" t="s">
        <v>2083</v>
      </c>
      <c r="N941" t="s">
        <v>2086</v>
      </c>
    </row>
    <row r="942" x14ac:dyDescent="0.25">
      <c r="A942" t="n">
        <v>25</v>
      </c>
      <c r="B942" t="s">
        <v>14</v>
      </c>
      <c r="C942" t="s">
        <v>51</v>
      </c>
      <c r="D942" s="2" t="s">
        <f>=HYPERLINK("https://main.knesset.gov.il/APPS/legislation/main/bills/2192117", "חוק בתי המשפט (תיקון מס' 106), התשפ""ו–2025")</f>
        <v>2087</v>
      </c>
      <c r="E942" t="s">
        <v>2087</v>
      </c>
      <c r="F942" t="s">
        <v>2088</v>
      </c>
      <c r="G942" t="s">
        <v>2089</v>
      </c>
      <c r="H942" t="n">
        <v>3464</v>
      </c>
      <c r="I942" t="s">
        <v>14</v>
      </c>
      <c r="J942" t="s">
        <v>18</v>
      </c>
      <c r="K942" t="s">
        <v>27</v>
      </c>
      <c r="L942" t="s">
        <v>20</v>
      </c>
      <c r="M942" t="s">
        <v>2083</v>
      </c>
      <c r="N942" t="s">
        <v>2090</v>
      </c>
    </row>
    <row r="943" x14ac:dyDescent="0.25">
      <c r="A943" t="n">
        <v>25</v>
      </c>
      <c r="B943" t="s">
        <v>14</v>
      </c>
      <c r="C943" t="s">
        <v>51</v>
      </c>
      <c r="D943" s="2" t="s">
        <f>=HYPERLINK("https://main.knesset.gov.il/APPS/legislation/main/bills/2235767", "הצעת חוק למניעת אלימות במוסדות למתן טיפול (תיקון - הגברת האכיפה), התשפ״ו-2025")</f>
        <v>2091</v>
      </c>
      <c r="E943" t="s">
        <v>2091</v>
      </c>
      <c r="F943" t="s">
        <v>2092</v>
      </c>
      <c r="G943" t="s">
        <v>14</v>
      </c>
      <c r="H943">
             </c>
      <c r="I943" t="s">
        <v>14</v>
      </c>
      <c r="J943" t="s">
        <v>242</v>
      </c>
      <c r="K943" t="s">
        <v>14</v>
      </c>
      <c r="L943" t="s">
        <v>20</v>
      </c>
      <c r="M943" t="s">
        <v>2093</v>
      </c>
      <c r="N943" t="s">
        <v>14</v>
      </c>
    </row>
    <row r="944" x14ac:dyDescent="0.25">
      <c r="A944" t="n">
        <v>25</v>
      </c>
      <c r="B944" t="s">
        <v>14</v>
      </c>
      <c r="C944" t="s">
        <v>51</v>
      </c>
      <c r="D944" s="2" t="s">
        <f>=HYPERLINK("https://main.knesset.gov.il/APPS/legislation/main/bills/2237211", "הצעת חוק לתיקון פקודת בריאות העם (מרכזים אקוטיים), התשפ""ו-2025")</f>
        <v>1322</v>
      </c>
      <c r="E944" t="s">
        <v>1322</v>
      </c>
      <c r="F944" t="s">
        <v>2094</v>
      </c>
      <c r="G944" t="s">
        <v>14</v>
      </c>
      <c r="H944">
             </c>
      <c r="I944" t="s">
        <v>14</v>
      </c>
      <c r="J944" t="s">
        <v>242</v>
      </c>
      <c r="K944" t="s">
        <v>14</v>
      </c>
      <c r="L944" t="s">
        <v>20</v>
      </c>
      <c r="M944" t="s">
        <v>2093</v>
      </c>
      <c r="N944" t="s">
        <v>14</v>
      </c>
    </row>
    <row r="945" x14ac:dyDescent="0.25">
      <c r="A945" t="n">
        <v>25</v>
      </c>
      <c r="B945" t="s">
        <v>14</v>
      </c>
      <c r="C945" t="s">
        <v>51</v>
      </c>
      <c r="D945" s="2" t="s">
        <f>=HYPERLINK("https://main.knesset.gov.il/APPS/legislation/main/bills/2236702", "הצעת חוק הרשות לטיפול בנפגעי הלם קרב, התשפ""ו-2025")</f>
        <v>1074</v>
      </c>
      <c r="E945" t="s">
        <v>1074</v>
      </c>
      <c r="F945" t="s">
        <v>2095</v>
      </c>
      <c r="G945" t="s">
        <v>14</v>
      </c>
      <c r="H945">
             </c>
      <c r="I945" t="s">
        <v>14</v>
      </c>
      <c r="J945" t="s">
        <v>242</v>
      </c>
      <c r="K945" t="s">
        <v>14</v>
      </c>
      <c r="L945" t="s">
        <v>20</v>
      </c>
      <c r="M945" t="s">
        <v>2093</v>
      </c>
      <c r="N945" t="s">
        <v>14</v>
      </c>
    </row>
    <row r="946" x14ac:dyDescent="0.25">
      <c r="A946" t="n">
        <v>25</v>
      </c>
      <c r="B946" t="s">
        <v>14</v>
      </c>
      <c r="C946" t="s">
        <v>51</v>
      </c>
      <c r="D946" s="2" t="s">
        <f>=HYPERLINK("https://main.knesset.gov.il/APPS/legislation/main/bills/2236669", "הצעת חוק נציבות תלונות הציבור על עובדים סוציאליים, התשפ""ו-2025")</f>
        <v>2096</v>
      </c>
      <c r="E946" t="s">
        <v>2096</v>
      </c>
      <c r="F946" t="s">
        <v>2097</v>
      </c>
      <c r="G946" t="s">
        <v>14</v>
      </c>
      <c r="H946">
             </c>
      <c r="I946" t="s">
        <v>14</v>
      </c>
      <c r="J946" t="s">
        <v>242</v>
      </c>
      <c r="K946" t="s">
        <v>14</v>
      </c>
      <c r="L946" t="s">
        <v>20</v>
      </c>
      <c r="M946" t="s">
        <v>2093</v>
      </c>
      <c r="N946" t="s">
        <v>14</v>
      </c>
    </row>
    <row r="947" x14ac:dyDescent="0.25">
      <c r="A947" t="n">
        <v>25</v>
      </c>
      <c r="B947" t="s">
        <v>14</v>
      </c>
      <c r="C947" t="s">
        <v>51</v>
      </c>
      <c r="D947" s="2" t="s">
        <f>=HYPERLINK("https://main.knesset.gov.il/APPS/legislation/main/bills/2236729", "הצעת חוק סדר הדין הפלילי (תיקון - מניעת ניגודי עניינים בחקירת היועץ המשפטי לממשלה ופרקליט המדינה), התשפ""ו-2025")</f>
        <v>2098</v>
      </c>
      <c r="E947" t="s">
        <v>2098</v>
      </c>
      <c r="F947" t="s">
        <v>2099</v>
      </c>
      <c r="G947" t="s">
        <v>14</v>
      </c>
      <c r="H947">
             </c>
      <c r="I947" t="s">
        <v>14</v>
      </c>
      <c r="J947" t="s">
        <v>242</v>
      </c>
      <c r="K947" t="s">
        <v>14</v>
      </c>
      <c r="L947" t="s">
        <v>20</v>
      </c>
      <c r="M947" t="s">
        <v>2093</v>
      </c>
      <c r="N947" t="s">
        <v>14</v>
      </c>
    </row>
    <row r="948" x14ac:dyDescent="0.25">
      <c r="A948" t="n">
        <v>25</v>
      </c>
      <c r="B948" t="s">
        <v>14</v>
      </c>
      <c r="C948" t="s">
        <v>51</v>
      </c>
      <c r="D948" s="2" t="s">
        <f>=HYPERLINK("https://main.knesset.gov.il/APPS/legislation/main/bills/2235887", "הצעת חוק הגנה בסייבר על תלמידי מערכת החינוך, התשפ״ו-2025")</f>
        <v>2100</v>
      </c>
      <c r="E948" t="s">
        <v>2100</v>
      </c>
      <c r="F948" t="s">
        <v>2101</v>
      </c>
      <c r="G948" t="s">
        <v>14</v>
      </c>
      <c r="H948">
             </c>
      <c r="I948" t="s">
        <v>14</v>
      </c>
      <c r="J948" t="s">
        <v>242</v>
      </c>
      <c r="K948" t="s">
        <v>14</v>
      </c>
      <c r="L948" t="s">
        <v>20</v>
      </c>
      <c r="M948" t="s">
        <v>2093</v>
      </c>
      <c r="N948" t="s">
        <v>14</v>
      </c>
    </row>
    <row r="949" x14ac:dyDescent="0.25">
      <c r="A949" t="n">
        <v>25</v>
      </c>
      <c r="B949" t="s">
        <v>14</v>
      </c>
      <c r="C949" t="s">
        <v>51</v>
      </c>
      <c r="D949" s="2" t="s">
        <f>=HYPERLINK("https://main.knesset.gov.il/APPS/legislation/main/bills/2235433", "הצעת חוק שלילת הטבות מבכירים במדינת ישראל, התשפ""ו-2025 ")</f>
        <v>2102</v>
      </c>
      <c r="E949" t="s">
        <v>2102</v>
      </c>
      <c r="F949" t="s">
        <v>2103</v>
      </c>
      <c r="G949" t="s">
        <v>14</v>
      </c>
      <c r="H949">
             </c>
      <c r="I949" t="s">
        <v>14</v>
      </c>
      <c r="J949" t="s">
        <v>242</v>
      </c>
      <c r="K949" t="s">
        <v>14</v>
      </c>
      <c r="L949" t="s">
        <v>20</v>
      </c>
      <c r="M949" t="s">
        <v>2093</v>
      </c>
      <c r="N949" t="s">
        <v>14</v>
      </c>
    </row>
    <row r="950" x14ac:dyDescent="0.25">
      <c r="A950" t="n">
        <v>25</v>
      </c>
      <c r="B950" t="s">
        <v>14</v>
      </c>
      <c r="C950" t="s">
        <v>51</v>
      </c>
      <c r="D950" s="2" t="s">
        <f>=HYPERLINK("https://main.knesset.gov.il/APPS/legislation/main/bills/2236742", "הצעת חוק הטבות לניצולי שואה (תיקון - הגדלת מענק שנתי), התשפ""ו-2025")</f>
        <v>2104</v>
      </c>
      <c r="E950" t="s">
        <v>2104</v>
      </c>
      <c r="F950" t="s">
        <v>2105</v>
      </c>
      <c r="G950" t="s">
        <v>14</v>
      </c>
      <c r="H950">
             </c>
      <c r="I950" t="s">
        <v>14</v>
      </c>
      <c r="J950" t="s">
        <v>242</v>
      </c>
      <c r="K950" t="s">
        <v>14</v>
      </c>
      <c r="L950" t="s">
        <v>20</v>
      </c>
      <c r="M950" t="s">
        <v>2093</v>
      </c>
      <c r="N950" t="s">
        <v>14</v>
      </c>
    </row>
    <row r="951" x14ac:dyDescent="0.25">
      <c r="A951" t="n">
        <v>25</v>
      </c>
      <c r="B951" t="s">
        <v>14</v>
      </c>
      <c r="C951" t="s">
        <v>51</v>
      </c>
      <c r="D951" s="2" t="s">
        <f>=HYPERLINK("https://main.knesset.gov.il/APPS/legislation/main/bills/2236979", "הצעת חוק הבנקאות (שירות ללקוח) (תיקון - ביטול פעולה מכוח הרשאה לחיוב בשל היעדר יתרה מספקת בחשבון והגבלת עמלות בשל הרשאה לחיוב), התשפ""ו-2025")</f>
        <v>2106</v>
      </c>
      <c r="E951" t="s">
        <v>2106</v>
      </c>
      <c r="F951" t="s">
        <v>2107</v>
      </c>
      <c r="G951" t="s">
        <v>14</v>
      </c>
      <c r="H951">
             </c>
      <c r="I951" t="s">
        <v>14</v>
      </c>
      <c r="J951" t="s">
        <v>242</v>
      </c>
      <c r="K951" t="s">
        <v>14</v>
      </c>
      <c r="L951" t="s">
        <v>20</v>
      </c>
      <c r="M951" t="s">
        <v>2093</v>
      </c>
      <c r="N951" t="s">
        <v>14</v>
      </c>
    </row>
    <row r="952" x14ac:dyDescent="0.25">
      <c r="A952" t="n">
        <v>25</v>
      </c>
      <c r="B952" t="s">
        <v>14</v>
      </c>
      <c r="C952" t="s">
        <v>51</v>
      </c>
      <c r="D952" s="2" t="s">
        <f>=HYPERLINK("https://main.knesset.gov.il/APPS/legislation/main/bills/2236985", "הצעת חוק לתיקון פקודת הבנקאות (חשבונות ללא תנועה), התשפ""ו-2025")</f>
        <v>2108</v>
      </c>
      <c r="E952" t="s">
        <v>2108</v>
      </c>
      <c r="F952" t="s">
        <v>2109</v>
      </c>
      <c r="G952" t="s">
        <v>14</v>
      </c>
      <c r="H952">
             </c>
      <c r="I952" t="s">
        <v>14</v>
      </c>
      <c r="J952" t="s">
        <v>242</v>
      </c>
      <c r="K952" t="s">
        <v>14</v>
      </c>
      <c r="L952" t="s">
        <v>20</v>
      </c>
      <c r="M952" t="s">
        <v>2093</v>
      </c>
      <c r="N952" t="s">
        <v>14</v>
      </c>
    </row>
    <row r="953" x14ac:dyDescent="0.25">
      <c r="A953" t="n">
        <v>25</v>
      </c>
      <c r="B953" t="s">
        <v>14</v>
      </c>
      <c r="C953" t="s">
        <v>51</v>
      </c>
      <c r="D953" s="2" t="s">
        <f>=HYPERLINK("https://main.knesset.gov.il/APPS/legislation/main/bills/2205720", "הצעת חוק לביטול ההפליה ברכישת מקרקעין ביהודה והשומרון, התשפ""ו–2025")</f>
        <v>2110</v>
      </c>
      <c r="E953" t="s">
        <v>2110</v>
      </c>
      <c r="F953" t="s">
        <v>2111</v>
      </c>
      <c r="G953" t="s">
        <v>2112</v>
      </c>
      <c r="H953">
             </c>
      <c r="I953" t="s">
        <v>166</v>
      </c>
      <c r="J953" t="s">
        <v>162</v>
      </c>
      <c r="K953" t="s">
        <v>39</v>
      </c>
      <c r="L953" t="s">
        <v>20</v>
      </c>
      <c r="M953" t="s">
        <v>2093</v>
      </c>
      <c r="N953" t="s">
        <v>14</v>
      </c>
    </row>
    <row r="954" x14ac:dyDescent="0.25">
      <c r="A954" t="n">
        <v>25</v>
      </c>
      <c r="B954" t="s">
        <v>14</v>
      </c>
      <c r="C954" t="s">
        <v>15</v>
      </c>
      <c r="D954" s="2" t="s">
        <f>=HYPERLINK("https://main.knesset.gov.il/APPS/legislation/main/bills/1046181", "חוק המאבק בטרור (תיקון מס' 9 והוראת שעה) (תיקון), התשפ""ו-2025")</f>
        <v>2113</v>
      </c>
      <c r="E954" t="s">
        <v>2113</v>
      </c>
      <c r="F954" t="s">
        <v>14</v>
      </c>
      <c r="G954" t="s">
        <v>2114</v>
      </c>
      <c r="H954" t="n">
        <v>3463</v>
      </c>
      <c r="I954" t="s">
        <v>14</v>
      </c>
      <c r="J954" t="s">
        <v>18</v>
      </c>
      <c r="K954" t="s">
        <v>27</v>
      </c>
      <c r="L954" t="s">
        <v>20</v>
      </c>
      <c r="M954" t="s">
        <v>2115</v>
      </c>
      <c r="N954" t="s">
        <v>2116</v>
      </c>
    </row>
    <row r="955" x14ac:dyDescent="0.25">
      <c r="A955" t="n">
        <v>25</v>
      </c>
      <c r="B955" t="s">
        <v>14</v>
      </c>
      <c r="C955" t="s">
        <v>51</v>
      </c>
      <c r="D955" s="2" t="s">
        <f>=HYPERLINK("https://main.knesset.gov.il/APPS/legislation/main/bills/2222182", "חוק התכנון והבנייה (תיקון מס' 163), התשפ""ה–2025")</f>
        <v>2117</v>
      </c>
      <c r="E955" t="s">
        <v>2117</v>
      </c>
      <c r="F955" t="s">
        <v>2118</v>
      </c>
      <c r="G955" t="s">
        <v>2119</v>
      </c>
      <c r="H955" t="n">
        <v>3444</v>
      </c>
      <c r="I955" t="s">
        <v>14</v>
      </c>
      <c r="J955" t="s">
        <v>18</v>
      </c>
      <c r="K955" t="s">
        <v>30</v>
      </c>
      <c r="L955" t="s">
        <v>20</v>
      </c>
      <c r="M955" t="s">
        <v>2115</v>
      </c>
      <c r="N955" t="s">
        <v>2120</v>
      </c>
    </row>
    <row r="956" x14ac:dyDescent="0.25">
      <c r="A956" t="n">
        <v>25</v>
      </c>
      <c r="B956" t="s">
        <v>14</v>
      </c>
      <c r="C956" t="s">
        <v>51</v>
      </c>
      <c r="D956" s="2" t="s">
        <f>=HYPERLINK("https://main.knesset.gov.il/APPS/legislation/main/bills/2231893", "הצעת חוק לימוד חובה (תיקון - הפחתת תקציב בשל אי-גיוס בוגרים), התשפ""ה- 2025")</f>
        <v>2121</v>
      </c>
      <c r="E956" t="s">
        <v>2121</v>
      </c>
      <c r="F956" t="s">
        <v>2122</v>
      </c>
      <c r="G956" t="s">
        <v>14</v>
      </c>
      <c r="H956">
             </c>
      <c r="I956" t="s">
        <v>14</v>
      </c>
      <c r="J956" t="s">
        <v>193</v>
      </c>
      <c r="K956" t="s">
        <v>14</v>
      </c>
      <c r="L956" t="s">
        <v>20</v>
      </c>
      <c r="M956" t="s">
        <v>2115</v>
      </c>
      <c r="N956" t="s">
        <v>14</v>
      </c>
    </row>
    <row r="957" x14ac:dyDescent="0.25">
      <c r="A957" t="n">
        <v>25</v>
      </c>
      <c r="B957" t="s">
        <v>14</v>
      </c>
      <c r="C957" t="s">
        <v>51</v>
      </c>
      <c r="D957" s="2" t="s">
        <f>=HYPERLINK("https://main.knesset.gov.il/APPS/legislation/main/bills/2231882", "הצעת חוק שירותי אבטחה, התשפ""ה-2025")</f>
        <v>2123</v>
      </c>
      <c r="E957" t="s">
        <v>2123</v>
      </c>
      <c r="F957" t="s">
        <v>2124</v>
      </c>
      <c r="G957" t="s">
        <v>14</v>
      </c>
      <c r="H957">
             </c>
      <c r="I957" t="s">
        <v>14</v>
      </c>
      <c r="J957" t="s">
        <v>193</v>
      </c>
      <c r="K957" t="s">
        <v>14</v>
      </c>
      <c r="L957" t="s">
        <v>20</v>
      </c>
      <c r="M957" t="s">
        <v>2115</v>
      </c>
      <c r="N957" t="s">
        <v>14</v>
      </c>
    </row>
    <row r="958" x14ac:dyDescent="0.25">
      <c r="A958" t="n">
        <v>25</v>
      </c>
      <c r="B958" t="s">
        <v>14</v>
      </c>
      <c r="C958" t="s">
        <v>51</v>
      </c>
      <c r="D958" s="2" t="s">
        <f>=HYPERLINK("https://main.knesset.gov.il/APPS/legislation/main/bills/2230342", "הצעת חוק מענק לחטוף ששב מן השבי או למשפחתו של חטוף שנרצח בשבי וגופתו הושבה בעקבות מתקפת 7 באוקטובר, התשפ""ה-2025 ")</f>
        <v>2125</v>
      </c>
      <c r="E958" t="s">
        <v>2125</v>
      </c>
      <c r="F958" t="s">
        <v>2126</v>
      </c>
      <c r="G958" t="s">
        <v>14</v>
      </c>
      <c r="H958">
             </c>
      <c r="I958" t="s">
        <v>14</v>
      </c>
      <c r="J958" t="s">
        <v>193</v>
      </c>
      <c r="K958" t="s">
        <v>14</v>
      </c>
      <c r="L958" t="s">
        <v>20</v>
      </c>
      <c r="M958" t="s">
        <v>2115</v>
      </c>
      <c r="N958" t="s">
        <v>14</v>
      </c>
    </row>
    <row r="959" x14ac:dyDescent="0.25">
      <c r="A959" t="n">
        <v>25</v>
      </c>
      <c r="B959" t="s">
        <v>14</v>
      </c>
      <c r="C959" t="s">
        <v>51</v>
      </c>
      <c r="D959" s="2" t="s">
        <f>=HYPERLINK("https://main.knesset.gov.il/APPS/legislation/main/bills/2225556", "הצעת חוק איסור הפליה במוצרים, בשירותים ובכניסה למקומות בידור ולמקומות ציבוריים (תיקון - הגדלת סכום הפיצוי בלא הוכחת נזק), התשפ""ה-2024")</f>
        <v>2127</v>
      </c>
      <c r="E959" t="s">
        <v>2127</v>
      </c>
      <c r="F959" t="s">
        <v>2128</v>
      </c>
      <c r="G959" t="s">
        <v>14</v>
      </c>
      <c r="H959">
             </c>
      <c r="I959" t="s">
        <v>14</v>
      </c>
      <c r="J959" t="s">
        <v>193</v>
      </c>
      <c r="K959" t="s">
        <v>14</v>
      </c>
      <c r="L959" t="s">
        <v>20</v>
      </c>
      <c r="M959" t="s">
        <v>2115</v>
      </c>
      <c r="N959" t="s">
        <v>14</v>
      </c>
    </row>
    <row r="960" x14ac:dyDescent="0.25">
      <c r="A960" t="n">
        <v>25</v>
      </c>
      <c r="B960" t="s">
        <v>14</v>
      </c>
      <c r="C960" t="s">
        <v>51</v>
      </c>
      <c r="D960" s="2" t="s">
        <f>=HYPERLINK("https://main.knesset.gov.il/APPS/legislation/main/bills/2196924", "הצעת חוק-יסוד: השפיטה (תיקון - סמכויות שיפוט ותקנות סדרי דין באישור ועדה)")</f>
        <v>2129</v>
      </c>
      <c r="E960" t="s">
        <v>2129</v>
      </c>
      <c r="F960" t="s">
        <v>2130</v>
      </c>
      <c r="G960" t="s">
        <v>14</v>
      </c>
      <c r="H960">
             </c>
      <c r="I960" t="s">
        <v>14</v>
      </c>
      <c r="J960" t="s">
        <v>152</v>
      </c>
      <c r="K960" t="s">
        <v>27</v>
      </c>
      <c r="L960" t="s">
        <v>20</v>
      </c>
      <c r="M960" t="s">
        <v>2131</v>
      </c>
      <c r="N960" t="s">
        <v>14</v>
      </c>
    </row>
    <row r="961" x14ac:dyDescent="0.25">
      <c r="A961" t="n">
        <v>25</v>
      </c>
      <c r="B961" t="s">
        <v>14</v>
      </c>
      <c r="C961" t="s">
        <v>51</v>
      </c>
      <c r="D961" s="2" t="s">
        <f>=HYPERLINK("https://main.knesset.gov.il/APPS/legislation/main/bills/2196550", "חוק הסדרים במשק המדינה (תיקוני חקיקה להשגת יעדי התקציב) (תיקון מס' 20), התשפ""ו–2025")</f>
        <v>2132</v>
      </c>
      <c r="E961" t="s">
        <v>2132</v>
      </c>
      <c r="F961" t="s">
        <v>2133</v>
      </c>
      <c r="G961" t="s">
        <v>2134</v>
      </c>
      <c r="H961" t="n">
        <v>3462</v>
      </c>
      <c r="I961" t="s">
        <v>14</v>
      </c>
      <c r="J961" t="s">
        <v>18</v>
      </c>
      <c r="K961" t="s">
        <v>24</v>
      </c>
      <c r="L961" t="s">
        <v>20</v>
      </c>
      <c r="M961" t="s">
        <v>2131</v>
      </c>
      <c r="N961" t="s">
        <v>14</v>
      </c>
    </row>
    <row r="962" x14ac:dyDescent="0.25">
      <c r="A962" t="n">
        <v>25</v>
      </c>
      <c r="B962" t="s">
        <v>14</v>
      </c>
      <c r="C962" t="s">
        <v>51</v>
      </c>
      <c r="D962" s="2" t="s">
        <f>=HYPERLINK("https://main.knesset.gov.il/APPS/legislation/main/bills/2236997", "הצעת חוק כליאתם והעמדתם לדין של המשתתפים באירועי 7 באוקטובר, התשפ""ו-2025")</f>
        <v>2135</v>
      </c>
      <c r="E962" t="s">
        <v>2135</v>
      </c>
      <c r="F962" t="s">
        <v>2136</v>
      </c>
      <c r="G962" t="s">
        <v>14</v>
      </c>
      <c r="H962">
             </c>
      <c r="I962" t="s">
        <v>14</v>
      </c>
      <c r="J962" t="s">
        <v>242</v>
      </c>
      <c r="K962" t="s">
        <v>14</v>
      </c>
      <c r="L962" t="s">
        <v>20</v>
      </c>
      <c r="M962" t="s">
        <v>2137</v>
      </c>
      <c r="N962" t="s">
        <v>14</v>
      </c>
    </row>
    <row r="963" x14ac:dyDescent="0.25">
      <c r="A963" t="n">
        <v>25</v>
      </c>
      <c r="B963" t="s">
        <v>14</v>
      </c>
      <c r="C963" t="s">
        <v>51</v>
      </c>
      <c r="D963" s="2" t="s">
        <f>=HYPERLINK("https://main.knesset.gov.il/APPS/legislation/main/bills/2235103", "הצעת חוק לתיקון פקודת הרופאים (אי-הכרה בלימודי רפואה שנערכו במדינות עוינות או ברשות הפלסטינית), התשפ""ו-2025")</f>
        <v>2138</v>
      </c>
      <c r="E963" t="s">
        <v>2138</v>
      </c>
      <c r="F963" t="s">
        <v>2139</v>
      </c>
      <c r="G963" t="s">
        <v>14</v>
      </c>
      <c r="H963">
             </c>
      <c r="I963" t="s">
        <v>14</v>
      </c>
      <c r="J963" t="s">
        <v>242</v>
      </c>
      <c r="K963" t="s">
        <v>14</v>
      </c>
      <c r="L963" t="s">
        <v>20</v>
      </c>
      <c r="M963" t="s">
        <v>2137</v>
      </c>
      <c r="N963" t="s">
        <v>14</v>
      </c>
    </row>
    <row r="964" x14ac:dyDescent="0.25">
      <c r="A964" t="n">
        <v>25</v>
      </c>
      <c r="B964" t="s">
        <v>14</v>
      </c>
      <c r="C964" t="s">
        <v>51</v>
      </c>
      <c r="D964" s="2" t="s">
        <f>=HYPERLINK("https://main.knesset.gov.il/APPS/legislation/main/bills/2236599", "הצעת חוק העדפה מתקנת למשרתים בשירות צבאי או לאומי, התשפ""ו-2025")</f>
        <v>2140</v>
      </c>
      <c r="E964" t="s">
        <v>2140</v>
      </c>
      <c r="F964" t="s">
        <v>2141</v>
      </c>
      <c r="G964" t="s">
        <v>14</v>
      </c>
      <c r="H964">
             </c>
      <c r="I964" t="s">
        <v>14</v>
      </c>
      <c r="J964" t="s">
        <v>202</v>
      </c>
      <c r="K964" t="s">
        <v>14</v>
      </c>
      <c r="L964" t="s">
        <v>20</v>
      </c>
      <c r="M964" t="s">
        <v>2137</v>
      </c>
      <c r="N964" t="s">
        <v>14</v>
      </c>
    </row>
    <row r="965" x14ac:dyDescent="0.25">
      <c r="A965" t="n">
        <v>25</v>
      </c>
      <c r="B965" t="s">
        <v>14</v>
      </c>
      <c r="C965" t="s">
        <v>51</v>
      </c>
      <c r="D965" s="2" t="s">
        <f>=HYPERLINK("https://main.knesset.gov.il/APPS/legislation/main/bills/2236876", "הצעת חוק בתי הדין הדתיים הדרוזיים (תיקון - כשירות למינוי קאדי מד'הב), התשפ""ו-2025")</f>
        <v>2142</v>
      </c>
      <c r="E965" t="s">
        <v>2142</v>
      </c>
      <c r="F965" t="s">
        <v>2143</v>
      </c>
      <c r="G965" t="s">
        <v>14</v>
      </c>
      <c r="H965">
             </c>
      <c r="I965" t="s">
        <v>14</v>
      </c>
      <c r="J965" t="s">
        <v>242</v>
      </c>
      <c r="K965" t="s">
        <v>14</v>
      </c>
      <c r="L965" t="s">
        <v>20</v>
      </c>
      <c r="M965" t="s">
        <v>2137</v>
      </c>
      <c r="N965" t="s">
        <v>14</v>
      </c>
    </row>
    <row r="966" x14ac:dyDescent="0.25">
      <c r="A966" t="n">
        <v>25</v>
      </c>
      <c r="B966" t="s">
        <v>14</v>
      </c>
      <c r="C966" t="s">
        <v>51</v>
      </c>
      <c r="D966" s="2" t="s">
        <f>=HYPERLINK("https://main.knesset.gov.il/APPS/legislation/main/bills/2236069", "הצעת חוק לתיקון פקודת מס הכנסה (ניכוי ריבית על משכנתה וסיוע ברכישת דירה), התשפ""ו-2025")</f>
        <v>2144</v>
      </c>
      <c r="E966" t="s">
        <v>2144</v>
      </c>
      <c r="F966" t="s">
        <v>2145</v>
      </c>
      <c r="G966" t="s">
        <v>14</v>
      </c>
      <c r="H966">
             </c>
      <c r="I966" t="s">
        <v>14</v>
      </c>
      <c r="J966" t="s">
        <v>242</v>
      </c>
      <c r="K966" t="s">
        <v>14</v>
      </c>
      <c r="L966" t="s">
        <v>20</v>
      </c>
      <c r="M966" t="s">
        <v>2137</v>
      </c>
      <c r="N966" t="s">
        <v>14</v>
      </c>
    </row>
    <row r="967" x14ac:dyDescent="0.25">
      <c r="A967" t="n">
        <v>25</v>
      </c>
      <c r="B967" t="s">
        <v>14</v>
      </c>
      <c r="C967" t="s">
        <v>51</v>
      </c>
      <c r="D967" s="2" t="s">
        <f>=HYPERLINK("https://main.knesset.gov.il/APPS/legislation/main/bills/2235343", "הצעת חוק השבות (תיקון - הוספת המילה כהלכה), התשפ""ו-2025")</f>
        <v>1991</v>
      </c>
      <c r="E967" t="s">
        <v>1991</v>
      </c>
      <c r="F967" t="s">
        <v>2146</v>
      </c>
      <c r="G967" t="s">
        <v>14</v>
      </c>
      <c r="H967">
             </c>
      <c r="I967" t="s">
        <v>14</v>
      </c>
      <c r="J967" t="s">
        <v>242</v>
      </c>
      <c r="K967" t="s">
        <v>14</v>
      </c>
      <c r="L967" t="s">
        <v>20</v>
      </c>
      <c r="M967" t="s">
        <v>2137</v>
      </c>
      <c r="N967" t="s">
        <v>14</v>
      </c>
    </row>
    <row r="968" x14ac:dyDescent="0.25">
      <c r="A968" t="n">
        <v>25</v>
      </c>
      <c r="B968" t="s">
        <v>14</v>
      </c>
      <c r="C968" t="s">
        <v>51</v>
      </c>
      <c r="D968" s="2" t="s">
        <f>=HYPERLINK("https://main.knesset.gov.il/APPS/legislation/main/bills/2236685", "הצעת חוק-יסוד: הכנסת (תיקון - שלילת זכות הצבעה מאסירים)")</f>
        <v>1972</v>
      </c>
      <c r="E968" t="s">
        <v>1972</v>
      </c>
      <c r="F968" t="s">
        <v>2147</v>
      </c>
      <c r="G968" t="s">
        <v>14</v>
      </c>
      <c r="H968">
             </c>
      <c r="I968" t="s">
        <v>14</v>
      </c>
      <c r="J968" t="s">
        <v>242</v>
      </c>
      <c r="K968" t="s">
        <v>14</v>
      </c>
      <c r="L968" t="s">
        <v>20</v>
      </c>
      <c r="M968" t="s">
        <v>2137</v>
      </c>
      <c r="N968" t="s">
        <v>14</v>
      </c>
    </row>
    <row r="969" x14ac:dyDescent="0.25">
      <c r="A969" t="n">
        <v>25</v>
      </c>
      <c r="B969" t="s">
        <v>14</v>
      </c>
      <c r="C969" t="s">
        <v>51</v>
      </c>
      <c r="D969" s="2" t="s">
        <f>=HYPERLINK("https://main.knesset.gov.il/APPS/legislation/main/bills/2236595", "הצעת חוק העונשין (תיקון - עבירות זיוף עמוק), התשפ""ו-2025")</f>
        <v>2148</v>
      </c>
      <c r="E969" t="s">
        <v>2148</v>
      </c>
      <c r="F969" t="s">
        <v>2149</v>
      </c>
      <c r="G969" t="s">
        <v>14</v>
      </c>
      <c r="H969">
             </c>
      <c r="I969" t="s">
        <v>14</v>
      </c>
      <c r="J969" t="s">
        <v>242</v>
      </c>
      <c r="K969" t="s">
        <v>14</v>
      </c>
      <c r="L969" t="s">
        <v>20</v>
      </c>
      <c r="M969" t="s">
        <v>2137</v>
      </c>
      <c r="N969" t="s">
        <v>14</v>
      </c>
    </row>
    <row r="970" x14ac:dyDescent="0.25">
      <c r="A970" t="n">
        <v>25</v>
      </c>
      <c r="B970" t="s">
        <v>14</v>
      </c>
      <c r="C970" t="s">
        <v>51</v>
      </c>
      <c r="D970" s="2" t="s">
        <f>=HYPERLINK("https://main.knesset.gov.il/APPS/legislation/main/bills/2236555", "הצעת חוק העונשין (תיקון - תקיפת עורך דין), התשפ""ו-2025")</f>
        <v>2150</v>
      </c>
      <c r="E970" t="s">
        <v>2150</v>
      </c>
      <c r="F970" t="s">
        <v>2151</v>
      </c>
      <c r="G970" t="s">
        <v>14</v>
      </c>
      <c r="H970">
             </c>
      <c r="I970" t="s">
        <v>14</v>
      </c>
      <c r="J970" t="s">
        <v>242</v>
      </c>
      <c r="K970" t="s">
        <v>14</v>
      </c>
      <c r="L970" t="s">
        <v>20</v>
      </c>
      <c r="M970" t="s">
        <v>2137</v>
      </c>
      <c r="N970" t="s">
        <v>14</v>
      </c>
    </row>
    <row r="971" x14ac:dyDescent="0.25">
      <c r="A971" t="n">
        <v>25</v>
      </c>
      <c r="B971" t="s">
        <v>14</v>
      </c>
      <c r="C971" t="s">
        <v>51</v>
      </c>
      <c r="D971" s="2" t="s">
        <f>=HYPERLINK("https://main.knesset.gov.il/APPS/legislation/main/bills/2236951", "הצעת חוק שמירת הניקיון (תיקון - תמרוץ הקמת מיתקני מיון פסולת להגדלת המחזור), התשפ""ו-2025")</f>
        <v>2152</v>
      </c>
      <c r="E971" t="s">
        <v>2152</v>
      </c>
      <c r="F971" t="s">
        <v>2153</v>
      </c>
      <c r="G971" t="s">
        <v>14</v>
      </c>
      <c r="H971">
             </c>
      <c r="I971" t="s">
        <v>14</v>
      </c>
      <c r="J971" t="s">
        <v>242</v>
      </c>
      <c r="K971" t="s">
        <v>14</v>
      </c>
      <c r="L971" t="s">
        <v>20</v>
      </c>
      <c r="M971" t="s">
        <v>2137</v>
      </c>
      <c r="N971" t="s">
        <v>14</v>
      </c>
    </row>
    <row r="972" x14ac:dyDescent="0.25">
      <c r="A972" t="n">
        <v>25</v>
      </c>
      <c r="B972" t="s">
        <v>14</v>
      </c>
      <c r="C972" t="s">
        <v>51</v>
      </c>
      <c r="D972" s="2" t="s">
        <f>=HYPERLINK("https://main.knesset.gov.il/APPS/legislation/main/bills/2236556", "הצעת חוק תכנון משק החלב (תיקון - קביעת מחירים וחישוב עלויות ייצור חלב), התשפ""ו-2025")</f>
        <v>2154</v>
      </c>
      <c r="E972" t="s">
        <v>2154</v>
      </c>
      <c r="F972" t="s">
        <v>2155</v>
      </c>
      <c r="G972" t="s">
        <v>14</v>
      </c>
      <c r="H972">
             </c>
      <c r="I972" t="s">
        <v>14</v>
      </c>
      <c r="J972" t="s">
        <v>242</v>
      </c>
      <c r="K972" t="s">
        <v>14</v>
      </c>
      <c r="L972" t="s">
        <v>20</v>
      </c>
      <c r="M972" t="s">
        <v>2137</v>
      </c>
      <c r="N972" t="s">
        <v>14</v>
      </c>
    </row>
    <row r="973" x14ac:dyDescent="0.25">
      <c r="A973" t="n">
        <v>25</v>
      </c>
      <c r="B973" t="s">
        <v>14</v>
      </c>
      <c r="C973" t="s">
        <v>51</v>
      </c>
      <c r="D973" s="2" t="s">
        <f>=HYPERLINK("https://main.knesset.gov.il/APPS/legislation/main/bills/2228830", "הצעת חוק להנצחת תרומתה של עליית מרכז ומזרח אירופה, התשפ""ו-2025")</f>
        <v>2156</v>
      </c>
      <c r="E973" t="s">
        <v>2156</v>
      </c>
      <c r="F973" t="s">
        <v>2157</v>
      </c>
      <c r="G973" t="s">
        <v>14</v>
      </c>
      <c r="H973">
             </c>
      <c r="I973" t="s">
        <v>14</v>
      </c>
      <c r="J973" t="s">
        <v>242</v>
      </c>
      <c r="K973" t="s">
        <v>14</v>
      </c>
      <c r="L973" t="s">
        <v>20</v>
      </c>
      <c r="M973" t="s">
        <v>2137</v>
      </c>
      <c r="N973" t="s">
        <v>14</v>
      </c>
    </row>
    <row r="974" x14ac:dyDescent="0.25">
      <c r="A974" t="n">
        <v>25</v>
      </c>
      <c r="B974" t="s">
        <v>14</v>
      </c>
      <c r="C974" t="s">
        <v>51</v>
      </c>
      <c r="D974" s="2" t="s">
        <f>=HYPERLINK("https://main.knesset.gov.il/APPS/legislation/main/bills/2235126", "הצעת חוק הפיקוח על שירותים פיננסיים (קופות גמל) (תיקון - הפקדה עצמאית לקרן השתלמות), התשפ""ו-2025")</f>
        <v>2158</v>
      </c>
      <c r="E974" t="s">
        <v>2158</v>
      </c>
      <c r="F974" t="s">
        <v>2159</v>
      </c>
      <c r="G974" t="s">
        <v>14</v>
      </c>
      <c r="H974">
             </c>
      <c r="I974" t="s">
        <v>14</v>
      </c>
      <c r="J974" t="s">
        <v>242</v>
      </c>
      <c r="K974" t="s">
        <v>14</v>
      </c>
      <c r="L974" t="s">
        <v>20</v>
      </c>
      <c r="M974" t="s">
        <v>2137</v>
      </c>
      <c r="N974" t="s">
        <v>14</v>
      </c>
    </row>
    <row r="975" x14ac:dyDescent="0.25">
      <c r="A975" t="n">
        <v>25</v>
      </c>
      <c r="B975" t="s">
        <v>14</v>
      </c>
      <c r="C975" t="s">
        <v>51</v>
      </c>
      <c r="D975" s="2" t="s">
        <f>=HYPERLINK("https://main.knesset.gov.il/APPS/legislation/main/bills/2236333", "הצעת חוק התכנון והבנייה (תיקון - פטור מהיטל השבחה למוסד ללא כוונות רווח), התשפ""ו-2025")</f>
        <v>2160</v>
      </c>
      <c r="E975" t="s">
        <v>2160</v>
      </c>
      <c r="F975" t="s">
        <v>2161</v>
      </c>
      <c r="G975" t="s">
        <v>14</v>
      </c>
      <c r="H975">
             </c>
      <c r="I975" t="s">
        <v>14</v>
      </c>
      <c r="J975" t="s">
        <v>242</v>
      </c>
      <c r="K975" t="s">
        <v>14</v>
      </c>
      <c r="L975" t="s">
        <v>20</v>
      </c>
      <c r="M975" t="s">
        <v>2137</v>
      </c>
      <c r="N975" t="s">
        <v>14</v>
      </c>
    </row>
    <row r="976" x14ac:dyDescent="0.25">
      <c r="A976" t="n">
        <v>25</v>
      </c>
      <c r="B976" t="s">
        <v>14</v>
      </c>
      <c r="C976" t="s">
        <v>51</v>
      </c>
      <c r="D976" s="2" t="s">
        <f>=HYPERLINK("https://main.knesset.gov.il/APPS/legislation/main/bills/2236871", "הצעת חוק העונשין (תיקון - ביטול העבירה על העלבת עובד ציבור), התשפ""ו-2025")</f>
        <v>2162</v>
      </c>
      <c r="E976" t="s">
        <v>2162</v>
      </c>
      <c r="F976" t="s">
        <v>2163</v>
      </c>
      <c r="G976" t="s">
        <v>14</v>
      </c>
      <c r="H976">
             </c>
      <c r="I976" t="s">
        <v>14</v>
      </c>
      <c r="J976" t="s">
        <v>242</v>
      </c>
      <c r="K976" t="s">
        <v>14</v>
      </c>
      <c r="L976" t="s">
        <v>20</v>
      </c>
      <c r="M976" t="s">
        <v>2137</v>
      </c>
      <c r="N976" t="s">
        <v>14</v>
      </c>
    </row>
    <row r="977" x14ac:dyDescent="0.25">
      <c r="A977" t="n">
        <v>25</v>
      </c>
      <c r="B977" t="s">
        <v>14</v>
      </c>
      <c r="C977" t="s">
        <v>51</v>
      </c>
      <c r="D977" s="2" t="s">
        <f>=HYPERLINK("https://main.knesset.gov.il/APPS/legislation/main/bills/2236620", "הצעת חוק תגמולים לבני משפחה של חטופים ונעדרים בפעולת איבה (תיקון - תגמול הסתגלות כלכלית), התשפ""ו-2025")</f>
        <v>2164</v>
      </c>
      <c r="E977" t="s">
        <v>2164</v>
      </c>
      <c r="F977" t="s">
        <v>2165</v>
      </c>
      <c r="G977" t="s">
        <v>14</v>
      </c>
      <c r="H977">
             </c>
      <c r="I977" t="s">
        <v>14</v>
      </c>
      <c r="J977" t="s">
        <v>242</v>
      </c>
      <c r="K977" t="s">
        <v>14</v>
      </c>
      <c r="L977" t="s">
        <v>20</v>
      </c>
      <c r="M977" t="s">
        <v>2137</v>
      </c>
      <c r="N977" t="s">
        <v>14</v>
      </c>
    </row>
    <row r="978" x14ac:dyDescent="0.25">
      <c r="A978" t="n">
        <v>25</v>
      </c>
      <c r="B978" t="s">
        <v>14</v>
      </c>
      <c r="C978" t="s">
        <v>51</v>
      </c>
      <c r="D978" s="2" t="s">
        <f>=HYPERLINK("https://main.knesset.gov.il/APPS/legislation/main/bills/2236896", "הצעת חוק ביטוח בריאות ממלכתי (תיקון - פנייה לנציב קבילות הציבור), התשפ""ו-2025")</f>
        <v>2166</v>
      </c>
      <c r="E978" t="s">
        <v>2166</v>
      </c>
      <c r="F978" t="s">
        <v>2167</v>
      </c>
      <c r="G978" t="s">
        <v>14</v>
      </c>
      <c r="H978">
             </c>
      <c r="I978" t="s">
        <v>14</v>
      </c>
      <c r="J978" t="s">
        <v>242</v>
      </c>
      <c r="K978" t="s">
        <v>14</v>
      </c>
      <c r="L978" t="s">
        <v>20</v>
      </c>
      <c r="M978" t="s">
        <v>2137</v>
      </c>
      <c r="N978" t="s">
        <v>14</v>
      </c>
    </row>
    <row r="979" x14ac:dyDescent="0.25">
      <c r="A979" t="n">
        <v>25</v>
      </c>
      <c r="B979" t="s">
        <v>14</v>
      </c>
      <c r="C979" t="s">
        <v>51</v>
      </c>
      <c r="D979" s="2" t="s">
        <f>=HYPERLINK("https://main.knesset.gov.il/APPS/legislation/main/bills/2234519", "הצעת חוק רישוי שירותים ומקצועות בענף הרכב (תיקון - הסרת מגבלות והרחבת אפשרות יבוא כלי רכב), התשפ""ו-2025")</f>
        <v>2168</v>
      </c>
      <c r="E979" t="s">
        <v>2168</v>
      </c>
      <c r="F979" t="s">
        <v>2169</v>
      </c>
      <c r="G979" t="s">
        <v>14</v>
      </c>
      <c r="H979">
             </c>
      <c r="I979" t="s">
        <v>14</v>
      </c>
      <c r="J979" t="s">
        <v>242</v>
      </c>
      <c r="K979" t="s">
        <v>14</v>
      </c>
      <c r="L979" t="s">
        <v>20</v>
      </c>
      <c r="M979" t="s">
        <v>2137</v>
      </c>
      <c r="N979" t="s">
        <v>14</v>
      </c>
    </row>
    <row r="980" x14ac:dyDescent="0.25">
      <c r="A980" t="n">
        <v>25</v>
      </c>
      <c r="B980" t="s">
        <v>14</v>
      </c>
      <c r="C980" t="s">
        <v>51</v>
      </c>
      <c r="D980" s="2" t="s">
        <f>=HYPERLINK("https://main.knesset.gov.il/APPS/legislation/main/bills/2236600", "הצעת חוק הבנקאות (שירות ללקוח) (תיקון - שירות מקוון ללקוח), התשפ""ו-2025")</f>
        <v>2170</v>
      </c>
      <c r="E980" t="s">
        <v>2170</v>
      </c>
      <c r="F980" t="s">
        <v>2171</v>
      </c>
      <c r="G980" t="s">
        <v>14</v>
      </c>
      <c r="H980">
             </c>
      <c r="I980" t="s">
        <v>14</v>
      </c>
      <c r="J980" t="s">
        <v>242</v>
      </c>
      <c r="K980" t="s">
        <v>14</v>
      </c>
      <c r="L980" t="s">
        <v>20</v>
      </c>
      <c r="M980" t="s">
        <v>2137</v>
      </c>
      <c r="N980" t="s">
        <v>14</v>
      </c>
    </row>
    <row r="981" x14ac:dyDescent="0.25">
      <c r="A981" t="n">
        <v>25</v>
      </c>
      <c r="B981" t="s">
        <v>14</v>
      </c>
      <c r="C981" t="s">
        <v>51</v>
      </c>
      <c r="D981" s="2" t="s">
        <f>=HYPERLINK("https://main.knesset.gov.il/APPS/legislation/main/bills/2235900", "הצעת חוק זכויות הסטודנט (תיקון - מעונות סטודנטים), התשפ""ו-2025")</f>
        <v>2172</v>
      </c>
      <c r="E981" t="s">
        <v>2172</v>
      </c>
      <c r="F981" t="s">
        <v>2173</v>
      </c>
      <c r="G981" t="s">
        <v>14</v>
      </c>
      <c r="H981">
             </c>
      <c r="I981" t="s">
        <v>14</v>
      </c>
      <c r="J981" t="s">
        <v>242</v>
      </c>
      <c r="K981" t="s">
        <v>14</v>
      </c>
      <c r="L981" t="s">
        <v>20</v>
      </c>
      <c r="M981" t="s">
        <v>2137</v>
      </c>
      <c r="N981" t="s">
        <v>14</v>
      </c>
    </row>
    <row r="982" x14ac:dyDescent="0.25">
      <c r="A982" t="n">
        <v>25</v>
      </c>
      <c r="B982" t="s">
        <v>14</v>
      </c>
      <c r="C982" t="s">
        <v>15</v>
      </c>
      <c r="D982" s="2" t="s">
        <f>=HYPERLINK("https://main.knesset.gov.il/APPS/legislation/main/bills/2234796", "חוק לתיקון פקודת מס הכנסה (מס' 283), התשפ""ו-2025")</f>
        <v>2174</v>
      </c>
      <c r="E982" t="s">
        <v>2174</v>
      </c>
      <c r="F982" t="s">
        <v>14</v>
      </c>
      <c r="G982" t="s">
        <v>2175</v>
      </c>
      <c r="H982" t="n">
        <v>3461</v>
      </c>
      <c r="I982" t="s">
        <v>14</v>
      </c>
      <c r="J982" t="s">
        <v>18</v>
      </c>
      <c r="K982" t="s">
        <v>24</v>
      </c>
      <c r="L982" t="s">
        <v>20</v>
      </c>
      <c r="M982" t="s">
        <v>2176</v>
      </c>
      <c r="N982" t="s">
        <v>14</v>
      </c>
    </row>
    <row r="983" x14ac:dyDescent="0.25">
      <c r="A983" t="n">
        <v>25</v>
      </c>
      <c r="B983" t="s">
        <v>14</v>
      </c>
      <c r="C983" t="s">
        <v>51</v>
      </c>
      <c r="D983" s="2" t="s">
        <f>=HYPERLINK("https://main.knesset.gov.il/APPS/legislation/main/bills/2229832", "הצעת חוק שירות המילואים, התשפ""ה-2025")</f>
        <v>2177</v>
      </c>
      <c r="E983" t="s">
        <v>2177</v>
      </c>
      <c r="F983" t="s">
        <v>2178</v>
      </c>
      <c r="G983" t="s">
        <v>14</v>
      </c>
      <c r="H983">
             </c>
      <c r="I983" t="s">
        <v>14</v>
      </c>
      <c r="J983" t="s">
        <v>193</v>
      </c>
      <c r="K983" t="s">
        <v>14</v>
      </c>
      <c r="L983" t="s">
        <v>20</v>
      </c>
      <c r="M983" t="s">
        <v>2176</v>
      </c>
      <c r="N983" t="s">
        <v>14</v>
      </c>
    </row>
    <row r="984" x14ac:dyDescent="0.25">
      <c r="A984" t="n">
        <v>25</v>
      </c>
      <c r="B984" t="s">
        <v>14</v>
      </c>
      <c r="C984" t="s">
        <v>51</v>
      </c>
      <c r="D984" s="2" t="s">
        <f>=HYPERLINK("https://main.knesset.gov.il/APPS/legislation/main/bills/2224433", "הצעת חוק קליטת חיילים משוחררים (תיקון - מענק דמי מחייה ללוחמות משוחררות), התשפ""ה-2024")</f>
        <v>2179</v>
      </c>
      <c r="E984" t="s">
        <v>2179</v>
      </c>
      <c r="F984" t="s">
        <v>2180</v>
      </c>
      <c r="G984" t="s">
        <v>14</v>
      </c>
      <c r="H984">
             </c>
      <c r="I984" t="s">
        <v>14</v>
      </c>
      <c r="J984" t="s">
        <v>193</v>
      </c>
      <c r="K984" t="s">
        <v>14</v>
      </c>
      <c r="L984" t="s">
        <v>20</v>
      </c>
      <c r="M984" t="s">
        <v>2176</v>
      </c>
      <c r="N984" t="s">
        <v>14</v>
      </c>
    </row>
    <row r="985" x14ac:dyDescent="0.25">
      <c r="A985" t="n">
        <v>25</v>
      </c>
      <c r="B985" t="s">
        <v>14</v>
      </c>
      <c r="C985" t="s">
        <v>51</v>
      </c>
      <c r="D985" s="2" t="s">
        <f>=HYPERLINK("https://main.knesset.gov.il/APPS/legislation/main/bills/2200707", "הצעת חוק הפעלת תחבורה ציבורית בשבת, התשפ""ג-2023")</f>
        <v>2181</v>
      </c>
      <c r="E985" t="s">
        <v>2181</v>
      </c>
      <c r="F985" t="s">
        <v>2182</v>
      </c>
      <c r="G985" t="s">
        <v>14</v>
      </c>
      <c r="H985">
             </c>
      <c r="I985" t="s">
        <v>14</v>
      </c>
      <c r="J985" t="s">
        <v>193</v>
      </c>
      <c r="K985" t="s">
        <v>14</v>
      </c>
      <c r="L985" t="s">
        <v>20</v>
      </c>
      <c r="M985" t="s">
        <v>2176</v>
      </c>
      <c r="N985" t="s">
        <v>14</v>
      </c>
    </row>
    <row r="986" x14ac:dyDescent="0.25">
      <c r="A986" t="n">
        <v>25</v>
      </c>
      <c r="B986" t="s">
        <v>14</v>
      </c>
      <c r="C986" t="s">
        <v>51</v>
      </c>
      <c r="D986" s="2" t="s">
        <f>=HYPERLINK("https://main.knesset.gov.il/APPS/legislation/main/bills/2198774", "הצעת חוק החובה למתן חינוך בלתי פורמאלי לילדים ולנוער, התשפ""ג-2023")</f>
        <v>2183</v>
      </c>
      <c r="E986" t="s">
        <v>2183</v>
      </c>
      <c r="F986" t="s">
        <v>2184</v>
      </c>
      <c r="G986" t="s">
        <v>14</v>
      </c>
      <c r="H986">
             </c>
      <c r="I986" t="s">
        <v>14</v>
      </c>
      <c r="J986" t="s">
        <v>193</v>
      </c>
      <c r="K986" t="s">
        <v>14</v>
      </c>
      <c r="L986" t="s">
        <v>20</v>
      </c>
      <c r="M986" t="s">
        <v>2176</v>
      </c>
      <c r="N986" t="s">
        <v>14</v>
      </c>
    </row>
    <row r="987" x14ac:dyDescent="0.25">
      <c r="A987" t="n">
        <v>25</v>
      </c>
      <c r="B987" t="s">
        <v>14</v>
      </c>
      <c r="C987" t="s">
        <v>51</v>
      </c>
      <c r="D987" s="2" t="s">
        <f>=HYPERLINK("https://main.knesset.gov.il/APPS/legislation/main/bills/2197123", "הצעת חוק הפעלת תחבורה ציבורית בשבת, התשפ""ג-2022")</f>
        <v>2185</v>
      </c>
      <c r="E987" t="s">
        <v>2185</v>
      </c>
      <c r="F987" t="s">
        <v>2186</v>
      </c>
      <c r="G987" t="s">
        <v>14</v>
      </c>
      <c r="H987">
             </c>
      <c r="I987" t="s">
        <v>14</v>
      </c>
      <c r="J987" t="s">
        <v>193</v>
      </c>
      <c r="K987" t="s">
        <v>14</v>
      </c>
      <c r="L987" t="s">
        <v>20</v>
      </c>
      <c r="M987" t="s">
        <v>2176</v>
      </c>
      <c r="N987" t="s">
        <v>14</v>
      </c>
    </row>
    <row r="988" x14ac:dyDescent="0.25">
      <c r="A988" t="n">
        <v>25</v>
      </c>
      <c r="B988" t="s">
        <v>14</v>
      </c>
      <c r="C988" t="s">
        <v>15</v>
      </c>
      <c r="D988" s="2" t="s">
        <f>=HYPERLINK("https://main.knesset.gov.il/APPS/legislation/main/bills/2219671", "הצעת חוק המרכז לגביית קנסות, אגרות והוצאות (תיקון מס' 29) (פריסת תשלום בעד חוב שטרם חלף המועד לתשלומו), התשפ""ד-2024")</f>
        <v>2187</v>
      </c>
      <c r="E988" t="s">
        <v>2187</v>
      </c>
      <c r="F988" t="s">
        <v>14</v>
      </c>
      <c r="G988" t="s">
        <v>2188</v>
      </c>
      <c r="H988">
             </c>
      <c r="I988" t="s">
        <v>14</v>
      </c>
      <c r="J988" t="s">
        <v>38</v>
      </c>
      <c r="K988" t="s">
        <v>27</v>
      </c>
      <c r="L988" t="s">
        <v>20</v>
      </c>
      <c r="M988" t="s">
        <v>2189</v>
      </c>
      <c r="N988" t="s">
        <v>14</v>
      </c>
    </row>
    <row r="989" x14ac:dyDescent="0.25">
      <c r="A989" t="n">
        <v>25</v>
      </c>
      <c r="B989" t="s">
        <v>14</v>
      </c>
      <c r="C989" t="s">
        <v>51</v>
      </c>
      <c r="D989" s="2" t="s">
        <f>=HYPERLINK("https://main.knesset.gov.il/APPS/legislation/main/bills/2202137", "הצעת חוק הדיור הציבורי (זכויות רכישה) (תיקון - הארכת תוקף והוספת תבחינים לרכישת הדירה), התשפ""ג-2023")</f>
        <v>2190</v>
      </c>
      <c r="E989" t="s">
        <v>2190</v>
      </c>
      <c r="F989" t="s">
        <v>2191</v>
      </c>
      <c r="G989" t="s">
        <v>14</v>
      </c>
      <c r="H989">
             </c>
      <c r="I989" t="s">
        <v>14</v>
      </c>
      <c r="J989" t="s">
        <v>183</v>
      </c>
      <c r="K989" t="s">
        <v>30</v>
      </c>
      <c r="L989" t="s">
        <v>20</v>
      </c>
      <c r="M989" t="s">
        <v>2189</v>
      </c>
      <c r="N989" t="s">
        <v>14</v>
      </c>
    </row>
    <row r="990" x14ac:dyDescent="0.25">
      <c r="A990" t="n">
        <v>25</v>
      </c>
      <c r="B990" t="s">
        <v>14</v>
      </c>
      <c r="C990" t="s">
        <v>51</v>
      </c>
      <c r="D990" s="2" t="s">
        <f>=HYPERLINK("https://main.knesset.gov.il/APPS/legislation/main/bills/2202302", "הצעת חוק הדיור הציבורי (זכויות רכישה) (תיקון - הארכת תוקף), התשפ""ג-2023")</f>
        <v>2192</v>
      </c>
      <c r="E990" t="s">
        <v>2192</v>
      </c>
      <c r="F990" t="s">
        <v>2193</v>
      </c>
      <c r="G990" t="s">
        <v>14</v>
      </c>
      <c r="H990">
             </c>
      <c r="I990" t="s">
        <v>14</v>
      </c>
      <c r="J990" t="s">
        <v>183</v>
      </c>
      <c r="K990" t="s">
        <v>30</v>
      </c>
      <c r="L990" t="s">
        <v>20</v>
      </c>
      <c r="M990" t="s">
        <v>2189</v>
      </c>
      <c r="N990" t="s">
        <v>14</v>
      </c>
    </row>
    <row r="991" x14ac:dyDescent="0.25">
      <c r="A991" t="n">
        <v>25</v>
      </c>
      <c r="B991" t="s">
        <v>14</v>
      </c>
      <c r="C991" t="s">
        <v>51</v>
      </c>
      <c r="D991" s="2" t="s">
        <f>=HYPERLINK("https://main.knesset.gov.il/APPS/legislation/main/bills/2202195", "הצעת חוק הדיור הציבורי (זכויות רכישה) (תיקון - הארכת תוקף), התשפ""ג-2023")</f>
        <v>2192</v>
      </c>
      <c r="E991" t="s">
        <v>2192</v>
      </c>
      <c r="F991" t="s">
        <v>2194</v>
      </c>
      <c r="G991" t="s">
        <v>14</v>
      </c>
      <c r="H991">
             </c>
      <c r="I991" t="s">
        <v>14</v>
      </c>
      <c r="J991" t="s">
        <v>183</v>
      </c>
      <c r="K991" t="s">
        <v>30</v>
      </c>
      <c r="L991" t="s">
        <v>20</v>
      </c>
      <c r="M991" t="s">
        <v>2189</v>
      </c>
      <c r="N991" t="s">
        <v>14</v>
      </c>
    </row>
    <row r="992" x14ac:dyDescent="0.25">
      <c r="A992" t="n">
        <v>25</v>
      </c>
      <c r="B992" t="s">
        <v>14</v>
      </c>
      <c r="C992" t="s">
        <v>51</v>
      </c>
      <c r="D992" s="2" t="s">
        <f>=HYPERLINK("https://main.knesset.gov.il/APPS/legislation/main/bills/2198663", "הצעת חוק הדיור הציבורי (זכויות רכישה) (תיקון - הארכת תוקף), התשפ""ג-2023")</f>
        <v>2192</v>
      </c>
      <c r="E992" t="s">
        <v>2192</v>
      </c>
      <c r="F992" t="s">
        <v>2195</v>
      </c>
      <c r="G992" t="s">
        <v>14</v>
      </c>
      <c r="H992">
             </c>
      <c r="I992" t="s">
        <v>14</v>
      </c>
      <c r="J992" t="s">
        <v>183</v>
      </c>
      <c r="K992" t="s">
        <v>30</v>
      </c>
      <c r="L992" t="s">
        <v>20</v>
      </c>
      <c r="M992" t="s">
        <v>2189</v>
      </c>
      <c r="N992" t="s">
        <v>14</v>
      </c>
    </row>
    <row r="993" x14ac:dyDescent="0.25">
      <c r="A993" t="n">
        <v>25</v>
      </c>
      <c r="B993" t="s">
        <v>14</v>
      </c>
      <c r="C993" t="s">
        <v>51</v>
      </c>
      <c r="D993" s="2" t="s">
        <f>=HYPERLINK("https://main.knesset.gov.il/APPS/legislation/main/bills/2198134", "הצעת חוק הדיור הציבורי (זכויות רכישה) (תיקון - הארכת תוקף), התשפ""ג-2022")</f>
        <v>2196</v>
      </c>
      <c r="E993" t="s">
        <v>2196</v>
      </c>
      <c r="F993" t="s">
        <v>2197</v>
      </c>
      <c r="G993" t="s">
        <v>14</v>
      </c>
      <c r="H993">
             </c>
      <c r="I993" t="s">
        <v>14</v>
      </c>
      <c r="J993" t="s">
        <v>183</v>
      </c>
      <c r="K993" t="s">
        <v>30</v>
      </c>
      <c r="L993" t="s">
        <v>20</v>
      </c>
      <c r="M993" t="s">
        <v>2189</v>
      </c>
      <c r="N993" t="s">
        <v>14</v>
      </c>
    </row>
    <row r="994" x14ac:dyDescent="0.25">
      <c r="A994" t="n">
        <v>25</v>
      </c>
      <c r="B994" t="s">
        <v>14</v>
      </c>
      <c r="C994" t="s">
        <v>15</v>
      </c>
      <c r="D994" s="2" t="s">
        <f>=HYPERLINK("https://main.knesset.gov.il/APPS/legislation/main/bills/2232163", "חוק הכניסה לישראל (תיקון מס' 43 והוראת שעה - חרבות ברזל), התשפ""ו-2025")</f>
        <v>2198</v>
      </c>
      <c r="E994" t="s">
        <v>2198</v>
      </c>
      <c r="F994" t="s">
        <v>14</v>
      </c>
      <c r="G994" t="s">
        <v>2199</v>
      </c>
      <c r="H994" t="n">
        <v>3460</v>
      </c>
      <c r="I994" t="s">
        <v>14</v>
      </c>
      <c r="J994" t="s">
        <v>18</v>
      </c>
      <c r="K994" t="s">
        <v>30</v>
      </c>
      <c r="L994" t="s">
        <v>20</v>
      </c>
      <c r="M994" t="s">
        <v>2189</v>
      </c>
      <c r="N994" t="s">
        <v>2200</v>
      </c>
    </row>
    <row r="995" x14ac:dyDescent="0.25">
      <c r="A995" t="n">
        <v>25</v>
      </c>
      <c r="B995" t="s">
        <v>14</v>
      </c>
      <c r="C995" t="s">
        <v>15</v>
      </c>
      <c r="D995" s="2" t="s">
        <f>=HYPERLINK("https://main.knesset.gov.il/APPS/legislation/main/bills/1046069", "חוק שירות לאומי-אזרחי (תיקון מס' 8), התשפ""ו-2025")</f>
        <v>2201</v>
      </c>
      <c r="E995" t="s">
        <v>2201</v>
      </c>
      <c r="F995" t="s">
        <v>14</v>
      </c>
      <c r="G995" t="s">
        <v>2202</v>
      </c>
      <c r="H995" t="n">
        <v>3458</v>
      </c>
      <c r="I995" t="s">
        <v>14</v>
      </c>
      <c r="J995" t="s">
        <v>18</v>
      </c>
      <c r="K995" t="s">
        <v>39</v>
      </c>
      <c r="L995" t="s">
        <v>20</v>
      </c>
      <c r="M995" t="s">
        <v>2203</v>
      </c>
      <c r="N995" t="s">
        <v>2204</v>
      </c>
    </row>
    <row r="996" x14ac:dyDescent="0.25">
      <c r="A996" t="n">
        <v>25</v>
      </c>
      <c r="B996" t="s">
        <v>14</v>
      </c>
      <c r="C996" t="s">
        <v>51</v>
      </c>
      <c r="D996" s="2" t="s">
        <f>=HYPERLINK("https://main.knesset.gov.il/APPS/legislation/main/bills/2224653", "הצעת חוק העונשין (תיקון - קנס על החזקת נשק בלתי חוקי), התשפ""ה-2024")</f>
        <v>2205</v>
      </c>
      <c r="E996" t="s">
        <v>2205</v>
      </c>
      <c r="F996" t="s">
        <v>2206</v>
      </c>
      <c r="G996" t="s">
        <v>14</v>
      </c>
      <c r="H996">
             </c>
      <c r="I996" t="s">
        <v>14</v>
      </c>
      <c r="J996" t="s">
        <v>152</v>
      </c>
      <c r="K996" t="s">
        <v>27</v>
      </c>
      <c r="L996" t="s">
        <v>20</v>
      </c>
      <c r="M996" t="s">
        <v>2203</v>
      </c>
      <c r="N996" t="s">
        <v>14</v>
      </c>
    </row>
    <row r="997" x14ac:dyDescent="0.25">
      <c r="A997" t="n">
        <v>25</v>
      </c>
      <c r="B997" t="s">
        <v>14</v>
      </c>
      <c r="C997" t="s">
        <v>15</v>
      </c>
      <c r="D997" s="2" t="s">
        <f>=HYPERLINK("https://main.knesset.gov.il/APPS/legislation/main/bills/2225485", "חוק הביטוח הלאומי (תיקון מס' 253 והוראות שעה), התשפ""ה-2025 ")</f>
        <v>2207</v>
      </c>
      <c r="E997" t="s">
        <v>2207</v>
      </c>
      <c r="F997" t="s">
        <v>14</v>
      </c>
      <c r="G997" t="s">
        <v>2208</v>
      </c>
      <c r="H997" t="n">
        <v>3355</v>
      </c>
      <c r="I997" t="s">
        <v>14</v>
      </c>
      <c r="J997" t="s">
        <v>18</v>
      </c>
      <c r="K997" t="s">
        <v>46</v>
      </c>
      <c r="L997" t="s">
        <v>20</v>
      </c>
      <c r="M997" t="s">
        <v>2203</v>
      </c>
      <c r="N997" t="s">
        <v>2209</v>
      </c>
    </row>
    <row r="998" x14ac:dyDescent="0.25">
      <c r="A998" t="n">
        <v>25</v>
      </c>
      <c r="B998" t="s">
        <v>14</v>
      </c>
      <c r="C998" t="s">
        <v>15</v>
      </c>
      <c r="D998" s="2" t="s">
        <f>=HYPERLINK("https://main.knesset.gov.il/APPS/legislation/main/bills/2229723", "חוק שיפוט בתי דין רבניים (נישואין וגירושין) (תיקון מס' 6 - הוראת שעה), התשפ""ו-2025")</f>
        <v>2210</v>
      </c>
      <c r="E998" t="s">
        <v>2210</v>
      </c>
      <c r="F998" t="s">
        <v>14</v>
      </c>
      <c r="G998" t="s">
        <v>2211</v>
      </c>
      <c r="H998" t="n">
        <v>3459</v>
      </c>
      <c r="I998" t="s">
        <v>14</v>
      </c>
      <c r="J998" t="s">
        <v>18</v>
      </c>
      <c r="K998" t="s">
        <v>27</v>
      </c>
      <c r="L998" t="s">
        <v>20</v>
      </c>
      <c r="M998" t="s">
        <v>2203</v>
      </c>
      <c r="N998" t="s">
        <v>14</v>
      </c>
    </row>
    <row r="999" x14ac:dyDescent="0.25">
      <c r="A999" t="n">
        <v>25</v>
      </c>
      <c r="B999" t="s">
        <v>14</v>
      </c>
      <c r="C999" t="s">
        <v>51</v>
      </c>
      <c r="D999" s="2" t="s">
        <f>=HYPERLINK("https://main.knesset.gov.il/APPS/legislation/main/bills/2236167", "הצעת חוק למניעת חסימת ציר תנועה חיוני, התשפ״ו-2025")</f>
        <v>2212</v>
      </c>
      <c r="E999" t="s">
        <v>2212</v>
      </c>
      <c r="F999" t="s">
        <v>2213</v>
      </c>
      <c r="G999" t="s">
        <v>14</v>
      </c>
      <c r="H999">
             </c>
      <c r="I999" t="s">
        <v>14</v>
      </c>
      <c r="J999" t="s">
        <v>242</v>
      </c>
      <c r="K999" t="s">
        <v>14</v>
      </c>
      <c r="L999" t="s">
        <v>20</v>
      </c>
      <c r="M999" t="s">
        <v>2203</v>
      </c>
      <c r="N999" t="s">
        <v>14</v>
      </c>
    </row>
    <row r="1000" x14ac:dyDescent="0.25">
      <c r="A1000" t="n">
        <v>25</v>
      </c>
      <c r="B1000" t="s">
        <v>14</v>
      </c>
      <c r="C1000" t="s">
        <v>51</v>
      </c>
      <c r="D1000" s="2" t="s">
        <f>=HYPERLINK("https://main.knesset.gov.il/APPS/legislation/main/bills/2236136", "הצעת חוק קרן סיוע לקבוצות כדורגל חובבניות, התשפ""ו-2025")</f>
        <v>2214</v>
      </c>
      <c r="E1000" t="s">
        <v>2214</v>
      </c>
      <c r="F1000" t="s">
        <v>2215</v>
      </c>
      <c r="G1000" t="s">
        <v>14</v>
      </c>
      <c r="H1000">
             </c>
      <c r="I1000" t="s">
        <v>14</v>
      </c>
      <c r="J1000" t="s">
        <v>242</v>
      </c>
      <c r="K1000" t="s">
        <v>14</v>
      </c>
      <c r="L1000" t="s">
        <v>20</v>
      </c>
      <c r="M1000" t="s">
        <v>2203</v>
      </c>
      <c r="N1000" t="s">
        <v>14</v>
      </c>
    </row>
    <row r="1001" x14ac:dyDescent="0.25">
      <c r="A1001" t="n">
        <v>25</v>
      </c>
      <c r="B1001" t="s">
        <v>14</v>
      </c>
      <c r="C1001" t="s">
        <v>51</v>
      </c>
      <c r="D1001" s="2" t="s">
        <f>=HYPERLINK("https://main.knesset.gov.il/APPS/legislation/main/bills/2235469", "הצעת חוק הממשלה (תיקון - כללי אתיקה לחברי הממשלה), התשפ""ו-2025")</f>
        <v>2216</v>
      </c>
      <c r="E1001" t="s">
        <v>2216</v>
      </c>
      <c r="F1001" t="s">
        <v>2217</v>
      </c>
      <c r="G1001" t="s">
        <v>14</v>
      </c>
      <c r="H1001">
             </c>
      <c r="I1001" t="s">
        <v>14</v>
      </c>
      <c r="J1001" t="s">
        <v>242</v>
      </c>
      <c r="K1001" t="s">
        <v>14</v>
      </c>
      <c r="L1001" t="s">
        <v>20</v>
      </c>
      <c r="M1001" t="s">
        <v>2203</v>
      </c>
      <c r="N1001" t="s">
        <v>14</v>
      </c>
    </row>
    <row r="1002" x14ac:dyDescent="0.25">
      <c r="A1002" t="n">
        <v>25</v>
      </c>
      <c r="B1002" t="s">
        <v>14</v>
      </c>
      <c r="C1002" t="s">
        <v>51</v>
      </c>
      <c r="D1002" s="2" t="s">
        <f>=HYPERLINK("https://main.knesset.gov.il/APPS/legislation/main/bills/2234629", "הצעת חוק-יסוד: ירושלים בירת ישראל (תיקון - שימור ערכי הטבע והמורשת הלאומית)")</f>
        <v>2218</v>
      </c>
      <c r="E1002" t="s">
        <v>2218</v>
      </c>
      <c r="F1002" t="s">
        <v>2219</v>
      </c>
      <c r="G1002" t="s">
        <v>14</v>
      </c>
      <c r="H1002">
             </c>
      <c r="I1002" t="s">
        <v>14</v>
      </c>
      <c r="J1002" t="s">
        <v>242</v>
      </c>
      <c r="K1002" t="s">
        <v>14</v>
      </c>
      <c r="L1002" t="s">
        <v>20</v>
      </c>
      <c r="M1002" t="s">
        <v>2203</v>
      </c>
      <c r="N1002" t="s">
        <v>14</v>
      </c>
    </row>
    <row r="1003" x14ac:dyDescent="0.25">
      <c r="A1003" t="n">
        <v>25</v>
      </c>
      <c r="B1003" t="s">
        <v>14</v>
      </c>
      <c r="C1003" t="s">
        <v>51</v>
      </c>
      <c r="D1003" s="2" t="s">
        <f>=HYPERLINK("https://main.knesset.gov.il/APPS/legislation/main/bills/2235559", "הצעת חוק ההוצאה לפועל (תיקון - איסור עיקול כספים המיועדים לקיום זכויות יסוד), התשפ""ו-2025")</f>
        <v>2220</v>
      </c>
      <c r="E1003" t="s">
        <v>2220</v>
      </c>
      <c r="F1003" t="s">
        <v>2221</v>
      </c>
      <c r="G1003" t="s">
        <v>14</v>
      </c>
      <c r="H1003">
             </c>
      <c r="I1003" t="s">
        <v>14</v>
      </c>
      <c r="J1003" t="s">
        <v>242</v>
      </c>
      <c r="K1003" t="s">
        <v>14</v>
      </c>
      <c r="L1003" t="s">
        <v>20</v>
      </c>
      <c r="M1003" t="s">
        <v>2203</v>
      </c>
      <c r="N1003" t="s">
        <v>14</v>
      </c>
    </row>
    <row r="1004" x14ac:dyDescent="0.25">
      <c r="A1004" t="n">
        <v>25</v>
      </c>
      <c r="B1004" t="s">
        <v>14</v>
      </c>
      <c r="C1004" t="s">
        <v>51</v>
      </c>
      <c r="D1004" s="2" t="s">
        <f>=HYPERLINK("https://main.knesset.gov.il/APPS/legislation/main/bills/2236131", "הצעת חוק לביטול חובות עבר לרשויות מקומיות מוחלשות, התשפ״ו-2025")</f>
        <v>2222</v>
      </c>
      <c r="E1004" t="s">
        <v>2222</v>
      </c>
      <c r="F1004" t="s">
        <v>2223</v>
      </c>
      <c r="G1004" t="s">
        <v>14</v>
      </c>
      <c r="H1004">
             </c>
      <c r="I1004" t="s">
        <v>14</v>
      </c>
      <c r="J1004" t="s">
        <v>242</v>
      </c>
      <c r="K1004" t="s">
        <v>14</v>
      </c>
      <c r="L1004" t="s">
        <v>20</v>
      </c>
      <c r="M1004" t="s">
        <v>2203</v>
      </c>
      <c r="N1004" t="s">
        <v>14</v>
      </c>
    </row>
    <row r="1005" x14ac:dyDescent="0.25">
      <c r="A1005" t="n">
        <v>25</v>
      </c>
      <c r="B1005" t="s">
        <v>14</v>
      </c>
      <c r="C1005" t="s">
        <v>51</v>
      </c>
      <c r="D1005" s="2" t="s">
        <f>=HYPERLINK("https://main.knesset.gov.il/APPS/legislation/main/bills/2236442", "הצעת חוק איסור הלבנת הון (תיקון - הוספת עבירת סחר לא חוקי בערכי טבע מוגנים), התשפ""ו-2025")</f>
        <v>2224</v>
      </c>
      <c r="E1005" t="s">
        <v>2224</v>
      </c>
      <c r="F1005" t="s">
        <v>2225</v>
      </c>
      <c r="G1005" t="s">
        <v>14</v>
      </c>
      <c r="H1005">
             </c>
      <c r="I1005" t="s">
        <v>14</v>
      </c>
      <c r="J1005" t="s">
        <v>202</v>
      </c>
      <c r="K1005" t="s">
        <v>14</v>
      </c>
      <c r="L1005" t="s">
        <v>20</v>
      </c>
      <c r="M1005" t="s">
        <v>2203</v>
      </c>
      <c r="N1005" t="s">
        <v>14</v>
      </c>
    </row>
    <row r="1006" x14ac:dyDescent="0.25">
      <c r="A1006" t="n">
        <v>25</v>
      </c>
      <c r="B1006" t="s">
        <v>14</v>
      </c>
      <c r="C1006" t="s">
        <v>51</v>
      </c>
      <c r="D1006" s="2" t="s">
        <f>=HYPERLINK("https://main.knesset.gov.il/APPS/legislation/main/bills/2235841", "הצעת חוק זכויות הסטודנט (תיקון - התאמות לסטודנטים לא יהודים), התשפ""ו-2025")</f>
        <v>2226</v>
      </c>
      <c r="E1006" t="s">
        <v>2226</v>
      </c>
      <c r="F1006" t="s">
        <v>2227</v>
      </c>
      <c r="G1006" t="s">
        <v>14</v>
      </c>
      <c r="H1006">
             </c>
      <c r="I1006" t="s">
        <v>14</v>
      </c>
      <c r="J1006" t="s">
        <v>242</v>
      </c>
      <c r="K1006" t="s">
        <v>14</v>
      </c>
      <c r="L1006" t="s">
        <v>20</v>
      </c>
      <c r="M1006" t="s">
        <v>2203</v>
      </c>
      <c r="N1006" t="s">
        <v>14</v>
      </c>
    </row>
    <row r="1007" x14ac:dyDescent="0.25">
      <c r="A1007" t="n">
        <v>25</v>
      </c>
      <c r="B1007" t="s">
        <v>14</v>
      </c>
      <c r="C1007" t="s">
        <v>51</v>
      </c>
      <c r="D1007" s="2" t="s">
        <f>=HYPERLINK("https://main.knesset.gov.il/APPS/legislation/main/bills/2236213", "הצעת חוק-יסוד: הכנסת (תיקון - התניית הצבעה בשירות צבאי או לאומי)")</f>
        <v>2228</v>
      </c>
      <c r="E1007" t="s">
        <v>2228</v>
      </c>
      <c r="F1007" t="s">
        <v>2229</v>
      </c>
      <c r="G1007" t="s">
        <v>14</v>
      </c>
      <c r="H1007">
             </c>
      <c r="I1007" t="s">
        <v>14</v>
      </c>
      <c r="J1007" t="s">
        <v>242</v>
      </c>
      <c r="K1007" t="s">
        <v>14</v>
      </c>
      <c r="L1007" t="s">
        <v>20</v>
      </c>
      <c r="M1007" t="s">
        <v>2203</v>
      </c>
      <c r="N1007" t="s">
        <v>14</v>
      </c>
    </row>
    <row r="1008" x14ac:dyDescent="0.25">
      <c r="A1008" t="n">
        <v>25</v>
      </c>
      <c r="B1008" t="s">
        <v>14</v>
      </c>
      <c r="C1008" t="s">
        <v>51</v>
      </c>
      <c r="D1008" s="2" t="s">
        <f>=HYPERLINK("https://main.knesset.gov.il/APPS/legislation/main/bills/2236313", "הצעת חוק המכר (דירות) (תיקון - חובת מסירת מידע על מנגנון שבת במפרט), התשפ""ו-2025")</f>
        <v>2230</v>
      </c>
      <c r="E1008" t="s">
        <v>2230</v>
      </c>
      <c r="F1008" t="s">
        <v>2231</v>
      </c>
      <c r="G1008" t="s">
        <v>14</v>
      </c>
      <c r="H1008">
             </c>
      <c r="I1008" t="s">
        <v>14</v>
      </c>
      <c r="J1008" t="s">
        <v>242</v>
      </c>
      <c r="K1008" t="s">
        <v>14</v>
      </c>
      <c r="L1008" t="s">
        <v>20</v>
      </c>
      <c r="M1008" t="s">
        <v>2203</v>
      </c>
      <c r="N1008" t="s">
        <v>14</v>
      </c>
    </row>
    <row r="1009" x14ac:dyDescent="0.25">
      <c r="A1009" t="n">
        <v>25</v>
      </c>
      <c r="B1009" t="s">
        <v>14</v>
      </c>
      <c r="C1009" t="s">
        <v>51</v>
      </c>
      <c r="D1009" s="2" t="s">
        <f>=HYPERLINK("https://main.knesset.gov.il/APPS/legislation/main/bills/2236326", "הצעת חוק יום לציון עליית יהודי צפון אפריקה לישראל במאה ה-19 (עליית הת""ר), התשפ""ו-2025")</f>
        <v>2232</v>
      </c>
      <c r="E1009" t="s">
        <v>2232</v>
      </c>
      <c r="F1009" t="s">
        <v>2233</v>
      </c>
      <c r="G1009" t="s">
        <v>14</v>
      </c>
      <c r="H1009">
             </c>
      <c r="I1009" t="s">
        <v>14</v>
      </c>
      <c r="J1009" t="s">
        <v>242</v>
      </c>
      <c r="K1009" t="s">
        <v>14</v>
      </c>
      <c r="L1009" t="s">
        <v>20</v>
      </c>
      <c r="M1009" t="s">
        <v>2203</v>
      </c>
      <c r="N1009" t="s">
        <v>14</v>
      </c>
    </row>
    <row r="1010" x14ac:dyDescent="0.25">
      <c r="A1010" t="n">
        <v>25</v>
      </c>
      <c r="B1010" t="s">
        <v>14</v>
      </c>
      <c r="C1010" t="s">
        <v>51</v>
      </c>
      <c r="D1010" s="2" t="s">
        <f>=HYPERLINK("https://main.knesset.gov.il/APPS/legislation/main/bills/2236138", "הצעת חוק יום המודעות ליתר לחץ דם, התשפ""ו-2025")</f>
        <v>2234</v>
      </c>
      <c r="E1010" t="s">
        <v>2234</v>
      </c>
      <c r="F1010" t="s">
        <v>2235</v>
      </c>
      <c r="G1010" t="s">
        <v>14</v>
      </c>
      <c r="H1010">
             </c>
      <c r="I1010" t="s">
        <v>14</v>
      </c>
      <c r="J1010" t="s">
        <v>242</v>
      </c>
      <c r="K1010" t="s">
        <v>14</v>
      </c>
      <c r="L1010" t="s">
        <v>20</v>
      </c>
      <c r="M1010" t="s">
        <v>2203</v>
      </c>
      <c r="N1010" t="s">
        <v>14</v>
      </c>
    </row>
    <row r="1011" x14ac:dyDescent="0.25">
      <c r="A1011" t="n">
        <v>25</v>
      </c>
      <c r="B1011" t="s">
        <v>14</v>
      </c>
      <c r="C1011" t="s">
        <v>51</v>
      </c>
      <c r="D1011" s="2" t="s">
        <f>=HYPERLINK("https://main.knesset.gov.il/APPS/legislation/main/bills/2236436", "הצעת חוק משפחות חיילים שנספו במערכה (תגמולים ושיקום) (תיקון - ועדת חריגים להכרה בנספה), התשפ""ו-2025")</f>
        <v>1402</v>
      </c>
      <c r="E1011" t="s">
        <v>1402</v>
      </c>
      <c r="F1011" t="s">
        <v>2236</v>
      </c>
      <c r="G1011" t="s">
        <v>14</v>
      </c>
      <c r="H1011">
             </c>
      <c r="I1011" t="s">
        <v>14</v>
      </c>
      <c r="J1011" t="s">
        <v>242</v>
      </c>
      <c r="K1011" t="s">
        <v>14</v>
      </c>
      <c r="L1011" t="s">
        <v>20</v>
      </c>
      <c r="M1011" t="s">
        <v>2203</v>
      </c>
      <c r="N1011" t="s">
        <v>14</v>
      </c>
    </row>
    <row r="1012" x14ac:dyDescent="0.25">
      <c r="A1012" t="n">
        <v>25</v>
      </c>
      <c r="B1012" t="s">
        <v>14</v>
      </c>
      <c r="C1012" t="s">
        <v>15</v>
      </c>
      <c r="D1012" s="2" t="s">
        <f>=HYPERLINK("https://main.knesset.gov.il/APPS/legislation/main/bills/1041438", "הצעת חוק המקרקעין (תיקון מס' 39) (הצמדת חניות נגישות בבית משותף חדש), התשפ""ו-2025")</f>
        <v>2237</v>
      </c>
      <c r="E1012" t="s">
        <v>2237</v>
      </c>
      <c r="F1012" t="s">
        <v>14</v>
      </c>
      <c r="G1012" t="s">
        <v>2238</v>
      </c>
      <c r="H1012">
             </c>
      <c r="I1012" t="s">
        <v>14</v>
      </c>
      <c r="J1012" t="s">
        <v>162</v>
      </c>
      <c r="K1012" t="s">
        <v>14</v>
      </c>
      <c r="L1012" t="s">
        <v>20</v>
      </c>
      <c r="M1012" t="s">
        <v>2203</v>
      </c>
      <c r="N1012" t="s">
        <v>14</v>
      </c>
    </row>
    <row r="1013" x14ac:dyDescent="0.25">
      <c r="A1013" t="n">
        <v>25</v>
      </c>
      <c r="B1013" t="s">
        <v>14</v>
      </c>
      <c r="C1013" t="s">
        <v>51</v>
      </c>
      <c r="D1013" s="2" t="s">
        <f>=HYPERLINK("https://main.knesset.gov.il/APPS/legislation/main/bills/2235553", "הצעת חוק הקמת ועדת חקירה ממלכתית לאירועי 7 באוקטובר, התשפ""ו-2025")</f>
        <v>296</v>
      </c>
      <c r="E1013" t="s">
        <v>296</v>
      </c>
      <c r="F1013" t="s">
        <v>2239</v>
      </c>
      <c r="G1013" t="s">
        <v>14</v>
      </c>
      <c r="H1013">
             </c>
      <c r="I1013" t="s">
        <v>14</v>
      </c>
      <c r="J1013" t="s">
        <v>193</v>
      </c>
      <c r="K1013" t="s">
        <v>14</v>
      </c>
      <c r="L1013" t="s">
        <v>20</v>
      </c>
      <c r="M1013" t="s">
        <v>2240</v>
      </c>
      <c r="N1013" t="s">
        <v>14</v>
      </c>
    </row>
    <row r="1014" x14ac:dyDescent="0.25">
      <c r="A1014" t="n">
        <v>25</v>
      </c>
      <c r="B1014" t="s">
        <v>14</v>
      </c>
      <c r="C1014" t="s">
        <v>51</v>
      </c>
      <c r="D1014" s="2" t="s">
        <f>=HYPERLINK("https://main.knesset.gov.il/APPS/legislation/main/bills/2231913", "הצעת חוק לעידוד השקעות הון (תיקון - הטבות למפעל מתחרה בשוק ריכוזי), התשפ""ה-2025")</f>
        <v>2241</v>
      </c>
      <c r="E1014" t="s">
        <v>2241</v>
      </c>
      <c r="F1014" t="s">
        <v>2242</v>
      </c>
      <c r="G1014" t="s">
        <v>14</v>
      </c>
      <c r="H1014">
             </c>
      <c r="I1014" t="s">
        <v>14</v>
      </c>
      <c r="J1014" t="s">
        <v>193</v>
      </c>
      <c r="K1014" t="s">
        <v>14</v>
      </c>
      <c r="L1014" t="s">
        <v>20</v>
      </c>
      <c r="M1014" t="s">
        <v>2240</v>
      </c>
      <c r="N1014" t="s">
        <v>14</v>
      </c>
    </row>
    <row r="1015" x14ac:dyDescent="0.25">
      <c r="A1015" t="n">
        <v>25</v>
      </c>
      <c r="B1015" t="s">
        <v>14</v>
      </c>
      <c r="C1015" t="s">
        <v>51</v>
      </c>
      <c r="D1015" s="2" t="s">
        <f>=HYPERLINK("https://main.knesset.gov.il/APPS/legislation/main/bills/2231038", "הצעת חוק לתיקון פקודת הראיות (חיסיון עיתונאי), התשפ""ה-2025")</f>
        <v>2243</v>
      </c>
      <c r="E1015" t="s">
        <v>2243</v>
      </c>
      <c r="F1015" t="s">
        <v>2244</v>
      </c>
      <c r="G1015" t="s">
        <v>14</v>
      </c>
      <c r="H1015">
             </c>
      <c r="I1015" t="s">
        <v>14</v>
      </c>
      <c r="J1015" t="s">
        <v>193</v>
      </c>
      <c r="K1015" t="s">
        <v>14</v>
      </c>
      <c r="L1015" t="s">
        <v>20</v>
      </c>
      <c r="M1015" t="s">
        <v>2240</v>
      </c>
      <c r="N1015" t="s">
        <v>14</v>
      </c>
    </row>
    <row r="1016" x14ac:dyDescent="0.25">
      <c r="A1016" t="n">
        <v>25</v>
      </c>
      <c r="B1016" t="s">
        <v>14</v>
      </c>
      <c r="C1016" t="s">
        <v>51</v>
      </c>
      <c r="D1016" s="2" t="s">
        <f>=HYPERLINK("https://main.knesset.gov.il/APPS/legislation/main/bills/2226911", "הצעת חוק הקמת ועדת חקירה ממלכתית לאירועי 7 באוקטובר, התשפ""ה-2025")</f>
        <v>2245</v>
      </c>
      <c r="E1016" t="s">
        <v>2245</v>
      </c>
      <c r="F1016" t="s">
        <v>2246</v>
      </c>
      <c r="G1016" t="s">
        <v>14</v>
      </c>
      <c r="H1016">
             </c>
      <c r="I1016" t="s">
        <v>14</v>
      </c>
      <c r="J1016" t="s">
        <v>193</v>
      </c>
      <c r="K1016" t="s">
        <v>14</v>
      </c>
      <c r="L1016" t="s">
        <v>20</v>
      </c>
      <c r="M1016" t="s">
        <v>2240</v>
      </c>
      <c r="N1016" t="s">
        <v>14</v>
      </c>
    </row>
    <row r="1017" x14ac:dyDescent="0.25">
      <c r="A1017" t="n">
        <v>25</v>
      </c>
      <c r="B1017" t="s">
        <v>14</v>
      </c>
      <c r="C1017" t="s">
        <v>51</v>
      </c>
      <c r="D1017" s="2" t="s">
        <f>=HYPERLINK("https://main.knesset.gov.il/APPS/legislation/main/bills/2222441", "הצעת חוק הביטוח הלאומי (תיקון - הגדלת קצבת אזרח ותיק והצמדתה לשכר הממוצע), התשפ""ה-2024")</f>
        <v>2247</v>
      </c>
      <c r="E1017" t="s">
        <v>2247</v>
      </c>
      <c r="F1017" t="s">
        <v>2248</v>
      </c>
      <c r="G1017" t="s">
        <v>14</v>
      </c>
      <c r="H1017">
             </c>
      <c r="I1017" t="s">
        <v>14</v>
      </c>
      <c r="J1017" t="s">
        <v>193</v>
      </c>
      <c r="K1017" t="s">
        <v>14</v>
      </c>
      <c r="L1017" t="s">
        <v>20</v>
      </c>
      <c r="M1017" t="s">
        <v>2240</v>
      </c>
      <c r="N1017" t="s">
        <v>14</v>
      </c>
    </row>
    <row r="1018" x14ac:dyDescent="0.25">
      <c r="A1018" t="n">
        <v>25</v>
      </c>
      <c r="B1018" t="s">
        <v>14</v>
      </c>
      <c r="C1018" t="s">
        <v>51</v>
      </c>
      <c r="D1018" s="2" t="s">
        <f>=HYPERLINK("https://main.knesset.gov.il/APPS/legislation/main/bills/2218896", "הצעת חוק הקמת ועדת חקירה ממלכתית למחדלי 7 באוקטובר, התשפ""ד-2024")</f>
        <v>2249</v>
      </c>
      <c r="E1018" t="s">
        <v>2249</v>
      </c>
      <c r="F1018" t="s">
        <v>2250</v>
      </c>
      <c r="G1018" t="s">
        <v>14</v>
      </c>
      <c r="H1018">
             </c>
      <c r="I1018" t="s">
        <v>14</v>
      </c>
      <c r="J1018" t="s">
        <v>193</v>
      </c>
      <c r="K1018" t="s">
        <v>14</v>
      </c>
      <c r="L1018" t="s">
        <v>20</v>
      </c>
      <c r="M1018" t="s">
        <v>2240</v>
      </c>
      <c r="N1018" t="s">
        <v>14</v>
      </c>
    </row>
    <row r="1019" x14ac:dyDescent="0.25">
      <c r="A1019" t="n">
        <v>25</v>
      </c>
      <c r="B1019" t="s">
        <v>14</v>
      </c>
      <c r="C1019" t="s">
        <v>51</v>
      </c>
      <c r="D1019" s="2" t="s">
        <f>=HYPERLINK("https://main.knesset.gov.il/APPS/legislation/main/bills/2214885", "הצעת חוק הביטוח הלאומי (תיקון - תוספת לחייל מילואים בהפקדות לחיסכון ארוך טווח לילד) (הוראת שעה - חרבות ברזל), התשפ""ד-2024")</f>
        <v>2251</v>
      </c>
      <c r="E1019" t="s">
        <v>2251</v>
      </c>
      <c r="F1019" t="s">
        <v>2252</v>
      </c>
      <c r="G1019" t="s">
        <v>14</v>
      </c>
      <c r="H1019">
             </c>
      <c r="I1019" t="s">
        <v>14</v>
      </c>
      <c r="J1019" t="s">
        <v>193</v>
      </c>
      <c r="K1019" t="s">
        <v>14</v>
      </c>
      <c r="L1019" t="s">
        <v>20</v>
      </c>
      <c r="M1019" t="s">
        <v>2240</v>
      </c>
      <c r="N1019" t="s">
        <v>14</v>
      </c>
    </row>
    <row r="1020" x14ac:dyDescent="0.25">
      <c r="A1020" t="n">
        <v>25</v>
      </c>
      <c r="B1020" t="s">
        <v>14</v>
      </c>
      <c r="C1020" t="s">
        <v>51</v>
      </c>
      <c r="D1020" s="2" t="s">
        <f>=HYPERLINK("https://main.knesset.gov.il/APPS/legislation/main/bills/2203237", "הצעת חוק העונשין (תיקון - איסור על עינויים ועל יחס אכזרי, בלתי אנושי ומשפיל), התשפ""ג-2023")</f>
        <v>2253</v>
      </c>
      <c r="E1020" t="s">
        <v>2253</v>
      </c>
      <c r="F1020" t="s">
        <v>2254</v>
      </c>
      <c r="G1020" t="s">
        <v>14</v>
      </c>
      <c r="H1020">
             </c>
      <c r="I1020" t="s">
        <v>14</v>
      </c>
      <c r="J1020" t="s">
        <v>193</v>
      </c>
      <c r="K1020" t="s">
        <v>14</v>
      </c>
      <c r="L1020" t="s">
        <v>20</v>
      </c>
      <c r="M1020" t="s">
        <v>2240</v>
      </c>
      <c r="N1020" t="s">
        <v>14</v>
      </c>
    </row>
    <row r="1021" x14ac:dyDescent="0.25">
      <c r="A1021" t="n">
        <v>25</v>
      </c>
      <c r="B1021" t="s">
        <v>14</v>
      </c>
      <c r="C1021" t="s">
        <v>51</v>
      </c>
      <c r="D1021" s="2" t="s">
        <f>=HYPERLINK("https://main.knesset.gov.il/APPS/legislation/main/bills/2203939", "הצעת חוק חינוך ממלכתי (תיקון - לימוד מורשת יהודי ברית המועצות לשעבר), התשפ""ג-2023")</f>
        <v>2255</v>
      </c>
      <c r="E1021" t="s">
        <v>2255</v>
      </c>
      <c r="F1021" t="s">
        <v>2256</v>
      </c>
      <c r="G1021" t="s">
        <v>14</v>
      </c>
      <c r="H1021">
             </c>
      <c r="I1021" t="s">
        <v>14</v>
      </c>
      <c r="J1021" t="s">
        <v>193</v>
      </c>
      <c r="K1021" t="s">
        <v>14</v>
      </c>
      <c r="L1021" t="s">
        <v>20</v>
      </c>
      <c r="M1021" t="s">
        <v>2240</v>
      </c>
      <c r="N1021" t="s">
        <v>14</v>
      </c>
    </row>
    <row r="1022" x14ac:dyDescent="0.25">
      <c r="A1022" t="n">
        <v>25</v>
      </c>
      <c r="B1022" t="s">
        <v>14</v>
      </c>
      <c r="C1022" t="s">
        <v>51</v>
      </c>
      <c r="D1022" s="2" t="s">
        <f>=HYPERLINK("https://main.knesset.gov.il/APPS/legislation/main/bills/2202577", "הצעת חוק המאבק בטרור (תיקון מס' 12), התשפ""ו–2025")</f>
        <v>2257</v>
      </c>
      <c r="E1022" t="s">
        <v>2257</v>
      </c>
      <c r="F1022" t="s">
        <v>2258</v>
      </c>
      <c r="G1022" t="s">
        <v>2259</v>
      </c>
      <c r="H1022">
             </c>
      <c r="I1022" t="s">
        <v>166</v>
      </c>
      <c r="J1022" t="s">
        <v>232</v>
      </c>
      <c r="K1022" t="s">
        <v>27</v>
      </c>
      <c r="L1022" t="s">
        <v>20</v>
      </c>
      <c r="M1022" t="s">
        <v>2240</v>
      </c>
      <c r="N1022" t="s">
        <v>14</v>
      </c>
    </row>
    <row r="1023" x14ac:dyDescent="0.25">
      <c r="A1023" t="n">
        <v>25</v>
      </c>
      <c r="B1023" t="s">
        <v>14</v>
      </c>
      <c r="C1023" t="s">
        <v>15</v>
      </c>
      <c r="D1023" s="2" t="s">
        <f>=HYPERLINK("https://main.knesset.gov.il/APPS/legislation/main/bills/2219670", "הצעת חוק לתיקון פקודת התעבורה (מס' 141), התשפ""ו-2025")</f>
        <v>2260</v>
      </c>
      <c r="E1023" t="s">
        <v>2260</v>
      </c>
      <c r="F1023" t="s">
        <v>14</v>
      </c>
      <c r="G1023" t="s">
        <v>2261</v>
      </c>
      <c r="H1023">
             </c>
      <c r="I1023" t="s">
        <v>14</v>
      </c>
      <c r="J1023" t="s">
        <v>180</v>
      </c>
      <c r="K1023" t="s">
        <v>84</v>
      </c>
      <c r="L1023" t="s">
        <v>20</v>
      </c>
      <c r="M1023" t="s">
        <v>2240</v>
      </c>
      <c r="N1023" t="s">
        <v>14</v>
      </c>
    </row>
    <row r="1024" x14ac:dyDescent="0.25">
      <c r="A1024" t="n">
        <v>25</v>
      </c>
      <c r="B1024" t="s">
        <v>14</v>
      </c>
      <c r="C1024" t="s">
        <v>15</v>
      </c>
      <c r="D1024" s="2" t="s">
        <f>=HYPERLINK("https://main.knesset.gov.il/APPS/legislation/main/bills/2207376", "הצעת חוק זכויות לאנשים עם מוגבלות המועסקים כמשתקמים, התשפ""ג-2023")</f>
        <v>2262</v>
      </c>
      <c r="E1024" t="s">
        <v>2262</v>
      </c>
      <c r="F1024" t="s">
        <v>14</v>
      </c>
      <c r="G1024" t="s">
        <v>2263</v>
      </c>
      <c r="H1024">
             </c>
      <c r="I1024" t="s">
        <v>14</v>
      </c>
      <c r="J1024" t="s">
        <v>38</v>
      </c>
      <c r="K1024" t="s">
        <v>46</v>
      </c>
      <c r="L1024" t="s">
        <v>20</v>
      </c>
      <c r="M1024" t="s">
        <v>2264</v>
      </c>
      <c r="N1024" t="s">
        <v>14</v>
      </c>
    </row>
    <row r="1025" x14ac:dyDescent="0.25">
      <c r="A1025" t="n">
        <v>25</v>
      </c>
      <c r="B1025" t="s">
        <v>14</v>
      </c>
      <c r="C1025" t="s">
        <v>51</v>
      </c>
      <c r="D1025" s="2" t="s">
        <f>=HYPERLINK("https://main.knesset.gov.il/APPS/legislation/main/bills/2236279", "הצעת חוק תגמולים לחיילים ולבני משפחותיהם (חבלה שלא בעת מילוי תפקיד) (תיקון - חבלה שאירעה לחייל מילואים בתקופת שירות המילואים במלחמת חרבות ברזל) (הוראת שעה), התשפ""ו-2025")</f>
        <v>2265</v>
      </c>
      <c r="E1025" t="s">
        <v>2265</v>
      </c>
      <c r="F1025" t="s">
        <v>2266</v>
      </c>
      <c r="G1025" t="s">
        <v>14</v>
      </c>
      <c r="H1025">
             </c>
      <c r="I1025" t="s">
        <v>14</v>
      </c>
      <c r="J1025" t="s">
        <v>242</v>
      </c>
      <c r="K1025" t="s">
        <v>14</v>
      </c>
      <c r="L1025" t="s">
        <v>20</v>
      </c>
      <c r="M1025" t="s">
        <v>2264</v>
      </c>
      <c r="N1025" t="s">
        <v>14</v>
      </c>
    </row>
    <row r="1026" x14ac:dyDescent="0.25">
      <c r="A1026" t="n">
        <v>25</v>
      </c>
      <c r="B1026" t="s">
        <v>14</v>
      </c>
      <c r="C1026" t="s">
        <v>51</v>
      </c>
      <c r="D1026" s="2" t="s">
        <f>=HYPERLINK("https://main.knesset.gov.il/APPS/legislation/main/bills/2234673", "הצעת חוק לצמצום השימוש במזומן (תיקון - הארכת הוראת השעה לעניין שימוש במזומן בעסקאות עם תושבי האזור או תושבי המועצה הפלסטינית), התשפ""ו-2025")</f>
        <v>2267</v>
      </c>
      <c r="E1026" t="s">
        <v>2267</v>
      </c>
      <c r="F1026" t="s">
        <v>2268</v>
      </c>
      <c r="G1026" t="s">
        <v>14</v>
      </c>
      <c r="H1026">
             </c>
      <c r="I1026" t="s">
        <v>14</v>
      </c>
      <c r="J1026" t="s">
        <v>242</v>
      </c>
      <c r="K1026" t="s">
        <v>14</v>
      </c>
      <c r="L1026" t="s">
        <v>20</v>
      </c>
      <c r="M1026" t="s">
        <v>2264</v>
      </c>
      <c r="N1026" t="s">
        <v>14</v>
      </c>
    </row>
    <row r="1027" x14ac:dyDescent="0.25">
      <c r="A1027" t="n">
        <v>25</v>
      </c>
      <c r="B1027" t="s">
        <v>14</v>
      </c>
      <c r="C1027" t="s">
        <v>51</v>
      </c>
      <c r="D1027" s="2" t="s">
        <f>=HYPERLINK("https://main.knesset.gov.il/APPS/legislation/main/bills/2234600", "הצעת חוק המועצה להנצחת מורשת יהדות איראן והמדינות הסמוכות, התשפ""ו-2025")</f>
        <v>2269</v>
      </c>
      <c r="E1027" t="s">
        <v>2269</v>
      </c>
      <c r="F1027" t="s">
        <v>2270</v>
      </c>
      <c r="G1027" t="s">
        <v>14</v>
      </c>
      <c r="H1027">
             </c>
      <c r="I1027" t="s">
        <v>14</v>
      </c>
      <c r="J1027" t="s">
        <v>202</v>
      </c>
      <c r="K1027" t="s">
        <v>14</v>
      </c>
      <c r="L1027" t="s">
        <v>20</v>
      </c>
      <c r="M1027" t="s">
        <v>2264</v>
      </c>
      <c r="N1027" t="s">
        <v>14</v>
      </c>
    </row>
    <row r="1028" x14ac:dyDescent="0.25">
      <c r="A1028" t="n">
        <v>25</v>
      </c>
      <c r="B1028" t="s">
        <v>14</v>
      </c>
      <c r="C1028" t="s">
        <v>51</v>
      </c>
      <c r="D1028" s="2" t="s">
        <f>=HYPERLINK("https://main.knesset.gov.il/APPS/legislation/main/bills/2236117", "הצעת חוק קליטת חיילים משוחררים (תיקון - שמירת זכויות לחייל ששירת במילואים בתום שירות סדיר), התשפ""ו-2025")</f>
        <v>2271</v>
      </c>
      <c r="E1028" t="s">
        <v>2271</v>
      </c>
      <c r="F1028" t="s">
        <v>2272</v>
      </c>
      <c r="G1028" t="s">
        <v>14</v>
      </c>
      <c r="H1028">
             </c>
      <c r="I1028" t="s">
        <v>14</v>
      </c>
      <c r="J1028" t="s">
        <v>242</v>
      </c>
      <c r="K1028" t="s">
        <v>14</v>
      </c>
      <c r="L1028" t="s">
        <v>20</v>
      </c>
      <c r="M1028" t="s">
        <v>2264</v>
      </c>
      <c r="N1028" t="s">
        <v>14</v>
      </c>
    </row>
    <row r="1029" x14ac:dyDescent="0.25">
      <c r="A1029" t="n">
        <v>25</v>
      </c>
      <c r="B1029" t="s">
        <v>14</v>
      </c>
      <c r="C1029" t="s">
        <v>51</v>
      </c>
      <c r="D1029" s="2" t="s">
        <f>=HYPERLINK("https://main.knesset.gov.il/APPS/legislation/main/bills/2236363", "הצעת חוק לימוד חובה (תיקון - מימון המדינה לביטוח תאונות אישיות והגברת האכיפה והפיקוח על תשלומי הורים), התשפ""ו-2025")</f>
        <v>2273</v>
      </c>
      <c r="E1029" t="s">
        <v>2273</v>
      </c>
      <c r="F1029" t="s">
        <v>2274</v>
      </c>
      <c r="G1029" t="s">
        <v>14</v>
      </c>
      <c r="H1029">
             </c>
      <c r="I1029" t="s">
        <v>14</v>
      </c>
      <c r="J1029" t="s">
        <v>242</v>
      </c>
      <c r="K1029" t="s">
        <v>14</v>
      </c>
      <c r="L1029" t="s">
        <v>20</v>
      </c>
      <c r="M1029" t="s">
        <v>2264</v>
      </c>
      <c r="N1029" t="s">
        <v>14</v>
      </c>
    </row>
    <row r="1030" x14ac:dyDescent="0.25">
      <c r="A1030" t="n">
        <v>25</v>
      </c>
      <c r="B1030" t="s">
        <v>14</v>
      </c>
      <c r="C1030" t="s">
        <v>51</v>
      </c>
      <c r="D1030" s="2" t="s">
        <f>=HYPERLINK("https://main.knesset.gov.il/APPS/legislation/main/bills/2229786", "הצעת חוק איסור אלימות בספורט (תיקון - החמרת ענישה ואיסור הסתרת פנים), התשפ""ו-2025")</f>
        <v>2275</v>
      </c>
      <c r="E1030" t="s">
        <v>2275</v>
      </c>
      <c r="F1030" t="s">
        <v>2276</v>
      </c>
      <c r="G1030" t="s">
        <v>14</v>
      </c>
      <c r="H1030">
             </c>
      <c r="I1030" t="s">
        <v>14</v>
      </c>
      <c r="J1030" t="s">
        <v>242</v>
      </c>
      <c r="K1030" t="s">
        <v>14</v>
      </c>
      <c r="L1030" t="s">
        <v>20</v>
      </c>
      <c r="M1030" t="s">
        <v>2264</v>
      </c>
      <c r="N1030" t="s">
        <v>14</v>
      </c>
    </row>
    <row r="1031" x14ac:dyDescent="0.25">
      <c r="A1031" t="n">
        <v>25</v>
      </c>
      <c r="B1031" t="s">
        <v>14</v>
      </c>
      <c r="C1031" t="s">
        <v>51</v>
      </c>
      <c r="D1031" s="2" t="s">
        <f>=HYPERLINK("https://main.knesset.gov.il/APPS/legislation/main/bills/2235764", "הצעת חוק לתיקון פקודת מס הכנסה (זיכוי בעד תרומת מזון), התשפ""ו-2025")</f>
        <v>2277</v>
      </c>
      <c r="E1031" t="s">
        <v>2277</v>
      </c>
      <c r="F1031" t="s">
        <v>2278</v>
      </c>
      <c r="G1031" t="s">
        <v>14</v>
      </c>
      <c r="H1031">
             </c>
      <c r="I1031" t="s">
        <v>14</v>
      </c>
      <c r="J1031" t="s">
        <v>242</v>
      </c>
      <c r="K1031" t="s">
        <v>14</v>
      </c>
      <c r="L1031" t="s">
        <v>20</v>
      </c>
      <c r="M1031" t="s">
        <v>2264</v>
      </c>
      <c r="N1031" t="s">
        <v>14</v>
      </c>
    </row>
    <row r="1032" x14ac:dyDescent="0.25">
      <c r="A1032" t="n">
        <v>25</v>
      </c>
      <c r="B1032" t="s">
        <v>14</v>
      </c>
      <c r="C1032" t="s">
        <v>51</v>
      </c>
      <c r="D1032" s="2" t="s">
        <f>=HYPERLINK("https://main.knesset.gov.il/APPS/legislation/main/bills/2236018", "הצעת חוק איסור הפליית משרתים בשירות הביטחוני, הלאומי והאזרחי, התשפ""ו-2025 ")</f>
        <v>2279</v>
      </c>
      <c r="E1032" t="s">
        <v>2279</v>
      </c>
      <c r="F1032" t="s">
        <v>2280</v>
      </c>
      <c r="G1032" t="s">
        <v>14</v>
      </c>
      <c r="H1032">
             </c>
      <c r="I1032" t="s">
        <v>14</v>
      </c>
      <c r="J1032" t="s">
        <v>242</v>
      </c>
      <c r="K1032" t="s">
        <v>14</v>
      </c>
      <c r="L1032" t="s">
        <v>20</v>
      </c>
      <c r="M1032" t="s">
        <v>2264</v>
      </c>
      <c r="N1032" t="s">
        <v>14</v>
      </c>
    </row>
    <row r="1033" x14ac:dyDescent="0.25">
      <c r="A1033" t="n">
        <v>25</v>
      </c>
      <c r="B1033" t="s">
        <v>14</v>
      </c>
      <c r="C1033" t="s">
        <v>51</v>
      </c>
      <c r="D1033" s="2" t="s">
        <f>=HYPERLINK("https://main.knesset.gov.il/APPS/legislation/main/bills/2235768", "הצעת חוק צער בעלי חיים (הגנה על בעלי חיים) (תיקון - איסור שימוש בתרנגולות במנהג הכפרות), התשפ""ו-2025")</f>
        <v>2281</v>
      </c>
      <c r="E1033" t="s">
        <v>2281</v>
      </c>
      <c r="F1033" t="s">
        <v>2282</v>
      </c>
      <c r="G1033" t="s">
        <v>14</v>
      </c>
      <c r="H1033">
             </c>
      <c r="I1033" t="s">
        <v>14</v>
      </c>
      <c r="J1033" t="s">
        <v>242</v>
      </c>
      <c r="K1033" t="s">
        <v>14</v>
      </c>
      <c r="L1033" t="s">
        <v>20</v>
      </c>
      <c r="M1033" t="s">
        <v>2264</v>
      </c>
      <c r="N1033" t="s">
        <v>14</v>
      </c>
    </row>
    <row r="1034" x14ac:dyDescent="0.25">
      <c r="A1034" t="n">
        <v>25</v>
      </c>
      <c r="B1034" t="s">
        <v>14</v>
      </c>
      <c r="C1034" t="s">
        <v>51</v>
      </c>
      <c r="D1034" s="2" t="s">
        <f>=HYPERLINK("https://main.knesset.gov.il/APPS/legislation/main/bills/2235367", "הצעת חוק הבנקאות (שירות ללקוח) (תיקון - עיקול זמני), התשפ""ו-2025")</f>
        <v>2283</v>
      </c>
      <c r="E1034" t="s">
        <v>2283</v>
      </c>
      <c r="F1034" t="s">
        <v>2284</v>
      </c>
      <c r="G1034" t="s">
        <v>14</v>
      </c>
      <c r="H1034">
             </c>
      <c r="I1034" t="s">
        <v>14</v>
      </c>
      <c r="J1034" t="s">
        <v>242</v>
      </c>
      <c r="K1034" t="s">
        <v>14</v>
      </c>
      <c r="L1034" t="s">
        <v>20</v>
      </c>
      <c r="M1034" t="s">
        <v>2264</v>
      </c>
      <c r="N1034" t="s">
        <v>14</v>
      </c>
    </row>
    <row r="1035" x14ac:dyDescent="0.25">
      <c r="A1035" t="n">
        <v>25</v>
      </c>
      <c r="B1035" t="s">
        <v>14</v>
      </c>
      <c r="C1035" t="s">
        <v>51</v>
      </c>
      <c r="D1035" s="2" t="s">
        <f>=HYPERLINK("https://main.knesset.gov.il/APPS/legislation/main/bills/2236155", "הצעת חוק לתיקון פקודת המשטרה (הצבת מערכת צילום ביומטרית לצורך מניעת אלימות במגרשי הספורט) (הוראת שעה), התשפ""ו-2025")</f>
        <v>2285</v>
      </c>
      <c r="E1035" t="s">
        <v>2285</v>
      </c>
      <c r="F1035" t="s">
        <v>2286</v>
      </c>
      <c r="G1035" t="s">
        <v>14</v>
      </c>
      <c r="H1035">
             </c>
      <c r="I1035" t="s">
        <v>14</v>
      </c>
      <c r="J1035" t="s">
        <v>242</v>
      </c>
      <c r="K1035" t="s">
        <v>14</v>
      </c>
      <c r="L1035" t="s">
        <v>20</v>
      </c>
      <c r="M1035" t="s">
        <v>2264</v>
      </c>
      <c r="N1035" t="s">
        <v>14</v>
      </c>
    </row>
    <row r="1036" x14ac:dyDescent="0.25">
      <c r="A1036" t="n">
        <v>25</v>
      </c>
      <c r="B1036" t="s">
        <v>14</v>
      </c>
      <c r="C1036" t="s">
        <v>51</v>
      </c>
      <c r="D1036" s="2" t="s">
        <f>=HYPERLINK("https://main.knesset.gov.il/APPS/legislation/main/bills/2236174", "הצעת חוק הרשות לטיפול בנפגעי פוסט-טראומה והלומי קרב, התשפ""ו-2025")</f>
        <v>2287</v>
      </c>
      <c r="E1036" t="s">
        <v>2287</v>
      </c>
      <c r="F1036" t="s">
        <v>2288</v>
      </c>
      <c r="G1036" t="s">
        <v>14</v>
      </c>
      <c r="H1036">
             </c>
      <c r="I1036" t="s">
        <v>14</v>
      </c>
      <c r="J1036" t="s">
        <v>242</v>
      </c>
      <c r="K1036" t="s">
        <v>14</v>
      </c>
      <c r="L1036" t="s">
        <v>20</v>
      </c>
      <c r="M1036" t="s">
        <v>2264</v>
      </c>
      <c r="N1036" t="s">
        <v>14</v>
      </c>
    </row>
    <row r="1037" x14ac:dyDescent="0.25">
      <c r="A1037" t="n">
        <v>25</v>
      </c>
      <c r="B1037" t="s">
        <v>14</v>
      </c>
      <c r="C1037" t="s">
        <v>51</v>
      </c>
      <c r="D1037" s="2" t="s">
        <f>=HYPERLINK("https://main.knesset.gov.il/APPS/legislation/main/bills/2235563", "הצעת חוק התחרות הכלכלית (תיקון - הגבלת העלאת מחירים במונופולין), התשפ""ו-2025")</f>
        <v>2289</v>
      </c>
      <c r="E1037" t="s">
        <v>2289</v>
      </c>
      <c r="F1037" t="s">
        <v>2290</v>
      </c>
      <c r="G1037" t="s">
        <v>14</v>
      </c>
      <c r="H1037">
             </c>
      <c r="I1037" t="s">
        <v>14</v>
      </c>
      <c r="J1037" t="s">
        <v>242</v>
      </c>
      <c r="K1037" t="s">
        <v>14</v>
      </c>
      <c r="L1037" t="s">
        <v>20</v>
      </c>
      <c r="M1037" t="s">
        <v>2264</v>
      </c>
      <c r="N1037" t="s">
        <v>14</v>
      </c>
    </row>
    <row r="1038" x14ac:dyDescent="0.25">
      <c r="A1038" t="n">
        <v>25</v>
      </c>
      <c r="B1038" t="s">
        <v>14</v>
      </c>
      <c r="C1038" t="s">
        <v>51</v>
      </c>
      <c r="D1038" s="2" t="s">
        <f>=HYPERLINK("https://main.knesset.gov.il/APPS/legislation/main/bills/2235429", "הצעת חוק המינהל האזרחי (הכפפת קציני מטה למשרדי הממשלה), התשפ״ו-2025")</f>
        <v>2291</v>
      </c>
      <c r="E1038" t="s">
        <v>2291</v>
      </c>
      <c r="F1038" t="s">
        <v>2292</v>
      </c>
      <c r="G1038" t="s">
        <v>14</v>
      </c>
      <c r="H1038">
             </c>
      <c r="I1038" t="s">
        <v>14</v>
      </c>
      <c r="J1038" t="s">
        <v>242</v>
      </c>
      <c r="K1038" t="s">
        <v>14</v>
      </c>
      <c r="L1038" t="s">
        <v>20</v>
      </c>
      <c r="M1038" t="s">
        <v>2264</v>
      </c>
      <c r="N1038" t="s">
        <v>14</v>
      </c>
    </row>
    <row r="1039" x14ac:dyDescent="0.25">
      <c r="A1039" t="n">
        <v>25</v>
      </c>
      <c r="B1039" t="s">
        <v>14</v>
      </c>
      <c r="C1039" t="s">
        <v>51</v>
      </c>
      <c r="D1039" s="2" t="s">
        <f>=HYPERLINK("https://main.knesset.gov.il/APPS/legislation/main/bills/2235644", "הצעת חוק יום לציון זכרו ופועלו של אלי כהן, התשפ""ו-2025")</f>
        <v>2293</v>
      </c>
      <c r="E1039" t="s">
        <v>2293</v>
      </c>
      <c r="F1039" t="s">
        <v>2294</v>
      </c>
      <c r="G1039" t="s">
        <v>14</v>
      </c>
      <c r="H1039">
             </c>
      <c r="I1039" t="s">
        <v>14</v>
      </c>
      <c r="J1039" t="s">
        <v>242</v>
      </c>
      <c r="K1039" t="s">
        <v>14</v>
      </c>
      <c r="L1039" t="s">
        <v>20</v>
      </c>
      <c r="M1039" t="s">
        <v>2264</v>
      </c>
      <c r="N1039" t="s">
        <v>14</v>
      </c>
    </row>
    <row r="1040" x14ac:dyDescent="0.25">
      <c r="A1040" t="n">
        <v>25</v>
      </c>
      <c r="B1040" t="s">
        <v>14</v>
      </c>
      <c r="C1040" t="s">
        <v>51</v>
      </c>
      <c r="D1040" s="2" t="s">
        <f>=HYPERLINK("https://main.knesset.gov.il/APPS/legislation/main/bills/2236116", "הצעת חוק צער בעלי חיים (ניסויים בבעלי חיים) (תיקון - הגברת הפיקוח על ניסויים), התשפ""ו-2025")</f>
        <v>2295</v>
      </c>
      <c r="E1040" t="s">
        <v>2295</v>
      </c>
      <c r="F1040" t="s">
        <v>2296</v>
      </c>
      <c r="G1040" t="s">
        <v>14</v>
      </c>
      <c r="H1040">
             </c>
      <c r="I1040" t="s">
        <v>14</v>
      </c>
      <c r="J1040" t="s">
        <v>242</v>
      </c>
      <c r="K1040" t="s">
        <v>14</v>
      </c>
      <c r="L1040" t="s">
        <v>20</v>
      </c>
      <c r="M1040" t="s">
        <v>2264</v>
      </c>
      <c r="N1040" t="s">
        <v>14</v>
      </c>
    </row>
    <row r="1041" x14ac:dyDescent="0.25">
      <c r="A1041" t="n">
        <v>25</v>
      </c>
      <c r="B1041" t="s">
        <v>14</v>
      </c>
      <c r="C1041" t="s">
        <v>51</v>
      </c>
      <c r="D1041" s="2" t="s">
        <f>=HYPERLINK("https://main.knesset.gov.il/APPS/legislation/main/bills/2220892", "הצעת חוק בתי המשפט (תיקון מס' 108) (פרסום פסיקה בענייני משפחה), התשפ""ו–2025")</f>
        <v>2297</v>
      </c>
      <c r="E1041" t="s">
        <v>2297</v>
      </c>
      <c r="F1041" t="s">
        <v>2298</v>
      </c>
      <c r="G1041" t="s">
        <v>2299</v>
      </c>
      <c r="H1041">
             </c>
      <c r="I1041" t="s">
        <v>14</v>
      </c>
      <c r="J1041" t="s">
        <v>162</v>
      </c>
      <c r="K1041" t="s">
        <v>27</v>
      </c>
      <c r="L1041" t="s">
        <v>20</v>
      </c>
      <c r="M1041" t="s">
        <v>2264</v>
      </c>
      <c r="N1041" t="s">
        <v>14</v>
      </c>
    </row>
    <row r="1042" x14ac:dyDescent="0.25">
      <c r="A1042" t="n">
        <v>25</v>
      </c>
      <c r="B1042" t="s">
        <v>14</v>
      </c>
      <c r="C1042" t="s">
        <v>15</v>
      </c>
      <c r="D1042" s="2" t="s">
        <f>=HYPERLINK("https://main.knesset.gov.il/APPS/legislation/main/bills/1045808", "הצעת חוק מרשם בעלי שליטה בתאגידים, התשפ""ו-2025")</f>
        <v>2300</v>
      </c>
      <c r="E1042" t="s">
        <v>2300</v>
      </c>
      <c r="F1042" t="s">
        <v>14</v>
      </c>
      <c r="G1042" t="s">
        <v>2301</v>
      </c>
      <c r="H1042">
             </c>
      <c r="I1042" t="s">
        <v>14</v>
      </c>
      <c r="J1042" t="s">
        <v>162</v>
      </c>
      <c r="K1042" t="s">
        <v>14</v>
      </c>
      <c r="L1042" t="s">
        <v>20</v>
      </c>
      <c r="M1042" t="s">
        <v>2264</v>
      </c>
      <c r="N1042" t="s">
        <v>14</v>
      </c>
    </row>
    <row r="1043" x14ac:dyDescent="0.25">
      <c r="A1043" t="n">
        <v>25</v>
      </c>
      <c r="B1043" t="s">
        <v>14</v>
      </c>
      <c r="C1043" t="s">
        <v>51</v>
      </c>
      <c r="D1043" s="2" t="s">
        <f>=HYPERLINK("https://main.knesset.gov.il/APPS/legislation/main/bills/2230426", "הצעת חוק איסור הלבנת הון (תיקון - הוספת עבירת סחר לא חוקי בערכי טבע מוגנים), התשפ""ה-2025")</f>
        <v>2302</v>
      </c>
      <c r="E1043" t="s">
        <v>2302</v>
      </c>
      <c r="F1043" t="s">
        <v>2303</v>
      </c>
      <c r="G1043" t="s">
        <v>14</v>
      </c>
      <c r="H1043">
             </c>
      <c r="I1043" t="s">
        <v>14</v>
      </c>
      <c r="J1043" t="s">
        <v>432</v>
      </c>
      <c r="K1043" t="s">
        <v>14</v>
      </c>
      <c r="L1043" t="s">
        <v>20</v>
      </c>
      <c r="M1043" t="s">
        <v>2304</v>
      </c>
      <c r="N1043" t="s">
        <v>14</v>
      </c>
    </row>
    <row r="1044" x14ac:dyDescent="0.25">
      <c r="A1044" t="n">
        <v>25</v>
      </c>
      <c r="B1044" t="s">
        <v>14</v>
      </c>
      <c r="C1044" t="s">
        <v>51</v>
      </c>
      <c r="D1044" s="2" t="s">
        <f>=HYPERLINK("https://main.knesset.gov.il/APPS/legislation/main/bills/2229754", "הצעת חוק לתיקון פקודת התעבורה (זמינות קווי שירות לאוטובוסים בלילה), התשפ""ה-2025")</f>
        <v>2305</v>
      </c>
      <c r="E1044" t="s">
        <v>2305</v>
      </c>
      <c r="F1044" t="s">
        <v>2306</v>
      </c>
      <c r="G1044" t="s">
        <v>14</v>
      </c>
      <c r="H1044">
             </c>
      <c r="I1044" t="s">
        <v>14</v>
      </c>
      <c r="J1044" t="s">
        <v>193</v>
      </c>
      <c r="K1044" t="s">
        <v>14</v>
      </c>
      <c r="L1044" t="s">
        <v>20</v>
      </c>
      <c r="M1044" t="s">
        <v>2304</v>
      </c>
      <c r="N1044" t="s">
        <v>14</v>
      </c>
    </row>
    <row r="1045" x14ac:dyDescent="0.25">
      <c r="A1045" t="n">
        <v>25</v>
      </c>
      <c r="B1045" t="s">
        <v>14</v>
      </c>
      <c r="C1045" t="s">
        <v>51</v>
      </c>
      <c r="D1045" s="2" t="s">
        <f>=HYPERLINK("https://main.knesset.gov.il/APPS/legislation/main/bills/2230039", "הצעת חוק-יסוד: הכנסת (תיקון - התניית הצבעה בשירות צבאי או לאומי)")</f>
        <v>2228</v>
      </c>
      <c r="E1045" t="s">
        <v>2228</v>
      </c>
      <c r="F1045" t="s">
        <v>2307</v>
      </c>
      <c r="G1045" t="s">
        <v>14</v>
      </c>
      <c r="H1045">
             </c>
      <c r="I1045" t="s">
        <v>14</v>
      </c>
      <c r="J1045" t="s">
        <v>193</v>
      </c>
      <c r="K1045" t="s">
        <v>14</v>
      </c>
      <c r="L1045" t="s">
        <v>20</v>
      </c>
      <c r="M1045" t="s">
        <v>2304</v>
      </c>
      <c r="N1045" t="s">
        <v>14</v>
      </c>
    </row>
    <row r="1046" x14ac:dyDescent="0.25">
      <c r="A1046" t="n">
        <v>25</v>
      </c>
      <c r="B1046" t="s">
        <v>14</v>
      </c>
      <c r="C1046" t="s">
        <v>51</v>
      </c>
      <c r="D1046" s="2" t="s">
        <f>=HYPERLINK("https://main.knesset.gov.il/APPS/legislation/main/bills/2207023", "הצעת חוק הרחבת האמצעים למאבק בארגוני פשיעה (תיקוני חקיקה), התשפ""ו–2025")</f>
        <v>2308</v>
      </c>
      <c r="E1046" t="s">
        <v>2308</v>
      </c>
      <c r="F1046" t="s">
        <v>2309</v>
      </c>
      <c r="G1046" t="s">
        <v>2310</v>
      </c>
      <c r="H1046">
             </c>
      <c r="I1046" t="s">
        <v>14</v>
      </c>
      <c r="J1046" t="s">
        <v>162</v>
      </c>
      <c r="K1046" t="s">
        <v>19</v>
      </c>
      <c r="L1046" t="s">
        <v>20</v>
      </c>
      <c r="M1046" t="s">
        <v>2304</v>
      </c>
      <c r="N1046" t="s">
        <v>14</v>
      </c>
    </row>
    <row r="1047" x14ac:dyDescent="0.25">
      <c r="A1047" t="n">
        <v>25</v>
      </c>
      <c r="B1047" t="s">
        <v>14</v>
      </c>
      <c r="C1047" t="s">
        <v>51</v>
      </c>
      <c r="D1047" s="2" t="s">
        <f>=HYPERLINK("https://main.knesset.gov.il/APPS/legislation/main/bills/2196659", "הצעת חוק-יסוד: כבוד האדם וחירותו (תיקון - הוספת סעיף שוויון)")</f>
        <v>2311</v>
      </c>
      <c r="E1047" t="s">
        <v>2311</v>
      </c>
      <c r="F1047" t="s">
        <v>2312</v>
      </c>
      <c r="G1047" t="s">
        <v>14</v>
      </c>
      <c r="H1047">
             </c>
      <c r="I1047" t="s">
        <v>14</v>
      </c>
      <c r="J1047" t="s">
        <v>193</v>
      </c>
      <c r="K1047" t="s">
        <v>14</v>
      </c>
      <c r="L1047" t="s">
        <v>20</v>
      </c>
      <c r="M1047" t="s">
        <v>2304</v>
      </c>
      <c r="N1047" t="s">
        <v>14</v>
      </c>
    </row>
    <row r="1048" x14ac:dyDescent="0.25">
      <c r="A1048" t="n">
        <v>25</v>
      </c>
      <c r="B1048" t="s">
        <v>14</v>
      </c>
      <c r="C1048" t="s">
        <v>15</v>
      </c>
      <c r="D1048" s="2" t="s">
        <f>=HYPERLINK("https://main.knesset.gov.il/APPS/legislation/main/bills/2221105", "הצעת חוק העסקת עובדים על ידי קבלני כוח אדם (תיקון מס' 13), התשפ""ו-2025")</f>
        <v>2313</v>
      </c>
      <c r="E1048" t="s">
        <v>2313</v>
      </c>
      <c r="F1048" t="s">
        <v>14</v>
      </c>
      <c r="G1048" t="s">
        <v>2314</v>
      </c>
      <c r="H1048">
             </c>
      <c r="I1048" t="s">
        <v>14</v>
      </c>
      <c r="J1048" t="s">
        <v>180</v>
      </c>
      <c r="K1048" t="s">
        <v>46</v>
      </c>
      <c r="L1048" t="s">
        <v>20</v>
      </c>
      <c r="M1048" t="s">
        <v>2315</v>
      </c>
      <c r="N1048" t="s">
        <v>14</v>
      </c>
    </row>
    <row r="1049" x14ac:dyDescent="0.25">
      <c r="A1049" t="n">
        <v>25</v>
      </c>
      <c r="B1049" t="s">
        <v>14</v>
      </c>
      <c r="C1049" t="s">
        <v>15</v>
      </c>
      <c r="D1049" s="2" t="s">
        <f>=HYPERLINK("https://main.knesset.gov.il/APPS/legislation/main/bills/2229020", "חוק סדר הדין הפלילי (תיקון מס' 101), התשפ""ו-2025")</f>
        <v>2316</v>
      </c>
      <c r="E1049" t="s">
        <v>2316</v>
      </c>
      <c r="F1049" t="s">
        <v>14</v>
      </c>
      <c r="G1049" t="s">
        <v>2317</v>
      </c>
      <c r="H1049" t="n">
        <v>3457</v>
      </c>
      <c r="I1049" t="s">
        <v>14</v>
      </c>
      <c r="J1049" t="s">
        <v>18</v>
      </c>
      <c r="K1049" t="s">
        <v>27</v>
      </c>
      <c r="L1049" t="s">
        <v>20</v>
      </c>
      <c r="M1049" t="s">
        <v>2318</v>
      </c>
      <c r="N1049" t="s">
        <v>2319</v>
      </c>
    </row>
    <row r="1050" x14ac:dyDescent="0.25">
      <c r="A1050" t="n">
        <v>25</v>
      </c>
      <c r="B1050" t="s">
        <v>14</v>
      </c>
      <c r="C1050" t="s">
        <v>51</v>
      </c>
      <c r="D1050" s="2" t="s">
        <f>=HYPERLINK("https://main.knesset.gov.il/APPS/legislation/main/bills/2235629", "הצעת חוק תשלומים לפדויי שבי ולחטופים ששוחררו (תיקון - זכויות לחטופים ששהו בשבי ארגון טרור ושוחררו), התשפ""ו-2025")</f>
        <v>2320</v>
      </c>
      <c r="E1050" t="s">
        <v>2320</v>
      </c>
      <c r="F1050" t="s">
        <v>2321</v>
      </c>
      <c r="G1050" t="s">
        <v>14</v>
      </c>
      <c r="H1050">
             </c>
      <c r="I1050" t="s">
        <v>14</v>
      </c>
      <c r="J1050" t="s">
        <v>242</v>
      </c>
      <c r="K1050" t="s">
        <v>14</v>
      </c>
      <c r="L1050" t="s">
        <v>20</v>
      </c>
      <c r="M1050" t="s">
        <v>2318</v>
      </c>
      <c r="N1050" t="s">
        <v>14</v>
      </c>
    </row>
    <row r="1051" x14ac:dyDescent="0.25">
      <c r="A1051" t="n">
        <v>25</v>
      </c>
      <c r="B1051" t="s">
        <v>14</v>
      </c>
      <c r="C1051" t="s">
        <v>51</v>
      </c>
      <c r="D1051" s="2" t="s">
        <f>=HYPERLINK("https://main.knesset.gov.il/APPS/legislation/main/bills/2234872", "הצעת חוק משפחות חיילים שנספו במערכה (תגמולים ושיקום) (תיקון - ועדת חריגים להכרה בנספה), התשפ""ו-2025")</f>
        <v>1402</v>
      </c>
      <c r="E1051" t="s">
        <v>1402</v>
      </c>
      <c r="F1051" t="s">
        <v>2322</v>
      </c>
      <c r="G1051" t="s">
        <v>14</v>
      </c>
      <c r="H1051">
             </c>
      <c r="I1051" t="s">
        <v>14</v>
      </c>
      <c r="J1051" t="s">
        <v>242</v>
      </c>
      <c r="K1051" t="s">
        <v>14</v>
      </c>
      <c r="L1051" t="s">
        <v>20</v>
      </c>
      <c r="M1051" t="s">
        <v>2318</v>
      </c>
      <c r="N1051" t="s">
        <v>14</v>
      </c>
    </row>
    <row r="1052" x14ac:dyDescent="0.25">
      <c r="A1052" t="n">
        <v>25</v>
      </c>
      <c r="B1052" t="s">
        <v>14</v>
      </c>
      <c r="C1052" t="s">
        <v>51</v>
      </c>
      <c r="D1052" s="2" t="s">
        <f>=HYPERLINK("https://main.knesset.gov.il/APPS/legislation/main/bills/2235778", "הצעת חוק תגמולים לבני משפחה של חטופים ונעדרים בפעולת איבה (תיקון - תגמול הסתגלות כלכלית), התשפ""ו-2025")</f>
        <v>2164</v>
      </c>
      <c r="E1052" t="s">
        <v>2164</v>
      </c>
      <c r="F1052" t="s">
        <v>2323</v>
      </c>
      <c r="G1052" t="s">
        <v>14</v>
      </c>
      <c r="H1052">
             </c>
      <c r="I1052" t="s">
        <v>14</v>
      </c>
      <c r="J1052" t="s">
        <v>242</v>
      </c>
      <c r="K1052" t="s">
        <v>14</v>
      </c>
      <c r="L1052" t="s">
        <v>20</v>
      </c>
      <c r="M1052" t="s">
        <v>2318</v>
      </c>
      <c r="N1052" t="s">
        <v>14</v>
      </c>
    </row>
    <row r="1053" x14ac:dyDescent="0.25">
      <c r="A1053" t="n">
        <v>25</v>
      </c>
      <c r="B1053" t="s">
        <v>14</v>
      </c>
      <c r="C1053" t="s">
        <v>51</v>
      </c>
      <c r="D1053" s="2" t="s">
        <f>=HYPERLINK("https://main.knesset.gov.il/APPS/legislation/main/bills/2235706", "הצעת חוק לתיקון פקודת המשטרה (הגבלת הסמכות להורות על מניעת גישה לאזור או למקום), התשפ""ו-2025")</f>
        <v>2324</v>
      </c>
      <c r="E1053" t="s">
        <v>2324</v>
      </c>
      <c r="F1053" t="s">
        <v>2325</v>
      </c>
      <c r="G1053" t="s">
        <v>14</v>
      </c>
      <c r="H1053">
             </c>
      <c r="I1053" t="s">
        <v>14</v>
      </c>
      <c r="J1053" t="s">
        <v>242</v>
      </c>
      <c r="K1053" t="s">
        <v>14</v>
      </c>
      <c r="L1053" t="s">
        <v>20</v>
      </c>
      <c r="M1053" t="s">
        <v>2318</v>
      </c>
      <c r="N1053" t="s">
        <v>14</v>
      </c>
    </row>
    <row r="1054" x14ac:dyDescent="0.25">
      <c r="A1054" t="n">
        <v>25</v>
      </c>
      <c r="B1054" t="s">
        <v>14</v>
      </c>
      <c r="C1054" t="s">
        <v>51</v>
      </c>
      <c r="D1054" s="2" t="s">
        <f>=HYPERLINK("https://main.knesset.gov.il/APPS/legislation/main/bills/2235908", "הצעת חוק הביטוח הלאומי (תיקון - עבודה מועדפת במסגרת מגורים עצמאית ומוגנת למתמודדי נפש), התשפ""ו-2025")</f>
        <v>2326</v>
      </c>
      <c r="E1054" t="s">
        <v>2326</v>
      </c>
      <c r="F1054" t="s">
        <v>2327</v>
      </c>
      <c r="G1054" t="s">
        <v>14</v>
      </c>
      <c r="H1054">
             </c>
      <c r="I1054" t="s">
        <v>14</v>
      </c>
      <c r="J1054" t="s">
        <v>242</v>
      </c>
      <c r="K1054" t="s">
        <v>14</v>
      </c>
      <c r="L1054" t="s">
        <v>20</v>
      </c>
      <c r="M1054" t="s">
        <v>2318</v>
      </c>
      <c r="N1054" t="s">
        <v>14</v>
      </c>
    </row>
    <row r="1055" x14ac:dyDescent="0.25">
      <c r="A1055" t="n">
        <v>25</v>
      </c>
      <c r="B1055" t="s">
        <v>14</v>
      </c>
      <c r="C1055" t="s">
        <v>51</v>
      </c>
      <c r="D1055" s="2" t="s">
        <f>=HYPERLINK("https://main.knesset.gov.il/APPS/legislation/main/bills/2235656", "הצעת חוק לתיקון פקודת העדה הדתית (המרה) (גיור קטינים על ידי רב עיר), התשפ""ו-2025")</f>
        <v>2328</v>
      </c>
      <c r="E1055" t="s">
        <v>2328</v>
      </c>
      <c r="F1055" t="s">
        <v>2329</v>
      </c>
      <c r="G1055" t="s">
        <v>14</v>
      </c>
      <c r="H1055">
             </c>
      <c r="I1055" t="s">
        <v>14</v>
      </c>
      <c r="J1055" t="s">
        <v>242</v>
      </c>
      <c r="K1055" t="s">
        <v>14</v>
      </c>
      <c r="L1055" t="s">
        <v>20</v>
      </c>
      <c r="M1055" t="s">
        <v>2318</v>
      </c>
      <c r="N1055" t="s">
        <v>14</v>
      </c>
    </row>
    <row r="1056" x14ac:dyDescent="0.25">
      <c r="A1056" t="n">
        <v>25</v>
      </c>
      <c r="B1056" t="s">
        <v>14</v>
      </c>
      <c r="C1056" t="s">
        <v>51</v>
      </c>
      <c r="D1056" s="2" t="s">
        <f>=HYPERLINK("https://main.knesset.gov.il/APPS/legislation/main/bills/2235816", "הצעת חוק הביטוח הלאומי (תיקון - אי-זכאות לקצבת ילדים להורה שלא שירת בשירות מזכה), התשפ""ו-2025")</f>
        <v>2330</v>
      </c>
      <c r="E1056" t="s">
        <v>2330</v>
      </c>
      <c r="F1056" t="s">
        <v>2331</v>
      </c>
      <c r="G1056" t="s">
        <v>14</v>
      </c>
      <c r="H1056">
             </c>
      <c r="I1056" t="s">
        <v>14</v>
      </c>
      <c r="J1056" t="s">
        <v>242</v>
      </c>
      <c r="K1056" t="s">
        <v>14</v>
      </c>
      <c r="L1056" t="s">
        <v>20</v>
      </c>
      <c r="M1056" t="s">
        <v>2318</v>
      </c>
      <c r="N1056" t="s">
        <v>14</v>
      </c>
    </row>
    <row r="1057" x14ac:dyDescent="0.25">
      <c r="A1057" t="n">
        <v>25</v>
      </c>
      <c r="B1057" t="s">
        <v>14</v>
      </c>
      <c r="C1057" t="s">
        <v>51</v>
      </c>
      <c r="D1057" s="2" t="s">
        <f>=HYPERLINK("https://main.knesset.gov.il/APPS/legislation/main/bills/2235901", "הצעת חוק הכניסה לישראל (תיקון - קיצור תקופת ביטול אשרה לעובד זר), התשפ""ו-2025")</f>
        <v>2332</v>
      </c>
      <c r="E1057" t="s">
        <v>2332</v>
      </c>
      <c r="F1057" t="s">
        <v>2333</v>
      </c>
      <c r="G1057" t="s">
        <v>14</v>
      </c>
      <c r="H1057">
             </c>
      <c r="I1057" t="s">
        <v>14</v>
      </c>
      <c r="J1057" t="s">
        <v>242</v>
      </c>
      <c r="K1057" t="s">
        <v>14</v>
      </c>
      <c r="L1057" t="s">
        <v>20</v>
      </c>
      <c r="M1057" t="s">
        <v>2318</v>
      </c>
      <c r="N1057" t="s">
        <v>14</v>
      </c>
    </row>
    <row r="1058" x14ac:dyDescent="0.25">
      <c r="A1058" t="n">
        <v>25</v>
      </c>
      <c r="B1058" t="s">
        <v>14</v>
      </c>
      <c r="C1058" t="s">
        <v>51</v>
      </c>
      <c r="D1058" s="2" t="s">
        <f>=HYPERLINK("https://main.knesset.gov.il/APPS/legislation/main/bills/2234110", "הצעת חוק הנכים (תגמולים ושיקום) (תיקון - מבחנים לקביעת דרגת נכות לפגועי ראש), התשפ""ו-2025")</f>
        <v>2334</v>
      </c>
      <c r="E1058" t="s">
        <v>2334</v>
      </c>
      <c r="F1058" t="s">
        <v>2335</v>
      </c>
      <c r="G1058" t="s">
        <v>14</v>
      </c>
      <c r="H1058">
             </c>
      <c r="I1058" t="s">
        <v>14</v>
      </c>
      <c r="J1058" t="s">
        <v>202</v>
      </c>
      <c r="K1058" t="s">
        <v>14</v>
      </c>
      <c r="L1058" t="s">
        <v>20</v>
      </c>
      <c r="M1058" t="s">
        <v>2318</v>
      </c>
      <c r="N1058" t="s">
        <v>14</v>
      </c>
    </row>
    <row r="1059" x14ac:dyDescent="0.25">
      <c r="A1059" t="n">
        <v>25</v>
      </c>
      <c r="B1059" t="s">
        <v>14</v>
      </c>
      <c r="C1059" t="s">
        <v>51</v>
      </c>
      <c r="D1059" s="2" t="s">
        <f>=HYPERLINK("https://main.knesset.gov.il/APPS/legislation/main/bills/2235734", "הצעת חוק-יסוד: הכרה במדינה פלסטינית")</f>
        <v>2336</v>
      </c>
      <c r="E1059" t="s">
        <v>2336</v>
      </c>
      <c r="F1059" t="s">
        <v>2337</v>
      </c>
      <c r="G1059" t="s">
        <v>14</v>
      </c>
      <c r="H1059">
             </c>
      <c r="I1059" t="s">
        <v>14</v>
      </c>
      <c r="J1059" t="s">
        <v>242</v>
      </c>
      <c r="K1059" t="s">
        <v>14</v>
      </c>
      <c r="L1059" t="s">
        <v>20</v>
      </c>
      <c r="M1059" t="s">
        <v>2318</v>
      </c>
      <c r="N1059" t="s">
        <v>14</v>
      </c>
    </row>
    <row r="1060" x14ac:dyDescent="0.25">
      <c r="A1060" t="n">
        <v>25</v>
      </c>
      <c r="B1060" t="s">
        <v>14</v>
      </c>
      <c r="C1060" t="s">
        <v>51</v>
      </c>
      <c r="D1060" s="2" t="s">
        <f>=HYPERLINK("https://main.knesset.gov.il/APPS/legislation/main/bills/2235667", "הצעת חוק הגבלת שחרור פעילי טרור בתמורה לחטופים, התשפ""ו-2025")</f>
        <v>2338</v>
      </c>
      <c r="E1060" t="s">
        <v>2338</v>
      </c>
      <c r="F1060" t="s">
        <v>2339</v>
      </c>
      <c r="G1060" t="s">
        <v>14</v>
      </c>
      <c r="H1060">
             </c>
      <c r="I1060" t="s">
        <v>14</v>
      </c>
      <c r="J1060" t="s">
        <v>242</v>
      </c>
      <c r="K1060" t="s">
        <v>14</v>
      </c>
      <c r="L1060" t="s">
        <v>20</v>
      </c>
      <c r="M1060" t="s">
        <v>2318</v>
      </c>
      <c r="N1060" t="s">
        <v>14</v>
      </c>
    </row>
    <row r="1061" x14ac:dyDescent="0.25">
      <c r="A1061" t="n">
        <v>25</v>
      </c>
      <c r="B1061" t="s">
        <v>14</v>
      </c>
      <c r="C1061" t="s">
        <v>51</v>
      </c>
      <c r="D1061" s="2" t="s">
        <f>=HYPERLINK("https://main.knesset.gov.il/APPS/legislation/main/bills/2235562", "הצעת חוק הגנת הצרכן (תיקון - קבלת הטבות ללא פעולה), התשפ""ו-2025")</f>
        <v>2340</v>
      </c>
      <c r="E1061" t="s">
        <v>2340</v>
      </c>
      <c r="F1061" t="s">
        <v>2341</v>
      </c>
      <c r="G1061" t="s">
        <v>14</v>
      </c>
      <c r="H1061">
             </c>
      <c r="I1061" t="s">
        <v>14</v>
      </c>
      <c r="J1061" t="s">
        <v>242</v>
      </c>
      <c r="K1061" t="s">
        <v>14</v>
      </c>
      <c r="L1061" t="s">
        <v>20</v>
      </c>
      <c r="M1061" t="s">
        <v>2318</v>
      </c>
      <c r="N1061" t="s">
        <v>14</v>
      </c>
    </row>
    <row r="1062" x14ac:dyDescent="0.25">
      <c r="A1062" t="n">
        <v>25</v>
      </c>
      <c r="B1062" t="s">
        <v>14</v>
      </c>
      <c r="C1062" t="s">
        <v>51</v>
      </c>
      <c r="D1062" s="2" t="s">
        <f>=HYPERLINK("https://main.knesset.gov.il/APPS/legislation/main/bills/2235823", "הצעת חוק שעות עבודה ומנוחה (תיקון - שבוע עבודה בן חמישה ימים וקביעת יום ראשון כיום חופשי), התשפ""ו-2025")</f>
        <v>2342</v>
      </c>
      <c r="E1062" t="s">
        <v>2342</v>
      </c>
      <c r="F1062" t="s">
        <v>2343</v>
      </c>
      <c r="G1062" t="s">
        <v>14</v>
      </c>
      <c r="H1062">
             </c>
      <c r="I1062" t="s">
        <v>14</v>
      </c>
      <c r="J1062" t="s">
        <v>242</v>
      </c>
      <c r="K1062" t="s">
        <v>14</v>
      </c>
      <c r="L1062" t="s">
        <v>20</v>
      </c>
      <c r="M1062" t="s">
        <v>2318</v>
      </c>
      <c r="N1062" t="s">
        <v>14</v>
      </c>
    </row>
    <row r="1063" x14ac:dyDescent="0.25">
      <c r="A1063" t="n">
        <v>25</v>
      </c>
      <c r="B1063" t="s">
        <v>14</v>
      </c>
      <c r="C1063" t="s">
        <v>51</v>
      </c>
      <c r="D1063" s="2" t="s">
        <f>=HYPERLINK("https://main.knesset.gov.il/APPS/legislation/main/bills/2235694", "הצעת חוק מלחמת שמחת תורה, התשפ""ו-2025")</f>
        <v>1851</v>
      </c>
      <c r="E1063" t="s">
        <v>1851</v>
      </c>
      <c r="F1063" t="s">
        <v>2344</v>
      </c>
      <c r="G1063" t="s">
        <v>14</v>
      </c>
      <c r="H1063">
             </c>
      <c r="I1063" t="s">
        <v>14</v>
      </c>
      <c r="J1063" t="s">
        <v>242</v>
      </c>
      <c r="K1063" t="s">
        <v>14</v>
      </c>
      <c r="L1063" t="s">
        <v>20</v>
      </c>
      <c r="M1063" t="s">
        <v>2318</v>
      </c>
      <c r="N1063" t="s">
        <v>14</v>
      </c>
    </row>
    <row r="1064" x14ac:dyDescent="0.25">
      <c r="A1064" t="n">
        <v>25</v>
      </c>
      <c r="B1064" t="s">
        <v>14</v>
      </c>
      <c r="C1064" t="s">
        <v>51</v>
      </c>
      <c r="D1064" s="2" t="s">
        <f>=HYPERLINK("https://main.knesset.gov.il/APPS/legislation/main/bills/2225198", "הצעת חוק השידור הציבורי הישראלי (תיקון - דרך מינוי מועצת תאגיד השידור הישראלי), התשפ""ה-2025")</f>
        <v>2345</v>
      </c>
      <c r="E1064" t="s">
        <v>2345</v>
      </c>
      <c r="F1064" t="s">
        <v>2346</v>
      </c>
      <c r="G1064" t="s">
        <v>14</v>
      </c>
      <c r="H1064">
             </c>
      <c r="I1064" t="s">
        <v>14</v>
      </c>
      <c r="J1064" t="s">
        <v>152</v>
      </c>
      <c r="K1064" t="s">
        <v>84</v>
      </c>
      <c r="L1064" t="s">
        <v>20</v>
      </c>
      <c r="M1064" t="s">
        <v>2347</v>
      </c>
      <c r="N1064" t="s">
        <v>14</v>
      </c>
    </row>
    <row r="1065" x14ac:dyDescent="0.25">
      <c r="A1065" t="n">
        <v>25</v>
      </c>
      <c r="B1065" t="s">
        <v>14</v>
      </c>
      <c r="C1065" t="s">
        <v>51</v>
      </c>
      <c r="D1065" s="2" t="s">
        <f>=HYPERLINK("https://main.knesset.gov.il/APPS/legislation/main/bills/2234467", "הצעת חוק לתיקון פקודת מס הכנסה (שלילת הכרה בעמותות המעודדות השתמטות משירות ביטחון), התשפ״ה-2025")</f>
        <v>2348</v>
      </c>
      <c r="E1065" t="s">
        <v>2348</v>
      </c>
      <c r="F1065" t="s">
        <v>2349</v>
      </c>
      <c r="G1065" t="s">
        <v>14</v>
      </c>
      <c r="H1065">
             </c>
      <c r="I1065" t="s">
        <v>14</v>
      </c>
      <c r="J1065" t="s">
        <v>193</v>
      </c>
      <c r="K1065" t="s">
        <v>14</v>
      </c>
      <c r="L1065" t="s">
        <v>20</v>
      </c>
      <c r="M1065" t="s">
        <v>2347</v>
      </c>
      <c r="N1065" t="s">
        <v>14</v>
      </c>
    </row>
    <row r="1066" x14ac:dyDescent="0.25">
      <c r="A1066" t="n">
        <v>25</v>
      </c>
      <c r="B1066" t="s">
        <v>14</v>
      </c>
      <c r="C1066" t="s">
        <v>51</v>
      </c>
      <c r="D1066" s="2" t="s">
        <f>=HYPERLINK("https://main.knesset.gov.il/APPS/legislation/main/bills/2231200", "הצעת חוק קליטת חיילים משוחררים (תיקון - שמירת זכויות לחייל ששירת במילואים בתום שירות סדיר), התשפ""ה-2025")</f>
        <v>2350</v>
      </c>
      <c r="E1066" t="s">
        <v>2350</v>
      </c>
      <c r="F1066" t="s">
        <v>2351</v>
      </c>
      <c r="G1066" t="s">
        <v>14</v>
      </c>
      <c r="H1066">
             </c>
      <c r="I1066" t="s">
        <v>14</v>
      </c>
      <c r="J1066" t="s">
        <v>193</v>
      </c>
      <c r="K1066" t="s">
        <v>14</v>
      </c>
      <c r="L1066" t="s">
        <v>20</v>
      </c>
      <c r="M1066" t="s">
        <v>2347</v>
      </c>
      <c r="N1066" t="s">
        <v>14</v>
      </c>
    </row>
    <row r="1067" x14ac:dyDescent="0.25">
      <c r="A1067" t="n">
        <v>25</v>
      </c>
      <c r="B1067" t="s">
        <v>14</v>
      </c>
      <c r="C1067" t="s">
        <v>51</v>
      </c>
      <c r="D1067" s="2" t="s">
        <f>=HYPERLINK("https://main.knesset.gov.il/APPS/legislation/main/bills/2231207", "הצעת חוק הנצחת זכרם של קורבנות הטבח בכפר קאסם, התשפ""ה-2025")</f>
        <v>2352</v>
      </c>
      <c r="E1067" t="s">
        <v>2352</v>
      </c>
      <c r="F1067" t="s">
        <v>2353</v>
      </c>
      <c r="G1067" t="s">
        <v>14</v>
      </c>
      <c r="H1067">
             </c>
      <c r="I1067" t="s">
        <v>14</v>
      </c>
      <c r="J1067" t="s">
        <v>193</v>
      </c>
      <c r="K1067" t="s">
        <v>14</v>
      </c>
      <c r="L1067" t="s">
        <v>20</v>
      </c>
      <c r="M1067" t="s">
        <v>2347</v>
      </c>
      <c r="N1067" t="s">
        <v>14</v>
      </c>
    </row>
    <row r="1068" x14ac:dyDescent="0.25">
      <c r="A1068" t="n">
        <v>25</v>
      </c>
      <c r="B1068" t="s">
        <v>14</v>
      </c>
      <c r="C1068" t="s">
        <v>51</v>
      </c>
      <c r="D1068" s="2" t="s">
        <f>=HYPERLINK("https://main.knesset.gov.il/APPS/legislation/main/bills/2227840", "הצעת חוק איסור אלימות בספורט (תיקון - החמרת ענישה ואיסור הסתרת פנים), התשפ""ה-2025")</f>
        <v>2354</v>
      </c>
      <c r="E1068" t="s">
        <v>2354</v>
      </c>
      <c r="F1068" t="s">
        <v>2355</v>
      </c>
      <c r="G1068" t="s">
        <v>14</v>
      </c>
      <c r="H1068">
             </c>
      <c r="I1068" t="s">
        <v>14</v>
      </c>
      <c r="J1068" t="s">
        <v>202</v>
      </c>
      <c r="K1068" t="s">
        <v>14</v>
      </c>
      <c r="L1068" t="s">
        <v>20</v>
      </c>
      <c r="M1068" t="s">
        <v>2347</v>
      </c>
      <c r="N1068" t="s">
        <v>14</v>
      </c>
    </row>
    <row r="1069" x14ac:dyDescent="0.25">
      <c r="A1069" t="n">
        <v>25</v>
      </c>
      <c r="B1069" t="s">
        <v>14</v>
      </c>
      <c r="C1069" t="s">
        <v>51</v>
      </c>
      <c r="D1069" s="2" t="s">
        <f>=HYPERLINK("https://main.knesset.gov.il/APPS/legislation/main/bills/2222442", "הצעת חוק הרשות לטיפול בנפגעי הלם קרב, התשפ""ה-2024")</f>
        <v>2356</v>
      </c>
      <c r="E1069" t="s">
        <v>2356</v>
      </c>
      <c r="F1069" t="s">
        <v>2357</v>
      </c>
      <c r="G1069" t="s">
        <v>14</v>
      </c>
      <c r="H1069">
             </c>
      <c r="I1069" t="s">
        <v>14</v>
      </c>
      <c r="J1069" t="s">
        <v>202</v>
      </c>
      <c r="K1069" t="s">
        <v>14</v>
      </c>
      <c r="L1069" t="s">
        <v>20</v>
      </c>
      <c r="M1069" t="s">
        <v>2347</v>
      </c>
      <c r="N1069" t="s">
        <v>14</v>
      </c>
    </row>
    <row r="1070" x14ac:dyDescent="0.25">
      <c r="A1070" t="n">
        <v>25</v>
      </c>
      <c r="B1070" t="s">
        <v>14</v>
      </c>
      <c r="C1070" t="s">
        <v>51</v>
      </c>
      <c r="D1070" s="2" t="s">
        <f>=HYPERLINK("https://main.knesset.gov.il/APPS/legislation/main/bills/2200327", "הצעת חוק האקלים, התשפ""ג-2023")</f>
        <v>2358</v>
      </c>
      <c r="E1070" t="s">
        <v>2358</v>
      </c>
      <c r="F1070" t="s">
        <v>2359</v>
      </c>
      <c r="G1070" t="s">
        <v>14</v>
      </c>
      <c r="H1070">
             </c>
      <c r="I1070" t="s">
        <v>14</v>
      </c>
      <c r="J1070" t="s">
        <v>193</v>
      </c>
      <c r="K1070" t="s">
        <v>14</v>
      </c>
      <c r="L1070" t="s">
        <v>20</v>
      </c>
      <c r="M1070" t="s">
        <v>2347</v>
      </c>
      <c r="N1070" t="s">
        <v>14</v>
      </c>
    </row>
    <row r="1071" x14ac:dyDescent="0.25">
      <c r="A1071" t="n">
        <v>25</v>
      </c>
      <c r="B1071" t="s">
        <v>14</v>
      </c>
      <c r="C1071" t="s">
        <v>51</v>
      </c>
      <c r="D1071" s="2" t="s">
        <f>=HYPERLINK("https://main.knesset.gov.il/APPS/legislation/main/bills/2198073", "הצעת חוק קביעת הזמן (תיקון - ביטול שעון חורף), התשפ""ג- 2022")</f>
        <v>2360</v>
      </c>
      <c r="E1071" t="s">
        <v>2360</v>
      </c>
      <c r="F1071" t="s">
        <v>2361</v>
      </c>
      <c r="G1071" t="s">
        <v>14</v>
      </c>
      <c r="H1071">
             </c>
      <c r="I1071" t="s">
        <v>14</v>
      </c>
      <c r="J1071" t="s">
        <v>193</v>
      </c>
      <c r="K1071" t="s">
        <v>14</v>
      </c>
      <c r="L1071" t="s">
        <v>20</v>
      </c>
      <c r="M1071" t="s">
        <v>2347</v>
      </c>
      <c r="N1071" t="s">
        <v>14</v>
      </c>
    </row>
    <row r="1072" x14ac:dyDescent="0.25">
      <c r="A1072" t="n">
        <v>25</v>
      </c>
      <c r="B1072" t="s">
        <v>14</v>
      </c>
      <c r="C1072" t="s">
        <v>51</v>
      </c>
      <c r="D1072" s="2" t="s">
        <f>=HYPERLINK("https://main.knesset.gov.il/APPS/legislation/main/bills/2234735", "הצעת חוק הסדרת העיסוק במקצועות הבריאות (תיקון - מסלול הסבה בדימות רפואי לבוגרי תואר ראשון מחוץ לארץ), התשפ""ו-2025")</f>
        <v>2362</v>
      </c>
      <c r="E1072" t="s">
        <v>2362</v>
      </c>
      <c r="F1072" t="s">
        <v>2363</v>
      </c>
      <c r="G1072" t="s">
        <v>14</v>
      </c>
      <c r="H1072">
             </c>
      <c r="I1072" t="s">
        <v>14</v>
      </c>
      <c r="J1072" t="s">
        <v>242</v>
      </c>
      <c r="K1072" t="s">
        <v>14</v>
      </c>
      <c r="L1072" t="s">
        <v>20</v>
      </c>
      <c r="M1072" t="s">
        <v>2364</v>
      </c>
      <c r="N1072" t="s">
        <v>14</v>
      </c>
    </row>
    <row r="1073" x14ac:dyDescent="0.25">
      <c r="A1073" t="n">
        <v>25</v>
      </c>
      <c r="B1073" t="s">
        <v>14</v>
      </c>
      <c r="C1073" t="s">
        <v>51</v>
      </c>
      <c r="D1073" s="2" t="s">
        <f>=HYPERLINK("https://main.knesset.gov.il/APPS/legislation/main/bills/2235028", "הצעת חוק מדינות אויב ומדינות עוינות, התשפ""ו-2025")</f>
        <v>2365</v>
      </c>
      <c r="E1073" t="s">
        <v>2365</v>
      </c>
      <c r="F1073" t="s">
        <v>2366</v>
      </c>
      <c r="G1073" t="s">
        <v>14</v>
      </c>
      <c r="H1073">
             </c>
      <c r="I1073" t="s">
        <v>14</v>
      </c>
      <c r="J1073" t="s">
        <v>242</v>
      </c>
      <c r="K1073" t="s">
        <v>14</v>
      </c>
      <c r="L1073" t="s">
        <v>20</v>
      </c>
      <c r="M1073" t="s">
        <v>2364</v>
      </c>
      <c r="N1073" t="s">
        <v>14</v>
      </c>
    </row>
    <row r="1074" x14ac:dyDescent="0.25">
      <c r="A1074" t="n">
        <v>25</v>
      </c>
      <c r="B1074" t="s">
        <v>14</v>
      </c>
      <c r="C1074" t="s">
        <v>51</v>
      </c>
      <c r="D1074" s="2" t="s">
        <f>=HYPERLINK("https://main.knesset.gov.il/APPS/legislation/main/bills/2235215", "הצעת חוק לתיקון פקודת החברות (עסקאות פקטורינג), התשפ""ו-2025")</f>
        <v>2367</v>
      </c>
      <c r="E1074" t="s">
        <v>2367</v>
      </c>
      <c r="F1074" t="s">
        <v>2368</v>
      </c>
      <c r="G1074" t="s">
        <v>14</v>
      </c>
      <c r="H1074">
             </c>
      <c r="I1074" t="s">
        <v>14</v>
      </c>
      <c r="J1074" t="s">
        <v>242</v>
      </c>
      <c r="K1074" t="s">
        <v>14</v>
      </c>
      <c r="L1074" t="s">
        <v>20</v>
      </c>
      <c r="M1074" t="s">
        <v>2364</v>
      </c>
      <c r="N1074" t="s">
        <v>14</v>
      </c>
    </row>
    <row r="1075" x14ac:dyDescent="0.25">
      <c r="A1075" t="n">
        <v>25</v>
      </c>
      <c r="B1075" t="s">
        <v>14</v>
      </c>
      <c r="C1075" t="s">
        <v>51</v>
      </c>
      <c r="D1075" s="2" t="s">
        <f>=HYPERLINK("https://main.knesset.gov.il/APPS/legislation/main/bills/2232341", "הצעת חוק שיקום מתמודדי נפש בקהילה (תיקון - הסדרת מעמד מדריכי שיקום), התשפ""ו-2025")</f>
        <v>2369</v>
      </c>
      <c r="E1075" t="s">
        <v>2369</v>
      </c>
      <c r="F1075" t="s">
        <v>2370</v>
      </c>
      <c r="G1075" t="s">
        <v>14</v>
      </c>
      <c r="H1075">
             </c>
      <c r="I1075" t="s">
        <v>14</v>
      </c>
      <c r="J1075" t="s">
        <v>242</v>
      </c>
      <c r="K1075" t="s">
        <v>14</v>
      </c>
      <c r="L1075" t="s">
        <v>20</v>
      </c>
      <c r="M1075" t="s">
        <v>2364</v>
      </c>
      <c r="N1075" t="s">
        <v>14</v>
      </c>
    </row>
    <row r="1076" x14ac:dyDescent="0.25">
      <c r="A1076" t="n">
        <v>25</v>
      </c>
      <c r="B1076" t="s">
        <v>14</v>
      </c>
      <c r="C1076" t="s">
        <v>51</v>
      </c>
      <c r="D1076" s="2" t="s">
        <f>=HYPERLINK("https://main.knesset.gov.il/APPS/legislation/main/bills/2234573", "הצעת חוק העונשין (תיקון - הגדרת גזענות), התשפ""ו-2025")</f>
        <v>2371</v>
      </c>
      <c r="E1076" t="s">
        <v>2371</v>
      </c>
      <c r="F1076" t="s">
        <v>2372</v>
      </c>
      <c r="G1076" t="s">
        <v>14</v>
      </c>
      <c r="H1076">
             </c>
      <c r="I1076" t="s">
        <v>14</v>
      </c>
      <c r="J1076" t="s">
        <v>242</v>
      </c>
      <c r="K1076" t="s">
        <v>14</v>
      </c>
      <c r="L1076" t="s">
        <v>20</v>
      </c>
      <c r="M1076" t="s">
        <v>2364</v>
      </c>
      <c r="N1076" t="s">
        <v>14</v>
      </c>
    </row>
    <row r="1077" x14ac:dyDescent="0.25">
      <c r="A1077" t="n">
        <v>25</v>
      </c>
      <c r="B1077" t="s">
        <v>14</v>
      </c>
      <c r="C1077" t="s">
        <v>51</v>
      </c>
      <c r="D1077" s="2" t="s">
        <f>=HYPERLINK("https://main.knesset.gov.il/APPS/legislation/main/bills/2235736", "הצעת חוק שמירת הניקיון (תיקון - תמרוץ הקמת מיתקני מיון פסולת להגדלת המחזור), התשפ""ו-2025")</f>
        <v>2152</v>
      </c>
      <c r="E1077" t="s">
        <v>2152</v>
      </c>
      <c r="F1077" t="s">
        <v>2373</v>
      </c>
      <c r="G1077" t="s">
        <v>14</v>
      </c>
      <c r="H1077">
             </c>
      <c r="I1077" t="s">
        <v>14</v>
      </c>
      <c r="J1077" t="s">
        <v>242</v>
      </c>
      <c r="K1077" t="s">
        <v>14</v>
      </c>
      <c r="L1077" t="s">
        <v>20</v>
      </c>
      <c r="M1077" t="s">
        <v>2364</v>
      </c>
      <c r="N1077" t="s">
        <v>14</v>
      </c>
    </row>
    <row r="1078" x14ac:dyDescent="0.25">
      <c r="A1078" t="n">
        <v>25</v>
      </c>
      <c r="B1078" t="s">
        <v>14</v>
      </c>
      <c r="C1078" t="s">
        <v>51</v>
      </c>
      <c r="D1078" s="2" t="s">
        <f>=HYPERLINK("https://main.knesset.gov.il/APPS/legislation/main/bills/2233056", "הצעת חוק מיסוי מקרקעין (שבח ורכישה) (תיקון - הקניית זכות במקרקעין חלף בית שנהרס או חולל באירוע טרור), התשפ""ו-2025")</f>
        <v>2374</v>
      </c>
      <c r="E1078" t="s">
        <v>2374</v>
      </c>
      <c r="F1078" t="s">
        <v>2375</v>
      </c>
      <c r="G1078" t="s">
        <v>14</v>
      </c>
      <c r="H1078">
             </c>
      <c r="I1078" t="s">
        <v>14</v>
      </c>
      <c r="J1078" t="s">
        <v>242</v>
      </c>
      <c r="K1078" t="s">
        <v>14</v>
      </c>
      <c r="L1078" t="s">
        <v>20</v>
      </c>
      <c r="M1078" t="s">
        <v>2364</v>
      </c>
      <c r="N1078" t="s">
        <v>14</v>
      </c>
    </row>
    <row r="1079" x14ac:dyDescent="0.25">
      <c r="A1079" t="n">
        <v>25</v>
      </c>
      <c r="B1079" t="s">
        <v>14</v>
      </c>
      <c r="C1079" t="s">
        <v>51</v>
      </c>
      <c r="D1079" s="2" t="s">
        <f>=HYPERLINK("https://main.knesset.gov.il/APPS/legislation/main/bills/2231287", "הצעת חוק הבנקאות (שירות ללקוח) (תיקון - חובת הדרכה פיננסית), התשפ""ו-2025")</f>
        <v>2376</v>
      </c>
      <c r="E1079" t="s">
        <v>2376</v>
      </c>
      <c r="F1079" t="s">
        <v>2377</v>
      </c>
      <c r="G1079" t="s">
        <v>14</v>
      </c>
      <c r="H1079">
             </c>
      <c r="I1079" t="s">
        <v>14</v>
      </c>
      <c r="J1079" t="s">
        <v>242</v>
      </c>
      <c r="K1079" t="s">
        <v>14</v>
      </c>
      <c r="L1079" t="s">
        <v>20</v>
      </c>
      <c r="M1079" t="s">
        <v>2364</v>
      </c>
      <c r="N1079" t="s">
        <v>14</v>
      </c>
    </row>
    <row r="1080" x14ac:dyDescent="0.25">
      <c r="A1080" t="n">
        <v>25</v>
      </c>
      <c r="B1080" t="s">
        <v>14</v>
      </c>
      <c r="C1080" t="s">
        <v>51</v>
      </c>
      <c r="D1080" s="2" t="s">
        <f>=HYPERLINK("https://main.knesset.gov.il/APPS/legislation/main/bills/2235745", "הצעת חוק אסדרת שוק הקנאביס לצריכה עצמית, התשפ""ו-2025")</f>
        <v>2378</v>
      </c>
      <c r="E1080" t="s">
        <v>2378</v>
      </c>
      <c r="F1080" t="s">
        <v>2379</v>
      </c>
      <c r="G1080" t="s">
        <v>14</v>
      </c>
      <c r="H1080">
             </c>
      <c r="I1080" t="s">
        <v>14</v>
      </c>
      <c r="J1080" t="s">
        <v>242</v>
      </c>
      <c r="K1080" t="s">
        <v>14</v>
      </c>
      <c r="L1080" t="s">
        <v>20</v>
      </c>
      <c r="M1080" t="s">
        <v>2364</v>
      </c>
      <c r="N1080" t="s">
        <v>14</v>
      </c>
    </row>
    <row r="1081" x14ac:dyDescent="0.25">
      <c r="A1081" t="n">
        <v>25</v>
      </c>
      <c r="B1081" t="s">
        <v>14</v>
      </c>
      <c r="C1081" t="s">
        <v>51</v>
      </c>
      <c r="D1081" s="2" t="s">
        <f>=HYPERLINK("https://main.knesset.gov.il/APPS/legislation/main/bills/2235652", "הצעת חוק כליאתם והעמדתם לדין של המשתתפים באירועי 7 באוקטובר, התשפ""ו-2025")</f>
        <v>2135</v>
      </c>
      <c r="E1081" t="s">
        <v>2135</v>
      </c>
      <c r="F1081" t="s">
        <v>2380</v>
      </c>
      <c r="G1081" t="s">
        <v>14</v>
      </c>
      <c r="H1081">
             </c>
      <c r="I1081" t="s">
        <v>14</v>
      </c>
      <c r="J1081" t="s">
        <v>242</v>
      </c>
      <c r="K1081" t="s">
        <v>14</v>
      </c>
      <c r="L1081" t="s">
        <v>20</v>
      </c>
      <c r="M1081" t="s">
        <v>2364</v>
      </c>
      <c r="N1081" t="s">
        <v>14</v>
      </c>
    </row>
    <row r="1082" x14ac:dyDescent="0.25">
      <c r="A1082" t="n">
        <v>25</v>
      </c>
      <c r="B1082" t="s">
        <v>14</v>
      </c>
      <c r="C1082" t="s">
        <v>51</v>
      </c>
      <c r="D1082" s="2" t="s">
        <f>=HYPERLINK("https://main.knesset.gov.il/APPS/legislation/main/bills/2235747", "הצעת חוק מימון הוצאות למשפחות שבויים, חטופים ונעדרים (תיקון - מענק הסתגלות לבני זוג והורים של חטוף שגופתו הושבה), התשפ""ו-2025")</f>
        <v>1983</v>
      </c>
      <c r="E1082" t="s">
        <v>1983</v>
      </c>
      <c r="F1082" t="s">
        <v>2381</v>
      </c>
      <c r="G1082" t="s">
        <v>14</v>
      </c>
      <c r="H1082">
             </c>
      <c r="I1082" t="s">
        <v>14</v>
      </c>
      <c r="J1082" t="s">
        <v>242</v>
      </c>
      <c r="K1082" t="s">
        <v>14</v>
      </c>
      <c r="L1082" t="s">
        <v>20</v>
      </c>
      <c r="M1082" t="s">
        <v>2364</v>
      </c>
      <c r="N1082" t="s">
        <v>14</v>
      </c>
    </row>
    <row r="1083" x14ac:dyDescent="0.25">
      <c r="A1083" t="n">
        <v>25</v>
      </c>
      <c r="B1083" t="s">
        <v>14</v>
      </c>
      <c r="C1083" t="s">
        <v>51</v>
      </c>
      <c r="D1083" s="2" t="s">
        <f>=HYPERLINK("https://main.knesset.gov.il/APPS/legislation/main/bills/2235692", "הצעת חוק הקמת ועדת חקירה ממלכתית לאירועי 7 באוקטובר, התשפ""ו-2025")</f>
        <v>296</v>
      </c>
      <c r="E1083" t="s">
        <v>296</v>
      </c>
      <c r="F1083" t="s">
        <v>2382</v>
      </c>
      <c r="G1083" t="s">
        <v>14</v>
      </c>
      <c r="H1083">
             </c>
      <c r="I1083" t="s">
        <v>14</v>
      </c>
      <c r="J1083" t="s">
        <v>242</v>
      </c>
      <c r="K1083" t="s">
        <v>14</v>
      </c>
      <c r="L1083" t="s">
        <v>20</v>
      </c>
      <c r="M1083" t="s">
        <v>2364</v>
      </c>
      <c r="N1083" t="s">
        <v>14</v>
      </c>
    </row>
    <row r="1084" x14ac:dyDescent="0.25">
      <c r="A1084" t="n">
        <v>25</v>
      </c>
      <c r="B1084" t="s">
        <v>14</v>
      </c>
      <c r="C1084" t="s">
        <v>51</v>
      </c>
      <c r="D1084" s="2" t="s">
        <f>=HYPERLINK("https://main.knesset.gov.il/APPS/legislation/main/bills/2235739", "הצעת חוק קביעת הזמן (תיקון - ביטול שעון חורף), התשפ""ו-2025")</f>
        <v>2383</v>
      </c>
      <c r="E1084" t="s">
        <v>2383</v>
      </c>
      <c r="F1084" t="s">
        <v>2384</v>
      </c>
      <c r="G1084" t="s">
        <v>14</v>
      </c>
      <c r="H1084">
             </c>
      <c r="I1084" t="s">
        <v>14</v>
      </c>
      <c r="J1084" t="s">
        <v>242</v>
      </c>
      <c r="K1084" t="s">
        <v>14</v>
      </c>
      <c r="L1084" t="s">
        <v>20</v>
      </c>
      <c r="M1084" t="s">
        <v>2364</v>
      </c>
      <c r="N1084" t="s">
        <v>14</v>
      </c>
    </row>
    <row r="1085" x14ac:dyDescent="0.25">
      <c r="A1085" t="n">
        <v>25</v>
      </c>
      <c r="B1085" t="s">
        <v>14</v>
      </c>
      <c r="C1085" t="s">
        <v>51</v>
      </c>
      <c r="D1085" s="2" t="s">
        <f>=HYPERLINK("https://main.knesset.gov.il/APPS/legislation/main/bills/2235560", "הצעת חוק חסינות חברי הכנסת, זכויותיהם וחובותיהם (תיקון - שירות מילואים לחברי כנסת), התשפ""ו-2025")</f>
        <v>2385</v>
      </c>
      <c r="E1085" t="s">
        <v>2385</v>
      </c>
      <c r="F1085" t="s">
        <v>2386</v>
      </c>
      <c r="G1085" t="s">
        <v>14</v>
      </c>
      <c r="H1085">
             </c>
      <c r="I1085" t="s">
        <v>14</v>
      </c>
      <c r="J1085" t="s">
        <v>242</v>
      </c>
      <c r="K1085" t="s">
        <v>14</v>
      </c>
      <c r="L1085" t="s">
        <v>20</v>
      </c>
      <c r="M1085" t="s">
        <v>2364</v>
      </c>
      <c r="N1085" t="s">
        <v>14</v>
      </c>
    </row>
    <row r="1086" x14ac:dyDescent="0.25">
      <c r="A1086" t="n">
        <v>25</v>
      </c>
      <c r="B1086" t="s">
        <v>14</v>
      </c>
      <c r="C1086" t="s">
        <v>51</v>
      </c>
      <c r="D1086" s="2" t="s">
        <f>=HYPERLINK("https://main.knesset.gov.il/APPS/legislation/main/bills/2235398", "הצעת חוק איסור פרסומת והגבלת השיווק של מוצרי טבק ועישון (תיקון - איסור על ייצור ושיווק של מוצר עישון בטעם או בריח מובחן), התשפ""ו-2025 ")</f>
        <v>2387</v>
      </c>
      <c r="E1086" t="s">
        <v>2387</v>
      </c>
      <c r="F1086" t="s">
        <v>2388</v>
      </c>
      <c r="G1086" t="s">
        <v>14</v>
      </c>
      <c r="H1086">
             </c>
      <c r="I1086" t="s">
        <v>14</v>
      </c>
      <c r="J1086" t="s">
        <v>242</v>
      </c>
      <c r="K1086" t="s">
        <v>14</v>
      </c>
      <c r="L1086" t="s">
        <v>20</v>
      </c>
      <c r="M1086" t="s">
        <v>2364</v>
      </c>
      <c r="N1086" t="s">
        <v>14</v>
      </c>
    </row>
    <row r="1087" x14ac:dyDescent="0.25">
      <c r="A1087" t="n">
        <v>25</v>
      </c>
      <c r="B1087" t="s">
        <v>14</v>
      </c>
      <c r="C1087" t="s">
        <v>51</v>
      </c>
      <c r="D1087" s="2" t="s">
        <f>=HYPERLINK("https://main.knesset.gov.il/APPS/legislation/main/bills/2235128", "הצעת חוק תכנון משק החלב (תיקון - ביטול החוק), התשפ""ו-2025")</f>
        <v>2389</v>
      </c>
      <c r="E1087" t="s">
        <v>2389</v>
      </c>
      <c r="F1087" t="s">
        <v>2390</v>
      </c>
      <c r="G1087" t="s">
        <v>14</v>
      </c>
      <c r="H1087">
             </c>
      <c r="I1087" t="s">
        <v>14</v>
      </c>
      <c r="J1087" t="s">
        <v>242</v>
      </c>
      <c r="K1087" t="s">
        <v>14</v>
      </c>
      <c r="L1087" t="s">
        <v>20</v>
      </c>
      <c r="M1087" t="s">
        <v>2364</v>
      </c>
      <c r="N1087" t="s">
        <v>14</v>
      </c>
    </row>
    <row r="1088" x14ac:dyDescent="0.25">
      <c r="A1088" t="n">
        <v>25</v>
      </c>
      <c r="B1088" t="s">
        <v>14</v>
      </c>
      <c r="C1088" t="s">
        <v>51</v>
      </c>
      <c r="D1088" s="2" t="s">
        <f>=HYPERLINK("https://main.knesset.gov.il/APPS/legislation/main/bills/2235254", "הצעת חוק הבנקאות (שירות ללקוח) (תיקון - ביטול צו עיקול), התשפ""ו-2025")</f>
        <v>2391</v>
      </c>
      <c r="E1088" t="s">
        <v>2391</v>
      </c>
      <c r="F1088" t="s">
        <v>2392</v>
      </c>
      <c r="G1088" t="s">
        <v>14</v>
      </c>
      <c r="H1088">
             </c>
      <c r="I1088" t="s">
        <v>14</v>
      </c>
      <c r="J1088" t="s">
        <v>242</v>
      </c>
      <c r="K1088" t="s">
        <v>14</v>
      </c>
      <c r="L1088" t="s">
        <v>20</v>
      </c>
      <c r="M1088" t="s">
        <v>2364</v>
      </c>
      <c r="N1088" t="s">
        <v>14</v>
      </c>
    </row>
    <row r="1089" x14ac:dyDescent="0.25">
      <c r="A1089" t="n">
        <v>25</v>
      </c>
      <c r="B1089" t="s">
        <v>14</v>
      </c>
      <c r="C1089" t="s">
        <v>51</v>
      </c>
      <c r="D1089" s="2" t="s">
        <f>=HYPERLINK("https://main.knesset.gov.il/APPS/legislation/main/bills/2235554", "הצעת חוק לתיקון פקודת מס הכנסה (שלילת הכרה בעמותות המעודדות השתמטות משירות ביטחון), התשפ״ו-2025")</f>
        <v>2393</v>
      </c>
      <c r="E1089" t="s">
        <v>2393</v>
      </c>
      <c r="F1089" t="s">
        <v>2394</v>
      </c>
      <c r="G1089" t="s">
        <v>14</v>
      </c>
      <c r="H1089">
             </c>
      <c r="I1089" t="s">
        <v>14</v>
      </c>
      <c r="J1089" t="s">
        <v>242</v>
      </c>
      <c r="K1089" t="s">
        <v>14</v>
      </c>
      <c r="L1089" t="s">
        <v>20</v>
      </c>
      <c r="M1089" t="s">
        <v>2364</v>
      </c>
      <c r="N1089" t="s">
        <v>14</v>
      </c>
    </row>
    <row r="1090" x14ac:dyDescent="0.25">
      <c r="A1090" t="n">
        <v>25</v>
      </c>
      <c r="B1090" t="s">
        <v>14</v>
      </c>
      <c r="C1090" t="s">
        <v>51</v>
      </c>
      <c r="D1090" s="2" t="s">
        <f>=HYPERLINK("https://main.knesset.gov.il/APPS/legislation/main/bills/2232502", "הצעת חוק יידוע ודיווח על מינוי יועצים חיצוניים לחברי ועדת השרים לענייני ביטחון לאומי ולראש הממשלה, התשפ""ה-2025")</f>
        <v>2395</v>
      </c>
      <c r="E1090" t="s">
        <v>2395</v>
      </c>
      <c r="F1090" t="s">
        <v>2396</v>
      </c>
      <c r="G1090" t="s">
        <v>14</v>
      </c>
      <c r="H1090">
             </c>
      <c r="I1090" t="s">
        <v>14</v>
      </c>
      <c r="J1090" t="s">
        <v>193</v>
      </c>
      <c r="K1090" t="s">
        <v>14</v>
      </c>
      <c r="L1090" t="s">
        <v>20</v>
      </c>
      <c r="M1090" t="s">
        <v>2397</v>
      </c>
      <c r="N1090" t="s">
        <v>14</v>
      </c>
    </row>
    <row r="1091" x14ac:dyDescent="0.25">
      <c r="A1091" t="n">
        <v>25</v>
      </c>
      <c r="B1091" t="s">
        <v>14</v>
      </c>
      <c r="C1091" t="s">
        <v>51</v>
      </c>
      <c r="D1091" s="2" t="s">
        <f>=HYPERLINK("https://main.knesset.gov.il/APPS/legislation/main/bills/2232134", "הצעת חוק סיוע כלכלי לעידוד לומדי תורה וסטודנטים נזקקים (תיקון - קיום הוראות חוק שירות ביטחון כתנאי לסיוע), התשפ""ה-2025")</f>
        <v>2398</v>
      </c>
      <c r="E1091" t="s">
        <v>2398</v>
      </c>
      <c r="F1091" t="s">
        <v>2399</v>
      </c>
      <c r="G1091" t="s">
        <v>14</v>
      </c>
      <c r="H1091">
             </c>
      <c r="I1091" t="s">
        <v>14</v>
      </c>
      <c r="J1091" t="s">
        <v>193</v>
      </c>
      <c r="K1091" t="s">
        <v>14</v>
      </c>
      <c r="L1091" t="s">
        <v>20</v>
      </c>
      <c r="M1091" t="s">
        <v>2397</v>
      </c>
      <c r="N1091" t="s">
        <v>14</v>
      </c>
    </row>
    <row r="1092" x14ac:dyDescent="0.25">
      <c r="A1092" t="n">
        <v>25</v>
      </c>
      <c r="B1092" t="s">
        <v>14</v>
      </c>
      <c r="C1092" t="s">
        <v>51</v>
      </c>
      <c r="D1092" s="2" t="s">
        <f>=HYPERLINK("https://main.knesset.gov.il/APPS/legislation/main/bills/2232133", "הצעת חוק התניית הטבות בדיור בקיום חובות לפי חוק שירות ביטחון, התשפ""ה-2025 ")</f>
        <v>2400</v>
      </c>
      <c r="E1092" t="s">
        <v>2400</v>
      </c>
      <c r="F1092" t="s">
        <v>2401</v>
      </c>
      <c r="G1092" t="s">
        <v>14</v>
      </c>
      <c r="H1092">
             </c>
      <c r="I1092" t="s">
        <v>14</v>
      </c>
      <c r="J1092" t="s">
        <v>193</v>
      </c>
      <c r="K1092" t="s">
        <v>14</v>
      </c>
      <c r="L1092" t="s">
        <v>20</v>
      </c>
      <c r="M1092" t="s">
        <v>2397</v>
      </c>
      <c r="N1092" t="s">
        <v>14</v>
      </c>
    </row>
    <row r="1093" x14ac:dyDescent="0.25">
      <c r="A1093" t="n">
        <v>25</v>
      </c>
      <c r="B1093" t="s">
        <v>14</v>
      </c>
      <c r="C1093" t="s">
        <v>51</v>
      </c>
      <c r="D1093" s="2" t="s">
        <f>=HYPERLINK("https://main.knesset.gov.il/APPS/legislation/main/bills/2232135", "הצעת חוק הביטוח הלאומי (תיקון - קיום הוראות חוק שירות ביטחון כתנאי לתשלום דמי ביטוח לאומי מופחתים), התשפ""ה-2025")</f>
        <v>2402</v>
      </c>
      <c r="E1093" t="s">
        <v>2402</v>
      </c>
      <c r="F1093" t="s">
        <v>2403</v>
      </c>
      <c r="G1093" t="s">
        <v>14</v>
      </c>
      <c r="H1093">
             </c>
      <c r="I1093" t="s">
        <v>14</v>
      </c>
      <c r="J1093" t="s">
        <v>193</v>
      </c>
      <c r="K1093" t="s">
        <v>14</v>
      </c>
      <c r="L1093" t="s">
        <v>20</v>
      </c>
      <c r="M1093" t="s">
        <v>2397</v>
      </c>
      <c r="N1093" t="s">
        <v>14</v>
      </c>
    </row>
    <row r="1094" x14ac:dyDescent="0.25">
      <c r="A1094" t="n">
        <v>25</v>
      </c>
      <c r="B1094" t="s">
        <v>14</v>
      </c>
      <c r="C1094" t="s">
        <v>51</v>
      </c>
      <c r="D1094" s="2" t="s">
        <f>=HYPERLINK("https://main.knesset.gov.il/APPS/legislation/main/bills/2231986", "הצעת חוק החלת ריבונות על מעלה אדומים, התשפ""ה-2025")</f>
        <v>2404</v>
      </c>
      <c r="E1094" t="s">
        <v>2404</v>
      </c>
      <c r="F1094" t="s">
        <v>2405</v>
      </c>
      <c r="G1094" t="s">
        <v>14</v>
      </c>
      <c r="H1094">
             </c>
      <c r="I1094" t="s">
        <v>14</v>
      </c>
      <c r="J1094" t="s">
        <v>152</v>
      </c>
      <c r="K1094" t="s">
        <v>39</v>
      </c>
      <c r="L1094" t="s">
        <v>20</v>
      </c>
      <c r="M1094" t="s">
        <v>2397</v>
      </c>
      <c r="N1094" t="s">
        <v>14</v>
      </c>
    </row>
    <row r="1095" x14ac:dyDescent="0.25">
      <c r="A1095" t="n">
        <v>25</v>
      </c>
      <c r="B1095" t="s">
        <v>14</v>
      </c>
      <c r="C1095" t="s">
        <v>51</v>
      </c>
      <c r="D1095" s="2" t="s">
        <f>=HYPERLINK("https://main.knesset.gov.il/APPS/legislation/main/bills/2230728", "הצעת חוק הביטוח הלאומי (תיקון - אי-זכאות לקצבת ילדים להורה שלא שירת בשירות מזכה), התשפ""ה-2025")</f>
        <v>2406</v>
      </c>
      <c r="E1095" t="s">
        <v>2406</v>
      </c>
      <c r="F1095" t="s">
        <v>2407</v>
      </c>
      <c r="G1095" t="s">
        <v>14</v>
      </c>
      <c r="H1095">
             </c>
      <c r="I1095" t="s">
        <v>14</v>
      </c>
      <c r="J1095" t="s">
        <v>193</v>
      </c>
      <c r="K1095" t="s">
        <v>14</v>
      </c>
      <c r="L1095" t="s">
        <v>20</v>
      </c>
      <c r="M1095" t="s">
        <v>2397</v>
      </c>
      <c r="N1095" t="s">
        <v>14</v>
      </c>
    </row>
    <row r="1096" x14ac:dyDescent="0.25">
      <c r="A1096" t="n">
        <v>25</v>
      </c>
      <c r="B1096" t="s">
        <v>14</v>
      </c>
      <c r="C1096" t="s">
        <v>51</v>
      </c>
      <c r="D1096" s="2" t="s">
        <f>=HYPERLINK("https://main.knesset.gov.il/APPS/legislation/main/bills/2230789", "הצעת חוק החלת הריבונות של מדינת ישראל בחבלי יהודה והשומרון, התשפ""ה-2025")</f>
        <v>2408</v>
      </c>
      <c r="E1096" t="s">
        <v>2408</v>
      </c>
      <c r="F1096" t="s">
        <v>2409</v>
      </c>
      <c r="G1096" t="s">
        <v>14</v>
      </c>
      <c r="H1096">
             </c>
      <c r="I1096" t="s">
        <v>14</v>
      </c>
      <c r="J1096" t="s">
        <v>152</v>
      </c>
      <c r="K1096" t="s">
        <v>39</v>
      </c>
      <c r="L1096" t="s">
        <v>20</v>
      </c>
      <c r="M1096" t="s">
        <v>2397</v>
      </c>
      <c r="N1096" t="s">
        <v>14</v>
      </c>
    </row>
    <row r="1097" x14ac:dyDescent="0.25">
      <c r="A1097" t="n">
        <v>25</v>
      </c>
      <c r="B1097" t="s">
        <v>14</v>
      </c>
      <c r="C1097" t="s">
        <v>51</v>
      </c>
      <c r="D1097" s="2" t="s">
        <f>=HYPERLINK("https://main.knesset.gov.il/APPS/legislation/main/bills/2227421", "הצעת חוק מינהלת מילואים, התשפ""ה-2025")</f>
        <v>2410</v>
      </c>
      <c r="E1097" t="s">
        <v>2410</v>
      </c>
      <c r="F1097" t="s">
        <v>2411</v>
      </c>
      <c r="G1097" t="s">
        <v>14</v>
      </c>
      <c r="H1097">
             </c>
      <c r="I1097" t="s">
        <v>14</v>
      </c>
      <c r="J1097" t="s">
        <v>193</v>
      </c>
      <c r="K1097" t="s">
        <v>14</v>
      </c>
      <c r="L1097" t="s">
        <v>20</v>
      </c>
      <c r="M1097" t="s">
        <v>2397</v>
      </c>
      <c r="N1097" t="s">
        <v>14</v>
      </c>
    </row>
    <row r="1098" x14ac:dyDescent="0.25">
      <c r="A1098" t="n">
        <v>25</v>
      </c>
      <c r="B1098" t="s">
        <v>14</v>
      </c>
      <c r="C1098" t="s">
        <v>51</v>
      </c>
      <c r="D1098" s="2" t="s">
        <f>=HYPERLINK("https://main.knesset.gov.il/APPS/legislation/main/bills/2230366", "חוק לתמיכה בפעולות לטובת נכים ונפגעי פעולות איבה (תיקוני חקיקה), התשפ""ו–2025")</f>
        <v>2412</v>
      </c>
      <c r="E1098" t="s">
        <v>2412</v>
      </c>
      <c r="F1098" t="s">
        <v>2413</v>
      </c>
      <c r="G1098" t="s">
        <v>2414</v>
      </c>
      <c r="H1098" t="n">
        <v>3456</v>
      </c>
      <c r="I1098" t="s">
        <v>14</v>
      </c>
      <c r="J1098" t="s">
        <v>18</v>
      </c>
      <c r="K1098" t="s">
        <v>46</v>
      </c>
      <c r="L1098" t="s">
        <v>20</v>
      </c>
      <c r="M1098" t="s">
        <v>2415</v>
      </c>
      <c r="N1098" t="s">
        <v>2416</v>
      </c>
    </row>
    <row r="1099" x14ac:dyDescent="0.25">
      <c r="A1099" t="n">
        <v>25</v>
      </c>
      <c r="B1099" t="s">
        <v>14</v>
      </c>
      <c r="C1099" t="s">
        <v>15</v>
      </c>
      <c r="D1099" s="2" t="s">
        <f>=HYPERLINK("https://main.knesset.gov.il/APPS/legislation/main/bills/2209493", "הצעת חוק הסדרת העיסוק בקרינה מייננת, התשפ""ו-2025")</f>
        <v>2417</v>
      </c>
      <c r="E1099" t="s">
        <v>2417</v>
      </c>
      <c r="F1099" t="s">
        <v>14</v>
      </c>
      <c r="G1099" t="s">
        <v>2418</v>
      </c>
      <c r="H1099">
             </c>
      <c r="I1099" t="s">
        <v>14</v>
      </c>
      <c r="J1099" t="s">
        <v>180</v>
      </c>
      <c r="K1099" t="s">
        <v>30</v>
      </c>
      <c r="L1099" t="s">
        <v>20</v>
      </c>
      <c r="M1099" t="s">
        <v>2419</v>
      </c>
      <c r="N1099" t="s">
        <v>14</v>
      </c>
    </row>
    <row r="1100" x14ac:dyDescent="0.25">
      <c r="A1100" t="n">
        <v>25</v>
      </c>
      <c r="B1100" t="s">
        <v>14</v>
      </c>
      <c r="C1100" t="s">
        <v>51</v>
      </c>
      <c r="D1100" s="2" t="s">
        <f>=HYPERLINK("https://main.knesset.gov.il/APPS/legislation/main/bills/2234472", "הצעת חוק האזרחות והכניסה לישראל (הוראת שעה) (תיקון - מתן תושבות לדרוזים מסוריה הדרומית), התשפ""ו-2025")</f>
        <v>2420</v>
      </c>
      <c r="E1100" t="s">
        <v>2420</v>
      </c>
      <c r="F1100" t="s">
        <v>2421</v>
      </c>
      <c r="G1100" t="s">
        <v>14</v>
      </c>
      <c r="H1100">
             </c>
      <c r="I1100" t="s">
        <v>14</v>
      </c>
      <c r="J1100" t="s">
        <v>242</v>
      </c>
      <c r="K1100" t="s">
        <v>14</v>
      </c>
      <c r="L1100" t="s">
        <v>20</v>
      </c>
      <c r="M1100" t="s">
        <v>2419</v>
      </c>
      <c r="N1100" t="s">
        <v>14</v>
      </c>
    </row>
    <row r="1101" x14ac:dyDescent="0.25">
      <c r="A1101" t="n">
        <v>25</v>
      </c>
      <c r="B1101" t="s">
        <v>14</v>
      </c>
      <c r="C1101" t="s">
        <v>51</v>
      </c>
      <c r="D1101" s="2" t="s">
        <f>=HYPERLINK("https://main.knesset.gov.il/APPS/legislation/main/bills/2235227", "הצעת חוק סדר הדין הפלילי (תיקון - צמצום מספר הדיונים מטעמי ביטחון המדינה), התשפ״ו-2025")</f>
        <v>2422</v>
      </c>
      <c r="E1101" t="s">
        <v>2422</v>
      </c>
      <c r="F1101" t="s">
        <v>2423</v>
      </c>
      <c r="G1101" t="s">
        <v>14</v>
      </c>
      <c r="H1101">
             </c>
      <c r="I1101" t="s">
        <v>14</v>
      </c>
      <c r="J1101" t="s">
        <v>242</v>
      </c>
      <c r="K1101" t="s">
        <v>14</v>
      </c>
      <c r="L1101" t="s">
        <v>20</v>
      </c>
      <c r="M1101" t="s">
        <v>2419</v>
      </c>
      <c r="N1101" t="s">
        <v>14</v>
      </c>
    </row>
    <row r="1102" x14ac:dyDescent="0.25">
      <c r="A1102" t="n">
        <v>25</v>
      </c>
      <c r="B1102" t="s">
        <v>14</v>
      </c>
      <c r="C1102" t="s">
        <v>51</v>
      </c>
      <c r="D1102" s="2" t="s">
        <f>=HYPERLINK("https://main.knesset.gov.il/APPS/legislation/main/bills/2235162", "הצעת חוק מימון הוצאות למשפחות שבויים, חטופים ונעדרים (תיקון - מענק הסתגלות לבני זוג והורים של חטוף שגופתו הושבה), התשפ""ו-2025")</f>
        <v>1983</v>
      </c>
      <c r="E1102" t="s">
        <v>1983</v>
      </c>
      <c r="F1102" t="s">
        <v>2424</v>
      </c>
      <c r="G1102" t="s">
        <v>14</v>
      </c>
      <c r="H1102">
             </c>
      <c r="I1102" t="s">
        <v>14</v>
      </c>
      <c r="J1102" t="s">
        <v>242</v>
      </c>
      <c r="K1102" t="s">
        <v>14</v>
      </c>
      <c r="L1102" t="s">
        <v>20</v>
      </c>
      <c r="M1102" t="s">
        <v>2419</v>
      </c>
      <c r="N1102" t="s">
        <v>14</v>
      </c>
    </row>
    <row r="1103" x14ac:dyDescent="0.25">
      <c r="A1103" t="n">
        <v>25</v>
      </c>
      <c r="B1103" t="s">
        <v>14</v>
      </c>
      <c r="C1103" t="s">
        <v>51</v>
      </c>
      <c r="D1103" s="2" t="s">
        <f>=HYPERLINK("https://main.knesset.gov.il/APPS/legislation/main/bills/2235231", "הצעת חוק רשות ההסברה הלאומית, התשפ""ו-2025")</f>
        <v>2425</v>
      </c>
      <c r="E1103" t="s">
        <v>2425</v>
      </c>
      <c r="F1103" t="s">
        <v>2426</v>
      </c>
      <c r="G1103" t="s">
        <v>14</v>
      </c>
      <c r="H1103">
             </c>
      <c r="I1103" t="s">
        <v>14</v>
      </c>
      <c r="J1103" t="s">
        <v>242</v>
      </c>
      <c r="K1103" t="s">
        <v>14</v>
      </c>
      <c r="L1103" t="s">
        <v>20</v>
      </c>
      <c r="M1103" t="s">
        <v>2419</v>
      </c>
      <c r="N1103" t="s">
        <v>14</v>
      </c>
    </row>
    <row r="1104" x14ac:dyDescent="0.25">
      <c r="A1104" t="n">
        <v>25</v>
      </c>
      <c r="B1104" t="s">
        <v>14</v>
      </c>
      <c r="C1104" t="s">
        <v>51</v>
      </c>
      <c r="D1104" s="2" t="s">
        <f>=HYPERLINK("https://main.knesset.gov.il/APPS/legislation/main/bills/2235424", "הצעת חוק זכאות למשרתי מילואים יחידים במסגרת תוכנית מחיר למשתכן, התשפ״ו-2025")</f>
        <v>2427</v>
      </c>
      <c r="E1104" t="s">
        <v>2427</v>
      </c>
      <c r="F1104" t="s">
        <v>2428</v>
      </c>
      <c r="G1104" t="s">
        <v>14</v>
      </c>
      <c r="H1104">
             </c>
      <c r="I1104" t="s">
        <v>14</v>
      </c>
      <c r="J1104" t="s">
        <v>242</v>
      </c>
      <c r="K1104" t="s">
        <v>14</v>
      </c>
      <c r="L1104" t="s">
        <v>20</v>
      </c>
      <c r="M1104" t="s">
        <v>2419</v>
      </c>
      <c r="N1104" t="s">
        <v>14</v>
      </c>
    </row>
    <row r="1105" x14ac:dyDescent="0.25">
      <c r="A1105" t="n">
        <v>25</v>
      </c>
      <c r="B1105" t="s">
        <v>14</v>
      </c>
      <c r="C1105" t="s">
        <v>51</v>
      </c>
      <c r="D1105" s="2" t="s">
        <f>=HYPERLINK("https://main.knesset.gov.il/APPS/legislation/main/bills/2235294", "הצעת חוק בתי קברות צבאיים (תיקון - ועדת חריגים להכרה בזכאות לקבורה צבאית), התשפ""ו-2025")</f>
        <v>2429</v>
      </c>
      <c r="E1105" t="s">
        <v>2429</v>
      </c>
      <c r="F1105" t="s">
        <v>2430</v>
      </c>
      <c r="G1105" t="s">
        <v>14</v>
      </c>
      <c r="H1105">
             </c>
      <c r="I1105" t="s">
        <v>14</v>
      </c>
      <c r="J1105" t="s">
        <v>242</v>
      </c>
      <c r="K1105" t="s">
        <v>14</v>
      </c>
      <c r="L1105" t="s">
        <v>20</v>
      </c>
      <c r="M1105" t="s">
        <v>2419</v>
      </c>
      <c r="N1105" t="s">
        <v>14</v>
      </c>
    </row>
    <row r="1106" x14ac:dyDescent="0.25">
      <c r="A1106" t="n">
        <v>25</v>
      </c>
      <c r="B1106" t="s">
        <v>14</v>
      </c>
      <c r="C1106" t="s">
        <v>51</v>
      </c>
      <c r="D1106" s="2" t="s">
        <f>=HYPERLINK("https://main.knesset.gov.il/APPS/legislation/main/bills/2234601", "הצעת חוק זכויות הסטודנט (תיקון - העדפה מתקנת לתושבי הנגב), התשפ""ו-2025")</f>
        <v>2431</v>
      </c>
      <c r="E1106" t="s">
        <v>2431</v>
      </c>
      <c r="F1106" t="s">
        <v>2432</v>
      </c>
      <c r="G1106" t="s">
        <v>14</v>
      </c>
      <c r="H1106">
             </c>
      <c r="I1106" t="s">
        <v>14</v>
      </c>
      <c r="J1106" t="s">
        <v>242</v>
      </c>
      <c r="K1106" t="s">
        <v>14</v>
      </c>
      <c r="L1106" t="s">
        <v>20</v>
      </c>
      <c r="M1106" t="s">
        <v>2419</v>
      </c>
      <c r="N1106" t="s">
        <v>14</v>
      </c>
    </row>
    <row r="1107" x14ac:dyDescent="0.25">
      <c r="A1107" t="n">
        <v>25</v>
      </c>
      <c r="B1107" t="s">
        <v>14</v>
      </c>
      <c r="C1107" t="s">
        <v>51</v>
      </c>
      <c r="D1107" s="2" t="s">
        <f>=HYPERLINK("https://main.knesset.gov.il/APPS/legislation/main/bills/2234182", "הצעת חוק המרכז למורשת ארגון אליאנס: כל ישראל חברים, התשפ""ו-2025")</f>
        <v>1998</v>
      </c>
      <c r="E1107" t="s">
        <v>1998</v>
      </c>
      <c r="F1107" t="s">
        <v>2433</v>
      </c>
      <c r="G1107" t="s">
        <v>14</v>
      </c>
      <c r="H1107">
             </c>
      <c r="I1107" t="s">
        <v>14</v>
      </c>
      <c r="J1107" t="s">
        <v>242</v>
      </c>
      <c r="K1107" t="s">
        <v>14</v>
      </c>
      <c r="L1107" t="s">
        <v>20</v>
      </c>
      <c r="M1107" t="s">
        <v>2419</v>
      </c>
      <c r="N1107" t="s">
        <v>14</v>
      </c>
    </row>
    <row r="1108" x14ac:dyDescent="0.25">
      <c r="A1108" t="n">
        <v>25</v>
      </c>
      <c r="B1108" t="s">
        <v>14</v>
      </c>
      <c r="C1108" t="s">
        <v>51</v>
      </c>
      <c r="D1108" s="2" t="s">
        <f>=HYPERLINK("https://main.knesset.gov.il/APPS/legislation/main/bills/2235127", "הצעת חוק לעידוד הסעות שיתופיות (תיקוני חקיקה), התשפ""ו-2025")</f>
        <v>2434</v>
      </c>
      <c r="E1108" t="s">
        <v>2434</v>
      </c>
      <c r="F1108" t="s">
        <v>2435</v>
      </c>
      <c r="G1108" t="s">
        <v>14</v>
      </c>
      <c r="H1108">
             </c>
      <c r="I1108" t="s">
        <v>14</v>
      </c>
      <c r="J1108" t="s">
        <v>242</v>
      </c>
      <c r="K1108" t="s">
        <v>14</v>
      </c>
      <c r="L1108" t="s">
        <v>20</v>
      </c>
      <c r="M1108" t="s">
        <v>2419</v>
      </c>
      <c r="N1108" t="s">
        <v>14</v>
      </c>
    </row>
    <row r="1109" x14ac:dyDescent="0.25">
      <c r="A1109" t="n">
        <v>25</v>
      </c>
      <c r="B1109" t="s">
        <v>14</v>
      </c>
      <c r="C1109" t="s">
        <v>51</v>
      </c>
      <c r="D1109" s="2" t="s">
        <f>=HYPERLINK("https://main.knesset.gov.il/APPS/legislation/main/bills/2234635", "הצעת חוק הכשרות המשפטית והאפוטרופסות (תיקון - אפוטרופוס לדין), התשפ""ו-2025")</f>
        <v>2436</v>
      </c>
      <c r="E1109" t="s">
        <v>2436</v>
      </c>
      <c r="F1109" t="s">
        <v>2437</v>
      </c>
      <c r="G1109" t="s">
        <v>14</v>
      </c>
      <c r="H1109">
             </c>
      <c r="I1109" t="s">
        <v>14</v>
      </c>
      <c r="J1109" t="s">
        <v>242</v>
      </c>
      <c r="K1109" t="s">
        <v>14</v>
      </c>
      <c r="L1109" t="s">
        <v>20</v>
      </c>
      <c r="M1109" t="s">
        <v>2419</v>
      </c>
      <c r="N1109" t="s">
        <v>14</v>
      </c>
    </row>
    <row r="1110" x14ac:dyDescent="0.25">
      <c r="A1110" t="n">
        <v>25</v>
      </c>
      <c r="B1110" t="s">
        <v>14</v>
      </c>
      <c r="C1110" t="s">
        <v>51</v>
      </c>
      <c r="D1110" s="2" t="s">
        <f>=HYPERLINK("https://main.knesset.gov.il/APPS/legislation/main/bills/2235115", "הצעת חוק לתיקון פקודת מסילות הברזל (העלאת אופניים לרכבת), התשפ""ו-2025")</f>
        <v>2438</v>
      </c>
      <c r="E1110" t="s">
        <v>2438</v>
      </c>
      <c r="F1110" t="s">
        <v>2439</v>
      </c>
      <c r="G1110" t="s">
        <v>14</v>
      </c>
      <c r="H1110">
             </c>
      <c r="I1110" t="s">
        <v>14</v>
      </c>
      <c r="J1110" t="s">
        <v>242</v>
      </c>
      <c r="K1110" t="s">
        <v>14</v>
      </c>
      <c r="L1110" t="s">
        <v>20</v>
      </c>
      <c r="M1110" t="s">
        <v>2419</v>
      </c>
      <c r="N1110" t="s">
        <v>14</v>
      </c>
    </row>
    <row r="1111" x14ac:dyDescent="0.25">
      <c r="A1111" t="n">
        <v>25</v>
      </c>
      <c r="B1111" t="s">
        <v>14</v>
      </c>
      <c r="C1111" t="s">
        <v>51</v>
      </c>
      <c r="D1111" s="2" t="s">
        <f>=HYPERLINK("https://main.knesset.gov.il/APPS/legislation/main/bills/2235109", "הצעת חוק הגנת הצרכן (תיקון - סיכום פניה), התשפ""ו-2025")</f>
        <v>2440</v>
      </c>
      <c r="E1111" t="s">
        <v>2440</v>
      </c>
      <c r="F1111" t="s">
        <v>2441</v>
      </c>
      <c r="G1111" t="s">
        <v>14</v>
      </c>
      <c r="H1111">
             </c>
      <c r="I1111" t="s">
        <v>14</v>
      </c>
      <c r="J1111" t="s">
        <v>242</v>
      </c>
      <c r="K1111" t="s">
        <v>14</v>
      </c>
      <c r="L1111" t="s">
        <v>20</v>
      </c>
      <c r="M1111" t="s">
        <v>2419</v>
      </c>
      <c r="N1111" t="s">
        <v>14</v>
      </c>
    </row>
    <row r="1112" x14ac:dyDescent="0.25">
      <c r="A1112" t="n">
        <v>25</v>
      </c>
      <c r="B1112" t="s">
        <v>14</v>
      </c>
      <c r="C1112" t="s">
        <v>51</v>
      </c>
      <c r="D1112" s="2" t="s">
        <f>=HYPERLINK("https://main.knesset.gov.il/APPS/legislation/main/bills/2235114", "הצעת חוק לתיקון פקודת מסילות הברזל (פטור מתשלום דמי נסיעה לעגלת ילדים), התשפ""ו-2025")</f>
        <v>2442</v>
      </c>
      <c r="E1112" t="s">
        <v>2442</v>
      </c>
      <c r="F1112" t="s">
        <v>2443</v>
      </c>
      <c r="G1112" t="s">
        <v>14</v>
      </c>
      <c r="H1112">
             </c>
      <c r="I1112" t="s">
        <v>14</v>
      </c>
      <c r="J1112" t="s">
        <v>242</v>
      </c>
      <c r="K1112" t="s">
        <v>14</v>
      </c>
      <c r="L1112" t="s">
        <v>20</v>
      </c>
      <c r="M1112" t="s">
        <v>2419</v>
      </c>
      <c r="N1112" t="s">
        <v>14</v>
      </c>
    </row>
    <row r="1113" x14ac:dyDescent="0.25">
      <c r="A1113" t="n">
        <v>25</v>
      </c>
      <c r="B1113" t="s">
        <v>14</v>
      </c>
      <c r="C1113" t="s">
        <v>51</v>
      </c>
      <c r="D1113" s="2" t="s">
        <f>=HYPERLINK("https://main.knesset.gov.il/APPS/legislation/main/bills/2234444", "הצעת חוק הכניסה לישראל (תיקון - קיצור תקופת ביטול אשרה לעובד זר), התשפ""ו-2025")</f>
        <v>2332</v>
      </c>
      <c r="E1113" t="s">
        <v>2332</v>
      </c>
      <c r="F1113" t="s">
        <v>2444</v>
      </c>
      <c r="G1113" t="s">
        <v>14</v>
      </c>
      <c r="H1113">
             </c>
      <c r="I1113" t="s">
        <v>14</v>
      </c>
      <c r="J1113" t="s">
        <v>242</v>
      </c>
      <c r="K1113" t="s">
        <v>14</v>
      </c>
      <c r="L1113" t="s">
        <v>20</v>
      </c>
      <c r="M1113" t="s">
        <v>2419</v>
      </c>
      <c r="N1113" t="s">
        <v>14</v>
      </c>
    </row>
    <row r="1114" x14ac:dyDescent="0.25">
      <c r="A1114" t="n">
        <v>25</v>
      </c>
      <c r="B1114" t="s">
        <v>14</v>
      </c>
      <c r="C1114" t="s">
        <v>51</v>
      </c>
      <c r="D1114" s="2" t="s">
        <f>=HYPERLINK("https://main.knesset.gov.il/APPS/legislation/main/bills/2235345", "הצעת חוק התכנון והבנייה (תיקון - מכירה ישירה של תוצרת חקלאית), התשפ""ו-2025")</f>
        <v>2445</v>
      </c>
      <c r="E1114" t="s">
        <v>2445</v>
      </c>
      <c r="F1114" t="s">
        <v>2446</v>
      </c>
      <c r="G1114" t="s">
        <v>14</v>
      </c>
      <c r="H1114">
             </c>
      <c r="I1114" t="s">
        <v>14</v>
      </c>
      <c r="J1114" t="s">
        <v>242</v>
      </c>
      <c r="K1114" t="s">
        <v>14</v>
      </c>
      <c r="L1114" t="s">
        <v>20</v>
      </c>
      <c r="M1114" t="s">
        <v>2419</v>
      </c>
      <c r="N1114" t="s">
        <v>14</v>
      </c>
    </row>
    <row r="1115" x14ac:dyDescent="0.25">
      <c r="A1115" t="n">
        <v>25</v>
      </c>
      <c r="B1115" t="s">
        <v>14</v>
      </c>
      <c r="C1115" t="s">
        <v>51</v>
      </c>
      <c r="D1115" s="2" t="s">
        <f>=HYPERLINK("https://main.knesset.gov.il/APPS/legislation/main/bills/2232290", "הצעת חוק מרשם האוכלוסין (תיקון - קביעת מינו של אדם בתיעוד ממשלתי - אמת), התשפ""ו-2025")</f>
        <v>2447</v>
      </c>
      <c r="E1115" t="s">
        <v>2447</v>
      </c>
      <c r="F1115" t="s">
        <v>2448</v>
      </c>
      <c r="G1115" t="s">
        <v>14</v>
      </c>
      <c r="H1115">
             </c>
      <c r="I1115" t="s">
        <v>14</v>
      </c>
      <c r="J1115" t="s">
        <v>242</v>
      </c>
      <c r="K1115" t="s">
        <v>14</v>
      </c>
      <c r="L1115" t="s">
        <v>20</v>
      </c>
      <c r="M1115" t="s">
        <v>2419</v>
      </c>
      <c r="N1115" t="s">
        <v>14</v>
      </c>
    </row>
    <row r="1116" x14ac:dyDescent="0.25">
      <c r="A1116" t="n">
        <v>25</v>
      </c>
      <c r="B1116" t="s">
        <v>14</v>
      </c>
      <c r="C1116" t="s">
        <v>51</v>
      </c>
      <c r="D1116" s="2" t="s">
        <f>=HYPERLINK("https://main.knesset.gov.il/APPS/legislation/main/bills/2234655", "הצעת חוק-יסוד: הכנסת (תיקון - הורדת גיל הבחירה) ")</f>
        <v>2449</v>
      </c>
      <c r="E1116" t="s">
        <v>2449</v>
      </c>
      <c r="F1116" t="s">
        <v>2450</v>
      </c>
      <c r="G1116" t="s">
        <v>14</v>
      </c>
      <c r="H1116">
             </c>
      <c r="I1116" t="s">
        <v>14</v>
      </c>
      <c r="J1116" t="s">
        <v>242</v>
      </c>
      <c r="K1116" t="s">
        <v>14</v>
      </c>
      <c r="L1116" t="s">
        <v>20</v>
      </c>
      <c r="M1116" t="s">
        <v>2419</v>
      </c>
      <c r="N1116" t="s">
        <v>14</v>
      </c>
    </row>
    <row r="1117" x14ac:dyDescent="0.25">
      <c r="A1117" t="n">
        <v>25</v>
      </c>
      <c r="B1117" t="s">
        <v>14</v>
      </c>
      <c r="C1117" t="s">
        <v>51</v>
      </c>
      <c r="D1117" s="2" t="s">
        <f>=HYPERLINK("https://main.knesset.gov.il/APPS/legislation/main/bills/2235027", "הצעת חוק רמת הגולן (תיקון - החלת ריבונות על אזורים שהיו בשליטת ישראל בסיום מלחמת יום הכיפורים), התשפ""ו-2025")</f>
        <v>2451</v>
      </c>
      <c r="E1117" t="s">
        <v>2451</v>
      </c>
      <c r="F1117" t="s">
        <v>2452</v>
      </c>
      <c r="G1117" t="s">
        <v>14</v>
      </c>
      <c r="H1117">
             </c>
      <c r="I1117" t="s">
        <v>14</v>
      </c>
      <c r="J1117" t="s">
        <v>242</v>
      </c>
      <c r="K1117" t="s">
        <v>14</v>
      </c>
      <c r="L1117" t="s">
        <v>20</v>
      </c>
      <c r="M1117" t="s">
        <v>2419</v>
      </c>
      <c r="N1117" t="s">
        <v>14</v>
      </c>
    </row>
    <row r="1118" x14ac:dyDescent="0.25">
      <c r="A1118" t="n">
        <v>25</v>
      </c>
      <c r="B1118" t="s">
        <v>14</v>
      </c>
      <c r="C1118" t="s">
        <v>51</v>
      </c>
      <c r="D1118" s="2" t="s">
        <f>=HYPERLINK("https://main.knesset.gov.il/APPS/legislation/main/bills/2235111", "הצעת חוק גנים לאומיים, שמורות טבע, אתרים לאומיים ואתרי הנצחה (תיקון - הסדרת תחבורה ציבורית), התשפ""ו-2025")</f>
        <v>2453</v>
      </c>
      <c r="E1118" t="s">
        <v>2453</v>
      </c>
      <c r="F1118" t="s">
        <v>2454</v>
      </c>
      <c r="G1118" t="s">
        <v>14</v>
      </c>
      <c r="H1118">
             </c>
      <c r="I1118" t="s">
        <v>14</v>
      </c>
      <c r="J1118" t="s">
        <v>242</v>
      </c>
      <c r="K1118" t="s">
        <v>14</v>
      </c>
      <c r="L1118" t="s">
        <v>20</v>
      </c>
      <c r="M1118" t="s">
        <v>2419</v>
      </c>
      <c r="N1118" t="s">
        <v>14</v>
      </c>
    </row>
    <row r="1119" x14ac:dyDescent="0.25">
      <c r="A1119" t="n">
        <v>25</v>
      </c>
      <c r="B1119" t="s">
        <v>14</v>
      </c>
      <c r="C1119" t="s">
        <v>51</v>
      </c>
      <c r="D1119" s="2" t="s">
        <f>=HYPERLINK("https://main.knesset.gov.il/APPS/legislation/main/bills/2234358", "הצעת חוק התכנון והבנייה (תיקון - הוספת נציגי ארגונים סביבתיים בוועדות התכנון הארציות, האזוריות, המקומיות ובוועדות המיוחדות), התשפ״ו-2025")</f>
        <v>2455</v>
      </c>
      <c r="E1119" t="s">
        <v>2455</v>
      </c>
      <c r="F1119" t="s">
        <v>2456</v>
      </c>
      <c r="G1119" t="s">
        <v>14</v>
      </c>
      <c r="H1119">
             </c>
      <c r="I1119" t="s">
        <v>14</v>
      </c>
      <c r="J1119" t="s">
        <v>242</v>
      </c>
      <c r="K1119" t="s">
        <v>14</v>
      </c>
      <c r="L1119" t="s">
        <v>20</v>
      </c>
      <c r="M1119" t="s">
        <v>2419</v>
      </c>
      <c r="N1119" t="s">
        <v>14</v>
      </c>
    </row>
    <row r="1120" x14ac:dyDescent="0.25">
      <c r="A1120" t="n">
        <v>25</v>
      </c>
      <c r="B1120" t="s">
        <v>14</v>
      </c>
      <c r="C1120" t="s">
        <v>51</v>
      </c>
      <c r="D1120" s="2" t="s">
        <f>=HYPERLINK("https://main.knesset.gov.il/APPS/legislation/main/bills/2234395", "הצעת חוק הסיוע המשפטי (תיקון - סיוע משפטי למטופלים סיעודיים), התשפ""ו-2025 ")</f>
        <v>2457</v>
      </c>
      <c r="E1120" t="s">
        <v>2457</v>
      </c>
      <c r="F1120" t="s">
        <v>2458</v>
      </c>
      <c r="G1120" t="s">
        <v>14</v>
      </c>
      <c r="H1120">
             </c>
      <c r="I1120" t="s">
        <v>14</v>
      </c>
      <c r="J1120" t="s">
        <v>242</v>
      </c>
      <c r="K1120" t="s">
        <v>14</v>
      </c>
      <c r="L1120" t="s">
        <v>20</v>
      </c>
      <c r="M1120" t="s">
        <v>2419</v>
      </c>
      <c r="N1120" t="s">
        <v>14</v>
      </c>
    </row>
    <row r="1121" x14ac:dyDescent="0.25">
      <c r="A1121" t="n">
        <v>25</v>
      </c>
      <c r="B1121" t="s">
        <v>14</v>
      </c>
      <c r="C1121" t="s">
        <v>51</v>
      </c>
      <c r="D1121" s="2" t="s">
        <f>=HYPERLINK("https://main.knesset.gov.il/APPS/legislation/main/bills/2235107", "הצעת חוק הבחירות לכנסת (תיקון - ביטול אחוז החסימה ותיקון הסכמי עודפים), התשפ""ו-2025")</f>
        <v>2459</v>
      </c>
      <c r="E1121" t="s">
        <v>2459</v>
      </c>
      <c r="F1121" t="s">
        <v>2460</v>
      </c>
      <c r="G1121" t="s">
        <v>14</v>
      </c>
      <c r="H1121">
             </c>
      <c r="I1121" t="s">
        <v>14</v>
      </c>
      <c r="J1121" t="s">
        <v>242</v>
      </c>
      <c r="K1121" t="s">
        <v>14</v>
      </c>
      <c r="L1121" t="s">
        <v>20</v>
      </c>
      <c r="M1121" t="s">
        <v>2419</v>
      </c>
      <c r="N1121" t="s">
        <v>14</v>
      </c>
    </row>
    <row r="1122" x14ac:dyDescent="0.25">
      <c r="A1122" t="n">
        <v>25</v>
      </c>
      <c r="B1122" t="s">
        <v>14</v>
      </c>
      <c r="C1122" t="s">
        <v>51</v>
      </c>
      <c r="D1122" s="2" t="s">
        <f>=HYPERLINK("https://main.knesset.gov.il/APPS/legislation/main/bills/2234586", "הצעת חוק עידוד תרומות מזון (תיקון - חובת העברת עודפי מזון לארגון לחלוקת מזון), התשפ""ו-2025")</f>
        <v>2461</v>
      </c>
      <c r="E1122" t="s">
        <v>2461</v>
      </c>
      <c r="F1122" t="s">
        <v>2462</v>
      </c>
      <c r="G1122" t="s">
        <v>14</v>
      </c>
      <c r="H1122">
             </c>
      <c r="I1122" t="s">
        <v>14</v>
      </c>
      <c r="J1122" t="s">
        <v>242</v>
      </c>
      <c r="K1122" t="s">
        <v>14</v>
      </c>
      <c r="L1122" t="s">
        <v>20</v>
      </c>
      <c r="M1122" t="s">
        <v>2419</v>
      </c>
      <c r="N1122" t="s">
        <v>14</v>
      </c>
    </row>
    <row r="1123" x14ac:dyDescent="0.25">
      <c r="A1123" t="n">
        <v>25</v>
      </c>
      <c r="B1123" t="s">
        <v>14</v>
      </c>
      <c r="C1123" t="s">
        <v>51</v>
      </c>
      <c r="D1123" s="2" t="s">
        <f>=HYPERLINK("https://main.knesset.gov.il/APPS/legislation/main/bills/2234349", "הצעת חוק הרשות הממשלתית להתחדשות עירונית (תיקון - הפחתת התלות בתחבורה ממונעת), התשפ״ו-2025")</f>
        <v>2463</v>
      </c>
      <c r="E1123" t="s">
        <v>2463</v>
      </c>
      <c r="F1123" t="s">
        <v>2464</v>
      </c>
      <c r="G1123" t="s">
        <v>14</v>
      </c>
      <c r="H1123">
             </c>
      <c r="I1123" t="s">
        <v>14</v>
      </c>
      <c r="J1123" t="s">
        <v>242</v>
      </c>
      <c r="K1123" t="s">
        <v>14</v>
      </c>
      <c r="L1123" t="s">
        <v>20</v>
      </c>
      <c r="M1123" t="s">
        <v>2419</v>
      </c>
      <c r="N1123" t="s">
        <v>14</v>
      </c>
    </row>
    <row r="1124" x14ac:dyDescent="0.25">
      <c r="A1124" t="n">
        <v>25</v>
      </c>
      <c r="B1124" t="s">
        <v>14</v>
      </c>
      <c r="C1124" t="s">
        <v>51</v>
      </c>
      <c r="D1124" s="2" t="s">
        <f>=HYPERLINK("https://main.knesset.gov.il/APPS/legislation/main/bills/2234647", "הצעת חוק לעידוד השקעות הון (תיקון - מפעל בר-תחרות כמפעל הממוקם עד 2 ק""מ מהגבול הצפוני), התשפ""ו-2025")</f>
        <v>2465</v>
      </c>
      <c r="E1124" t="s">
        <v>2465</v>
      </c>
      <c r="F1124" t="s">
        <v>2466</v>
      </c>
      <c r="G1124" t="s">
        <v>14</v>
      </c>
      <c r="H1124">
             </c>
      <c r="I1124" t="s">
        <v>14</v>
      </c>
      <c r="J1124" t="s">
        <v>242</v>
      </c>
      <c r="K1124" t="s">
        <v>14</v>
      </c>
      <c r="L1124" t="s">
        <v>20</v>
      </c>
      <c r="M1124" t="s">
        <v>2419</v>
      </c>
      <c r="N1124" t="s">
        <v>14</v>
      </c>
    </row>
    <row r="1125" x14ac:dyDescent="0.25">
      <c r="A1125" t="n">
        <v>25</v>
      </c>
      <c r="B1125" t="s">
        <v>14</v>
      </c>
      <c r="C1125" t="s">
        <v>51</v>
      </c>
      <c r="D1125" s="2" t="s">
        <f>=HYPERLINK("https://main.knesset.gov.il/APPS/legislation/main/bills/2235106", "הצעת חוק-יסוד: נשיא המדינה (תיקון - ייחוד כהונה) ")</f>
        <v>2467</v>
      </c>
      <c r="E1125" t="s">
        <v>2467</v>
      </c>
      <c r="F1125" t="s">
        <v>2468</v>
      </c>
      <c r="G1125" t="s">
        <v>14</v>
      </c>
      <c r="H1125">
             </c>
      <c r="I1125" t="s">
        <v>14</v>
      </c>
      <c r="J1125" t="s">
        <v>242</v>
      </c>
      <c r="K1125" t="s">
        <v>14</v>
      </c>
      <c r="L1125" t="s">
        <v>20</v>
      </c>
      <c r="M1125" t="s">
        <v>2419</v>
      </c>
      <c r="N1125" t="s">
        <v>14</v>
      </c>
    </row>
    <row r="1126" x14ac:dyDescent="0.25">
      <c r="A1126" t="n">
        <v>25</v>
      </c>
      <c r="B1126" t="s">
        <v>14</v>
      </c>
      <c r="C1126" t="s">
        <v>51</v>
      </c>
      <c r="D1126" s="2" t="s">
        <f>=HYPERLINK("https://main.knesset.gov.il/APPS/legislation/main/bills/2230562", "הצעת חוק התכנון והבנייה (תיקון - הגבלת הספקת חשמל, מים וטלפון), התשפ""ו-2025")</f>
        <v>2469</v>
      </c>
      <c r="E1126" t="s">
        <v>2469</v>
      </c>
      <c r="F1126" t="s">
        <v>2470</v>
      </c>
      <c r="G1126" t="s">
        <v>14</v>
      </c>
      <c r="H1126">
             </c>
      <c r="I1126" t="s">
        <v>14</v>
      </c>
      <c r="J1126" t="s">
        <v>242</v>
      </c>
      <c r="K1126" t="s">
        <v>14</v>
      </c>
      <c r="L1126" t="s">
        <v>20</v>
      </c>
      <c r="M1126" t="s">
        <v>2419</v>
      </c>
      <c r="N1126" t="s">
        <v>14</v>
      </c>
    </row>
    <row r="1127" x14ac:dyDescent="0.25">
      <c r="A1127" t="n">
        <v>25</v>
      </c>
      <c r="B1127" t="s">
        <v>14</v>
      </c>
      <c r="C1127" t="s">
        <v>51</v>
      </c>
      <c r="D1127" s="2" t="s">
        <f>=HYPERLINK("https://main.knesset.gov.il/APPS/legislation/main/bills/2234725", "הצעת חוק השכירות והשאילה (תיקון - איסור הטלת דמי תיווך על השוכר), התשפ""ו-2025")</f>
        <v>2471</v>
      </c>
      <c r="E1127" t="s">
        <v>2471</v>
      </c>
      <c r="F1127" t="s">
        <v>2472</v>
      </c>
      <c r="G1127" t="s">
        <v>14</v>
      </c>
      <c r="H1127">
             </c>
      <c r="I1127" t="s">
        <v>14</v>
      </c>
      <c r="J1127" t="s">
        <v>242</v>
      </c>
      <c r="K1127" t="s">
        <v>14</v>
      </c>
      <c r="L1127" t="s">
        <v>20</v>
      </c>
      <c r="M1127" t="s">
        <v>2419</v>
      </c>
      <c r="N1127" t="s">
        <v>14</v>
      </c>
    </row>
    <row r="1128" x14ac:dyDescent="0.25">
      <c r="A1128" t="n">
        <v>25</v>
      </c>
      <c r="B1128" t="s">
        <v>14</v>
      </c>
      <c r="C1128" t="s">
        <v>51</v>
      </c>
      <c r="D1128" s="2" t="s">
        <f>=HYPERLINK("https://main.knesset.gov.il/APPS/legislation/main/bills/2234650", "הצעת חוק-יסוד: ההגירה לישראל")</f>
        <v>2473</v>
      </c>
      <c r="E1128" t="s">
        <v>2473</v>
      </c>
      <c r="F1128" t="s">
        <v>2474</v>
      </c>
      <c r="G1128" t="s">
        <v>14</v>
      </c>
      <c r="H1128">
             </c>
      <c r="I1128" t="s">
        <v>14</v>
      </c>
      <c r="J1128" t="s">
        <v>242</v>
      </c>
      <c r="K1128" t="s">
        <v>14</v>
      </c>
      <c r="L1128" t="s">
        <v>20</v>
      </c>
      <c r="M1128" t="s">
        <v>2419</v>
      </c>
      <c r="N1128" t="s">
        <v>14</v>
      </c>
    </row>
    <row r="1129" x14ac:dyDescent="0.25">
      <c r="A1129" t="n">
        <v>25</v>
      </c>
      <c r="B1129" t="s">
        <v>14</v>
      </c>
      <c r="C1129" t="s">
        <v>51</v>
      </c>
      <c r="D1129" s="2" t="s">
        <f>=HYPERLINK("https://main.knesset.gov.il/APPS/legislation/main/bills/2234551", "הצעת חוק-יסוד: הכנסת (תיקון - ביטול הפסקת חברות של חבר הכנסת)")</f>
        <v>2475</v>
      </c>
      <c r="E1129" t="s">
        <v>2475</v>
      </c>
      <c r="F1129" t="s">
        <v>2476</v>
      </c>
      <c r="G1129" t="s">
        <v>14</v>
      </c>
      <c r="H1129">
             </c>
      <c r="I1129" t="s">
        <v>14</v>
      </c>
      <c r="J1129" t="s">
        <v>242</v>
      </c>
      <c r="K1129" t="s">
        <v>14</v>
      </c>
      <c r="L1129" t="s">
        <v>20</v>
      </c>
      <c r="M1129" t="s">
        <v>2419</v>
      </c>
      <c r="N1129" t="s">
        <v>14</v>
      </c>
    </row>
    <row r="1130" x14ac:dyDescent="0.25">
      <c r="A1130" t="n">
        <v>25</v>
      </c>
      <c r="B1130" t="s">
        <v>14</v>
      </c>
      <c r="C1130" t="s">
        <v>51</v>
      </c>
      <c r="D1130" s="2" t="s">
        <f>=HYPERLINK("https://main.knesset.gov.il/APPS/legislation/main/bills/2235108", "הצעת חוק הממשלה (תיקון - דיווח על נסיעות שרים לחוץ לארץ), התשפ""ו-2025")</f>
        <v>2477</v>
      </c>
      <c r="E1130" t="s">
        <v>2477</v>
      </c>
      <c r="F1130" t="s">
        <v>2478</v>
      </c>
      <c r="G1130" t="s">
        <v>14</v>
      </c>
      <c r="H1130">
             </c>
      <c r="I1130" t="s">
        <v>14</v>
      </c>
      <c r="J1130" t="s">
        <v>242</v>
      </c>
      <c r="K1130" t="s">
        <v>14</v>
      </c>
      <c r="L1130" t="s">
        <v>20</v>
      </c>
      <c r="M1130" t="s">
        <v>2419</v>
      </c>
      <c r="N1130" t="s">
        <v>14</v>
      </c>
    </row>
    <row r="1131" x14ac:dyDescent="0.25">
      <c r="A1131" t="n">
        <v>25</v>
      </c>
      <c r="B1131" t="s">
        <v>14</v>
      </c>
      <c r="C1131" t="s">
        <v>51</v>
      </c>
      <c r="D1131" s="2" t="s">
        <f>=HYPERLINK("https://main.knesset.gov.il/APPS/legislation/main/bills/2235076", "הצעת חוק הכרה ברצח העם הארמני וציון יום זיכרון, התשפ""ו-2025")</f>
        <v>2479</v>
      </c>
      <c r="E1131" t="s">
        <v>2479</v>
      </c>
      <c r="F1131" t="s">
        <v>2480</v>
      </c>
      <c r="G1131" t="s">
        <v>14</v>
      </c>
      <c r="H1131">
             </c>
      <c r="I1131" t="s">
        <v>14</v>
      </c>
      <c r="J1131" t="s">
        <v>242</v>
      </c>
      <c r="K1131" t="s">
        <v>14</v>
      </c>
      <c r="L1131" t="s">
        <v>20</v>
      </c>
      <c r="M1131" t="s">
        <v>2419</v>
      </c>
      <c r="N1131" t="s">
        <v>14</v>
      </c>
    </row>
    <row r="1132" x14ac:dyDescent="0.25">
      <c r="A1132" t="n">
        <v>25</v>
      </c>
      <c r="B1132" t="s">
        <v>14</v>
      </c>
      <c r="C1132" t="s">
        <v>51</v>
      </c>
      <c r="D1132" s="2" t="s">
        <f>=HYPERLINK("https://main.knesset.gov.il/APPS/legislation/main/bills/2235104", "הצעת חוק היועץ המשפטי לראש הממשלה (מינוי וכהונה), התשפ""ו-2025")</f>
        <v>2481</v>
      </c>
      <c r="E1132" t="s">
        <v>2481</v>
      </c>
      <c r="F1132" t="s">
        <v>2482</v>
      </c>
      <c r="G1132" t="s">
        <v>14</v>
      </c>
      <c r="H1132">
             </c>
      <c r="I1132" t="s">
        <v>14</v>
      </c>
      <c r="J1132" t="s">
        <v>242</v>
      </c>
      <c r="K1132" t="s">
        <v>14</v>
      </c>
      <c r="L1132" t="s">
        <v>20</v>
      </c>
      <c r="M1132" t="s">
        <v>2419</v>
      </c>
      <c r="N1132" t="s">
        <v>14</v>
      </c>
    </row>
    <row r="1133" x14ac:dyDescent="0.25">
      <c r="A1133" t="n">
        <v>25</v>
      </c>
      <c r="B1133" t="s">
        <v>14</v>
      </c>
      <c r="C1133" t="s">
        <v>51</v>
      </c>
      <c r="D1133" s="2" t="s">
        <f>=HYPERLINK("https://main.knesset.gov.il/APPS/legislation/main/bills/2233671", "הצעת חוק לביצוע התאמות אקלימיות בדירת מגורים, התשפ""ו-2025")</f>
        <v>2483</v>
      </c>
      <c r="E1133" t="s">
        <v>2483</v>
      </c>
      <c r="F1133" t="s">
        <v>2484</v>
      </c>
      <c r="G1133" t="s">
        <v>14</v>
      </c>
      <c r="H1133">
             </c>
      <c r="I1133" t="s">
        <v>14</v>
      </c>
      <c r="J1133" t="s">
        <v>242</v>
      </c>
      <c r="K1133" t="s">
        <v>14</v>
      </c>
      <c r="L1133" t="s">
        <v>20</v>
      </c>
      <c r="M1133" t="s">
        <v>2419</v>
      </c>
      <c r="N1133" t="s">
        <v>14</v>
      </c>
    </row>
    <row r="1134" x14ac:dyDescent="0.25">
      <c r="A1134" t="n">
        <v>25</v>
      </c>
      <c r="B1134" t="s">
        <v>14</v>
      </c>
      <c r="C1134" t="s">
        <v>51</v>
      </c>
      <c r="D1134" s="2" t="s">
        <f>=HYPERLINK("https://main.knesset.gov.il/APPS/legislation/main/bills/2234724", "הצעת חוק לימוד חובה (תיקון - מנהל מוסד חינוך), התשפ""ו-2025")</f>
        <v>2485</v>
      </c>
      <c r="E1134" t="s">
        <v>2485</v>
      </c>
      <c r="F1134" t="s">
        <v>2486</v>
      </c>
      <c r="G1134" t="s">
        <v>14</v>
      </c>
      <c r="H1134">
             </c>
      <c r="I1134" t="s">
        <v>14</v>
      </c>
      <c r="J1134" t="s">
        <v>242</v>
      </c>
      <c r="K1134" t="s">
        <v>14</v>
      </c>
      <c r="L1134" t="s">
        <v>20</v>
      </c>
      <c r="M1134" t="s">
        <v>2419</v>
      </c>
      <c r="N1134" t="s">
        <v>14</v>
      </c>
    </row>
    <row r="1135" x14ac:dyDescent="0.25">
      <c r="A1135" t="n">
        <v>25</v>
      </c>
      <c r="B1135" t="s">
        <v>14</v>
      </c>
      <c r="C1135" t="s">
        <v>51</v>
      </c>
      <c r="D1135" s="2" t="s">
        <f>=HYPERLINK("https://main.knesset.gov.il/APPS/legislation/main/bills/2234102", "הצעת חוק הרשויות המקומיות (מימון בחירות) (הוראת שעה) (הארכת מועד לבקשת קבלת מימון), התשפ""ו-2025")</f>
        <v>2487</v>
      </c>
      <c r="E1135" t="s">
        <v>2487</v>
      </c>
      <c r="F1135" t="s">
        <v>2488</v>
      </c>
      <c r="G1135" t="s">
        <v>14</v>
      </c>
      <c r="H1135">
             </c>
      <c r="I1135" t="s">
        <v>14</v>
      </c>
      <c r="J1135" t="s">
        <v>242</v>
      </c>
      <c r="K1135" t="s">
        <v>14</v>
      </c>
      <c r="L1135" t="s">
        <v>20</v>
      </c>
      <c r="M1135" t="s">
        <v>2419</v>
      </c>
      <c r="N1135" t="s">
        <v>14</v>
      </c>
    </row>
    <row r="1136" x14ac:dyDescent="0.25">
      <c r="A1136" t="n">
        <v>25</v>
      </c>
      <c r="B1136" t="s">
        <v>14</v>
      </c>
      <c r="C1136" t="s">
        <v>51</v>
      </c>
      <c r="D1136" s="2" t="s">
        <f>=HYPERLINK("https://main.knesset.gov.il/APPS/legislation/main/bills/2230566", "הצעת חוק הכניסה לישראל (תיקון - רישיון ואשרה לעובדים זרים), התשפ""ו-2025")</f>
        <v>2489</v>
      </c>
      <c r="E1136" t="s">
        <v>2489</v>
      </c>
      <c r="F1136" t="s">
        <v>2490</v>
      </c>
      <c r="G1136" t="s">
        <v>14</v>
      </c>
      <c r="H1136">
             </c>
      <c r="I1136" t="s">
        <v>14</v>
      </c>
      <c r="J1136" t="s">
        <v>242</v>
      </c>
      <c r="K1136" t="s">
        <v>14</v>
      </c>
      <c r="L1136" t="s">
        <v>20</v>
      </c>
      <c r="M1136" t="s">
        <v>2419</v>
      </c>
      <c r="N1136" t="s">
        <v>14</v>
      </c>
    </row>
    <row r="1137" x14ac:dyDescent="0.25">
      <c r="A1137" t="n">
        <v>25</v>
      </c>
      <c r="B1137" t="s">
        <v>14</v>
      </c>
      <c r="C1137" t="s">
        <v>51</v>
      </c>
      <c r="D1137" s="2" t="s">
        <f>=HYPERLINK("https://main.knesset.gov.il/APPS/legislation/main/bills/2234990", "הצעת חוק השבות (תיקון - זכויות בני משפחה), התשפ""ו-2025")</f>
        <v>2491</v>
      </c>
      <c r="E1137" t="s">
        <v>2491</v>
      </c>
      <c r="F1137" t="s">
        <v>2492</v>
      </c>
      <c r="G1137" t="s">
        <v>14</v>
      </c>
      <c r="H1137">
             </c>
      <c r="I1137" t="s">
        <v>14</v>
      </c>
      <c r="J1137" t="s">
        <v>202</v>
      </c>
      <c r="K1137" t="s">
        <v>14</v>
      </c>
      <c r="L1137" t="s">
        <v>20</v>
      </c>
      <c r="M1137" t="s">
        <v>2419</v>
      </c>
      <c r="N1137" t="s">
        <v>14</v>
      </c>
    </row>
    <row r="1138" x14ac:dyDescent="0.25">
      <c r="A1138" t="n">
        <v>25</v>
      </c>
      <c r="B1138" t="s">
        <v>14</v>
      </c>
      <c r="C1138" t="s">
        <v>51</v>
      </c>
      <c r="D1138" s="2" t="s">
        <f>=HYPERLINK("https://main.knesset.gov.il/APPS/legislation/main/bills/2234229", "הצעת חוק שירותי תשלום (תיקון - הודעה למשלם על כרטיס חיוב לא פעיל ועל מועד סיום פטור מדמי השימוש), התשפ""ו-2025")</f>
        <v>2493</v>
      </c>
      <c r="E1138" t="s">
        <v>2493</v>
      </c>
      <c r="F1138" t="s">
        <v>2494</v>
      </c>
      <c r="G1138" t="s">
        <v>14</v>
      </c>
      <c r="H1138">
             </c>
      <c r="I1138" t="s">
        <v>14</v>
      </c>
      <c r="J1138" t="s">
        <v>242</v>
      </c>
      <c r="K1138" t="s">
        <v>14</v>
      </c>
      <c r="L1138" t="s">
        <v>20</v>
      </c>
      <c r="M1138" t="s">
        <v>2419</v>
      </c>
      <c r="N1138" t="s">
        <v>14</v>
      </c>
    </row>
    <row r="1139" x14ac:dyDescent="0.25">
      <c r="A1139" t="n">
        <v>25</v>
      </c>
      <c r="B1139" t="s">
        <v>14</v>
      </c>
      <c r="C1139" t="s">
        <v>51</v>
      </c>
      <c r="D1139" s="2" t="s">
        <f>=HYPERLINK("https://main.knesset.gov.il/APPS/legislation/main/bills/2234572", "הצעת חוק הגנת הצרכן (תיקון - החמרת האכיפה והענישה על אי-הצגת מחיר על טובין על ידי קמעונאי גדול), התשפ""ו-2025")</f>
        <v>2495</v>
      </c>
      <c r="E1139" t="s">
        <v>2495</v>
      </c>
      <c r="F1139" t="s">
        <v>2496</v>
      </c>
      <c r="G1139" t="s">
        <v>14</v>
      </c>
      <c r="H1139">
             </c>
      <c r="I1139" t="s">
        <v>14</v>
      </c>
      <c r="J1139" t="s">
        <v>242</v>
      </c>
      <c r="K1139" t="s">
        <v>14</v>
      </c>
      <c r="L1139" t="s">
        <v>20</v>
      </c>
      <c r="M1139" t="s">
        <v>2419</v>
      </c>
      <c r="N1139" t="s">
        <v>14</v>
      </c>
    </row>
    <row r="1140" x14ac:dyDescent="0.25">
      <c r="A1140" t="n">
        <v>25</v>
      </c>
      <c r="B1140" t="s">
        <v>14</v>
      </c>
      <c r="C1140" t="s">
        <v>51</v>
      </c>
      <c r="D1140" s="2" t="s">
        <f>=HYPERLINK("https://main.knesset.gov.il/APPS/legislation/main/bills/2235110", "הצעת חוק הביטוח הלאומי (תיקון - דמי פגיעה לעובד עצמאי), התשפ""ו-2025")</f>
        <v>2497</v>
      </c>
      <c r="E1140" t="s">
        <v>2497</v>
      </c>
      <c r="F1140" t="s">
        <v>2498</v>
      </c>
      <c r="G1140" t="s">
        <v>14</v>
      </c>
      <c r="H1140">
             </c>
      <c r="I1140" t="s">
        <v>14</v>
      </c>
      <c r="J1140" t="s">
        <v>242</v>
      </c>
      <c r="K1140" t="s">
        <v>14</v>
      </c>
      <c r="L1140" t="s">
        <v>20</v>
      </c>
      <c r="M1140" t="s">
        <v>2419</v>
      </c>
      <c r="N1140" t="s">
        <v>14</v>
      </c>
    </row>
    <row r="1141" x14ac:dyDescent="0.25">
      <c r="A1141" t="n">
        <v>25</v>
      </c>
      <c r="B1141" t="s">
        <v>14</v>
      </c>
      <c r="C1141" t="s">
        <v>51</v>
      </c>
      <c r="D1141" s="2" t="s">
        <f>=HYPERLINK("https://main.knesset.gov.il/APPS/legislation/main/bills/2234713", "הצעת חוק לימוד חובה (תיקון - חינוך חינם לפעוטות), התשפ""ו-2025")</f>
        <v>2499</v>
      </c>
      <c r="E1141" t="s">
        <v>2499</v>
      </c>
      <c r="F1141" t="s">
        <v>2500</v>
      </c>
      <c r="G1141" t="s">
        <v>14</v>
      </c>
      <c r="H1141">
             </c>
      <c r="I1141" t="s">
        <v>14</v>
      </c>
      <c r="J1141" t="s">
        <v>202</v>
      </c>
      <c r="K1141" t="s">
        <v>14</v>
      </c>
      <c r="L1141" t="s">
        <v>20</v>
      </c>
      <c r="M1141" t="s">
        <v>2419</v>
      </c>
      <c r="N1141" t="s">
        <v>14</v>
      </c>
    </row>
    <row r="1142" x14ac:dyDescent="0.25">
      <c r="A1142" t="n">
        <v>25</v>
      </c>
      <c r="B1142" t="s">
        <v>14</v>
      </c>
      <c r="C1142" t="s">
        <v>15</v>
      </c>
      <c r="D1142" s="2" t="s">
        <f>=HYPERLINK("https://main.knesset.gov.il/APPS/legislation/main/bills/1042240", "הצעת חוק הטיס (תיקון מס' 7), התשפ""ו–2025")</f>
        <v>2501</v>
      </c>
      <c r="E1142" t="s">
        <v>2501</v>
      </c>
      <c r="F1142" t="s">
        <v>14</v>
      </c>
      <c r="G1142" t="s">
        <v>2502</v>
      </c>
      <c r="H1142">
             </c>
      <c r="I1142" t="s">
        <v>14</v>
      </c>
      <c r="J1142" t="s">
        <v>162</v>
      </c>
      <c r="K1142" t="s">
        <v>14</v>
      </c>
      <c r="L1142" t="s">
        <v>20</v>
      </c>
      <c r="M1142" t="s">
        <v>2419</v>
      </c>
      <c r="N1142" t="s">
        <v>14</v>
      </c>
    </row>
    <row r="1143" x14ac:dyDescent="0.25">
      <c r="A1143" t="n">
        <v>25</v>
      </c>
      <c r="B1143" t="s">
        <v>14</v>
      </c>
      <c r="C1143" t="s">
        <v>15</v>
      </c>
      <c r="D1143" s="2" t="s">
        <f>=HYPERLINK("https://main.knesset.gov.il/APPS/legislation/main/bills/1046100", "הצעת חוק הקאדים (תיקון מס' 19), התשפ""ו-2025")</f>
        <v>2503</v>
      </c>
      <c r="E1143" t="s">
        <v>2503</v>
      </c>
      <c r="F1143" t="s">
        <v>14</v>
      </c>
      <c r="G1143" t="s">
        <v>2504</v>
      </c>
      <c r="H1143">
             </c>
      <c r="I1143" t="s">
        <v>14</v>
      </c>
      <c r="J1143" t="s">
        <v>162</v>
      </c>
      <c r="K1143" t="s">
        <v>14</v>
      </c>
      <c r="L1143" t="s">
        <v>20</v>
      </c>
      <c r="M1143" t="s">
        <v>2419</v>
      </c>
      <c r="N1143" t="s">
        <v>14</v>
      </c>
    </row>
    <row r="1144" x14ac:dyDescent="0.25">
      <c r="A1144" t="n">
        <v>25</v>
      </c>
      <c r="B1144" t="s">
        <v>14</v>
      </c>
      <c r="C1144" t="s">
        <v>15</v>
      </c>
      <c r="D1144" s="2" t="s">
        <f>=HYPERLINK("https://main.knesset.gov.il/APPS/legislation/main/bills/1046200", "הצעת חוק הסניגוריה הציבורית (תיקון מס' 26) (הסתייעות במומחה או בחוקר לצורך ניהול הייצוג המשפטי), התשפ""ו-2025")</f>
        <v>2505</v>
      </c>
      <c r="E1144" t="s">
        <v>2505</v>
      </c>
      <c r="F1144" t="s">
        <v>14</v>
      </c>
      <c r="G1144" t="s">
        <v>2506</v>
      </c>
      <c r="H1144">
             </c>
      <c r="I1144" t="s">
        <v>14</v>
      </c>
      <c r="J1144" t="s">
        <v>162</v>
      </c>
      <c r="K1144" t="s">
        <v>14</v>
      </c>
      <c r="L1144" t="s">
        <v>20</v>
      </c>
      <c r="M1144" t="s">
        <v>2419</v>
      </c>
      <c r="N1144" t="s">
        <v>14</v>
      </c>
    </row>
    <row r="1145" x14ac:dyDescent="0.25">
      <c r="A1145" t="n">
        <v>25</v>
      </c>
      <c r="B1145" t="s">
        <v>14</v>
      </c>
      <c r="C1145" t="s">
        <v>15</v>
      </c>
      <c r="D1145" s="2" t="s">
        <f>=HYPERLINK("https://main.knesset.gov.il/APPS/legislation/main/bills/2235207", "חוק תקציב נוסף לשנת הכספים 2025, התשפ""ו-2025")</f>
        <v>2507</v>
      </c>
      <c r="E1145" t="s">
        <v>2507</v>
      </c>
      <c r="F1145" t="s">
        <v>14</v>
      </c>
      <c r="G1145" t="s">
        <v>2508</v>
      </c>
      <c r="H1145" t="n">
        <v>3455</v>
      </c>
      <c r="I1145" t="s">
        <v>14</v>
      </c>
      <c r="J1145" t="s">
        <v>18</v>
      </c>
      <c r="K1145" t="s">
        <v>24</v>
      </c>
      <c r="L1145" t="s">
        <v>20</v>
      </c>
      <c r="M1145" t="s">
        <v>2509</v>
      </c>
      <c r="N1145" t="s">
        <v>14</v>
      </c>
    </row>
    <row r="1146" x14ac:dyDescent="0.25">
      <c r="A1146" t="n">
        <v>25</v>
      </c>
      <c r="B1146" t="s">
        <v>14</v>
      </c>
      <c r="C1146" t="s">
        <v>15</v>
      </c>
      <c r="D1146" s="2" t="s">
        <f>=HYPERLINK("https://main.knesset.gov.il/APPS/legislation/main/bills/2235206", "חוק הפחתת הגירעון והגבלת ההוצאה התקציבית (תיקון מס' 29), התשפ""ו-2025")</f>
        <v>2510</v>
      </c>
      <c r="E1146" t="s">
        <v>2510</v>
      </c>
      <c r="F1146" t="s">
        <v>14</v>
      </c>
      <c r="G1146" t="s">
        <v>2511</v>
      </c>
      <c r="H1146" t="n">
        <v>3454</v>
      </c>
      <c r="I1146" t="s">
        <v>14</v>
      </c>
      <c r="J1146" t="s">
        <v>18</v>
      </c>
      <c r="K1146" t="s">
        <v>24</v>
      </c>
      <c r="L1146" t="s">
        <v>20</v>
      </c>
      <c r="M1146" t="s">
        <v>2509</v>
      </c>
      <c r="N1146" t="s">
        <v>14</v>
      </c>
    </row>
    <row r="1147" x14ac:dyDescent="0.25">
      <c r="A1147" t="n">
        <v>25</v>
      </c>
      <c r="B1147" t="s">
        <v>14</v>
      </c>
      <c r="C1147" t="s">
        <v>51</v>
      </c>
      <c r="D1147" s="2" t="s">
        <f>=HYPERLINK("https://main.knesset.gov.il/APPS/legislation/main/bills/2226038", "הצעת חוק תמיכה במימון פעילות ארגון נכי צה""ל ובתי הלוחם ובארגון נפגעי פעולות האיבה, התשפ""ה-2024")</f>
        <v>2512</v>
      </c>
      <c r="E1147" t="s">
        <v>2512</v>
      </c>
      <c r="F1147" t="s">
        <v>2513</v>
      </c>
      <c r="G1147" t="s">
        <v>14</v>
      </c>
      <c r="H1147">
             </c>
      <c r="I1147" t="s">
        <v>14</v>
      </c>
      <c r="J1147" t="s">
        <v>183</v>
      </c>
      <c r="K1147" t="s">
        <v>46</v>
      </c>
      <c r="L1147" t="s">
        <v>20</v>
      </c>
      <c r="M1147" t="s">
        <v>2514</v>
      </c>
      <c r="N1147" t="s">
        <v>14</v>
      </c>
    </row>
    <row r="1148" x14ac:dyDescent="0.25">
      <c r="A1148" t="n">
        <v>25</v>
      </c>
      <c r="B1148" t="s">
        <v>14</v>
      </c>
      <c r="C1148" t="s">
        <v>51</v>
      </c>
      <c r="D1148" s="2" t="s">
        <f>=HYPERLINK("https://main.knesset.gov.il/APPS/legislation/main/bills/2197582", "הצעת חוק המקרקעין (תיקון - התקנת עמדת טעינה לרכב חשמלי בבית משותף ודייני מקרקעין), התשפ""ג-2022")</f>
        <v>2515</v>
      </c>
      <c r="E1148" t="s">
        <v>2515</v>
      </c>
      <c r="F1148" t="s">
        <v>2516</v>
      </c>
      <c r="G1148" t="s">
        <v>14</v>
      </c>
      <c r="H1148">
             </c>
      <c r="I1148" t="s">
        <v>14</v>
      </c>
      <c r="J1148" t="s">
        <v>152</v>
      </c>
      <c r="K1148" t="s">
        <v>30</v>
      </c>
      <c r="L1148" t="s">
        <v>20</v>
      </c>
      <c r="M1148" t="s">
        <v>2517</v>
      </c>
      <c r="N1148" t="s">
        <v>14</v>
      </c>
    </row>
    <row r="1149" x14ac:dyDescent="0.25">
      <c r="A1149" t="n">
        <v>25</v>
      </c>
      <c r="B1149" t="s">
        <v>14</v>
      </c>
      <c r="C1149" t="s">
        <v>15</v>
      </c>
      <c r="D1149" s="2" t="s">
        <f>=HYPERLINK("https://main.knesset.gov.il/APPS/legislation/main/bills/2198284", "הצעת חוק המקרקעין (תיקון מס' 36) (התקנת עמדת טעינה לרכב חשמלי בבית משותף ודיני מקרקעין), התשפ""ג-2022 ")</f>
        <v>2518</v>
      </c>
      <c r="E1149" t="s">
        <v>2518</v>
      </c>
      <c r="F1149" t="s">
        <v>14</v>
      </c>
      <c r="G1149" t="s">
        <v>2519</v>
      </c>
      <c r="H1149">
             </c>
      <c r="I1149" t="s">
        <v>14</v>
      </c>
      <c r="J1149" t="s">
        <v>38</v>
      </c>
      <c r="K1149" t="s">
        <v>30</v>
      </c>
      <c r="L1149" t="s">
        <v>20</v>
      </c>
      <c r="M1149" t="s">
        <v>2517</v>
      </c>
      <c r="N1149" t="s">
        <v>14</v>
      </c>
    </row>
    <row r="1150" x14ac:dyDescent="0.25">
      <c r="A1150" t="n">
        <v>25</v>
      </c>
      <c r="B1150" t="s">
        <v>14</v>
      </c>
      <c r="C1150" t="s">
        <v>51</v>
      </c>
      <c r="D1150" s="2" t="s">
        <f>=HYPERLINK("https://main.knesset.gov.il/APPS/legislation/main/bills/2221062", "הצעת חוק אומנה לילדים (תיקון - הזכות לחינוך לילדים בהשמה חוץ-ביתית), התשפ""ד-2024")</f>
        <v>2520</v>
      </c>
      <c r="E1150" t="s">
        <v>2520</v>
      </c>
      <c r="F1150" t="s">
        <v>2521</v>
      </c>
      <c r="G1150" t="s">
        <v>14</v>
      </c>
      <c r="H1150">
             </c>
      <c r="I1150" t="s">
        <v>14</v>
      </c>
      <c r="J1150" t="s">
        <v>183</v>
      </c>
      <c r="K1150" t="s">
        <v>46</v>
      </c>
      <c r="L1150" t="s">
        <v>20</v>
      </c>
      <c r="M1150" t="s">
        <v>2522</v>
      </c>
      <c r="N1150" t="s">
        <v>14</v>
      </c>
    </row>
    <row r="1151" x14ac:dyDescent="0.25">
      <c r="A1151" t="n">
        <v>25</v>
      </c>
      <c r="B1151" t="s">
        <v>14</v>
      </c>
      <c r="C1151" t="s">
        <v>15</v>
      </c>
      <c r="D1151" s="2" t="s">
        <f>=HYPERLINK("https://main.knesset.gov.il/APPS/legislation/main/bills/2234441", "חוק התמודדות עם תקיפות סייבר חמורות במגזר השירותים הדיגיטליים ושירותי האחסון (הוראת שעה – חרבות ברזל) (תיקון מס' 3), התשפ""ה-2025")</f>
        <v>2523</v>
      </c>
      <c r="E1151" t="s">
        <v>2523</v>
      </c>
      <c r="F1151" t="s">
        <v>14</v>
      </c>
      <c r="G1151" t="s">
        <v>2524</v>
      </c>
      <c r="H1151" t="n">
        <v>3453</v>
      </c>
      <c r="I1151" t="s">
        <v>14</v>
      </c>
      <c r="J1151" t="s">
        <v>18</v>
      </c>
      <c r="K1151" t="s">
        <v>39</v>
      </c>
      <c r="L1151" t="s">
        <v>20</v>
      </c>
      <c r="M1151" t="s">
        <v>2525</v>
      </c>
      <c r="N1151" t="s">
        <v>2526</v>
      </c>
    </row>
    <row r="1152" x14ac:dyDescent="0.25">
      <c r="A1152" t="n">
        <v>25</v>
      </c>
      <c r="B1152" t="s">
        <v>14</v>
      </c>
      <c r="C1152" t="s">
        <v>15</v>
      </c>
      <c r="D1152" s="2" t="s">
        <f>=HYPERLINK("https://main.knesset.gov.il/APPS/legislation/main/bills/2233667", "חוק הגנה על עובדים בשעת חירום (תיקון מס' 5 והוראת שעה - חרבות ברזל) (תיקון מס' 4), התשפ""ה-2025")</f>
        <v>2527</v>
      </c>
      <c r="E1152" t="s">
        <v>2527</v>
      </c>
      <c r="F1152" t="s">
        <v>14</v>
      </c>
      <c r="G1152" t="s">
        <v>2528</v>
      </c>
      <c r="H1152" t="n">
        <v>3451</v>
      </c>
      <c r="I1152" t="s">
        <v>14</v>
      </c>
      <c r="J1152" t="s">
        <v>18</v>
      </c>
      <c r="K1152" t="s">
        <v>46</v>
      </c>
      <c r="L1152" t="s">
        <v>20</v>
      </c>
      <c r="M1152" t="s">
        <v>2525</v>
      </c>
      <c r="N1152" t="s">
        <v>2529</v>
      </c>
    </row>
    <row r="1153" x14ac:dyDescent="0.25">
      <c r="A1153" t="n">
        <v>25</v>
      </c>
      <c r="B1153" t="s">
        <v>14</v>
      </c>
      <c r="C1153" t="s">
        <v>15</v>
      </c>
      <c r="D1153" s="2" t="s">
        <f>=HYPERLINK("https://main.knesset.gov.il/APPS/legislation/main/bills/2194824", "חוק למניעת אלימות במשפחה (תיקון מס' 19 – הוראת שעה), התשפ""ג–2023 ")</f>
        <v>2530</v>
      </c>
      <c r="E1153" t="s">
        <v>2530</v>
      </c>
      <c r="F1153" t="s">
        <v>14</v>
      </c>
      <c r="G1153" t="s">
        <v>2531</v>
      </c>
      <c r="H1153" t="n">
        <v>3085</v>
      </c>
      <c r="I1153" t="s">
        <v>14</v>
      </c>
      <c r="J1153" t="s">
        <v>18</v>
      </c>
      <c r="K1153" t="s">
        <v>19</v>
      </c>
      <c r="L1153" t="s">
        <v>20</v>
      </c>
      <c r="M1153" t="s">
        <v>2525</v>
      </c>
      <c r="N1153" t="s">
        <v>2532</v>
      </c>
    </row>
    <row r="1154" x14ac:dyDescent="0.25">
      <c r="A1154" t="n">
        <v>25</v>
      </c>
      <c r="B1154" t="s">
        <v>14</v>
      </c>
      <c r="C1154" t="s">
        <v>15</v>
      </c>
      <c r="D1154" s="2" t="s">
        <f>=HYPERLINK("https://main.knesset.gov.il/APPS/legislation/main/bills/2229710", "חוק רישוי שירותים ומקצועות בענף הרכב (תיקון מס' 13), התשפ""ה-2025 ")</f>
        <v>2533</v>
      </c>
      <c r="E1154" t="s">
        <v>2533</v>
      </c>
      <c r="F1154" t="s">
        <v>14</v>
      </c>
      <c r="G1154" t="s">
        <v>2534</v>
      </c>
      <c r="H1154" t="n">
        <v>3452</v>
      </c>
      <c r="I1154" t="s">
        <v>14</v>
      </c>
      <c r="J1154" t="s">
        <v>18</v>
      </c>
      <c r="K1154" t="s">
        <v>84</v>
      </c>
      <c r="L1154" t="s">
        <v>20</v>
      </c>
      <c r="M1154" t="s">
        <v>2525</v>
      </c>
      <c r="N1154" t="s">
        <v>2535</v>
      </c>
    </row>
    <row r="1155" x14ac:dyDescent="0.25">
      <c r="A1155" t="n">
        <v>25</v>
      </c>
      <c r="B1155" t="s">
        <v>14</v>
      </c>
      <c r="C1155" t="s">
        <v>51</v>
      </c>
      <c r="D1155" s="2" t="s">
        <f>=HYPERLINK("https://main.knesset.gov.il/APPS/legislation/main/bills/2197441", "הצעת חוק הבנקאות (שירות ללקוח) (תיקון - ריבית על יתרת זכות), התשפ""ג-2023")</f>
        <v>2536</v>
      </c>
      <c r="E1155" t="s">
        <v>2536</v>
      </c>
      <c r="F1155" t="s">
        <v>2537</v>
      </c>
      <c r="G1155" t="s">
        <v>14</v>
      </c>
      <c r="H1155">
             </c>
      <c r="I1155" t="s">
        <v>166</v>
      </c>
      <c r="J1155" t="s">
        <v>152</v>
      </c>
      <c r="K1155" t="s">
        <v>84</v>
      </c>
      <c r="L1155" t="s">
        <v>20</v>
      </c>
      <c r="M1155" t="s">
        <v>2538</v>
      </c>
      <c r="N1155" t="s">
        <v>14</v>
      </c>
    </row>
    <row r="1156" x14ac:dyDescent="0.25">
      <c r="A1156" t="n">
        <v>25</v>
      </c>
      <c r="B1156" t="s">
        <v>14</v>
      </c>
      <c r="C1156" t="s">
        <v>15</v>
      </c>
      <c r="D1156" s="2" t="s">
        <f>=HYPERLINK("https://main.knesset.gov.il/APPS/legislation/main/bills/2232444", "חוק שירות אזרחי (תיקון מס' 7), התשפ""ה-2025")</f>
        <v>2539</v>
      </c>
      <c r="E1156" t="s">
        <v>2539</v>
      </c>
      <c r="F1156" t="s">
        <v>14</v>
      </c>
      <c r="G1156" t="s">
        <v>2540</v>
      </c>
      <c r="H1156" t="n">
        <v>3450</v>
      </c>
      <c r="I1156" t="s">
        <v>14</v>
      </c>
      <c r="J1156" t="s">
        <v>18</v>
      </c>
      <c r="K1156" t="s">
        <v>46</v>
      </c>
      <c r="L1156" t="s">
        <v>20</v>
      </c>
      <c r="M1156" t="s">
        <v>2541</v>
      </c>
      <c r="N1156" t="s">
        <v>2542</v>
      </c>
    </row>
    <row r="1157" x14ac:dyDescent="0.25">
      <c r="A1157" t="n">
        <v>25</v>
      </c>
      <c r="B1157" t="s">
        <v>14</v>
      </c>
      <c r="C1157" t="s">
        <v>51</v>
      </c>
      <c r="D1157" s="2" t="s">
        <f>=HYPERLINK("https://main.knesset.gov.il/APPS/legislation/main/bills/2212963", "הצעת חוק שירות המדינה (מינויים) (תיקון מס' 21) (עדיפות למשרת מילואים פעיל בקבלה לשירות המדינה), התשפ""ה–2024")</f>
        <v>2543</v>
      </c>
      <c r="E1157" t="s">
        <v>2543</v>
      </c>
      <c r="F1157" t="s">
        <v>2544</v>
      </c>
      <c r="G1157" t="s">
        <v>2545</v>
      </c>
      <c r="H1157">
             </c>
      <c r="I1157" t="s">
        <v>166</v>
      </c>
      <c r="J1157" t="s">
        <v>38</v>
      </c>
      <c r="K1157" t="s">
        <v>27</v>
      </c>
      <c r="L1157" t="s">
        <v>20</v>
      </c>
      <c r="M1157" t="s">
        <v>2546</v>
      </c>
      <c r="N1157" t="s">
        <v>14</v>
      </c>
    </row>
    <row r="1158" x14ac:dyDescent="0.25">
      <c r="A1158" t="n">
        <v>25</v>
      </c>
      <c r="B1158" t="s">
        <v>14</v>
      </c>
      <c r="C1158" t="s">
        <v>51</v>
      </c>
      <c r="D1158" s="2" t="s">
        <f>=HYPERLINK("https://main.knesset.gov.il/APPS/legislation/main/bills/2225742", "העדפה מתקנת מתוך הצעת חוק למתן הטבות למשרתים במילואים, התשפ""ה-2024")</f>
        <v>2547</v>
      </c>
      <c r="E1158" t="s">
        <v>2547</v>
      </c>
      <c r="F1158" t="s">
        <v>1787</v>
      </c>
      <c r="G1158" t="s">
        <v>14</v>
      </c>
      <c r="H1158">
             </c>
      <c r="I1158" t="s">
        <v>14</v>
      </c>
      <c r="J1158" t="s">
        <v>2548</v>
      </c>
      <c r="K1158" t="s">
        <v>27</v>
      </c>
      <c r="L1158" t="s">
        <v>20</v>
      </c>
      <c r="M1158" t="s">
        <v>2546</v>
      </c>
      <c r="N1158" t="s">
        <v>14</v>
      </c>
    </row>
    <row r="1159" x14ac:dyDescent="0.25">
      <c r="A1159" t="n">
        <v>25</v>
      </c>
      <c r="B1159" t="s">
        <v>14</v>
      </c>
      <c r="C1159" t="s">
        <v>15</v>
      </c>
      <c r="D1159" s="2" t="s">
        <f>=HYPERLINK("https://main.knesset.gov.il/APPS/legislation/main/bills/2233669", "חוק כליאתם של לוחמים בלתי חוקיים (תיקון מס' 4 והוראת שעה - חרבות ברזל) (תיקון מס' 5), התשפ""ה-2025")</f>
        <v>2549</v>
      </c>
      <c r="E1159" t="s">
        <v>2549</v>
      </c>
      <c r="F1159" t="s">
        <v>14</v>
      </c>
      <c r="G1159" t="s">
        <v>2550</v>
      </c>
      <c r="H1159" t="n">
        <v>3449</v>
      </c>
      <c r="I1159" t="s">
        <v>14</v>
      </c>
      <c r="J1159" t="s">
        <v>18</v>
      </c>
      <c r="K1159" t="s">
        <v>39</v>
      </c>
      <c r="L1159" t="s">
        <v>20</v>
      </c>
      <c r="M1159" t="s">
        <v>2551</v>
      </c>
      <c r="N1159" t="s">
        <v>2552</v>
      </c>
    </row>
    <row r="1160" x14ac:dyDescent="0.25">
      <c r="A1160" t="n">
        <v>25</v>
      </c>
      <c r="B1160" t="s">
        <v>14</v>
      </c>
      <c r="C1160" t="s">
        <v>51</v>
      </c>
      <c r="D1160" s="2" t="s">
        <f>=HYPERLINK("https://main.knesset.gov.il/APPS/legislation/main/bills/2210157", "הצעת חוק-יסוד: כניסה, הגירה ומעמד בישראל")</f>
        <v>2553</v>
      </c>
      <c r="E1160" t="s">
        <v>2553</v>
      </c>
      <c r="F1160" t="s">
        <v>2554</v>
      </c>
      <c r="G1160" t="s">
        <v>14</v>
      </c>
      <c r="H1160">
             </c>
      <c r="I1160" t="s">
        <v>14</v>
      </c>
      <c r="J1160" t="s">
        <v>152</v>
      </c>
      <c r="K1160" t="s">
        <v>27</v>
      </c>
      <c r="L1160" t="s">
        <v>20</v>
      </c>
      <c r="M1160" t="s">
        <v>2555</v>
      </c>
      <c r="N1160" t="s">
        <v>14</v>
      </c>
    </row>
    <row r="1161" x14ac:dyDescent="0.25">
      <c r="A1161" t="n">
        <v>25</v>
      </c>
      <c r="B1161" t="s">
        <v>14</v>
      </c>
      <c r="C1161" t="s">
        <v>51</v>
      </c>
      <c r="D1161" s="2" t="s">
        <f>=HYPERLINK("https://main.knesset.gov.il/APPS/legislation/main/bills/2196908", "הצעת חוק-יסוד: כניסה, הגירה ומעמד בישראל")</f>
        <v>2553</v>
      </c>
      <c r="E1161" t="s">
        <v>2553</v>
      </c>
      <c r="F1161" t="s">
        <v>2556</v>
      </c>
      <c r="G1161" t="s">
        <v>14</v>
      </c>
      <c r="H1161">
             </c>
      <c r="I1161" t="s">
        <v>14</v>
      </c>
      <c r="J1161" t="s">
        <v>152</v>
      </c>
      <c r="K1161" t="s">
        <v>27</v>
      </c>
      <c r="L1161" t="s">
        <v>20</v>
      </c>
      <c r="M1161" t="s">
        <v>2555</v>
      </c>
      <c r="N1161" t="s">
        <v>14</v>
      </c>
    </row>
    <row r="1162" x14ac:dyDescent="0.25">
      <c r="A1162" t="n">
        <v>25</v>
      </c>
      <c r="B1162" t="s">
        <v>14</v>
      </c>
      <c r="C1162" t="s">
        <v>15</v>
      </c>
      <c r="D1162" s="2" t="s">
        <f>=HYPERLINK("https://main.knesset.gov.il/APPS/legislation/main/bills/2233694", "חוק התוכנית לסיוע כלכלי (הוראת שעה - חרבות ברזל), התשפ""ה-2025")</f>
        <v>2557</v>
      </c>
      <c r="E1162" t="s">
        <v>2557</v>
      </c>
      <c r="F1162" t="s">
        <v>14</v>
      </c>
      <c r="G1162" t="s">
        <v>2558</v>
      </c>
      <c r="H1162" t="n">
        <v>3448</v>
      </c>
      <c r="I1162" t="s">
        <v>14</v>
      </c>
      <c r="J1162" t="s">
        <v>18</v>
      </c>
      <c r="K1162" t="s">
        <v>24</v>
      </c>
      <c r="L1162" t="s">
        <v>20</v>
      </c>
      <c r="M1162" t="s">
        <v>2555</v>
      </c>
      <c r="N1162" t="s">
        <v>2559</v>
      </c>
    </row>
    <row r="1163" x14ac:dyDescent="0.25">
      <c r="A1163" t="n">
        <v>25</v>
      </c>
      <c r="B1163" t="s">
        <v>14</v>
      </c>
      <c r="C1163" t="s">
        <v>15</v>
      </c>
      <c r="D1163" s="2" t="s">
        <f>=HYPERLINK("https://main.knesset.gov.il/APPS/legislation/main/bills/2233629", "חוק לתיקון פקודת בתי הסוהר (מס' 64 - הוראת שעה - חרבות ברזל) (מצב חירום כליאתי) (תיקון מס' 4), התשפ""ה-2025")</f>
        <v>2560</v>
      </c>
      <c r="E1163" t="s">
        <v>2560</v>
      </c>
      <c r="F1163" t="s">
        <v>14</v>
      </c>
      <c r="G1163" t="s">
        <v>2561</v>
      </c>
      <c r="H1163" t="n">
        <v>3447</v>
      </c>
      <c r="I1163" t="s">
        <v>14</v>
      </c>
      <c r="J1163" t="s">
        <v>18</v>
      </c>
      <c r="K1163" t="s">
        <v>19</v>
      </c>
      <c r="L1163" t="s">
        <v>20</v>
      </c>
      <c r="M1163" t="s">
        <v>2555</v>
      </c>
      <c r="N1163" t="s">
        <v>2562</v>
      </c>
    </row>
    <row r="1164" x14ac:dyDescent="0.25">
      <c r="A1164" t="n">
        <v>25</v>
      </c>
      <c r="B1164" t="s">
        <v>14</v>
      </c>
      <c r="C1164" t="s">
        <v>15</v>
      </c>
      <c r="D1164" s="2" t="s">
        <f>=HYPERLINK("https://main.knesset.gov.il/APPS/legislation/main/bills/2233920", "חוק לתיקון ולהארכת תוקפן של תקנות שעת חירום (חרבות ברזל) (הארכת מעצר לחשוד בעבירת ביטחון) (תיקון מס' 6), התשפ""ה-2025 ")</f>
        <v>2563</v>
      </c>
      <c r="E1164" t="s">
        <v>2563</v>
      </c>
      <c r="F1164" t="s">
        <v>14</v>
      </c>
      <c r="G1164" t="s">
        <v>2564</v>
      </c>
      <c r="H1164" t="n">
        <v>3446</v>
      </c>
      <c r="I1164" t="s">
        <v>14</v>
      </c>
      <c r="J1164" t="s">
        <v>18</v>
      </c>
      <c r="K1164" t="s">
        <v>27</v>
      </c>
      <c r="L1164" t="s">
        <v>20</v>
      </c>
      <c r="M1164" t="s">
        <v>2555</v>
      </c>
      <c r="N1164" t="s">
        <v>2565</v>
      </c>
    </row>
    <row r="1165" x14ac:dyDescent="0.25">
      <c r="A1165" t="n">
        <v>25</v>
      </c>
      <c r="B1165" t="s">
        <v>14</v>
      </c>
      <c r="C1165" t="s">
        <v>15</v>
      </c>
      <c r="D1165" s="2" t="s">
        <f>=HYPERLINK("https://main.knesset.gov.il/APPS/legislation/main/bills/2233919", "חוק לתיקון ולהארכת תוקפן של תקנות שעת חירום (חרבות ברזל) (פגישה עם עורך דין של עצור בעבירת ביטחון) (תיקון מס' 6), התשפ""ה-2025")</f>
        <v>2566</v>
      </c>
      <c r="E1165" t="s">
        <v>2566</v>
      </c>
      <c r="F1165" t="s">
        <v>14</v>
      </c>
      <c r="G1165" t="s">
        <v>2567</v>
      </c>
      <c r="H1165" t="n">
        <v>3445</v>
      </c>
      <c r="I1165" t="s">
        <v>14</v>
      </c>
      <c r="J1165" t="s">
        <v>18</v>
      </c>
      <c r="K1165" t="s">
        <v>27</v>
      </c>
      <c r="L1165" t="s">
        <v>20</v>
      </c>
      <c r="M1165" t="s">
        <v>2555</v>
      </c>
      <c r="N1165" t="s">
        <v>2568</v>
      </c>
    </row>
    <row r="1166" x14ac:dyDescent="0.25">
      <c r="A1166" t="n">
        <v>25</v>
      </c>
      <c r="B1166" t="s">
        <v>14</v>
      </c>
      <c r="C1166" t="s">
        <v>51</v>
      </c>
      <c r="D1166" s="2" t="s">
        <f>=HYPERLINK("https://main.knesset.gov.il/APPS/legislation/main/bills/2217187", "הצעת חוק ביטוח בריאות ממלכתי (תיקון - ניפוק תכשיר מרשם שניתן במרשם אלקטרוני או ידני בתנאי הסדר בכל בתי המרקחת), התשפ""ד-2024")</f>
        <v>2569</v>
      </c>
      <c r="E1166" t="s">
        <v>2569</v>
      </c>
      <c r="F1166" t="s">
        <v>2570</v>
      </c>
      <c r="G1166" t="s">
        <v>14</v>
      </c>
      <c r="H1166">
             </c>
      <c r="I1166" t="s">
        <v>14</v>
      </c>
      <c r="J1166" t="s">
        <v>152</v>
      </c>
      <c r="K1166" t="s">
        <v>361</v>
      </c>
      <c r="L1166" t="s">
        <v>20</v>
      </c>
      <c r="M1166" t="s">
        <v>2555</v>
      </c>
      <c r="N1166" t="s">
        <v>14</v>
      </c>
    </row>
    <row r="1167" x14ac:dyDescent="0.25">
      <c r="A1167" t="n">
        <v>25</v>
      </c>
      <c r="B1167" t="s">
        <v>14</v>
      </c>
      <c r="C1167" t="s">
        <v>51</v>
      </c>
      <c r="D1167" s="2" t="s">
        <f>=HYPERLINK("https://main.knesset.gov.il/APPS/legislation/main/bills/2209023", "הצעת חוק ביטוח בריאות ממלכתי (תיקון - השתתפות עצמית ברכישת תכשיר מרשם מבית מרקחת שאינו בהסדר עם קופת החולים), התשפ""ג-2023")</f>
        <v>2571</v>
      </c>
      <c r="E1167" t="s">
        <v>2571</v>
      </c>
      <c r="F1167" t="s">
        <v>2572</v>
      </c>
      <c r="G1167" t="s">
        <v>14</v>
      </c>
      <c r="H1167">
             </c>
      <c r="I1167" t="s">
        <v>14</v>
      </c>
      <c r="J1167" t="s">
        <v>152</v>
      </c>
      <c r="K1167" t="s">
        <v>361</v>
      </c>
      <c r="L1167" t="s">
        <v>20</v>
      </c>
      <c r="M1167" t="s">
        <v>2555</v>
      </c>
      <c r="N1167" t="s">
        <v>14</v>
      </c>
    </row>
    <row r="1168" x14ac:dyDescent="0.25">
      <c r="A1168" t="n">
        <v>25</v>
      </c>
      <c r="B1168" t="s">
        <v>14</v>
      </c>
      <c r="C1168" t="s">
        <v>51</v>
      </c>
      <c r="D1168" s="2" t="s">
        <f>=HYPERLINK("https://main.knesset.gov.il/APPS/legislation/main/bills/2205582", "הצעת חוק ביטוח בריאות ממלכתי (תיקון - השתתפות עצמית ברכישת תכשיר מרשם מבית מרקחת שאינו בהסדר עם קופת החולים), התשפ""ג-2023")</f>
        <v>2571</v>
      </c>
      <c r="E1168" t="s">
        <v>2571</v>
      </c>
      <c r="F1168" t="s">
        <v>2573</v>
      </c>
      <c r="G1168" t="s">
        <v>14</v>
      </c>
      <c r="H1168">
             </c>
      <c r="I1168" t="s">
        <v>14</v>
      </c>
      <c r="J1168" t="s">
        <v>152</v>
      </c>
      <c r="K1168" t="s">
        <v>361</v>
      </c>
      <c r="L1168" t="s">
        <v>20</v>
      </c>
      <c r="M1168" t="s">
        <v>2555</v>
      </c>
      <c r="N1168" t="s">
        <v>14</v>
      </c>
    </row>
    <row r="1169" x14ac:dyDescent="0.25">
      <c r="A1169" t="n">
        <v>25</v>
      </c>
      <c r="B1169" t="s">
        <v>14</v>
      </c>
      <c r="C1169" t="s">
        <v>51</v>
      </c>
      <c r="D1169" s="2" t="s">
        <f>=HYPERLINK("https://main.knesset.gov.il/APPS/legislation/main/bills/2202257", "הצעת חוק ביטוח בריאות ממלכתי (תיקון - תשלום בעד תכשיר מרשם בבית מרקחת שאין לו הסדר עם קופת חולים), התשפ""ג-2023")</f>
        <v>2574</v>
      </c>
      <c r="E1169" t="s">
        <v>2574</v>
      </c>
      <c r="F1169" t="s">
        <v>2575</v>
      </c>
      <c r="G1169" t="s">
        <v>14</v>
      </c>
      <c r="H1169">
             </c>
      <c r="I1169" t="s">
        <v>14</v>
      </c>
      <c r="J1169" t="s">
        <v>152</v>
      </c>
      <c r="K1169" t="s">
        <v>361</v>
      </c>
      <c r="L1169" t="s">
        <v>20</v>
      </c>
      <c r="M1169" t="s">
        <v>2555</v>
      </c>
      <c r="N1169" t="s">
        <v>14</v>
      </c>
    </row>
    <row r="1170" x14ac:dyDescent="0.25">
      <c r="A1170" t="n">
        <v>25</v>
      </c>
      <c r="B1170" t="s">
        <v>14</v>
      </c>
      <c r="C1170" t="s">
        <v>15</v>
      </c>
      <c r="D1170" s="2" t="s">
        <f>=HYPERLINK("https://main.knesset.gov.il/APPS/legislation/main/bills/2224904", "חוק להשגת יעדי התקציב וליישום המדיניות הכלכלית לשנת התקציב 2025 (תיקוני חקיקה), התשפ""ה–2025")</f>
        <v>2576</v>
      </c>
      <c r="E1170" t="s">
        <v>2576</v>
      </c>
      <c r="F1170" t="s">
        <v>14</v>
      </c>
      <c r="G1170" t="s">
        <v>237</v>
      </c>
      <c r="H1170" t="n">
        <v>3384</v>
      </c>
      <c r="I1170" t="s">
        <v>14</v>
      </c>
      <c r="J1170" t="s">
        <v>18</v>
      </c>
      <c r="K1170" t="s">
        <v>24</v>
      </c>
      <c r="L1170" t="s">
        <v>20</v>
      </c>
      <c r="M1170" t="s">
        <v>2555</v>
      </c>
      <c r="N1170" t="s">
        <v>2577</v>
      </c>
    </row>
    <row r="1171" x14ac:dyDescent="0.25">
      <c r="A1171" t="n">
        <v>25</v>
      </c>
      <c r="B1171" t="s">
        <v>14</v>
      </c>
      <c r="C1171" t="s">
        <v>51</v>
      </c>
      <c r="D1171" s="2" t="s">
        <f>=HYPERLINK("https://main.knesset.gov.il/APPS/legislation/main/bills/2233290", "הצעת חוק סדר הדין הפלילי (תיקון - עיכוב הליכים משפטיים כנגד חברי הממשלה בידי ועדת הכנסת), התשפ""ה-2025")</f>
        <v>2578</v>
      </c>
      <c r="E1171" t="s">
        <v>2578</v>
      </c>
      <c r="F1171" t="s">
        <v>2579</v>
      </c>
      <c r="G1171" t="s">
        <v>14</v>
      </c>
      <c r="H1171">
             </c>
      <c r="I1171" t="s">
        <v>14</v>
      </c>
      <c r="J1171" t="s">
        <v>242</v>
      </c>
      <c r="K1171" t="s">
        <v>14</v>
      </c>
      <c r="L1171" t="s">
        <v>20</v>
      </c>
      <c r="M1171" t="s">
        <v>2555</v>
      </c>
      <c r="N1171" t="s">
        <v>14</v>
      </c>
    </row>
    <row r="1172" x14ac:dyDescent="0.25">
      <c r="A1172" t="n">
        <v>25</v>
      </c>
      <c r="B1172" t="s">
        <v>14</v>
      </c>
      <c r="C1172" t="s">
        <v>51</v>
      </c>
      <c r="D1172" s="2" t="s">
        <f>=HYPERLINK("https://main.knesset.gov.il/APPS/legislation/main/bills/2234244", "הצעת חוק למניעת הטרדה מינית (תיקון - הרחבת תחולה על עובדים עצמאים ועובדי כלכלת הפלטפורמה), התשפ״ה-2025")</f>
        <v>2580</v>
      </c>
      <c r="E1172" t="s">
        <v>2580</v>
      </c>
      <c r="F1172" t="s">
        <v>2581</v>
      </c>
      <c r="G1172" t="s">
        <v>14</v>
      </c>
      <c r="H1172">
             </c>
      <c r="I1172" t="s">
        <v>14</v>
      </c>
      <c r="J1172" t="s">
        <v>242</v>
      </c>
      <c r="K1172" t="s">
        <v>14</v>
      </c>
      <c r="L1172" t="s">
        <v>20</v>
      </c>
      <c r="M1172" t="s">
        <v>2555</v>
      </c>
      <c r="N1172" t="s">
        <v>14</v>
      </c>
    </row>
    <row r="1173" x14ac:dyDescent="0.25">
      <c r="A1173" t="n">
        <v>25</v>
      </c>
      <c r="B1173" t="s">
        <v>14</v>
      </c>
      <c r="C1173" t="s">
        <v>51</v>
      </c>
      <c r="D1173" s="2" t="s">
        <f>=HYPERLINK("https://main.knesset.gov.il/APPS/legislation/main/bills/2233974", "הצעת חוק סמכויות שעת חירום (מעצרים) (תיקון - מעצר מינהלי של אזרח ישראלי), התשפ""ה-2025")</f>
        <v>2582</v>
      </c>
      <c r="E1173" t="s">
        <v>2582</v>
      </c>
      <c r="F1173" t="s">
        <v>2583</v>
      </c>
      <c r="G1173" t="s">
        <v>14</v>
      </c>
      <c r="H1173">
             </c>
      <c r="I1173" t="s">
        <v>14</v>
      </c>
      <c r="J1173" t="s">
        <v>242</v>
      </c>
      <c r="K1173" t="s">
        <v>14</v>
      </c>
      <c r="L1173" t="s">
        <v>20</v>
      </c>
      <c r="M1173" t="s">
        <v>2555</v>
      </c>
      <c r="N1173" t="s">
        <v>14</v>
      </c>
    </row>
    <row r="1174" x14ac:dyDescent="0.25">
      <c r="A1174" t="n">
        <v>25</v>
      </c>
      <c r="B1174" t="s">
        <v>14</v>
      </c>
      <c r="C1174" t="s">
        <v>51</v>
      </c>
      <c r="D1174" s="2" t="s">
        <f>=HYPERLINK("https://main.knesset.gov.il/APPS/legislation/main/bills/2233000", "הצעת חוק-יסוד: משק המדינה (תיקון - בחינת עלות תקציבית מוניציפלית)")</f>
        <v>2584</v>
      </c>
      <c r="E1174" t="s">
        <v>2584</v>
      </c>
      <c r="F1174" t="s">
        <v>2585</v>
      </c>
      <c r="G1174" t="s">
        <v>14</v>
      </c>
      <c r="H1174">
             </c>
      <c r="I1174" t="s">
        <v>14</v>
      </c>
      <c r="J1174" t="s">
        <v>242</v>
      </c>
      <c r="K1174" t="s">
        <v>14</v>
      </c>
      <c r="L1174" t="s">
        <v>20</v>
      </c>
      <c r="M1174" t="s">
        <v>2555</v>
      </c>
      <c r="N1174" t="s">
        <v>14</v>
      </c>
    </row>
    <row r="1175" x14ac:dyDescent="0.25">
      <c r="A1175" t="n">
        <v>25</v>
      </c>
      <c r="B1175" t="s">
        <v>14</v>
      </c>
      <c r="C1175" t="s">
        <v>51</v>
      </c>
      <c r="D1175" s="2" t="s">
        <f>=HYPERLINK("https://main.knesset.gov.il/APPS/legislation/main/bills/2234093", "הצעת חוק החלת הריבונות הישראלית על מתחם קבר יוסף, התשפ""ה-2025")</f>
        <v>2586</v>
      </c>
      <c r="E1175" t="s">
        <v>2586</v>
      </c>
      <c r="F1175" t="s">
        <v>2587</v>
      </c>
      <c r="G1175" t="s">
        <v>14</v>
      </c>
      <c r="H1175">
             </c>
      <c r="I1175" t="s">
        <v>14</v>
      </c>
      <c r="J1175" t="s">
        <v>242</v>
      </c>
      <c r="K1175" t="s">
        <v>14</v>
      </c>
      <c r="L1175" t="s">
        <v>20</v>
      </c>
      <c r="M1175" t="s">
        <v>2555</v>
      </c>
      <c r="N1175" t="s">
        <v>14</v>
      </c>
    </row>
    <row r="1176" x14ac:dyDescent="0.25">
      <c r="A1176" t="n">
        <v>25</v>
      </c>
      <c r="B1176" t="s">
        <v>14</v>
      </c>
      <c r="C1176" t="s">
        <v>51</v>
      </c>
      <c r="D1176" s="2" t="s">
        <f>=HYPERLINK("https://main.knesset.gov.il/APPS/legislation/main/bills/2229798", "הצעת חוק המועצה להשכלה גבוהה (תיקון - חיזוק השקיפות והפיקוח הציבורי על המועצה להשכלה גבוהה), התשפ""ה-2025 ")</f>
        <v>2588</v>
      </c>
      <c r="E1176" t="s">
        <v>2588</v>
      </c>
      <c r="F1176" t="s">
        <v>2589</v>
      </c>
      <c r="G1176" t="s">
        <v>14</v>
      </c>
      <c r="H1176">
             </c>
      <c r="I1176" t="s">
        <v>14</v>
      </c>
      <c r="J1176" t="s">
        <v>242</v>
      </c>
      <c r="K1176" t="s">
        <v>14</v>
      </c>
      <c r="L1176" t="s">
        <v>20</v>
      </c>
      <c r="M1176" t="s">
        <v>2555</v>
      </c>
      <c r="N1176" t="s">
        <v>14</v>
      </c>
    </row>
    <row r="1177" x14ac:dyDescent="0.25">
      <c r="A1177" t="n">
        <v>25</v>
      </c>
      <c r="B1177" t="s">
        <v>14</v>
      </c>
      <c r="C1177" t="s">
        <v>51</v>
      </c>
      <c r="D1177" s="2" t="s">
        <f>=HYPERLINK("https://main.knesset.gov.il/APPS/legislation/main/bills/2233626", "הצעת חוק הסדרת הטיפול בחופי הים התיכון (איגודי ערים חופיות), התשפ""ה-2025 ")</f>
        <v>2590</v>
      </c>
      <c r="E1177" t="s">
        <v>2590</v>
      </c>
      <c r="F1177" t="s">
        <v>2591</v>
      </c>
      <c r="G1177" t="s">
        <v>14</v>
      </c>
      <c r="H1177">
             </c>
      <c r="I1177" t="s">
        <v>14</v>
      </c>
      <c r="J1177" t="s">
        <v>242</v>
      </c>
      <c r="K1177" t="s">
        <v>14</v>
      </c>
      <c r="L1177" t="s">
        <v>20</v>
      </c>
      <c r="M1177" t="s">
        <v>2555</v>
      </c>
      <c r="N1177" t="s">
        <v>14</v>
      </c>
    </row>
    <row r="1178" x14ac:dyDescent="0.25">
      <c r="A1178" t="n">
        <v>25</v>
      </c>
      <c r="B1178" t="s">
        <v>14</v>
      </c>
      <c r="C1178" t="s">
        <v>51</v>
      </c>
      <c r="D1178" s="2" t="s">
        <f>=HYPERLINK("https://main.knesset.gov.il/APPS/legislation/main/bills/2234518", "הצעת חוק איסור צריכת זנות (הוראת שעה ותיקון חקיקה) (תיקון - עיגון כהוראת קבע), התשפ""ה-2025")</f>
        <v>2592</v>
      </c>
      <c r="E1178" t="s">
        <v>2592</v>
      </c>
      <c r="F1178" t="s">
        <v>2593</v>
      </c>
      <c r="G1178" t="s">
        <v>14</v>
      </c>
      <c r="H1178">
             </c>
      <c r="I1178" t="s">
        <v>14</v>
      </c>
      <c r="J1178" t="s">
        <v>242</v>
      </c>
      <c r="K1178" t="s">
        <v>14</v>
      </c>
      <c r="L1178" t="s">
        <v>20</v>
      </c>
      <c r="M1178" t="s">
        <v>2555</v>
      </c>
      <c r="N1178" t="s">
        <v>14</v>
      </c>
    </row>
    <row r="1179" x14ac:dyDescent="0.25">
      <c r="A1179" t="n">
        <v>25</v>
      </c>
      <c r="B1179" t="s">
        <v>14</v>
      </c>
      <c r="C1179" t="s">
        <v>51</v>
      </c>
      <c r="D1179" s="2" t="s">
        <f>=HYPERLINK("https://main.knesset.gov.il/APPS/legislation/main/bills/2233916", "הצעת חוק לתיקון פקודת היערות (הגברת ההגנה על עצים בוגרים), התשפ""ה-2025")</f>
        <v>2594</v>
      </c>
      <c r="E1179" t="s">
        <v>2594</v>
      </c>
      <c r="F1179" t="s">
        <v>2595</v>
      </c>
      <c r="G1179" t="s">
        <v>14</v>
      </c>
      <c r="H1179">
             </c>
      <c r="I1179" t="s">
        <v>14</v>
      </c>
      <c r="J1179" t="s">
        <v>242</v>
      </c>
      <c r="K1179" t="s">
        <v>14</v>
      </c>
      <c r="L1179" t="s">
        <v>20</v>
      </c>
      <c r="M1179" t="s">
        <v>2555</v>
      </c>
      <c r="N1179" t="s">
        <v>14</v>
      </c>
    </row>
    <row r="1180" x14ac:dyDescent="0.25">
      <c r="A1180" t="n">
        <v>25</v>
      </c>
      <c r="B1180" t="s">
        <v>14</v>
      </c>
      <c r="C1180" t="s">
        <v>51</v>
      </c>
      <c r="D1180" s="2" t="s">
        <f>=HYPERLINK("https://main.knesset.gov.il/APPS/legislation/main/bills/2233767", "הצעת חוק איסור אלימות בספורט (תיקון - מחלקה לאלימות בספורט בבתי המשפט), התשפ""ה-2025")</f>
        <v>2596</v>
      </c>
      <c r="E1180" t="s">
        <v>2596</v>
      </c>
      <c r="F1180" t="s">
        <v>2597</v>
      </c>
      <c r="G1180" t="s">
        <v>14</v>
      </c>
      <c r="H1180">
             </c>
      <c r="I1180" t="s">
        <v>14</v>
      </c>
      <c r="J1180" t="s">
        <v>242</v>
      </c>
      <c r="K1180" t="s">
        <v>14</v>
      </c>
      <c r="L1180" t="s">
        <v>20</v>
      </c>
      <c r="M1180" t="s">
        <v>2555</v>
      </c>
      <c r="N1180" t="s">
        <v>14</v>
      </c>
    </row>
    <row r="1181" x14ac:dyDescent="0.25">
      <c r="A1181" t="n">
        <v>25</v>
      </c>
      <c r="B1181" t="s">
        <v>14</v>
      </c>
      <c r="C1181" t="s">
        <v>51</v>
      </c>
      <c r="D1181" s="2" t="s">
        <f>=HYPERLINK("https://main.knesset.gov.il/APPS/legislation/main/bills/2232530", "הצעת חוק התכנון והבנייה (תיקון - מכירה ישירה של תוצרת חקלאית), התשפ""ה-2025")</f>
        <v>2598</v>
      </c>
      <c r="E1181" t="s">
        <v>2598</v>
      </c>
      <c r="F1181" t="s">
        <v>2599</v>
      </c>
      <c r="G1181" t="s">
        <v>14</v>
      </c>
      <c r="H1181">
             </c>
      <c r="I1181" t="s">
        <v>14</v>
      </c>
      <c r="J1181" t="s">
        <v>242</v>
      </c>
      <c r="K1181" t="s">
        <v>14</v>
      </c>
      <c r="L1181" t="s">
        <v>20</v>
      </c>
      <c r="M1181" t="s">
        <v>2555</v>
      </c>
      <c r="N1181" t="s">
        <v>14</v>
      </c>
    </row>
    <row r="1182" x14ac:dyDescent="0.25">
      <c r="A1182" t="n">
        <v>25</v>
      </c>
      <c r="B1182" t="s">
        <v>14</v>
      </c>
      <c r="C1182" t="s">
        <v>51</v>
      </c>
      <c r="D1182" s="2" t="s">
        <f>=HYPERLINK("https://main.knesset.gov.il/APPS/legislation/main/bills/2232213", "הצעת חוק התקנת מנגנון פיקוד שבת במערכת הפעלה אוטומטית ברכוש המשותף (תיקוני חקיקה), התשפ""ה-2025")</f>
        <v>2600</v>
      </c>
      <c r="E1182" t="s">
        <v>2600</v>
      </c>
      <c r="F1182" t="s">
        <v>2601</v>
      </c>
      <c r="G1182" t="s">
        <v>14</v>
      </c>
      <c r="H1182">
             </c>
      <c r="I1182" t="s">
        <v>14</v>
      </c>
      <c r="J1182" t="s">
        <v>242</v>
      </c>
      <c r="K1182" t="s">
        <v>14</v>
      </c>
      <c r="L1182" t="s">
        <v>20</v>
      </c>
      <c r="M1182" t="s">
        <v>2555</v>
      </c>
      <c r="N1182" t="s">
        <v>14</v>
      </c>
    </row>
    <row r="1183" x14ac:dyDescent="0.25">
      <c r="A1183" t="n">
        <v>25</v>
      </c>
      <c r="B1183" t="s">
        <v>14</v>
      </c>
      <c r="C1183" t="s">
        <v>51</v>
      </c>
      <c r="D1183" s="2" t="s">
        <f>=HYPERLINK("https://main.knesset.gov.il/APPS/legislation/main/bills/2234459", "הצעת חוק-יסוד: הכנסת (הפסקת חברות בכנסת של חבר הכנסת המכהן כשר או כסגן שר)")</f>
        <v>2602</v>
      </c>
      <c r="E1183" t="s">
        <v>2602</v>
      </c>
      <c r="F1183" t="s">
        <v>2603</v>
      </c>
      <c r="G1183" t="s">
        <v>14</v>
      </c>
      <c r="H1183">
             </c>
      <c r="I1183" t="s">
        <v>14</v>
      </c>
      <c r="J1183" t="s">
        <v>242</v>
      </c>
      <c r="K1183" t="s">
        <v>14</v>
      </c>
      <c r="L1183" t="s">
        <v>20</v>
      </c>
      <c r="M1183" t="s">
        <v>2555</v>
      </c>
      <c r="N1183" t="s">
        <v>14</v>
      </c>
    </row>
    <row r="1184" x14ac:dyDescent="0.25">
      <c r="A1184" t="n">
        <v>25</v>
      </c>
      <c r="B1184" t="s">
        <v>14</v>
      </c>
      <c r="C1184" t="s">
        <v>51</v>
      </c>
      <c r="D1184" s="2" t="s">
        <f>=HYPERLINK("https://main.knesset.gov.il/APPS/legislation/main/bills/2234528", "הצעת חוק לתיקון פקודת מסי העירייה ומסי הממשלה (פטורין) (גביית ארנונה מנכסי מדינה ברשויות פריפריאליות), התשפ""ה-2025")</f>
        <v>2604</v>
      </c>
      <c r="E1184" t="s">
        <v>2604</v>
      </c>
      <c r="F1184" t="s">
        <v>2605</v>
      </c>
      <c r="G1184" t="s">
        <v>14</v>
      </c>
      <c r="H1184">
             </c>
      <c r="I1184" t="s">
        <v>14</v>
      </c>
      <c r="J1184" t="s">
        <v>242</v>
      </c>
      <c r="K1184" t="s">
        <v>14</v>
      </c>
      <c r="L1184" t="s">
        <v>20</v>
      </c>
      <c r="M1184" t="s">
        <v>2555</v>
      </c>
      <c r="N1184" t="s">
        <v>14</v>
      </c>
    </row>
    <row r="1185" x14ac:dyDescent="0.25">
      <c r="A1185" t="n">
        <v>25</v>
      </c>
      <c r="B1185" t="s">
        <v>14</v>
      </c>
      <c r="C1185" t="s">
        <v>51</v>
      </c>
      <c r="D1185" s="2" t="s">
        <f>=HYPERLINK("https://main.knesset.gov.il/APPS/legislation/main/bills/2233990", "הצעת חוק יסודות התקציב (תיקון - קביעת תקציב הביטחון כשיעור מהתוצר הלאומי הגולמי והסדרה תכנונית), התשפ""ה-2025")</f>
        <v>2606</v>
      </c>
      <c r="E1185" t="s">
        <v>2606</v>
      </c>
      <c r="F1185" t="s">
        <v>2607</v>
      </c>
      <c r="G1185" t="s">
        <v>14</v>
      </c>
      <c r="H1185">
             </c>
      <c r="I1185" t="s">
        <v>14</v>
      </c>
      <c r="J1185" t="s">
        <v>242</v>
      </c>
      <c r="K1185" t="s">
        <v>14</v>
      </c>
      <c r="L1185" t="s">
        <v>20</v>
      </c>
      <c r="M1185" t="s">
        <v>2555</v>
      </c>
      <c r="N1185" t="s">
        <v>14</v>
      </c>
    </row>
    <row r="1186" x14ac:dyDescent="0.25">
      <c r="A1186" t="n">
        <v>25</v>
      </c>
      <c r="B1186" t="s">
        <v>14</v>
      </c>
      <c r="C1186" t="s">
        <v>51</v>
      </c>
      <c r="D1186" s="2" t="s">
        <f>=HYPERLINK("https://main.knesset.gov.il/APPS/legislation/main/bills/2234204", "הצעת חוק הגברת הפיקוח על מעונות יום לפעוטות (תיקוני חקיקה), התשפ""ה-2025")</f>
        <v>2608</v>
      </c>
      <c r="E1186" t="s">
        <v>2608</v>
      </c>
      <c r="F1186" t="s">
        <v>2609</v>
      </c>
      <c r="G1186" t="s">
        <v>14</v>
      </c>
      <c r="H1186">
             </c>
      <c r="I1186" t="s">
        <v>14</v>
      </c>
      <c r="J1186" t="s">
        <v>242</v>
      </c>
      <c r="K1186" t="s">
        <v>14</v>
      </c>
      <c r="L1186" t="s">
        <v>20</v>
      </c>
      <c r="M1186" t="s">
        <v>2555</v>
      </c>
      <c r="N1186" t="s">
        <v>14</v>
      </c>
    </row>
    <row r="1187" x14ac:dyDescent="0.25">
      <c r="A1187" t="n">
        <v>25</v>
      </c>
      <c r="B1187" t="s">
        <v>14</v>
      </c>
      <c r="C1187" t="s">
        <v>51</v>
      </c>
      <c r="D1187" s="2" t="s">
        <f>=HYPERLINK("https://main.knesset.gov.il/APPS/legislation/main/bills/2234084", "הצעת חוק-יסוד: זכויות בהליך פלילי")</f>
        <v>2610</v>
      </c>
      <c r="E1187" t="s">
        <v>2610</v>
      </c>
      <c r="F1187" t="s">
        <v>2611</v>
      </c>
      <c r="G1187" t="s">
        <v>14</v>
      </c>
      <c r="H1187">
             </c>
      <c r="I1187" t="s">
        <v>14</v>
      </c>
      <c r="J1187" t="s">
        <v>242</v>
      </c>
      <c r="K1187" t="s">
        <v>14</v>
      </c>
      <c r="L1187" t="s">
        <v>20</v>
      </c>
      <c r="M1187" t="s">
        <v>2555</v>
      </c>
      <c r="N1187" t="s">
        <v>14</v>
      </c>
    </row>
    <row r="1188" x14ac:dyDescent="0.25">
      <c r="A1188" t="n">
        <v>25</v>
      </c>
      <c r="B1188" t="s">
        <v>14</v>
      </c>
      <c r="C1188" t="s">
        <v>51</v>
      </c>
      <c r="D1188" s="2" t="s">
        <f>=HYPERLINK("https://main.knesset.gov.il/APPS/legislation/main/bills/2234091", "הצעת חוק איות שמות רחובות, דרכים ומקומות ציבוריים (תיקוני חקיקה), התשפ""ה-2025")</f>
        <v>2612</v>
      </c>
      <c r="E1188" t="s">
        <v>2612</v>
      </c>
      <c r="F1188" t="s">
        <v>2613</v>
      </c>
      <c r="G1188" t="s">
        <v>14</v>
      </c>
      <c r="H1188">
             </c>
      <c r="I1188" t="s">
        <v>14</v>
      </c>
      <c r="J1188" t="s">
        <v>242</v>
      </c>
      <c r="K1188" t="s">
        <v>14</v>
      </c>
      <c r="L1188" t="s">
        <v>20</v>
      </c>
      <c r="M1188" t="s">
        <v>2555</v>
      </c>
      <c r="N1188" t="s">
        <v>14</v>
      </c>
    </row>
    <row r="1189" x14ac:dyDescent="0.25">
      <c r="A1189" t="n">
        <v>25</v>
      </c>
      <c r="B1189" t="s">
        <v>14</v>
      </c>
      <c r="C1189" t="s">
        <v>51</v>
      </c>
      <c r="D1189" s="2" t="s">
        <f>=HYPERLINK("https://main.knesset.gov.il/APPS/legislation/main/bills/2233911", "הצעת חוק משפחות חיילים שנספו במערכה (תגמולים ושיקום) (תיקון - הרחבת ההגדרה חבלת שירות), התשפ""ה-2025")</f>
        <v>2614</v>
      </c>
      <c r="E1189" t="s">
        <v>2614</v>
      </c>
      <c r="F1189" t="s">
        <v>2615</v>
      </c>
      <c r="G1189" t="s">
        <v>14</v>
      </c>
      <c r="H1189">
             </c>
      <c r="I1189" t="s">
        <v>14</v>
      </c>
      <c r="J1189" t="s">
        <v>242</v>
      </c>
      <c r="K1189" t="s">
        <v>14</v>
      </c>
      <c r="L1189" t="s">
        <v>20</v>
      </c>
      <c r="M1189" t="s">
        <v>2555</v>
      </c>
      <c r="N1189" t="s">
        <v>14</v>
      </c>
    </row>
    <row r="1190" x14ac:dyDescent="0.25">
      <c r="A1190" t="n">
        <v>25</v>
      </c>
      <c r="B1190" t="s">
        <v>14</v>
      </c>
      <c r="C1190" t="s">
        <v>51</v>
      </c>
      <c r="D1190" s="2" t="s">
        <f>=HYPERLINK("https://main.knesset.gov.il/APPS/legislation/main/bills/2234453", "הצעת חוק לפיצוי קורבנות טרור (פיצויים לדוגמה) (תיקון - הוראות לעניין התיישנות), התשפ""ה-2025")</f>
        <v>2616</v>
      </c>
      <c r="E1190" t="s">
        <v>2616</v>
      </c>
      <c r="F1190" t="s">
        <v>2617</v>
      </c>
      <c r="G1190" t="s">
        <v>14</v>
      </c>
      <c r="H1190">
             </c>
      <c r="I1190" t="s">
        <v>14</v>
      </c>
      <c r="J1190" t="s">
        <v>242</v>
      </c>
      <c r="K1190" t="s">
        <v>14</v>
      </c>
      <c r="L1190" t="s">
        <v>20</v>
      </c>
      <c r="M1190" t="s">
        <v>2555</v>
      </c>
      <c r="N1190" t="s">
        <v>14</v>
      </c>
    </row>
    <row r="1191" x14ac:dyDescent="0.25">
      <c r="A1191" t="n">
        <v>25</v>
      </c>
      <c r="B1191" t="s">
        <v>14</v>
      </c>
      <c r="C1191" t="s">
        <v>51</v>
      </c>
      <c r="D1191" s="2" t="s">
        <f>=HYPERLINK("https://main.knesset.gov.il/APPS/legislation/main/bills/2233927", "הצעת חוק חוזה הביטוח (תיקון - הודעת מבטח בדבר ביטול חוזה הביטוח), התשפ""ה-2025")</f>
        <v>2618</v>
      </c>
      <c r="E1191" t="s">
        <v>2618</v>
      </c>
      <c r="F1191" t="s">
        <v>2619</v>
      </c>
      <c r="G1191" t="s">
        <v>14</v>
      </c>
      <c r="H1191">
             </c>
      <c r="I1191" t="s">
        <v>14</v>
      </c>
      <c r="J1191" t="s">
        <v>242</v>
      </c>
      <c r="K1191" t="s">
        <v>14</v>
      </c>
      <c r="L1191" t="s">
        <v>20</v>
      </c>
      <c r="M1191" t="s">
        <v>2555</v>
      </c>
      <c r="N1191" t="s">
        <v>14</v>
      </c>
    </row>
    <row r="1192" x14ac:dyDescent="0.25">
      <c r="A1192" t="n">
        <v>25</v>
      </c>
      <c r="B1192" t="s">
        <v>14</v>
      </c>
      <c r="C1192" t="s">
        <v>51</v>
      </c>
      <c r="D1192" s="2" t="s">
        <f>=HYPERLINK("https://main.knesset.gov.il/APPS/legislation/main/bills/2231153", "הצעת חוק רשות מקרקעי ישראל (תיקון - העדפת רכישת קרקע בפריפריה לחיילי מילואים ונכי צה""ל), התשפ""ה-2025")</f>
        <v>2620</v>
      </c>
      <c r="E1192" t="s">
        <v>2620</v>
      </c>
      <c r="F1192" t="s">
        <v>2621</v>
      </c>
      <c r="G1192" t="s">
        <v>14</v>
      </c>
      <c r="H1192">
             </c>
      <c r="I1192" t="s">
        <v>14</v>
      </c>
      <c r="J1192" t="s">
        <v>242</v>
      </c>
      <c r="K1192" t="s">
        <v>14</v>
      </c>
      <c r="L1192" t="s">
        <v>20</v>
      </c>
      <c r="M1192" t="s">
        <v>2555</v>
      </c>
      <c r="N1192" t="s">
        <v>14</v>
      </c>
    </row>
    <row r="1193" x14ac:dyDescent="0.25">
      <c r="A1193" t="n">
        <v>25</v>
      </c>
      <c r="B1193" t="s">
        <v>14</v>
      </c>
      <c r="C1193" t="s">
        <v>51</v>
      </c>
      <c r="D1193" s="2" t="s">
        <f>=HYPERLINK("https://main.knesset.gov.il/APPS/legislation/main/bills/2230567", "הצעת חוק הסדרת התיישבות הבדואים בנגב, התשפ""ה-2025")</f>
        <v>2622</v>
      </c>
      <c r="E1193" t="s">
        <v>2622</v>
      </c>
      <c r="F1193" t="s">
        <v>2623</v>
      </c>
      <c r="G1193" t="s">
        <v>14</v>
      </c>
      <c r="H1193">
             </c>
      <c r="I1193" t="s">
        <v>14</v>
      </c>
      <c r="J1193" t="s">
        <v>242</v>
      </c>
      <c r="K1193" t="s">
        <v>14</v>
      </c>
      <c r="L1193" t="s">
        <v>20</v>
      </c>
      <c r="M1193" t="s">
        <v>2555</v>
      </c>
      <c r="N1193" t="s">
        <v>14</v>
      </c>
    </row>
    <row r="1194" x14ac:dyDescent="0.25">
      <c r="A1194" t="n">
        <v>25</v>
      </c>
      <c r="B1194" t="s">
        <v>14</v>
      </c>
      <c r="C1194" t="s">
        <v>51</v>
      </c>
      <c r="D1194" s="2" t="s">
        <f>=HYPERLINK("https://main.knesset.gov.il/APPS/legislation/main/bills/2234442", "הצעת חוק המזונות (הבטחת תשלום) (תיקון - גבייה מינהלית), התשפ""ה-2025")</f>
        <v>2624</v>
      </c>
      <c r="E1194" t="s">
        <v>2624</v>
      </c>
      <c r="F1194" t="s">
        <v>2625</v>
      </c>
      <c r="G1194" t="s">
        <v>14</v>
      </c>
      <c r="H1194">
             </c>
      <c r="I1194" t="s">
        <v>14</v>
      </c>
      <c r="J1194" t="s">
        <v>242</v>
      </c>
      <c r="K1194" t="s">
        <v>14</v>
      </c>
      <c r="L1194" t="s">
        <v>20</v>
      </c>
      <c r="M1194" t="s">
        <v>2555</v>
      </c>
      <c r="N1194" t="s">
        <v>14</v>
      </c>
    </row>
    <row r="1195" x14ac:dyDescent="0.25">
      <c r="A1195" t="n">
        <v>25</v>
      </c>
      <c r="B1195" t="s">
        <v>14</v>
      </c>
      <c r="C1195" t="s">
        <v>51</v>
      </c>
      <c r="D1195" s="2" t="s">
        <f>=HYPERLINK("https://main.knesset.gov.il/APPS/legislation/main/bills/2233997", "הצעת חוק סדר הדין הפלילי (תיקון - עקרון שיוריות הדין הפלילי), התשפ""ה-2025")</f>
        <v>2626</v>
      </c>
      <c r="E1195" t="s">
        <v>2626</v>
      </c>
      <c r="F1195" t="s">
        <v>2627</v>
      </c>
      <c r="G1195" t="s">
        <v>14</v>
      </c>
      <c r="H1195">
             </c>
      <c r="I1195" t="s">
        <v>14</v>
      </c>
      <c r="J1195" t="s">
        <v>242</v>
      </c>
      <c r="K1195" t="s">
        <v>14</v>
      </c>
      <c r="L1195" t="s">
        <v>20</v>
      </c>
      <c r="M1195" t="s">
        <v>2555</v>
      </c>
      <c r="N1195" t="s">
        <v>14</v>
      </c>
    </row>
    <row r="1196" x14ac:dyDescent="0.25">
      <c r="A1196" t="n">
        <v>25</v>
      </c>
      <c r="B1196" t="s">
        <v>14</v>
      </c>
      <c r="C1196" t="s">
        <v>51</v>
      </c>
      <c r="D1196" s="2" t="s">
        <f>=HYPERLINK("https://main.knesset.gov.il/APPS/legislation/main/bills/2226652", "הצעת חוק ההוצאה לפועל (תיקון - הטלת הגבלות על חייב משרת מילואים), התשפ""ה-2025")</f>
        <v>2628</v>
      </c>
      <c r="E1196" t="s">
        <v>2628</v>
      </c>
      <c r="F1196" t="s">
        <v>2629</v>
      </c>
      <c r="G1196" t="s">
        <v>14</v>
      </c>
      <c r="H1196">
             </c>
      <c r="I1196" t="s">
        <v>14</v>
      </c>
      <c r="J1196" t="s">
        <v>242</v>
      </c>
      <c r="K1196" t="s">
        <v>14</v>
      </c>
      <c r="L1196" t="s">
        <v>20</v>
      </c>
      <c r="M1196" t="s">
        <v>2555</v>
      </c>
      <c r="N1196" t="s">
        <v>14</v>
      </c>
    </row>
    <row r="1197" x14ac:dyDescent="0.25">
      <c r="A1197" t="n">
        <v>25</v>
      </c>
      <c r="B1197" t="s">
        <v>14</v>
      </c>
      <c r="C1197" t="s">
        <v>51</v>
      </c>
      <c r="D1197" s="2" t="s">
        <f>=HYPERLINK("https://main.knesset.gov.il/APPS/legislation/main/bills/2231217", "הצעת חוק לעידוד התקשרות עם מפעלים מוגנים (תיקוני חקיקה), התשפ""ה-2025")</f>
        <v>2630</v>
      </c>
      <c r="E1197" t="s">
        <v>2630</v>
      </c>
      <c r="F1197" t="s">
        <v>2631</v>
      </c>
      <c r="G1197" t="s">
        <v>14</v>
      </c>
      <c r="H1197">
             </c>
      <c r="I1197" t="s">
        <v>14</v>
      </c>
      <c r="J1197" t="s">
        <v>242</v>
      </c>
      <c r="K1197" t="s">
        <v>14</v>
      </c>
      <c r="L1197" t="s">
        <v>20</v>
      </c>
      <c r="M1197" t="s">
        <v>2555</v>
      </c>
      <c r="N1197" t="s">
        <v>14</v>
      </c>
    </row>
    <row r="1198" x14ac:dyDescent="0.25">
      <c r="A1198" t="n">
        <v>25</v>
      </c>
      <c r="B1198" t="s">
        <v>14</v>
      </c>
      <c r="C1198" t="s">
        <v>51</v>
      </c>
      <c r="D1198" s="2" t="s">
        <f>=HYPERLINK("https://main.knesset.gov.il/APPS/legislation/main/bills/2232946", "הצעת חוק איסור חימוש גורם עוין, התשפ""ה-2025")</f>
        <v>2632</v>
      </c>
      <c r="E1198" t="s">
        <v>2632</v>
      </c>
      <c r="F1198" t="s">
        <v>2633</v>
      </c>
      <c r="G1198" t="s">
        <v>14</v>
      </c>
      <c r="H1198">
             </c>
      <c r="I1198" t="s">
        <v>14</v>
      </c>
      <c r="J1198" t="s">
        <v>242</v>
      </c>
      <c r="K1198" t="s">
        <v>14</v>
      </c>
      <c r="L1198" t="s">
        <v>20</v>
      </c>
      <c r="M1198" t="s">
        <v>2555</v>
      </c>
      <c r="N1198" t="s">
        <v>14</v>
      </c>
    </row>
    <row r="1199" x14ac:dyDescent="0.25">
      <c r="A1199" t="n">
        <v>25</v>
      </c>
      <c r="B1199" t="s">
        <v>14</v>
      </c>
      <c r="C1199" t="s">
        <v>51</v>
      </c>
      <c r="D1199" s="2" t="s">
        <f>=HYPERLINK("https://main.knesset.gov.il/APPS/legislation/main/bills/2232636", "הצעת חוק שוויון זכויות לבני העדה הדרוזית, התשפ""ה-2025")</f>
        <v>2634</v>
      </c>
      <c r="E1199" t="s">
        <v>2634</v>
      </c>
      <c r="F1199" t="s">
        <v>2635</v>
      </c>
      <c r="G1199" t="s">
        <v>14</v>
      </c>
      <c r="H1199">
             </c>
      <c r="I1199" t="s">
        <v>14</v>
      </c>
      <c r="J1199" t="s">
        <v>242</v>
      </c>
      <c r="K1199" t="s">
        <v>14</v>
      </c>
      <c r="L1199" t="s">
        <v>20</v>
      </c>
      <c r="M1199" t="s">
        <v>2555</v>
      </c>
      <c r="N1199" t="s">
        <v>14</v>
      </c>
    </row>
    <row r="1200" x14ac:dyDescent="0.25">
      <c r="A1200" t="n">
        <v>25</v>
      </c>
      <c r="B1200" t="s">
        <v>14</v>
      </c>
      <c r="C1200" t="s">
        <v>51</v>
      </c>
      <c r="D1200" s="2" t="s">
        <f>=HYPERLINK("https://main.knesset.gov.il/APPS/legislation/main/bills/2234489", "הצעת חוק שירות המדינה (מינויים) (תיקון - ייצוג מגדרי הולם למשרות ניהול כללי במשרדי הממשלה), התשפ""ה-2025")</f>
        <v>2636</v>
      </c>
      <c r="E1200" t="s">
        <v>2636</v>
      </c>
      <c r="F1200" t="s">
        <v>2637</v>
      </c>
      <c r="G1200" t="s">
        <v>14</v>
      </c>
      <c r="H1200">
             </c>
      <c r="I1200" t="s">
        <v>14</v>
      </c>
      <c r="J1200" t="s">
        <v>242</v>
      </c>
      <c r="K1200" t="s">
        <v>14</v>
      </c>
      <c r="L1200" t="s">
        <v>20</v>
      </c>
      <c r="M1200" t="s">
        <v>2555</v>
      </c>
      <c r="N1200" t="s">
        <v>14</v>
      </c>
    </row>
    <row r="1201" x14ac:dyDescent="0.25">
      <c r="A1201" t="n">
        <v>25</v>
      </c>
      <c r="B1201" t="s">
        <v>14</v>
      </c>
      <c r="C1201" t="s">
        <v>51</v>
      </c>
      <c r="D1201" s="2" t="s">
        <f>=HYPERLINK("https://main.knesset.gov.il/APPS/legislation/main/bills/2234005", "הצעת חוק לתיקון פקודת המשטרה (דיווח לכנסת), התשפ""ה-2025")</f>
        <v>2638</v>
      </c>
      <c r="E1201" t="s">
        <v>2638</v>
      </c>
      <c r="F1201" t="s">
        <v>2639</v>
      </c>
      <c r="G1201" t="s">
        <v>14</v>
      </c>
      <c r="H1201">
             </c>
      <c r="I1201" t="s">
        <v>14</v>
      </c>
      <c r="J1201" t="s">
        <v>242</v>
      </c>
      <c r="K1201" t="s">
        <v>14</v>
      </c>
      <c r="L1201" t="s">
        <v>20</v>
      </c>
      <c r="M1201" t="s">
        <v>2555</v>
      </c>
      <c r="N1201" t="s">
        <v>14</v>
      </c>
    </row>
    <row r="1202" x14ac:dyDescent="0.25">
      <c r="A1202" t="n">
        <v>25</v>
      </c>
      <c r="B1202" t="s">
        <v>14</v>
      </c>
      <c r="C1202" t="s">
        <v>51</v>
      </c>
      <c r="D1202" s="2" t="s">
        <f>=HYPERLINK("https://main.knesset.gov.il/APPS/legislation/main/bills/2234033", "הצעת חוק לחלוקה הוגנת של מזונות, התשפ""ה-2025")</f>
        <v>2640</v>
      </c>
      <c r="E1202" t="s">
        <v>2640</v>
      </c>
      <c r="F1202" t="s">
        <v>2641</v>
      </c>
      <c r="G1202" t="s">
        <v>14</v>
      </c>
      <c r="H1202">
             </c>
      <c r="I1202" t="s">
        <v>14</v>
      </c>
      <c r="J1202" t="s">
        <v>242</v>
      </c>
      <c r="K1202" t="s">
        <v>14</v>
      </c>
      <c r="L1202" t="s">
        <v>20</v>
      </c>
      <c r="M1202" t="s">
        <v>2555</v>
      </c>
      <c r="N1202" t="s">
        <v>14</v>
      </c>
    </row>
    <row r="1203" x14ac:dyDescent="0.25">
      <c r="A1203" t="n">
        <v>25</v>
      </c>
      <c r="B1203" t="s">
        <v>14</v>
      </c>
      <c r="C1203" t="s">
        <v>51</v>
      </c>
      <c r="D1203" s="2" t="s">
        <f>=HYPERLINK("https://main.knesset.gov.il/APPS/legislation/main/bills/2233969", "הצעת חוק חוזה הביטוח (תיקון - ביטוח חלופי לנפגעי עבירת גביית דמי חסות), התשפ""ה-2025")</f>
        <v>2642</v>
      </c>
      <c r="E1203" t="s">
        <v>2642</v>
      </c>
      <c r="F1203" t="s">
        <v>2643</v>
      </c>
      <c r="G1203" t="s">
        <v>14</v>
      </c>
      <c r="H1203">
             </c>
      <c r="I1203" t="s">
        <v>14</v>
      </c>
      <c r="J1203" t="s">
        <v>242</v>
      </c>
      <c r="K1203" t="s">
        <v>14</v>
      </c>
      <c r="L1203" t="s">
        <v>20</v>
      </c>
      <c r="M1203" t="s">
        <v>2555</v>
      </c>
      <c r="N1203" t="s">
        <v>14</v>
      </c>
    </row>
    <row r="1204" x14ac:dyDescent="0.25">
      <c r="A1204" t="n">
        <v>25</v>
      </c>
      <c r="B1204" t="s">
        <v>14</v>
      </c>
      <c r="C1204" t="s">
        <v>51</v>
      </c>
      <c r="D1204" s="2" t="s">
        <f>=HYPERLINK("https://main.knesset.gov.il/APPS/legislation/main/bills/2234545", "הצעת חוק מימון הוצאות למשפחות שבויים, חטופים ונעדרים (תיקון - תוספת למענק לשם התארגנות לבני משפחה של חטוף שגופתו הושבה), התשפ""ה-2025")</f>
        <v>2644</v>
      </c>
      <c r="E1204" t="s">
        <v>2644</v>
      </c>
      <c r="F1204" t="s">
        <v>2645</v>
      </c>
      <c r="G1204" t="s">
        <v>14</v>
      </c>
      <c r="H1204">
             </c>
      <c r="I1204" t="s">
        <v>14</v>
      </c>
      <c r="J1204" t="s">
        <v>242</v>
      </c>
      <c r="K1204" t="s">
        <v>14</v>
      </c>
      <c r="L1204" t="s">
        <v>20</v>
      </c>
      <c r="M1204" t="s">
        <v>2555</v>
      </c>
      <c r="N1204" t="s">
        <v>14</v>
      </c>
    </row>
    <row r="1205" x14ac:dyDescent="0.25">
      <c r="A1205" t="n">
        <v>25</v>
      </c>
      <c r="B1205" t="s">
        <v>14</v>
      </c>
      <c r="C1205" t="s">
        <v>51</v>
      </c>
      <c r="D1205" s="2" t="s">
        <f>=HYPERLINK("https://main.knesset.gov.il/APPS/legislation/main/bills/2233784", "הצעת חוק ביטוח בריאות ממלכתי (תיקון - הוספת נציגי עובדים בדירקטוריון ובמועצת קופות החולים), התשפ""ה-2025 ")</f>
        <v>2646</v>
      </c>
      <c r="E1205" t="s">
        <v>2646</v>
      </c>
      <c r="F1205" t="s">
        <v>2647</v>
      </c>
      <c r="G1205" t="s">
        <v>14</v>
      </c>
      <c r="H1205">
             </c>
      <c r="I1205" t="s">
        <v>14</v>
      </c>
      <c r="J1205" t="s">
        <v>242</v>
      </c>
      <c r="K1205" t="s">
        <v>14</v>
      </c>
      <c r="L1205" t="s">
        <v>20</v>
      </c>
      <c r="M1205" t="s">
        <v>2555</v>
      </c>
      <c r="N1205" t="s">
        <v>14</v>
      </c>
    </row>
    <row r="1206" x14ac:dyDescent="0.25">
      <c r="A1206" t="n">
        <v>25</v>
      </c>
      <c r="B1206" t="s">
        <v>14</v>
      </c>
      <c r="C1206" t="s">
        <v>51</v>
      </c>
      <c r="D1206" s="2" t="s">
        <f>=HYPERLINK("https://main.knesset.gov.il/APPS/legislation/main/bills/2233668", "הצעת חוק לתיקון פקודת העיריות (מרכזים להגנה ממפגעי מזג אוויר קיצוני ומיתקני צינון), התשפ""ה-2025")</f>
        <v>2648</v>
      </c>
      <c r="E1206" t="s">
        <v>2648</v>
      </c>
      <c r="F1206" t="s">
        <v>2649</v>
      </c>
      <c r="G1206" t="s">
        <v>14</v>
      </c>
      <c r="H1206">
             </c>
      <c r="I1206" t="s">
        <v>14</v>
      </c>
      <c r="J1206" t="s">
        <v>242</v>
      </c>
      <c r="K1206" t="s">
        <v>14</v>
      </c>
      <c r="L1206" t="s">
        <v>20</v>
      </c>
      <c r="M1206" t="s">
        <v>2555</v>
      </c>
      <c r="N1206" t="s">
        <v>14</v>
      </c>
    </row>
    <row r="1207" x14ac:dyDescent="0.25">
      <c r="A1207" t="n">
        <v>25</v>
      </c>
      <c r="B1207" t="s">
        <v>14</v>
      </c>
      <c r="C1207" t="s">
        <v>51</v>
      </c>
      <c r="D1207" s="2" t="s">
        <f>=HYPERLINK("https://main.knesset.gov.il/APPS/legislation/main/bills/2234522", "הצעת חוק תמיכה במימון פעילות ארגון נכי צה""ל ובתי הלוחם ובארגון נפגעי פעולות האיבה, התשפ""ה-2025")</f>
        <v>2650</v>
      </c>
      <c r="E1207" t="s">
        <v>2650</v>
      </c>
      <c r="F1207" t="s">
        <v>2651</v>
      </c>
      <c r="G1207" t="s">
        <v>14</v>
      </c>
      <c r="H1207">
             </c>
      <c r="I1207" t="s">
        <v>14</v>
      </c>
      <c r="J1207" t="s">
        <v>242</v>
      </c>
      <c r="K1207" t="s">
        <v>14</v>
      </c>
      <c r="L1207" t="s">
        <v>20</v>
      </c>
      <c r="M1207" t="s">
        <v>2555</v>
      </c>
      <c r="N1207" t="s">
        <v>14</v>
      </c>
    </row>
    <row r="1208" x14ac:dyDescent="0.25">
      <c r="A1208" t="n">
        <v>25</v>
      </c>
      <c r="B1208" t="s">
        <v>14</v>
      </c>
      <c r="C1208" t="s">
        <v>51</v>
      </c>
      <c r="D1208" s="2" t="s">
        <f>=HYPERLINK("https://main.knesset.gov.il/APPS/legislation/main/bills/2234368", "הצעת חוק איסור אספקת שירותים חיוניים לגורמים עוינים, התשפ""ה-2025")</f>
        <v>2652</v>
      </c>
      <c r="E1208" t="s">
        <v>2652</v>
      </c>
      <c r="F1208" t="s">
        <v>2653</v>
      </c>
      <c r="G1208" t="s">
        <v>14</v>
      </c>
      <c r="H1208">
             </c>
      <c r="I1208" t="s">
        <v>14</v>
      </c>
      <c r="J1208" t="s">
        <v>242</v>
      </c>
      <c r="K1208" t="s">
        <v>14</v>
      </c>
      <c r="L1208" t="s">
        <v>20</v>
      </c>
      <c r="M1208" t="s">
        <v>2555</v>
      </c>
      <c r="N1208" t="s">
        <v>14</v>
      </c>
    </row>
    <row r="1209" x14ac:dyDescent="0.25">
      <c r="A1209" t="n">
        <v>25</v>
      </c>
      <c r="B1209" t="s">
        <v>14</v>
      </c>
      <c r="C1209" t="s">
        <v>51</v>
      </c>
      <c r="D1209" s="2" t="s">
        <f>=HYPERLINK("https://main.knesset.gov.il/APPS/legislation/main/bills/2232888", "הצעת חוק חניה לנכים (תיקון - הקצאת מקום חניה המיועד לשני רכבים מזכים), התשפ""ה-2025")</f>
        <v>2654</v>
      </c>
      <c r="E1209" t="s">
        <v>2654</v>
      </c>
      <c r="F1209" t="s">
        <v>2655</v>
      </c>
      <c r="G1209" t="s">
        <v>14</v>
      </c>
      <c r="H1209">
             </c>
      <c r="I1209" t="s">
        <v>14</v>
      </c>
      <c r="J1209" t="s">
        <v>242</v>
      </c>
      <c r="K1209" t="s">
        <v>14</v>
      </c>
      <c r="L1209" t="s">
        <v>20</v>
      </c>
      <c r="M1209" t="s">
        <v>2555</v>
      </c>
      <c r="N1209" t="s">
        <v>14</v>
      </c>
    </row>
    <row r="1210" x14ac:dyDescent="0.25">
      <c r="A1210" t="n">
        <v>25</v>
      </c>
      <c r="B1210" t="s">
        <v>14</v>
      </c>
      <c r="C1210" t="s">
        <v>51</v>
      </c>
      <c r="D1210" s="2" t="s">
        <f>=HYPERLINK("https://main.knesset.gov.il/APPS/legislation/main/bills/2233945", "הצעת חוק תגמולים לאסירי ציון ולבני משפחותיהם (תיקון - התאמה לאסירי ציון יוצאי אתיופיה ומדינות אפריקה), התשפ""ה-2025")</f>
        <v>2656</v>
      </c>
      <c r="E1210" t="s">
        <v>2656</v>
      </c>
      <c r="F1210" t="s">
        <v>2657</v>
      </c>
      <c r="G1210" t="s">
        <v>14</v>
      </c>
      <c r="H1210">
             </c>
      <c r="I1210" t="s">
        <v>14</v>
      </c>
      <c r="J1210" t="s">
        <v>242</v>
      </c>
      <c r="K1210" t="s">
        <v>14</v>
      </c>
      <c r="L1210" t="s">
        <v>20</v>
      </c>
      <c r="M1210" t="s">
        <v>2555</v>
      </c>
      <c r="N1210" t="s">
        <v>14</v>
      </c>
    </row>
    <row r="1211" x14ac:dyDescent="0.25">
      <c r="A1211" t="n">
        <v>25</v>
      </c>
      <c r="B1211" t="s">
        <v>14</v>
      </c>
      <c r="C1211" t="s">
        <v>51</v>
      </c>
      <c r="D1211" s="2" t="s">
        <f>=HYPERLINK("https://main.knesset.gov.il/APPS/legislation/main/bills/2234076", "הצעת חוק-יסוד: הכנסת (תיקון - קבלת סעיף בחוק-יסוד שדרוש לביטולו או לשינויו רוב מיוחס)")</f>
        <v>2658</v>
      </c>
      <c r="E1211" t="s">
        <v>2658</v>
      </c>
      <c r="F1211" t="s">
        <v>2659</v>
      </c>
      <c r="G1211" t="s">
        <v>14</v>
      </c>
      <c r="H1211">
             </c>
      <c r="I1211" t="s">
        <v>14</v>
      </c>
      <c r="J1211" t="s">
        <v>242</v>
      </c>
      <c r="K1211" t="s">
        <v>14</v>
      </c>
      <c r="L1211" t="s">
        <v>20</v>
      </c>
      <c r="M1211" t="s">
        <v>2555</v>
      </c>
      <c r="N1211" t="s">
        <v>14</v>
      </c>
    </row>
    <row r="1212" x14ac:dyDescent="0.25">
      <c r="A1212" t="n">
        <v>25</v>
      </c>
      <c r="B1212" t="s">
        <v>14</v>
      </c>
      <c r="C1212" t="s">
        <v>51</v>
      </c>
      <c r="D1212" s="2" t="s">
        <f>=HYPERLINK("https://main.knesset.gov.il/APPS/legislation/main/bills/2233205", "הצעת חוק ההתגוננות האזרחית (תיקון - סמכויות אכיפת כניסה למקלט והטלת קנס), התשפ""ה-2025")</f>
        <v>2660</v>
      </c>
      <c r="E1212" t="s">
        <v>2660</v>
      </c>
      <c r="F1212" t="s">
        <v>2661</v>
      </c>
      <c r="G1212" t="s">
        <v>14</v>
      </c>
      <c r="H1212">
             </c>
      <c r="I1212" t="s">
        <v>14</v>
      </c>
      <c r="J1212" t="s">
        <v>242</v>
      </c>
      <c r="K1212" t="s">
        <v>14</v>
      </c>
      <c r="L1212" t="s">
        <v>20</v>
      </c>
      <c r="M1212" t="s">
        <v>2555</v>
      </c>
      <c r="N1212" t="s">
        <v>14</v>
      </c>
    </row>
    <row r="1213" x14ac:dyDescent="0.25">
      <c r="A1213" t="n">
        <v>25</v>
      </c>
      <c r="B1213" t="s">
        <v>14</v>
      </c>
      <c r="C1213" t="s">
        <v>51</v>
      </c>
      <c r="D1213" s="2" t="s">
        <f>=HYPERLINK("https://main.knesset.gov.il/APPS/legislation/main/bills/2233917", "הצעת חוק הקמת מערכת סולארית בבית משותף שהוקם במסגרת עסקת פינוי ובינוי, התשפ""ה-2025")</f>
        <v>2662</v>
      </c>
      <c r="E1213" t="s">
        <v>2662</v>
      </c>
      <c r="F1213" t="s">
        <v>2663</v>
      </c>
      <c r="G1213" t="s">
        <v>14</v>
      </c>
      <c r="H1213">
             </c>
      <c r="I1213" t="s">
        <v>14</v>
      </c>
      <c r="J1213" t="s">
        <v>242</v>
      </c>
      <c r="K1213" t="s">
        <v>14</v>
      </c>
      <c r="L1213" t="s">
        <v>20</v>
      </c>
      <c r="M1213" t="s">
        <v>2555</v>
      </c>
      <c r="N1213" t="s">
        <v>14</v>
      </c>
    </row>
    <row r="1214" x14ac:dyDescent="0.25">
      <c r="A1214" t="n">
        <v>25</v>
      </c>
      <c r="B1214" t="s">
        <v>14</v>
      </c>
      <c r="C1214" t="s">
        <v>51</v>
      </c>
      <c r="D1214" s="2" t="s">
        <f>=HYPERLINK("https://main.knesset.gov.il/APPS/legislation/main/bills/2234078", "הצעת חוק-יסוד: הכנסת (תיקון - החלטה בדבר הפסקת כהונה של חבר הכנסת)")</f>
        <v>2664</v>
      </c>
      <c r="E1214" t="s">
        <v>2664</v>
      </c>
      <c r="F1214" t="s">
        <v>2665</v>
      </c>
      <c r="G1214" t="s">
        <v>14</v>
      </c>
      <c r="H1214">
             </c>
      <c r="I1214" t="s">
        <v>14</v>
      </c>
      <c r="J1214" t="s">
        <v>242</v>
      </c>
      <c r="K1214" t="s">
        <v>14</v>
      </c>
      <c r="L1214" t="s">
        <v>20</v>
      </c>
      <c r="M1214" t="s">
        <v>2555</v>
      </c>
      <c r="N1214" t="s">
        <v>14</v>
      </c>
    </row>
    <row r="1215" x14ac:dyDescent="0.25">
      <c r="A1215" t="n">
        <v>25</v>
      </c>
      <c r="B1215" t="s">
        <v>14</v>
      </c>
      <c r="C1215" t="s">
        <v>51</v>
      </c>
      <c r="D1215" s="2" t="s">
        <f>=HYPERLINK("https://main.knesset.gov.il/APPS/legislation/main/bills/2233029", "הצעת חוק התכנון והבנייה (תיקון - ועדת משנה לעניין חבל תקומה) (הוראת שעה), התשפ""ה-2025")</f>
        <v>2666</v>
      </c>
      <c r="E1215" t="s">
        <v>2666</v>
      </c>
      <c r="F1215" t="s">
        <v>2667</v>
      </c>
      <c r="G1215" t="s">
        <v>14</v>
      </c>
      <c r="H1215">
             </c>
      <c r="I1215" t="s">
        <v>14</v>
      </c>
      <c r="J1215" t="s">
        <v>242</v>
      </c>
      <c r="K1215" t="s">
        <v>14</v>
      </c>
      <c r="L1215" t="s">
        <v>20</v>
      </c>
      <c r="M1215" t="s">
        <v>2555</v>
      </c>
      <c r="N1215" t="s">
        <v>14</v>
      </c>
    </row>
    <row r="1216" x14ac:dyDescent="0.25">
      <c r="A1216" t="n">
        <v>25</v>
      </c>
      <c r="B1216" t="s">
        <v>14</v>
      </c>
      <c r="C1216" t="s">
        <v>51</v>
      </c>
      <c r="D1216" s="2" t="s">
        <f>=HYPERLINK("https://main.knesset.gov.il/APPS/legislation/main/bills/2234090", "הצעת חוק שימוש בזרע של נפטר לשם הולדה, התשפ""ה-2025")</f>
        <v>2668</v>
      </c>
      <c r="E1216" t="s">
        <v>2668</v>
      </c>
      <c r="F1216" t="s">
        <v>2669</v>
      </c>
      <c r="G1216" t="s">
        <v>14</v>
      </c>
      <c r="H1216">
             </c>
      <c r="I1216" t="s">
        <v>14</v>
      </c>
      <c r="J1216" t="s">
        <v>242</v>
      </c>
      <c r="K1216" t="s">
        <v>14</v>
      </c>
      <c r="L1216" t="s">
        <v>20</v>
      </c>
      <c r="M1216" t="s">
        <v>2555</v>
      </c>
      <c r="N1216" t="s">
        <v>14</v>
      </c>
    </row>
    <row r="1217" x14ac:dyDescent="0.25">
      <c r="A1217" t="n">
        <v>25</v>
      </c>
      <c r="B1217" t="s">
        <v>14</v>
      </c>
      <c r="C1217" t="s">
        <v>51</v>
      </c>
      <c r="D1217" s="2" t="s">
        <f>=HYPERLINK("https://main.knesset.gov.il/APPS/legislation/main/bills/2234417", "הצעת חוק איסור צריכת זנות (הוראת שעה ותיקון חקיקה) (תיקון - עיגון כהוראת קבע), התשפ""ה-2025")</f>
        <v>2592</v>
      </c>
      <c r="E1217" t="s">
        <v>2592</v>
      </c>
      <c r="F1217" t="s">
        <v>2670</v>
      </c>
      <c r="G1217" t="s">
        <v>14</v>
      </c>
      <c r="H1217">
             </c>
      <c r="I1217" t="s">
        <v>14</v>
      </c>
      <c r="J1217" t="s">
        <v>242</v>
      </c>
      <c r="K1217" t="s">
        <v>14</v>
      </c>
      <c r="L1217" t="s">
        <v>20</v>
      </c>
      <c r="M1217" t="s">
        <v>2555</v>
      </c>
      <c r="N1217" t="s">
        <v>14</v>
      </c>
    </row>
    <row r="1218" x14ac:dyDescent="0.25">
      <c r="A1218" t="n">
        <v>25</v>
      </c>
      <c r="B1218" t="s">
        <v>14</v>
      </c>
      <c r="C1218" t="s">
        <v>51</v>
      </c>
      <c r="D1218" s="2" t="s">
        <f>=HYPERLINK("https://main.knesset.gov.il/APPS/legislation/main/bills/2231213", "הצעת חוק לתיקון פקודת העיריות (הזכות להפגין), התשפ""ה-2025 ")</f>
        <v>2671</v>
      </c>
      <c r="E1218" t="s">
        <v>2671</v>
      </c>
      <c r="F1218" t="s">
        <v>2672</v>
      </c>
      <c r="G1218" t="s">
        <v>14</v>
      </c>
      <c r="H1218">
             </c>
      <c r="I1218" t="s">
        <v>14</v>
      </c>
      <c r="J1218" t="s">
        <v>242</v>
      </c>
      <c r="K1218" t="s">
        <v>14</v>
      </c>
      <c r="L1218" t="s">
        <v>20</v>
      </c>
      <c r="M1218" t="s">
        <v>2555</v>
      </c>
      <c r="N1218" t="s">
        <v>14</v>
      </c>
    </row>
    <row r="1219" x14ac:dyDescent="0.25">
      <c r="A1219" t="n">
        <v>25</v>
      </c>
      <c r="B1219" t="s">
        <v>14</v>
      </c>
      <c r="C1219" t="s">
        <v>51</v>
      </c>
      <c r="D1219" s="2" t="s">
        <f>=HYPERLINK("https://main.knesset.gov.il/APPS/legislation/main/bills/2234126", "הצעת חוק איסור עיסוק נוסף לנושאי משרה בכירה, התשפ""ה-2025")</f>
        <v>2673</v>
      </c>
      <c r="E1219" t="s">
        <v>2673</v>
      </c>
      <c r="F1219" t="s">
        <v>2674</v>
      </c>
      <c r="G1219" t="s">
        <v>14</v>
      </c>
      <c r="H1219">
             </c>
      <c r="I1219" t="s">
        <v>14</v>
      </c>
      <c r="J1219" t="s">
        <v>242</v>
      </c>
      <c r="K1219" t="s">
        <v>14</v>
      </c>
      <c r="L1219" t="s">
        <v>20</v>
      </c>
      <c r="M1219" t="s">
        <v>2555</v>
      </c>
      <c r="N1219" t="s">
        <v>14</v>
      </c>
    </row>
    <row r="1220" x14ac:dyDescent="0.25">
      <c r="A1220" t="n">
        <v>25</v>
      </c>
      <c r="B1220" t="s">
        <v>14</v>
      </c>
      <c r="C1220" t="s">
        <v>51</v>
      </c>
      <c r="D1220" s="2" t="s">
        <f>=HYPERLINK("https://main.knesset.gov.il/APPS/legislation/main/bills/2234001", "הצעת חוק לתיקון פקודת המשטרה (ביטול הכפיפות לשר והבטחת עצמאות המשטרה), התשפ""ה-2025")</f>
        <v>2675</v>
      </c>
      <c r="E1220" t="s">
        <v>2675</v>
      </c>
      <c r="F1220" t="s">
        <v>2676</v>
      </c>
      <c r="G1220" t="s">
        <v>14</v>
      </c>
      <c r="H1220">
             </c>
      <c r="I1220" t="s">
        <v>14</v>
      </c>
      <c r="J1220" t="s">
        <v>242</v>
      </c>
      <c r="K1220" t="s">
        <v>14</v>
      </c>
      <c r="L1220" t="s">
        <v>20</v>
      </c>
      <c r="M1220" t="s">
        <v>2555</v>
      </c>
      <c r="N1220" t="s">
        <v>14</v>
      </c>
    </row>
    <row r="1221" x14ac:dyDescent="0.25">
      <c r="A1221" t="n">
        <v>25</v>
      </c>
      <c r="B1221" t="s">
        <v>14</v>
      </c>
      <c r="C1221" t="s">
        <v>51</v>
      </c>
      <c r="D1221" s="2" t="s">
        <f>=HYPERLINK("https://main.knesset.gov.il/APPS/legislation/main/bills/2232813", "הצעת חוק שיקום יישובים בחבל התקומה (תיקוני חקיקה) (הוראת שעה), התשפ""ה-2025 ")</f>
        <v>2677</v>
      </c>
      <c r="E1221" t="s">
        <v>2677</v>
      </c>
      <c r="F1221" t="s">
        <v>2678</v>
      </c>
      <c r="G1221" t="s">
        <v>14</v>
      </c>
      <c r="H1221">
             </c>
      <c r="I1221" t="s">
        <v>14</v>
      </c>
      <c r="J1221" t="s">
        <v>242</v>
      </c>
      <c r="K1221" t="s">
        <v>14</v>
      </c>
      <c r="L1221" t="s">
        <v>20</v>
      </c>
      <c r="M1221" t="s">
        <v>2555</v>
      </c>
      <c r="N1221" t="s">
        <v>14</v>
      </c>
    </row>
    <row r="1222" x14ac:dyDescent="0.25">
      <c r="A1222" t="n">
        <v>25</v>
      </c>
      <c r="B1222" t="s">
        <v>14</v>
      </c>
      <c r="C1222" t="s">
        <v>51</v>
      </c>
      <c r="D1222" s="2" t="s">
        <f>=HYPERLINK("https://main.knesset.gov.il/APPS/legislation/main/bills/2234060", "הצעת חוק סמכויות שעת חירום (תיקוני חקיקה), התשפ""ה-2025")</f>
        <v>2679</v>
      </c>
      <c r="E1222" t="s">
        <v>2679</v>
      </c>
      <c r="F1222" t="s">
        <v>2680</v>
      </c>
      <c r="G1222" t="s">
        <v>14</v>
      </c>
      <c r="H1222">
             </c>
      <c r="I1222" t="s">
        <v>14</v>
      </c>
      <c r="J1222" t="s">
        <v>242</v>
      </c>
      <c r="K1222" t="s">
        <v>14</v>
      </c>
      <c r="L1222" t="s">
        <v>20</v>
      </c>
      <c r="M1222" t="s">
        <v>2555</v>
      </c>
      <c r="N1222" t="s">
        <v>14</v>
      </c>
    </row>
    <row r="1223" x14ac:dyDescent="0.25">
      <c r="A1223" t="n">
        <v>25</v>
      </c>
      <c r="B1223" t="s">
        <v>14</v>
      </c>
      <c r="C1223" t="s">
        <v>51</v>
      </c>
      <c r="D1223" s="2" t="s">
        <f>=HYPERLINK("https://main.knesset.gov.il/APPS/legislation/main/bills/2233908", "הצעת חוק סמכויות לשם שמירה על ביטחון הציבור (תיקון - הסמכת מאבטחים למניעת אלימות באוטובוסים ציבוריים), התשפ""ה-2025 ")</f>
        <v>2681</v>
      </c>
      <c r="E1223" t="s">
        <v>2681</v>
      </c>
      <c r="F1223" t="s">
        <v>2682</v>
      </c>
      <c r="G1223" t="s">
        <v>14</v>
      </c>
      <c r="H1223">
             </c>
      <c r="I1223" t="s">
        <v>14</v>
      </c>
      <c r="J1223" t="s">
        <v>242</v>
      </c>
      <c r="K1223" t="s">
        <v>14</v>
      </c>
      <c r="L1223" t="s">
        <v>20</v>
      </c>
      <c r="M1223" t="s">
        <v>2555</v>
      </c>
      <c r="N1223" t="s">
        <v>14</v>
      </c>
    </row>
    <row r="1224" x14ac:dyDescent="0.25">
      <c r="A1224" t="n">
        <v>25</v>
      </c>
      <c r="B1224" t="s">
        <v>14</v>
      </c>
      <c r="C1224" t="s">
        <v>51</v>
      </c>
      <c r="D1224" s="2" t="s">
        <f>=HYPERLINK("https://main.knesset.gov.il/APPS/legislation/main/bills/2231176", "הצעת חוק ההוצאה לפועל (תיקון - ביטול צו הבאה בשל חוב כספי נמוך), התשפ״ה-2025")</f>
        <v>2683</v>
      </c>
      <c r="E1224" t="s">
        <v>2683</v>
      </c>
      <c r="F1224" t="s">
        <v>2684</v>
      </c>
      <c r="G1224" t="s">
        <v>14</v>
      </c>
      <c r="H1224">
             </c>
      <c r="I1224" t="s">
        <v>14</v>
      </c>
      <c r="J1224" t="s">
        <v>202</v>
      </c>
      <c r="K1224" t="s">
        <v>14</v>
      </c>
      <c r="L1224" t="s">
        <v>20</v>
      </c>
      <c r="M1224" t="s">
        <v>2555</v>
      </c>
      <c r="N1224" t="s">
        <v>14</v>
      </c>
    </row>
    <row r="1225" x14ac:dyDescent="0.25">
      <c r="A1225" t="n">
        <v>25</v>
      </c>
      <c r="B1225" t="s">
        <v>14</v>
      </c>
      <c r="C1225" t="s">
        <v>51</v>
      </c>
      <c r="D1225" s="2" t="s">
        <f>=HYPERLINK("https://main.knesset.gov.il/APPS/legislation/main/bills/2234221", "הצעת חוק שירות המדינה (מינויים) (תיקון - חובת פרסום שאלון לאיתור חשש לניגוד עניינים), התשפ""ה-2025")</f>
        <v>2685</v>
      </c>
      <c r="E1225" t="s">
        <v>2685</v>
      </c>
      <c r="F1225" t="s">
        <v>2686</v>
      </c>
      <c r="G1225" t="s">
        <v>14</v>
      </c>
      <c r="H1225">
             </c>
      <c r="I1225" t="s">
        <v>14</v>
      </c>
      <c r="J1225" t="s">
        <v>242</v>
      </c>
      <c r="K1225" t="s">
        <v>14</v>
      </c>
      <c r="L1225" t="s">
        <v>20</v>
      </c>
      <c r="M1225" t="s">
        <v>2555</v>
      </c>
      <c r="N1225" t="s">
        <v>14</v>
      </c>
    </row>
    <row r="1226" x14ac:dyDescent="0.25">
      <c r="A1226" t="n">
        <v>25</v>
      </c>
      <c r="B1226" t="s">
        <v>14</v>
      </c>
      <c r="C1226" t="s">
        <v>51</v>
      </c>
      <c r="D1226" s="2" t="s">
        <f>=HYPERLINK("https://main.knesset.gov.il/APPS/legislation/main/bills/2233985", "הצעת חוק הרשויות המקומיות (בחירת ראש הרשות וסגניו וכהונתם) (תיקון - הגבלת כהונה רביעית לראש רשות), התשפ""ה-2025")</f>
        <v>2687</v>
      </c>
      <c r="E1226" t="s">
        <v>2687</v>
      </c>
      <c r="F1226" t="s">
        <v>2688</v>
      </c>
      <c r="G1226" t="s">
        <v>14</v>
      </c>
      <c r="H1226">
             </c>
      <c r="I1226" t="s">
        <v>14</v>
      </c>
      <c r="J1226" t="s">
        <v>242</v>
      </c>
      <c r="K1226" t="s">
        <v>14</v>
      </c>
      <c r="L1226" t="s">
        <v>20</v>
      </c>
      <c r="M1226" t="s">
        <v>2555</v>
      </c>
      <c r="N1226" t="s">
        <v>14</v>
      </c>
    </row>
    <row r="1227" x14ac:dyDescent="0.25">
      <c r="A1227" t="n">
        <v>25</v>
      </c>
      <c r="B1227" t="s">
        <v>14</v>
      </c>
      <c r="C1227" t="s">
        <v>51</v>
      </c>
      <c r="D1227" s="2" t="s">
        <f>=HYPERLINK("https://main.knesset.gov.il/APPS/legislation/main/bills/2225415", "הצעת חוק חובת המכרזים (תיקון - תשלום ריבית על ערבות בנקאית), התשפ""ה-2025")</f>
        <v>2689</v>
      </c>
      <c r="E1227" t="s">
        <v>2689</v>
      </c>
      <c r="F1227" t="s">
        <v>2690</v>
      </c>
      <c r="G1227" t="s">
        <v>14</v>
      </c>
      <c r="H1227">
             </c>
      <c r="I1227" t="s">
        <v>14</v>
      </c>
      <c r="J1227" t="s">
        <v>242</v>
      </c>
      <c r="K1227" t="s">
        <v>14</v>
      </c>
      <c r="L1227" t="s">
        <v>20</v>
      </c>
      <c r="M1227" t="s">
        <v>2555</v>
      </c>
      <c r="N1227" t="s">
        <v>14</v>
      </c>
    </row>
    <row r="1228" x14ac:dyDescent="0.25">
      <c r="A1228" t="n">
        <v>25</v>
      </c>
      <c r="B1228" t="s">
        <v>14</v>
      </c>
      <c r="C1228" t="s">
        <v>51</v>
      </c>
      <c r="D1228" s="2" t="s">
        <f>=HYPERLINK("https://main.knesset.gov.il/APPS/legislation/main/bills/2232080", "הצעת חוק לתיקון פקודת מס הכנסה (פטור משווי שימוש ברכב עבודה חשמלי), התשפ""ה-2025")</f>
        <v>2691</v>
      </c>
      <c r="E1228" t="s">
        <v>2691</v>
      </c>
      <c r="F1228" t="s">
        <v>2692</v>
      </c>
      <c r="G1228" t="s">
        <v>14</v>
      </c>
      <c r="H1228">
             </c>
      <c r="I1228" t="s">
        <v>14</v>
      </c>
      <c r="J1228" t="s">
        <v>242</v>
      </c>
      <c r="K1228" t="s">
        <v>14</v>
      </c>
      <c r="L1228" t="s">
        <v>20</v>
      </c>
      <c r="M1228" t="s">
        <v>2555</v>
      </c>
      <c r="N1228" t="s">
        <v>14</v>
      </c>
    </row>
    <row r="1229" x14ac:dyDescent="0.25">
      <c r="A1229" t="n">
        <v>25</v>
      </c>
      <c r="B1229" t="s">
        <v>14</v>
      </c>
      <c r="C1229" t="s">
        <v>51</v>
      </c>
      <c r="D1229" s="2" t="s">
        <f>=HYPERLINK("https://main.knesset.gov.il/APPS/legislation/main/bills/2234443", "הצעת חוק שוויון זכויות לאנשים עם מוגבלות (תיקון - הנגשת אוטובוסים בין-עירוניים), התשפ""ה-2025")</f>
        <v>2693</v>
      </c>
      <c r="E1229" t="s">
        <v>2693</v>
      </c>
      <c r="F1229" t="s">
        <v>2694</v>
      </c>
      <c r="G1229" t="s">
        <v>14</v>
      </c>
      <c r="H1229">
             </c>
      <c r="I1229" t="s">
        <v>14</v>
      </c>
      <c r="J1229" t="s">
        <v>242</v>
      </c>
      <c r="K1229" t="s">
        <v>14</v>
      </c>
      <c r="L1229" t="s">
        <v>20</v>
      </c>
      <c r="M1229" t="s">
        <v>2555</v>
      </c>
      <c r="N1229" t="s">
        <v>14</v>
      </c>
    </row>
    <row r="1230" x14ac:dyDescent="0.25">
      <c r="A1230" t="n">
        <v>25</v>
      </c>
      <c r="B1230" t="s">
        <v>14</v>
      </c>
      <c r="C1230" t="s">
        <v>51</v>
      </c>
      <c r="D1230" s="2" t="s">
        <f>=HYPERLINK("https://main.knesset.gov.il/APPS/legislation/main/bills/2231936", "הצעת חוק-יסוד: הכנסת (תיקון - הרחבת העילות למניעת השתתפות בבחירות)")</f>
        <v>2695</v>
      </c>
      <c r="E1230" t="s">
        <v>2695</v>
      </c>
      <c r="F1230" t="s">
        <v>2696</v>
      </c>
      <c r="G1230" t="s">
        <v>14</v>
      </c>
      <c r="H1230">
             </c>
      <c r="I1230" t="s">
        <v>14</v>
      </c>
      <c r="J1230" t="s">
        <v>242</v>
      </c>
      <c r="K1230" t="s">
        <v>14</v>
      </c>
      <c r="L1230" t="s">
        <v>20</v>
      </c>
      <c r="M1230" t="s">
        <v>2555</v>
      </c>
      <c r="N1230" t="s">
        <v>14</v>
      </c>
    </row>
    <row r="1231" x14ac:dyDescent="0.25">
      <c r="A1231" t="n">
        <v>25</v>
      </c>
      <c r="B1231" t="s">
        <v>14</v>
      </c>
      <c r="C1231" t="s">
        <v>51</v>
      </c>
      <c r="D1231" s="2" t="s">
        <f>=HYPERLINK("https://main.knesset.gov.il/APPS/legislation/main/bills/2234024", "הצעת חוק הסדרי משפט ומינהל (תיקון - ניתוק הזיקה להכרזה על מצב חירום), התשפ""ה-2025")</f>
        <v>2697</v>
      </c>
      <c r="E1231" t="s">
        <v>2697</v>
      </c>
      <c r="F1231" t="s">
        <v>2698</v>
      </c>
      <c r="G1231" t="s">
        <v>14</v>
      </c>
      <c r="H1231">
             </c>
      <c r="I1231" t="s">
        <v>14</v>
      </c>
      <c r="J1231" t="s">
        <v>242</v>
      </c>
      <c r="K1231" t="s">
        <v>14</v>
      </c>
      <c r="L1231" t="s">
        <v>20</v>
      </c>
      <c r="M1231" t="s">
        <v>2555</v>
      </c>
      <c r="N1231" t="s">
        <v>14</v>
      </c>
    </row>
    <row r="1232" x14ac:dyDescent="0.25">
      <c r="A1232" t="n">
        <v>25</v>
      </c>
      <c r="B1232" t="s">
        <v>14</v>
      </c>
      <c r="C1232" t="s">
        <v>51</v>
      </c>
      <c r="D1232" s="2" t="s">
        <f>=HYPERLINK("https://main.knesset.gov.il/APPS/legislation/main/bills/2233028", "הצעת חוק מיסוי מקרקעין (שבח ורכישה) (תיקון - הקניית זכות במקרקעין חלף בית שנהרס או חולל באירוע טרור), התשפ""ה-2025")</f>
        <v>2699</v>
      </c>
      <c r="E1232" t="s">
        <v>2699</v>
      </c>
      <c r="F1232" t="s">
        <v>2700</v>
      </c>
      <c r="G1232" t="s">
        <v>14</v>
      </c>
      <c r="H1232">
             </c>
      <c r="I1232" t="s">
        <v>14</v>
      </c>
      <c r="J1232" t="s">
        <v>242</v>
      </c>
      <c r="K1232" t="s">
        <v>14</v>
      </c>
      <c r="L1232" t="s">
        <v>20</v>
      </c>
      <c r="M1232" t="s">
        <v>2555</v>
      </c>
      <c r="N1232" t="s">
        <v>14</v>
      </c>
    </row>
    <row r="1233" x14ac:dyDescent="0.25">
      <c r="A1233" t="n">
        <v>25</v>
      </c>
      <c r="B1233" t="s">
        <v>14</v>
      </c>
      <c r="C1233" t="s">
        <v>51</v>
      </c>
      <c r="D1233" s="2" t="s">
        <f>=HYPERLINK("https://main.knesset.gov.il/APPS/legislation/main/bills/2234107", "הצעת חוק מימון הוצאות למשפחות שבויים, חטופים ונעדרים (תיקון - הגדלת מענקי סיוע להורה של חטוף או נעדר שאין לו בן זוג שהוא הורה של אותו חטוף או נעדר), התשפ""ה-2025")</f>
        <v>2701</v>
      </c>
      <c r="E1233" t="s">
        <v>2701</v>
      </c>
      <c r="F1233" t="s">
        <v>2702</v>
      </c>
      <c r="G1233" t="s">
        <v>14</v>
      </c>
      <c r="H1233">
             </c>
      <c r="I1233" t="s">
        <v>14</v>
      </c>
      <c r="J1233" t="s">
        <v>242</v>
      </c>
      <c r="K1233" t="s">
        <v>14</v>
      </c>
      <c r="L1233" t="s">
        <v>20</v>
      </c>
      <c r="M1233" t="s">
        <v>2555</v>
      </c>
      <c r="N1233" t="s">
        <v>14</v>
      </c>
    </row>
    <row r="1234" x14ac:dyDescent="0.25">
      <c r="A1234" t="n">
        <v>25</v>
      </c>
      <c r="B1234" t="s">
        <v>14</v>
      </c>
      <c r="C1234" t="s">
        <v>51</v>
      </c>
      <c r="D1234" s="2" t="s">
        <f>=HYPERLINK("https://main.knesset.gov.il/APPS/legislation/main/bills/2231643", "הצעת חוק הסדרת מקומות רחצה (תיקון - הגבלת אחריות רשות מקומית למקום שאינו מוכרז לרחצה), התשפ""ה-2025")</f>
        <v>2703</v>
      </c>
      <c r="E1234" t="s">
        <v>2703</v>
      </c>
      <c r="F1234" t="s">
        <v>2704</v>
      </c>
      <c r="G1234" t="s">
        <v>14</v>
      </c>
      <c r="H1234">
             </c>
      <c r="I1234" t="s">
        <v>14</v>
      </c>
      <c r="J1234" t="s">
        <v>242</v>
      </c>
      <c r="K1234" t="s">
        <v>14</v>
      </c>
      <c r="L1234" t="s">
        <v>20</v>
      </c>
      <c r="M1234" t="s">
        <v>2555</v>
      </c>
      <c r="N1234" t="s">
        <v>14</v>
      </c>
    </row>
    <row r="1235" x14ac:dyDescent="0.25">
      <c r="A1235" t="n">
        <v>25</v>
      </c>
      <c r="B1235" t="s">
        <v>14</v>
      </c>
      <c r="C1235" t="s">
        <v>51</v>
      </c>
      <c r="D1235" s="2" t="s">
        <f>=HYPERLINK("https://main.knesset.gov.il/APPS/legislation/main/bills/2234225", "הצעת חוק החלת תקצוב מגדרי על תקציבים ציבוריים בישראל, התשפ""ה-2025")</f>
        <v>2705</v>
      </c>
      <c r="E1235" t="s">
        <v>2705</v>
      </c>
      <c r="F1235" t="s">
        <v>2706</v>
      </c>
      <c r="G1235" t="s">
        <v>14</v>
      </c>
      <c r="H1235">
             </c>
      <c r="I1235" t="s">
        <v>14</v>
      </c>
      <c r="J1235" t="s">
        <v>242</v>
      </c>
      <c r="K1235" t="s">
        <v>14</v>
      </c>
      <c r="L1235" t="s">
        <v>20</v>
      </c>
      <c r="M1235" t="s">
        <v>2555</v>
      </c>
      <c r="N1235" t="s">
        <v>14</v>
      </c>
    </row>
    <row r="1236" x14ac:dyDescent="0.25">
      <c r="A1236" t="n">
        <v>25</v>
      </c>
      <c r="B1236" t="s">
        <v>14</v>
      </c>
      <c r="C1236" t="s">
        <v>51</v>
      </c>
      <c r="D1236" s="2" t="s">
        <f>=HYPERLINK("https://main.knesset.gov.il/APPS/legislation/main/bills/2234230", "הצעת חוק-יסוד: הממשלה (תיקון - חובת מינוי ממלא מקום ראש הממשלה)")</f>
        <v>2707</v>
      </c>
      <c r="E1236" t="s">
        <v>2707</v>
      </c>
      <c r="F1236" t="s">
        <v>2708</v>
      </c>
      <c r="G1236" t="s">
        <v>14</v>
      </c>
      <c r="H1236">
             </c>
      <c r="I1236" t="s">
        <v>14</v>
      </c>
      <c r="J1236" t="s">
        <v>242</v>
      </c>
      <c r="K1236" t="s">
        <v>14</v>
      </c>
      <c r="L1236" t="s">
        <v>20</v>
      </c>
      <c r="M1236" t="s">
        <v>2555</v>
      </c>
      <c r="N1236" t="s">
        <v>14</v>
      </c>
    </row>
    <row r="1237" x14ac:dyDescent="0.25">
      <c r="A1237" t="n">
        <v>25</v>
      </c>
      <c r="B1237" t="s">
        <v>14</v>
      </c>
      <c r="C1237" t="s">
        <v>51</v>
      </c>
      <c r="D1237" s="2" t="s">
        <f>=HYPERLINK("https://main.knesset.gov.il/APPS/legislation/main/bills/2234081", "הצעת חוק-יסוד: הממשלה (תיקון - חובת מינוי ממלא מקום ראש הממשלה)")</f>
        <v>2707</v>
      </c>
      <c r="E1237" t="s">
        <v>2707</v>
      </c>
      <c r="F1237" t="s">
        <v>2709</v>
      </c>
      <c r="G1237" t="s">
        <v>14</v>
      </c>
      <c r="H1237">
             </c>
      <c r="I1237" t="s">
        <v>14</v>
      </c>
      <c r="J1237" t="s">
        <v>242</v>
      </c>
      <c r="K1237" t="s">
        <v>14</v>
      </c>
      <c r="L1237" t="s">
        <v>20</v>
      </c>
      <c r="M1237" t="s">
        <v>2555</v>
      </c>
      <c r="N1237" t="s">
        <v>14</v>
      </c>
    </row>
    <row r="1238" x14ac:dyDescent="0.25">
      <c r="A1238" t="n">
        <v>25</v>
      </c>
      <c r="B1238" t="s">
        <v>14</v>
      </c>
      <c r="C1238" t="s">
        <v>51</v>
      </c>
      <c r="D1238" s="2" t="s">
        <f>=HYPERLINK("https://main.knesset.gov.il/APPS/legislation/main/bills/2234201", "הצעת חוק-יסוד: הכנסת (תיקון - ביטול הפסקת חברות של חבר הכנסת)")</f>
        <v>2475</v>
      </c>
      <c r="E1238" t="s">
        <v>2475</v>
      </c>
      <c r="F1238" t="s">
        <v>2710</v>
      </c>
      <c r="G1238" t="s">
        <v>14</v>
      </c>
      <c r="H1238">
             </c>
      <c r="I1238" t="s">
        <v>14</v>
      </c>
      <c r="J1238" t="s">
        <v>242</v>
      </c>
      <c r="K1238" t="s">
        <v>14</v>
      </c>
      <c r="L1238" t="s">
        <v>20</v>
      </c>
      <c r="M1238" t="s">
        <v>2555</v>
      </c>
      <c r="N1238" t="s">
        <v>14</v>
      </c>
    </row>
    <row r="1239" x14ac:dyDescent="0.25">
      <c r="A1239" t="n">
        <v>25</v>
      </c>
      <c r="B1239" t="s">
        <v>14</v>
      </c>
      <c r="C1239" t="s">
        <v>51</v>
      </c>
      <c r="D1239" s="2" t="s">
        <f>=HYPERLINK("https://main.knesset.gov.il/APPS/legislation/main/bills/2233718", "הצעת חוק-יסוד: הכנסת (תיקון - ביטול הפסקת חברות של חבר הכנסת)")</f>
        <v>2475</v>
      </c>
      <c r="E1239" t="s">
        <v>2475</v>
      </c>
      <c r="F1239" t="s">
        <v>2711</v>
      </c>
      <c r="G1239" t="s">
        <v>14</v>
      </c>
      <c r="H1239">
             </c>
      <c r="I1239" t="s">
        <v>14</v>
      </c>
      <c r="J1239" t="s">
        <v>242</v>
      </c>
      <c r="K1239" t="s">
        <v>14</v>
      </c>
      <c r="L1239" t="s">
        <v>20</v>
      </c>
      <c r="M1239" t="s">
        <v>2555</v>
      </c>
      <c r="N1239" t="s">
        <v>14</v>
      </c>
    </row>
    <row r="1240" x14ac:dyDescent="0.25">
      <c r="A1240" t="n">
        <v>25</v>
      </c>
      <c r="B1240" t="s">
        <v>14</v>
      </c>
      <c r="C1240" t="s">
        <v>51</v>
      </c>
      <c r="D1240" s="2" t="s">
        <f>=HYPERLINK("https://main.knesset.gov.il/APPS/legislation/main/bills/2233687", "הצעת חוק-יסוד: הכנסת (תיקון - ביטול הפסקת חברות של חבר הכנסת)")</f>
        <v>2475</v>
      </c>
      <c r="E1240" t="s">
        <v>2475</v>
      </c>
      <c r="F1240" t="s">
        <v>2712</v>
      </c>
      <c r="G1240" t="s">
        <v>14</v>
      </c>
      <c r="H1240">
             </c>
      <c r="I1240" t="s">
        <v>14</v>
      </c>
      <c r="J1240" t="s">
        <v>242</v>
      </c>
      <c r="K1240" t="s">
        <v>14</v>
      </c>
      <c r="L1240" t="s">
        <v>20</v>
      </c>
      <c r="M1240" t="s">
        <v>2555</v>
      </c>
      <c r="N1240" t="s">
        <v>14</v>
      </c>
    </row>
    <row r="1241" x14ac:dyDescent="0.25">
      <c r="A1241" t="n">
        <v>25</v>
      </c>
      <c r="B1241" t="s">
        <v>14</v>
      </c>
      <c r="C1241" t="s">
        <v>51</v>
      </c>
      <c r="D1241" s="2" t="s">
        <f>=HYPERLINK("https://main.knesset.gov.il/APPS/legislation/main/bills/2233598", "הצעת חוק המתווכים במקרקעין (תיקון - הטלת דמי תיווך על שוכר), התשפ""ה-2025")</f>
        <v>2713</v>
      </c>
      <c r="E1241" t="s">
        <v>2713</v>
      </c>
      <c r="F1241" t="s">
        <v>2714</v>
      </c>
      <c r="G1241" t="s">
        <v>14</v>
      </c>
      <c r="H1241">
             </c>
      <c r="I1241" t="s">
        <v>14</v>
      </c>
      <c r="J1241" t="s">
        <v>242</v>
      </c>
      <c r="K1241" t="s">
        <v>14</v>
      </c>
      <c r="L1241" t="s">
        <v>20</v>
      </c>
      <c r="M1241" t="s">
        <v>2555</v>
      </c>
      <c r="N1241" t="s">
        <v>14</v>
      </c>
    </row>
    <row r="1242" x14ac:dyDescent="0.25">
      <c r="A1242" t="n">
        <v>25</v>
      </c>
      <c r="B1242" t="s">
        <v>14</v>
      </c>
      <c r="C1242" t="s">
        <v>51</v>
      </c>
      <c r="D1242" s="2" t="s">
        <f>=HYPERLINK("https://main.knesset.gov.il/APPS/legislation/main/bills/2234036", "הצעת חוק לתיקון סדרי המינהל (החלטות והנמקות) (תיקון - קיצור זמן המענה בפניות ציבור), התשפ""ה-2025")</f>
        <v>2715</v>
      </c>
      <c r="E1242" t="s">
        <v>2715</v>
      </c>
      <c r="F1242" t="s">
        <v>2716</v>
      </c>
      <c r="G1242" t="s">
        <v>14</v>
      </c>
      <c r="H1242">
             </c>
      <c r="I1242" t="s">
        <v>14</v>
      </c>
      <c r="J1242" t="s">
        <v>242</v>
      </c>
      <c r="K1242" t="s">
        <v>14</v>
      </c>
      <c r="L1242" t="s">
        <v>20</v>
      </c>
      <c r="M1242" t="s">
        <v>2555</v>
      </c>
      <c r="N1242" t="s">
        <v>14</v>
      </c>
    </row>
    <row r="1243" x14ac:dyDescent="0.25">
      <c r="A1243" t="n">
        <v>25</v>
      </c>
      <c r="B1243" t="s">
        <v>14</v>
      </c>
      <c r="C1243" t="s">
        <v>51</v>
      </c>
      <c r="D1243" s="2" t="s">
        <f>=HYPERLINK("https://main.knesset.gov.il/APPS/legislation/main/bills/2231845", "הצעת חוק הפיקוח על שירותים פיננסיים (ביטוח) (תיקון - קביעת הוראות האוסרות על הגבלת שימוש במוסכים), התשפ""ה-2025")</f>
        <v>2717</v>
      </c>
      <c r="E1243" t="s">
        <v>2717</v>
      </c>
      <c r="F1243" t="s">
        <v>2718</v>
      </c>
      <c r="G1243" t="s">
        <v>14</v>
      </c>
      <c r="H1243">
             </c>
      <c r="I1243" t="s">
        <v>14</v>
      </c>
      <c r="J1243" t="s">
        <v>242</v>
      </c>
      <c r="K1243" t="s">
        <v>14</v>
      </c>
      <c r="L1243" t="s">
        <v>20</v>
      </c>
      <c r="M1243" t="s">
        <v>2555</v>
      </c>
      <c r="N1243" t="s">
        <v>14</v>
      </c>
    </row>
    <row r="1244" x14ac:dyDescent="0.25">
      <c r="A1244" t="n">
        <v>25</v>
      </c>
      <c r="B1244" t="s">
        <v>14</v>
      </c>
      <c r="C1244" t="s">
        <v>51</v>
      </c>
      <c r="D1244" s="2" t="s">
        <f>=HYPERLINK("https://main.knesset.gov.il/APPS/legislation/main/bills/2232348", "הצעת חוק חקירה והעמדה לדין של פשעי מלחמה, פשעים נגד האנושות והשמדת עם, התשפ""ה-2025")</f>
        <v>2719</v>
      </c>
      <c r="E1244" t="s">
        <v>2719</v>
      </c>
      <c r="F1244" t="s">
        <v>2720</v>
      </c>
      <c r="G1244" t="s">
        <v>14</v>
      </c>
      <c r="H1244">
             </c>
      <c r="I1244" t="s">
        <v>14</v>
      </c>
      <c r="J1244" t="s">
        <v>242</v>
      </c>
      <c r="K1244" t="s">
        <v>14</v>
      </c>
      <c r="L1244" t="s">
        <v>20</v>
      </c>
      <c r="M1244" t="s">
        <v>2555</v>
      </c>
      <c r="N1244" t="s">
        <v>14</v>
      </c>
    </row>
    <row r="1245" x14ac:dyDescent="0.25">
      <c r="A1245" t="n">
        <v>25</v>
      </c>
      <c r="B1245" t="s">
        <v>14</v>
      </c>
      <c r="C1245" t="s">
        <v>51</v>
      </c>
      <c r="D1245" s="2" t="s">
        <f>=HYPERLINK("https://main.knesset.gov.il/APPS/legislation/main/bills/2233642", "הצעת חוק סיוע למשפחות נעדרים, התשפ""ה-2025")</f>
        <v>2721</v>
      </c>
      <c r="E1245" t="s">
        <v>2721</v>
      </c>
      <c r="F1245" t="s">
        <v>2722</v>
      </c>
      <c r="G1245" t="s">
        <v>14</v>
      </c>
      <c r="H1245">
             </c>
      <c r="I1245" t="s">
        <v>14</v>
      </c>
      <c r="J1245" t="s">
        <v>242</v>
      </c>
      <c r="K1245" t="s">
        <v>14</v>
      </c>
      <c r="L1245" t="s">
        <v>20</v>
      </c>
      <c r="M1245" t="s">
        <v>2555</v>
      </c>
      <c r="N1245" t="s">
        <v>14</v>
      </c>
    </row>
    <row r="1246" x14ac:dyDescent="0.25">
      <c r="A1246" t="n">
        <v>25</v>
      </c>
      <c r="B1246" t="s">
        <v>14</v>
      </c>
      <c r="C1246" t="s">
        <v>51</v>
      </c>
      <c r="D1246" s="2" t="s">
        <f>=HYPERLINK("https://main.knesset.gov.il/APPS/legislation/main/bills/2234133", "הצעת חוק סימון מנות בריאות במסעדות, התשפ""ה-2025")</f>
        <v>2723</v>
      </c>
      <c r="E1246" t="s">
        <v>2723</v>
      </c>
      <c r="F1246" t="s">
        <v>2724</v>
      </c>
      <c r="G1246" t="s">
        <v>14</v>
      </c>
      <c r="H1246">
             </c>
      <c r="I1246" t="s">
        <v>14</v>
      </c>
      <c r="J1246" t="s">
        <v>242</v>
      </c>
      <c r="K1246" t="s">
        <v>14</v>
      </c>
      <c r="L1246" t="s">
        <v>20</v>
      </c>
      <c r="M1246" t="s">
        <v>2555</v>
      </c>
      <c r="N1246" t="s">
        <v>14</v>
      </c>
    </row>
    <row r="1247" x14ac:dyDescent="0.25">
      <c r="A1247" t="n">
        <v>25</v>
      </c>
      <c r="B1247" t="s">
        <v>14</v>
      </c>
      <c r="C1247" t="s">
        <v>51</v>
      </c>
      <c r="D1247" s="2" t="s">
        <f>=HYPERLINK("https://main.knesset.gov.il/APPS/legislation/main/bills/2234080", "הצעת חוק הרשויות המקומיות (הקרן להרחבת ההשקעה בתושב ולהגדלת היצע הדיור) (תיקון - החרגת הכנסות מארנונה בגין תקופות שקדמו לשנת 2023), התשפ""ה-2025")</f>
        <v>2725</v>
      </c>
      <c r="E1247" t="s">
        <v>2725</v>
      </c>
      <c r="F1247" t="s">
        <v>2726</v>
      </c>
      <c r="G1247" t="s">
        <v>14</v>
      </c>
      <c r="H1247">
             </c>
      <c r="I1247" t="s">
        <v>14</v>
      </c>
      <c r="J1247" t="s">
        <v>242</v>
      </c>
      <c r="K1247" t="s">
        <v>14</v>
      </c>
      <c r="L1247" t="s">
        <v>20</v>
      </c>
      <c r="M1247" t="s">
        <v>2555</v>
      </c>
      <c r="N1247" t="s">
        <v>14</v>
      </c>
    </row>
    <row r="1248" x14ac:dyDescent="0.25">
      <c r="A1248" t="n">
        <v>25</v>
      </c>
      <c r="B1248" t="s">
        <v>14</v>
      </c>
      <c r="C1248" t="s">
        <v>51</v>
      </c>
      <c r="D1248" s="2" t="s">
        <f>=HYPERLINK("https://main.knesset.gov.il/APPS/legislation/main/bills/2232963", "הצעת חוק עובדים זרים (תיקון - שימוש בכספי פיקדון למטרת גביית פיצוי נזיקי ולשיקום תשתיות), התשפ""ה-2025")</f>
        <v>2727</v>
      </c>
      <c r="E1248" t="s">
        <v>2727</v>
      </c>
      <c r="F1248" t="s">
        <v>2728</v>
      </c>
      <c r="G1248" t="s">
        <v>14</v>
      </c>
      <c r="H1248">
             </c>
      <c r="I1248" t="s">
        <v>14</v>
      </c>
      <c r="J1248" t="s">
        <v>242</v>
      </c>
      <c r="K1248" t="s">
        <v>14</v>
      </c>
      <c r="L1248" t="s">
        <v>20</v>
      </c>
      <c r="M1248" t="s">
        <v>2555</v>
      </c>
      <c r="N1248" t="s">
        <v>14</v>
      </c>
    </row>
    <row r="1249" x14ac:dyDescent="0.25">
      <c r="A1249" t="n">
        <v>25</v>
      </c>
      <c r="B1249" t="s">
        <v>14</v>
      </c>
      <c r="C1249" t="s">
        <v>51</v>
      </c>
      <c r="D1249" s="2" t="s">
        <f>=HYPERLINK("https://main.knesset.gov.il/APPS/legislation/main/bills/2232801", "הצעת חוק העונשין (תיקון - הורדת גיל האחריות הפלילית לילדי מסתננים לעשר שנים), התשפ""ה-2025")</f>
        <v>2729</v>
      </c>
      <c r="E1249" t="s">
        <v>2729</v>
      </c>
      <c r="F1249" t="s">
        <v>2730</v>
      </c>
      <c r="G1249" t="s">
        <v>14</v>
      </c>
      <c r="H1249">
             </c>
      <c r="I1249" t="s">
        <v>14</v>
      </c>
      <c r="J1249" t="s">
        <v>242</v>
      </c>
      <c r="K1249" t="s">
        <v>14</v>
      </c>
      <c r="L1249" t="s">
        <v>20</v>
      </c>
      <c r="M1249" t="s">
        <v>2555</v>
      </c>
      <c r="N1249" t="s">
        <v>14</v>
      </c>
    </row>
    <row r="1250" x14ac:dyDescent="0.25">
      <c r="A1250" t="n">
        <v>25</v>
      </c>
      <c r="B1250" t="s">
        <v>14</v>
      </c>
      <c r="C1250" t="s">
        <v>51</v>
      </c>
      <c r="D1250" s="2" t="s">
        <f>=HYPERLINK("https://main.knesset.gov.il/APPS/legislation/main/bills/2232810", "הצעת חוק הגנת הצרכן (תיקון - החמרת האכיפה והענישה על אי-הצגת מחיר על טובין על ידי קמעונאי גדול), התשפ""ה-2025")</f>
        <v>2731</v>
      </c>
      <c r="E1250" t="s">
        <v>2731</v>
      </c>
      <c r="F1250" t="s">
        <v>2732</v>
      </c>
      <c r="G1250" t="s">
        <v>14</v>
      </c>
      <c r="H1250">
             </c>
      <c r="I1250" t="s">
        <v>14</v>
      </c>
      <c r="J1250" t="s">
        <v>242</v>
      </c>
      <c r="K1250" t="s">
        <v>14</v>
      </c>
      <c r="L1250" t="s">
        <v>20</v>
      </c>
      <c r="M1250" t="s">
        <v>2555</v>
      </c>
      <c r="N1250" t="s">
        <v>14</v>
      </c>
    </row>
    <row r="1251" x14ac:dyDescent="0.25">
      <c r="A1251" t="n">
        <v>25</v>
      </c>
      <c r="B1251" t="s">
        <v>14</v>
      </c>
      <c r="C1251" t="s">
        <v>51</v>
      </c>
      <c r="D1251" s="2" t="s">
        <f>=HYPERLINK("https://main.knesset.gov.il/APPS/legislation/main/bills/2233512", "הצעת חוק-יסוד: הממשלה (תיקון - איסור חקירה פלילית והגשת כתב אישום נגד ראש הממשלה במהלך תקופת כהונתו)")</f>
        <v>2733</v>
      </c>
      <c r="E1251" t="s">
        <v>2733</v>
      </c>
      <c r="F1251" t="s">
        <v>2734</v>
      </c>
      <c r="G1251" t="s">
        <v>14</v>
      </c>
      <c r="H1251">
             </c>
      <c r="I1251" t="s">
        <v>14</v>
      </c>
      <c r="J1251" t="s">
        <v>242</v>
      </c>
      <c r="K1251" t="s">
        <v>14</v>
      </c>
      <c r="L1251" t="s">
        <v>20</v>
      </c>
      <c r="M1251" t="s">
        <v>2555</v>
      </c>
      <c r="N1251" t="s">
        <v>14</v>
      </c>
    </row>
    <row r="1252" x14ac:dyDescent="0.25">
      <c r="A1252" t="n">
        <v>25</v>
      </c>
      <c r="B1252" t="s">
        <v>14</v>
      </c>
      <c r="C1252" t="s">
        <v>51</v>
      </c>
      <c r="D1252" s="2" t="s">
        <f>=HYPERLINK("https://main.knesset.gov.il/APPS/legislation/main/bills/2234028", "הצעת חוק הפרות מינהליות, התשפ""ה-2025")</f>
        <v>2735</v>
      </c>
      <c r="E1252" t="s">
        <v>2735</v>
      </c>
      <c r="F1252" t="s">
        <v>2736</v>
      </c>
      <c r="G1252" t="s">
        <v>14</v>
      </c>
      <c r="H1252">
             </c>
      <c r="I1252" t="s">
        <v>14</v>
      </c>
      <c r="J1252" t="s">
        <v>242</v>
      </c>
      <c r="K1252" t="s">
        <v>14</v>
      </c>
      <c r="L1252" t="s">
        <v>20</v>
      </c>
      <c r="M1252" t="s">
        <v>2555</v>
      </c>
      <c r="N1252" t="s">
        <v>14</v>
      </c>
    </row>
    <row r="1253" x14ac:dyDescent="0.25">
      <c r="A1253" t="n">
        <v>25</v>
      </c>
      <c r="B1253" t="s">
        <v>14</v>
      </c>
      <c r="C1253" t="s">
        <v>51</v>
      </c>
      <c r="D1253" s="2" t="s">
        <f>=HYPERLINK("https://main.knesset.gov.il/APPS/legislation/main/bills/2233635", "הצעת חוק התפזרות הכנסת העשרים וחמש, התשפ""ה-2025")</f>
        <v>542</v>
      </c>
      <c r="E1253" t="s">
        <v>542</v>
      </c>
      <c r="F1253" t="s">
        <v>2737</v>
      </c>
      <c r="G1253" t="s">
        <v>14</v>
      </c>
      <c r="H1253">
             </c>
      <c r="I1253" t="s">
        <v>14</v>
      </c>
      <c r="J1253" t="s">
        <v>242</v>
      </c>
      <c r="K1253" t="s">
        <v>14</v>
      </c>
      <c r="L1253" t="s">
        <v>20</v>
      </c>
      <c r="M1253" t="s">
        <v>2555</v>
      </c>
      <c r="N1253" t="s">
        <v>14</v>
      </c>
    </row>
    <row r="1254" x14ac:dyDescent="0.25">
      <c r="A1254" t="n">
        <v>25</v>
      </c>
      <c r="B1254" t="s">
        <v>14</v>
      </c>
      <c r="C1254" t="s">
        <v>51</v>
      </c>
      <c r="D1254" s="2" t="s">
        <f>=HYPERLINK("https://main.knesset.gov.il/APPS/legislation/main/bills/2233670", "הצעת חוק משק החשמל (תיקון - איסור ניתוק חשמל), התשפ""ה-2025")</f>
        <v>2738</v>
      </c>
      <c r="E1254" t="s">
        <v>2738</v>
      </c>
      <c r="F1254" t="s">
        <v>2739</v>
      </c>
      <c r="G1254" t="s">
        <v>14</v>
      </c>
      <c r="H1254">
             </c>
      <c r="I1254" t="s">
        <v>14</v>
      </c>
      <c r="J1254" t="s">
        <v>242</v>
      </c>
      <c r="K1254" t="s">
        <v>14</v>
      </c>
      <c r="L1254" t="s">
        <v>20</v>
      </c>
      <c r="M1254" t="s">
        <v>2555</v>
      </c>
      <c r="N1254" t="s">
        <v>14</v>
      </c>
    </row>
    <row r="1255" x14ac:dyDescent="0.25">
      <c r="A1255" t="n">
        <v>25</v>
      </c>
      <c r="B1255" t="s">
        <v>14</v>
      </c>
      <c r="C1255" t="s">
        <v>51</v>
      </c>
      <c r="D1255" s="2" t="s">
        <f>=HYPERLINK("https://main.knesset.gov.il/APPS/legislation/main/bills/2233168", "הצעת חוק שירות מידע פיננסי (תיקון - הסדרת מתן שירותים על ידי עמותה), התשפ""ה-2025")</f>
        <v>2740</v>
      </c>
      <c r="E1255" t="s">
        <v>2740</v>
      </c>
      <c r="F1255" t="s">
        <v>2741</v>
      </c>
      <c r="G1255" t="s">
        <v>14</v>
      </c>
      <c r="H1255">
             </c>
      <c r="I1255" t="s">
        <v>14</v>
      </c>
      <c r="J1255" t="s">
        <v>242</v>
      </c>
      <c r="K1255" t="s">
        <v>14</v>
      </c>
      <c r="L1255" t="s">
        <v>20</v>
      </c>
      <c r="M1255" t="s">
        <v>2555</v>
      </c>
      <c r="N1255" t="s">
        <v>14</v>
      </c>
    </row>
    <row r="1256" x14ac:dyDescent="0.25">
      <c r="A1256" t="n">
        <v>25</v>
      </c>
      <c r="B1256" t="s">
        <v>14</v>
      </c>
      <c r="C1256" t="s">
        <v>51</v>
      </c>
      <c r="D1256" s="2" t="s">
        <f>=HYPERLINK("https://main.knesset.gov.il/APPS/legislation/main/bills/2229644", "הצעת חוק סדר הדין הפלילי (תיקון - שינוי פרק זמן ההתיישנות של עבירת המרדה), התשפ""ה-2025")</f>
        <v>2742</v>
      </c>
      <c r="E1256" t="s">
        <v>2742</v>
      </c>
      <c r="F1256" t="s">
        <v>2743</v>
      </c>
      <c r="G1256" t="s">
        <v>14</v>
      </c>
      <c r="H1256">
             </c>
      <c r="I1256" t="s">
        <v>14</v>
      </c>
      <c r="J1256" t="s">
        <v>242</v>
      </c>
      <c r="K1256" t="s">
        <v>14</v>
      </c>
      <c r="L1256" t="s">
        <v>20</v>
      </c>
      <c r="M1256" t="s">
        <v>2555</v>
      </c>
      <c r="N1256" t="s">
        <v>14</v>
      </c>
    </row>
    <row r="1257" x14ac:dyDescent="0.25">
      <c r="A1257" t="n">
        <v>25</v>
      </c>
      <c r="B1257" t="s">
        <v>14</v>
      </c>
      <c r="C1257" t="s">
        <v>51</v>
      </c>
      <c r="D1257" s="2" t="s">
        <f>=HYPERLINK("https://main.knesset.gov.il/APPS/legislation/main/bills/2234079", "הצעת חוק-יסוד: הממשלה (תיקון - הגבלת מועמד המצוי בחקירה מהרכבת הממשלה)")</f>
        <v>2744</v>
      </c>
      <c r="E1257" t="s">
        <v>2744</v>
      </c>
      <c r="F1257" t="s">
        <v>2745</v>
      </c>
      <c r="G1257" t="s">
        <v>14</v>
      </c>
      <c r="H1257">
             </c>
      <c r="I1257" t="s">
        <v>14</v>
      </c>
      <c r="J1257" t="s">
        <v>242</v>
      </c>
      <c r="K1257" t="s">
        <v>14</v>
      </c>
      <c r="L1257" t="s">
        <v>20</v>
      </c>
      <c r="M1257" t="s">
        <v>2555</v>
      </c>
      <c r="N1257" t="s">
        <v>14</v>
      </c>
    </row>
    <row r="1258" x14ac:dyDescent="0.25">
      <c r="A1258" t="n">
        <v>25</v>
      </c>
      <c r="B1258" t="s">
        <v>14</v>
      </c>
      <c r="C1258" t="s">
        <v>51</v>
      </c>
      <c r="D1258" s="2" t="s">
        <f>=HYPERLINK("https://main.knesset.gov.il/APPS/legislation/main/bills/2234192", "הצעת חוק השיפוט הצבאי (תיקון - כשירות הפרקליט הצבאי הראשי וסגנו), התשפ""ה-2025")</f>
        <v>2746</v>
      </c>
      <c r="E1258" t="s">
        <v>2746</v>
      </c>
      <c r="F1258" t="s">
        <v>2747</v>
      </c>
      <c r="G1258" t="s">
        <v>14</v>
      </c>
      <c r="H1258">
             </c>
      <c r="I1258" t="s">
        <v>14</v>
      </c>
      <c r="J1258" t="s">
        <v>242</v>
      </c>
      <c r="K1258" t="s">
        <v>14</v>
      </c>
      <c r="L1258" t="s">
        <v>20</v>
      </c>
      <c r="M1258" t="s">
        <v>2555</v>
      </c>
      <c r="N1258" t="s">
        <v>14</v>
      </c>
    </row>
    <row r="1259" x14ac:dyDescent="0.25">
      <c r="A1259" t="n">
        <v>25</v>
      </c>
      <c r="B1259" t="s">
        <v>14</v>
      </c>
      <c r="C1259" t="s">
        <v>51</v>
      </c>
      <c r="D1259" s="2" t="s">
        <f>=HYPERLINK("https://main.knesset.gov.il/APPS/legislation/main/bills/2234070", "הצעת חוק פנייה לגופים ציבוריים באמצעי קשר דיגיטליים (תיקון - קביעת תור באמצעות האינטרנט), התשפ""ה-2025")</f>
        <v>2748</v>
      </c>
      <c r="E1259" t="s">
        <v>2748</v>
      </c>
      <c r="F1259" t="s">
        <v>2749</v>
      </c>
      <c r="G1259" t="s">
        <v>14</v>
      </c>
      <c r="H1259">
             </c>
      <c r="I1259" t="s">
        <v>14</v>
      </c>
      <c r="J1259" t="s">
        <v>242</v>
      </c>
      <c r="K1259" t="s">
        <v>14</v>
      </c>
      <c r="L1259" t="s">
        <v>20</v>
      </c>
      <c r="M1259" t="s">
        <v>2555</v>
      </c>
      <c r="N1259" t="s">
        <v>14</v>
      </c>
    </row>
    <row r="1260" x14ac:dyDescent="0.25">
      <c r="A1260" t="n">
        <v>25</v>
      </c>
      <c r="B1260" t="s">
        <v>14</v>
      </c>
      <c r="C1260" t="s">
        <v>51</v>
      </c>
      <c r="D1260" s="2" t="s">
        <f>=HYPERLINK("https://main.knesset.gov.il/APPS/legislation/main/bills/2233027", "הצעת חוק רישוי עסקים (תיקון - רישיון עסק בחבל תקומה) (הוראת שעה), התשפ""ה-2025")</f>
        <v>2750</v>
      </c>
      <c r="E1260" t="s">
        <v>2750</v>
      </c>
      <c r="F1260" t="s">
        <v>2751</v>
      </c>
      <c r="G1260" t="s">
        <v>14</v>
      </c>
      <c r="H1260">
             </c>
      <c r="I1260" t="s">
        <v>14</v>
      </c>
      <c r="J1260" t="s">
        <v>242</v>
      </c>
      <c r="K1260" t="s">
        <v>14</v>
      </c>
      <c r="L1260" t="s">
        <v>20</v>
      </c>
      <c r="M1260" t="s">
        <v>2555</v>
      </c>
      <c r="N1260" t="s">
        <v>14</v>
      </c>
    </row>
    <row r="1261" x14ac:dyDescent="0.25">
      <c r="A1261" t="n">
        <v>25</v>
      </c>
      <c r="B1261" t="s">
        <v>14</v>
      </c>
      <c r="C1261" t="s">
        <v>51</v>
      </c>
      <c r="D1261" s="2" t="s">
        <f>=HYPERLINK("https://main.knesset.gov.il/APPS/legislation/main/bills/2234218", "הצעת חוק האפוטרופוס הכללי (תיקון - ניהול נכסי מקרקעין), התשפ""ה-2025 ")</f>
        <v>2752</v>
      </c>
      <c r="E1261" t="s">
        <v>2752</v>
      </c>
      <c r="F1261" t="s">
        <v>2753</v>
      </c>
      <c r="G1261" t="s">
        <v>14</v>
      </c>
      <c r="H1261">
             </c>
      <c r="I1261" t="s">
        <v>14</v>
      </c>
      <c r="J1261" t="s">
        <v>242</v>
      </c>
      <c r="K1261" t="s">
        <v>14</v>
      </c>
      <c r="L1261" t="s">
        <v>20</v>
      </c>
      <c r="M1261" t="s">
        <v>2555</v>
      </c>
      <c r="N1261" t="s">
        <v>14</v>
      </c>
    </row>
    <row r="1262" x14ac:dyDescent="0.25">
      <c r="A1262" t="n">
        <v>25</v>
      </c>
      <c r="B1262" t="s">
        <v>14</v>
      </c>
      <c r="C1262" t="s">
        <v>51</v>
      </c>
      <c r="D1262" s="2" t="s">
        <f>=HYPERLINK("https://main.knesset.gov.il/APPS/legislation/main/bills/2234323", "הצעת חוק העונשין (תיקון - עבירת ביזה), התשפ""ה-2025")</f>
        <v>2754</v>
      </c>
      <c r="E1262" t="s">
        <v>2754</v>
      </c>
      <c r="F1262" t="s">
        <v>2755</v>
      </c>
      <c r="G1262" t="s">
        <v>14</v>
      </c>
      <c r="H1262">
             </c>
      <c r="I1262" t="s">
        <v>14</v>
      </c>
      <c r="J1262" t="s">
        <v>242</v>
      </c>
      <c r="K1262" t="s">
        <v>14</v>
      </c>
      <c r="L1262" t="s">
        <v>20</v>
      </c>
      <c r="M1262" t="s">
        <v>2555</v>
      </c>
      <c r="N1262" t="s">
        <v>14</v>
      </c>
    </row>
    <row r="1263" x14ac:dyDescent="0.25">
      <c r="A1263" t="n">
        <v>25</v>
      </c>
      <c r="B1263" t="s">
        <v>14</v>
      </c>
      <c r="C1263" t="s">
        <v>51</v>
      </c>
      <c r="D1263" s="2" t="s">
        <f>=HYPERLINK("https://main.knesset.gov.il/APPS/legislation/main/bills/2234228", "הצעת חוק-יסוד: הממשלה (תיקון - הגבלת כהונת ראש הממשלה לשתי תקופות כהונה רצופות), התשפ""ה-2025")</f>
        <v>2756</v>
      </c>
      <c r="E1263" t="s">
        <v>2756</v>
      </c>
      <c r="F1263" t="s">
        <v>2757</v>
      </c>
      <c r="G1263" t="s">
        <v>14</v>
      </c>
      <c r="H1263">
             </c>
      <c r="I1263" t="s">
        <v>14</v>
      </c>
      <c r="J1263" t="s">
        <v>202</v>
      </c>
      <c r="K1263" t="s">
        <v>14</v>
      </c>
      <c r="L1263" t="s">
        <v>20</v>
      </c>
      <c r="M1263" t="s">
        <v>2555</v>
      </c>
      <c r="N1263" t="s">
        <v>14</v>
      </c>
    </row>
    <row r="1264" x14ac:dyDescent="0.25">
      <c r="A1264" t="n">
        <v>25</v>
      </c>
      <c r="B1264" t="s">
        <v>14</v>
      </c>
      <c r="C1264" t="s">
        <v>51</v>
      </c>
      <c r="D1264" s="2" t="s">
        <f>=HYPERLINK("https://main.knesset.gov.il/APPS/legislation/main/bills/2234184", "הצעת חוק הליכי חקירה והעדה (התאמה לאנשים עם מוגבלות שכלית או נפשית) (תיקון - חקירה והעדה מותאמת למתמודדי נפש), התשפ""ה-2025")</f>
        <v>1953</v>
      </c>
      <c r="E1264" t="s">
        <v>1953</v>
      </c>
      <c r="F1264" t="s">
        <v>2758</v>
      </c>
      <c r="G1264" t="s">
        <v>14</v>
      </c>
      <c r="H1264">
             </c>
      <c r="I1264" t="s">
        <v>14</v>
      </c>
      <c r="J1264" t="s">
        <v>242</v>
      </c>
      <c r="K1264" t="s">
        <v>14</v>
      </c>
      <c r="L1264" t="s">
        <v>20</v>
      </c>
      <c r="M1264" t="s">
        <v>2555</v>
      </c>
      <c r="N1264" t="s">
        <v>14</v>
      </c>
    </row>
    <row r="1265" x14ac:dyDescent="0.25">
      <c r="A1265" t="n">
        <v>25</v>
      </c>
      <c r="B1265" t="s">
        <v>14</v>
      </c>
      <c r="C1265" t="s">
        <v>51</v>
      </c>
      <c r="D1265" s="2" t="s">
        <f>=HYPERLINK("https://main.knesset.gov.il/APPS/legislation/main/bills/2234439", "הצעת חוק הבנקאות (שירות ללקוח) (תיקון - מסירת מידע על עמלות וריביות בשל פירעון מוקדם של הלוואה), התשפ""ה-2025")</f>
        <v>2759</v>
      </c>
      <c r="E1265" t="s">
        <v>2759</v>
      </c>
      <c r="F1265" t="s">
        <v>2760</v>
      </c>
      <c r="G1265" t="s">
        <v>14</v>
      </c>
      <c r="H1265">
             </c>
      <c r="I1265" t="s">
        <v>14</v>
      </c>
      <c r="J1265" t="s">
        <v>242</v>
      </c>
      <c r="K1265" t="s">
        <v>14</v>
      </c>
      <c r="L1265" t="s">
        <v>20</v>
      </c>
      <c r="M1265" t="s">
        <v>2555</v>
      </c>
      <c r="N1265" t="s">
        <v>14</v>
      </c>
    </row>
    <row r="1266" x14ac:dyDescent="0.25">
      <c r="A1266" t="n">
        <v>25</v>
      </c>
      <c r="B1266" t="s">
        <v>14</v>
      </c>
      <c r="C1266" t="s">
        <v>51</v>
      </c>
      <c r="D1266" s="2" t="s">
        <f>=HYPERLINK("https://main.knesset.gov.il/APPS/legislation/main/bills/2234075", "הצעת חוק תרומת זרע, התשפ""ה-2025")</f>
        <v>2761</v>
      </c>
      <c r="E1266" t="s">
        <v>2761</v>
      </c>
      <c r="F1266" t="s">
        <v>2762</v>
      </c>
      <c r="G1266" t="s">
        <v>14</v>
      </c>
      <c r="H1266">
             </c>
      <c r="I1266" t="s">
        <v>14</v>
      </c>
      <c r="J1266" t="s">
        <v>242</v>
      </c>
      <c r="K1266" t="s">
        <v>14</v>
      </c>
      <c r="L1266" t="s">
        <v>20</v>
      </c>
      <c r="M1266" t="s">
        <v>2555</v>
      </c>
      <c r="N1266" t="s">
        <v>14</v>
      </c>
    </row>
    <row r="1267" x14ac:dyDescent="0.25">
      <c r="A1267" t="n">
        <v>25</v>
      </c>
      <c r="B1267" t="s">
        <v>14</v>
      </c>
      <c r="C1267" t="s">
        <v>51</v>
      </c>
      <c r="D1267" s="2" t="s">
        <f>=HYPERLINK("https://main.knesset.gov.il/APPS/legislation/main/bills/2234007", "הצעת חוק לתיקון פקודת המשטרה (תיעוד חזותי של השימוש באמצעי לפיזור הפגנות), התשפ""ה-2025")</f>
        <v>2763</v>
      </c>
      <c r="E1267" t="s">
        <v>2763</v>
      </c>
      <c r="F1267" t="s">
        <v>2764</v>
      </c>
      <c r="G1267" t="s">
        <v>14</v>
      </c>
      <c r="H1267">
             </c>
      <c r="I1267" t="s">
        <v>14</v>
      </c>
      <c r="J1267" t="s">
        <v>242</v>
      </c>
      <c r="K1267" t="s">
        <v>14</v>
      </c>
      <c r="L1267" t="s">
        <v>20</v>
      </c>
      <c r="M1267" t="s">
        <v>2555</v>
      </c>
      <c r="N1267" t="s">
        <v>14</v>
      </c>
    </row>
    <row r="1268" x14ac:dyDescent="0.25">
      <c r="A1268" t="n">
        <v>25</v>
      </c>
      <c r="B1268" t="s">
        <v>14</v>
      </c>
      <c r="C1268" t="s">
        <v>51</v>
      </c>
      <c r="D1268" s="2" t="s">
        <f>=HYPERLINK("https://main.knesset.gov.il/APPS/legislation/main/bills/2234308", "הצעת חוק-יסוד: הממשלה (תיקון - הפסקת כהונה של ראש הממשלה מחמת עבירה)")</f>
        <v>2765</v>
      </c>
      <c r="E1268" t="s">
        <v>2765</v>
      </c>
      <c r="F1268" t="s">
        <v>2766</v>
      </c>
      <c r="G1268" t="s">
        <v>14</v>
      </c>
      <c r="H1268">
             </c>
      <c r="I1268" t="s">
        <v>14</v>
      </c>
      <c r="J1268" t="s">
        <v>242</v>
      </c>
      <c r="K1268" t="s">
        <v>14</v>
      </c>
      <c r="L1268" t="s">
        <v>20</v>
      </c>
      <c r="M1268" t="s">
        <v>2555</v>
      </c>
      <c r="N1268" t="s">
        <v>14</v>
      </c>
    </row>
    <row r="1269" x14ac:dyDescent="0.25">
      <c r="A1269" t="n">
        <v>25</v>
      </c>
      <c r="B1269" t="s">
        <v>14</v>
      </c>
      <c r="C1269" t="s">
        <v>51</v>
      </c>
      <c r="D1269" s="2" t="s">
        <f>=HYPERLINK("https://main.knesset.gov.il/APPS/legislation/main/bills/2234347", "הצעת חוק מענק לבניית מרחב מוגן, התשפ""ה-2025")</f>
        <v>2767</v>
      </c>
      <c r="E1269" t="s">
        <v>2767</v>
      </c>
      <c r="F1269" t="s">
        <v>2768</v>
      </c>
      <c r="G1269" t="s">
        <v>14</v>
      </c>
      <c r="H1269">
             </c>
      <c r="I1269" t="s">
        <v>14</v>
      </c>
      <c r="J1269" t="s">
        <v>242</v>
      </c>
      <c r="K1269" t="s">
        <v>14</v>
      </c>
      <c r="L1269" t="s">
        <v>20</v>
      </c>
      <c r="M1269" t="s">
        <v>2555</v>
      </c>
      <c r="N1269" t="s">
        <v>14</v>
      </c>
    </row>
    <row r="1270" x14ac:dyDescent="0.25">
      <c r="A1270" t="n">
        <v>25</v>
      </c>
      <c r="B1270" t="s">
        <v>14</v>
      </c>
      <c r="C1270" t="s">
        <v>51</v>
      </c>
      <c r="D1270" s="2" t="s">
        <f>=HYPERLINK("https://main.knesset.gov.il/APPS/legislation/main/bills/2234088", "הצעת חוק-יסוד: נשיא המדינה (תיקון - כשירות מועמדים לכהונה כנשיא המדינה)")</f>
        <v>2769</v>
      </c>
      <c r="E1270" t="s">
        <v>2769</v>
      </c>
      <c r="F1270" t="s">
        <v>2770</v>
      </c>
      <c r="G1270" t="s">
        <v>14</v>
      </c>
      <c r="H1270">
             </c>
      <c r="I1270" t="s">
        <v>14</v>
      </c>
      <c r="J1270" t="s">
        <v>242</v>
      </c>
      <c r="K1270" t="s">
        <v>14</v>
      </c>
      <c r="L1270" t="s">
        <v>20</v>
      </c>
      <c r="M1270" t="s">
        <v>2555</v>
      </c>
      <c r="N1270" t="s">
        <v>14</v>
      </c>
    </row>
    <row r="1271" x14ac:dyDescent="0.25">
      <c r="A1271" t="n">
        <v>25</v>
      </c>
      <c r="B1271" t="s">
        <v>14</v>
      </c>
      <c r="C1271" t="s">
        <v>51</v>
      </c>
      <c r="D1271" s="2" t="s">
        <f>=HYPERLINK("https://main.knesset.gov.il/APPS/legislation/main/bills/2234315", "הצעת חוק שכר שווה לעובדת ולעובד (תיקון - חובת מסירת מידע), התשפ""ה-2025")</f>
        <v>2771</v>
      </c>
      <c r="E1271" t="s">
        <v>2771</v>
      </c>
      <c r="F1271" t="s">
        <v>2772</v>
      </c>
      <c r="G1271" t="s">
        <v>14</v>
      </c>
      <c r="H1271">
             </c>
      <c r="I1271" t="s">
        <v>14</v>
      </c>
      <c r="J1271" t="s">
        <v>242</v>
      </c>
      <c r="K1271" t="s">
        <v>14</v>
      </c>
      <c r="L1271" t="s">
        <v>20</v>
      </c>
      <c r="M1271" t="s">
        <v>2555</v>
      </c>
      <c r="N1271" t="s">
        <v>14</v>
      </c>
    </row>
    <row r="1272" x14ac:dyDescent="0.25">
      <c r="A1272" t="n">
        <v>25</v>
      </c>
      <c r="B1272" t="s">
        <v>14</v>
      </c>
      <c r="C1272" t="s">
        <v>51</v>
      </c>
      <c r="D1272" s="2" t="s">
        <f>=HYPERLINK("https://main.knesset.gov.il/APPS/legislation/main/bills/2234310", "הצעת חוק הנכים (תגמולים ושיקום) (תיקון - תשלום בשל אובדן הכנסה לבן משפחה של נכה בתקופת האשפוז ולאחריה), התשפ""ה-2025")</f>
        <v>2773</v>
      </c>
      <c r="E1272" t="s">
        <v>2773</v>
      </c>
      <c r="F1272" t="s">
        <v>2774</v>
      </c>
      <c r="G1272" t="s">
        <v>14</v>
      </c>
      <c r="H1272">
             </c>
      <c r="I1272" t="s">
        <v>14</v>
      </c>
      <c r="J1272" t="s">
        <v>242</v>
      </c>
      <c r="K1272" t="s">
        <v>14</v>
      </c>
      <c r="L1272" t="s">
        <v>20</v>
      </c>
      <c r="M1272" t="s">
        <v>2555</v>
      </c>
      <c r="N1272" t="s">
        <v>14</v>
      </c>
    </row>
    <row r="1273" x14ac:dyDescent="0.25">
      <c r="A1273" t="n">
        <v>25</v>
      </c>
      <c r="B1273" t="s">
        <v>14</v>
      </c>
      <c r="C1273" t="s">
        <v>51</v>
      </c>
      <c r="D1273" s="2" t="s">
        <f>=HYPERLINK("https://main.knesset.gov.il/APPS/legislation/main/bills/2234416", "הצעת חוק שוויון ההזדמנויות בעבודה (תיקון - איסור הפליה על רקע זהות מגדרית), התשפ""ה-2025")</f>
        <v>2775</v>
      </c>
      <c r="E1273" t="s">
        <v>2775</v>
      </c>
      <c r="F1273" t="s">
        <v>2776</v>
      </c>
      <c r="G1273" t="s">
        <v>14</v>
      </c>
      <c r="H1273">
             </c>
      <c r="I1273" t="s">
        <v>14</v>
      </c>
      <c r="J1273" t="s">
        <v>242</v>
      </c>
      <c r="K1273" t="s">
        <v>14</v>
      </c>
      <c r="L1273" t="s">
        <v>20</v>
      </c>
      <c r="M1273" t="s">
        <v>2555</v>
      </c>
      <c r="N1273" t="s">
        <v>14</v>
      </c>
    </row>
    <row r="1274" x14ac:dyDescent="0.25">
      <c r="A1274" t="n">
        <v>25</v>
      </c>
      <c r="B1274" t="s">
        <v>14</v>
      </c>
      <c r="C1274" t="s">
        <v>51</v>
      </c>
      <c r="D1274" s="2" t="s">
        <f>=HYPERLINK("https://main.knesset.gov.il/APPS/legislation/main/bills/2234171", "הצעת חוק הסדרת הבתים המאזנים בישראל, התשפ""ה-2025")</f>
        <v>2777</v>
      </c>
      <c r="E1274" t="s">
        <v>2777</v>
      </c>
      <c r="F1274" t="s">
        <v>2778</v>
      </c>
      <c r="G1274" t="s">
        <v>14</v>
      </c>
      <c r="H1274">
             </c>
      <c r="I1274" t="s">
        <v>14</v>
      </c>
      <c r="J1274" t="s">
        <v>242</v>
      </c>
      <c r="K1274" t="s">
        <v>14</v>
      </c>
      <c r="L1274" t="s">
        <v>20</v>
      </c>
      <c r="M1274" t="s">
        <v>2555</v>
      </c>
      <c r="N1274" t="s">
        <v>14</v>
      </c>
    </row>
    <row r="1275" x14ac:dyDescent="0.25">
      <c r="A1275" t="n">
        <v>25</v>
      </c>
      <c r="B1275" t="s">
        <v>14</v>
      </c>
      <c r="C1275" t="s">
        <v>51</v>
      </c>
      <c r="D1275" s="2" t="s">
        <f>=HYPERLINK("https://main.knesset.gov.il/APPS/legislation/main/bills/2233595", "הצעת חוק מס רכוש וקרן פיצויים (תיקון - פיצוי נפגעי עבירת גביית דמי חסות), התשפ""ה-2025")</f>
        <v>2779</v>
      </c>
      <c r="E1275" t="s">
        <v>2779</v>
      </c>
      <c r="F1275" t="s">
        <v>2780</v>
      </c>
      <c r="G1275" t="s">
        <v>14</v>
      </c>
      <c r="H1275">
             </c>
      <c r="I1275" t="s">
        <v>14</v>
      </c>
      <c r="J1275" t="s">
        <v>242</v>
      </c>
      <c r="K1275" t="s">
        <v>14</v>
      </c>
      <c r="L1275" t="s">
        <v>20</v>
      </c>
      <c r="M1275" t="s">
        <v>2555</v>
      </c>
      <c r="N1275" t="s">
        <v>14</v>
      </c>
    </row>
    <row r="1276" x14ac:dyDescent="0.25">
      <c r="A1276" t="n">
        <v>25</v>
      </c>
      <c r="B1276" t="s">
        <v>14</v>
      </c>
      <c r="C1276" t="s">
        <v>51</v>
      </c>
      <c r="D1276" s="2" t="s">
        <f>=HYPERLINK("https://main.knesset.gov.il/APPS/legislation/main/bills/2234440", "הצעת חוק הביטוח הלאומי (תיקון - עבודה מועדפת ביישובי קו העימות בצפון ובדרום), התשפ""ה-2025")</f>
        <v>2781</v>
      </c>
      <c r="E1276" t="s">
        <v>2781</v>
      </c>
      <c r="F1276" t="s">
        <v>2782</v>
      </c>
      <c r="G1276" t="s">
        <v>14</v>
      </c>
      <c r="H1276">
             </c>
      <c r="I1276" t="s">
        <v>14</v>
      </c>
      <c r="J1276" t="s">
        <v>242</v>
      </c>
      <c r="K1276" t="s">
        <v>14</v>
      </c>
      <c r="L1276" t="s">
        <v>20</v>
      </c>
      <c r="M1276" t="s">
        <v>2555</v>
      </c>
      <c r="N1276" t="s">
        <v>14</v>
      </c>
    </row>
    <row r="1277" x14ac:dyDescent="0.25">
      <c r="A1277" t="n">
        <v>25</v>
      </c>
      <c r="B1277" t="s">
        <v>14</v>
      </c>
      <c r="C1277" t="s">
        <v>51</v>
      </c>
      <c r="D1277" s="2" t="s">
        <f>=HYPERLINK("https://main.knesset.gov.il/APPS/legislation/main/bills/2234016", "הצעת חוק הבחירות (דרכי תעמולה) (תיקון - תעמולה דיגיטלית), התשפ""ה-2025")</f>
        <v>2783</v>
      </c>
      <c r="E1277" t="s">
        <v>2783</v>
      </c>
      <c r="F1277" t="s">
        <v>2784</v>
      </c>
      <c r="G1277" t="s">
        <v>14</v>
      </c>
      <c r="H1277">
             </c>
      <c r="I1277" t="s">
        <v>14</v>
      </c>
      <c r="J1277" t="s">
        <v>242</v>
      </c>
      <c r="K1277" t="s">
        <v>14</v>
      </c>
      <c r="L1277" t="s">
        <v>20</v>
      </c>
      <c r="M1277" t="s">
        <v>2555</v>
      </c>
      <c r="N1277" t="s">
        <v>14</v>
      </c>
    </row>
    <row r="1278" x14ac:dyDescent="0.25">
      <c r="A1278" t="n">
        <v>25</v>
      </c>
      <c r="B1278" t="s">
        <v>14</v>
      </c>
      <c r="C1278" t="s">
        <v>51</v>
      </c>
      <c r="D1278" s="2" t="s">
        <f>=HYPERLINK("https://main.knesset.gov.il/APPS/legislation/main/bills/2234064", "הצעת חוק מימון מפלגות (תיקון - ייצוג לנשים ברשימת המועמדים), התשפ""ה-2025")</f>
        <v>2785</v>
      </c>
      <c r="E1278" t="s">
        <v>2785</v>
      </c>
      <c r="F1278" t="s">
        <v>2786</v>
      </c>
      <c r="G1278" t="s">
        <v>14</v>
      </c>
      <c r="H1278">
             </c>
      <c r="I1278" t="s">
        <v>14</v>
      </c>
      <c r="J1278" t="s">
        <v>242</v>
      </c>
      <c r="K1278" t="s">
        <v>14</v>
      </c>
      <c r="L1278" t="s">
        <v>20</v>
      </c>
      <c r="M1278" t="s">
        <v>2555</v>
      </c>
      <c r="N1278" t="s">
        <v>14</v>
      </c>
    </row>
    <row r="1279" x14ac:dyDescent="0.25">
      <c r="A1279" t="n">
        <v>25</v>
      </c>
      <c r="B1279" t="s">
        <v>14</v>
      </c>
      <c r="C1279" t="s">
        <v>51</v>
      </c>
      <c r="D1279" s="2" t="s">
        <f>=HYPERLINK("https://main.knesset.gov.il/APPS/legislation/main/bills/2234153", "הצעת חוק עובדים זרים (תיקון - תאגיד עובדים זרים מחליפים זמניים), התשפ""ה-2025")</f>
        <v>2787</v>
      </c>
      <c r="E1279" t="s">
        <v>2787</v>
      </c>
      <c r="F1279" t="s">
        <v>2788</v>
      </c>
      <c r="G1279" t="s">
        <v>14</v>
      </c>
      <c r="H1279">
             </c>
      <c r="I1279" t="s">
        <v>14</v>
      </c>
      <c r="J1279" t="s">
        <v>242</v>
      </c>
      <c r="K1279" t="s">
        <v>14</v>
      </c>
      <c r="L1279" t="s">
        <v>20</v>
      </c>
      <c r="M1279" t="s">
        <v>2555</v>
      </c>
      <c r="N1279" t="s">
        <v>14</v>
      </c>
    </row>
    <row r="1280" x14ac:dyDescent="0.25">
      <c r="A1280" t="n">
        <v>25</v>
      </c>
      <c r="B1280" t="s">
        <v>14</v>
      </c>
      <c r="C1280" t="s">
        <v>51</v>
      </c>
      <c r="D1280" s="2" t="s">
        <f>=HYPERLINK("https://main.knesset.gov.il/APPS/legislation/main/bills/2234226", "הצעת חוק המשתתף החופשי, התשפ""ה-2025")</f>
        <v>2789</v>
      </c>
      <c r="E1280" t="s">
        <v>2789</v>
      </c>
      <c r="F1280" t="s">
        <v>2790</v>
      </c>
      <c r="G1280" t="s">
        <v>14</v>
      </c>
      <c r="H1280">
             </c>
      <c r="I1280" t="s">
        <v>14</v>
      </c>
      <c r="J1280" t="s">
        <v>242</v>
      </c>
      <c r="K1280" t="s">
        <v>14</v>
      </c>
      <c r="L1280" t="s">
        <v>20</v>
      </c>
      <c r="M1280" t="s">
        <v>2555</v>
      </c>
      <c r="N1280" t="s">
        <v>14</v>
      </c>
    </row>
    <row r="1281" x14ac:dyDescent="0.25">
      <c r="A1281" t="n">
        <v>25</v>
      </c>
      <c r="B1281" t="s">
        <v>14</v>
      </c>
      <c r="C1281" t="s">
        <v>51</v>
      </c>
      <c r="D1281" s="2" t="s">
        <f>=HYPERLINK("https://main.knesset.gov.il/APPS/legislation/main/bills/2234035", "הצעת חוק לתיקון פקודת התעבורה (הסמכת רשות מקומית לביצוע תפקידי רישוי), התשפ""ה-2025")</f>
        <v>2791</v>
      </c>
      <c r="E1281" t="s">
        <v>2791</v>
      </c>
      <c r="F1281" t="s">
        <v>2792</v>
      </c>
      <c r="G1281" t="s">
        <v>14</v>
      </c>
      <c r="H1281">
             </c>
      <c r="I1281" t="s">
        <v>14</v>
      </c>
      <c r="J1281" t="s">
        <v>242</v>
      </c>
      <c r="K1281" t="s">
        <v>14</v>
      </c>
      <c r="L1281" t="s">
        <v>20</v>
      </c>
      <c r="M1281" t="s">
        <v>2555</v>
      </c>
      <c r="N1281" t="s">
        <v>14</v>
      </c>
    </row>
    <row r="1282" x14ac:dyDescent="0.25">
      <c r="A1282" t="n">
        <v>25</v>
      </c>
      <c r="B1282" t="s">
        <v>14</v>
      </c>
      <c r="C1282" t="s">
        <v>51</v>
      </c>
      <c r="D1282" s="2" t="s">
        <f>=HYPERLINK("https://main.knesset.gov.il/APPS/legislation/main/bills/2234302", "הצעת חוק דמי מחלה (היעדרות בשל מחלת ילד) (תיקון - היעדרות בעקבות פגיעה בעבירת מין או אלימות חמורה), התשפ""ה-2025")</f>
        <v>2793</v>
      </c>
      <c r="E1282" t="s">
        <v>2793</v>
      </c>
      <c r="F1282" t="s">
        <v>2794</v>
      </c>
      <c r="G1282" t="s">
        <v>14</v>
      </c>
      <c r="H1282">
             </c>
      <c r="I1282" t="s">
        <v>14</v>
      </c>
      <c r="J1282" t="s">
        <v>202</v>
      </c>
      <c r="K1282" t="s">
        <v>14</v>
      </c>
      <c r="L1282" t="s">
        <v>20</v>
      </c>
      <c r="M1282" t="s">
        <v>2555</v>
      </c>
      <c r="N1282" t="s">
        <v>14</v>
      </c>
    </row>
    <row r="1283" x14ac:dyDescent="0.25">
      <c r="A1283" t="n">
        <v>25</v>
      </c>
      <c r="B1283" t="s">
        <v>14</v>
      </c>
      <c r="C1283" t="s">
        <v>51</v>
      </c>
      <c r="D1283" s="2" t="s">
        <f>=HYPERLINK("https://main.knesset.gov.il/APPS/legislation/main/bills/2234023", "הצעת חוק הממשלה (תיקון - דיווח שר בדבר אי-התקנת תקנות במועד), התשפ""ה-2025")</f>
        <v>2795</v>
      </c>
      <c r="E1283" t="s">
        <v>2795</v>
      </c>
      <c r="F1283" t="s">
        <v>2796</v>
      </c>
      <c r="G1283" t="s">
        <v>14</v>
      </c>
      <c r="H1283">
             </c>
      <c r="I1283" t="s">
        <v>14</v>
      </c>
      <c r="J1283" t="s">
        <v>242</v>
      </c>
      <c r="K1283" t="s">
        <v>14</v>
      </c>
      <c r="L1283" t="s">
        <v>20</v>
      </c>
      <c r="M1283" t="s">
        <v>2555</v>
      </c>
      <c r="N1283" t="s">
        <v>14</v>
      </c>
    </row>
    <row r="1284" x14ac:dyDescent="0.25">
      <c r="A1284" t="n">
        <v>25</v>
      </c>
      <c r="B1284" t="s">
        <v>14</v>
      </c>
      <c r="C1284" t="s">
        <v>51</v>
      </c>
      <c r="D1284" s="2" t="s">
        <f>=HYPERLINK("https://main.knesset.gov.il/APPS/legislation/main/bills/2234130", "הצעת חוק עידוד תרומות מזון (תיקון - חובת העברת עודפי מזון לארגון לחלוקת מזון), התשפ""ה-2025")</f>
        <v>2797</v>
      </c>
      <c r="E1284" t="s">
        <v>2797</v>
      </c>
      <c r="F1284" t="s">
        <v>2798</v>
      </c>
      <c r="G1284" t="s">
        <v>14</v>
      </c>
      <c r="H1284">
             </c>
      <c r="I1284" t="s">
        <v>14</v>
      </c>
      <c r="J1284" t="s">
        <v>242</v>
      </c>
      <c r="K1284" t="s">
        <v>14</v>
      </c>
      <c r="L1284" t="s">
        <v>20</v>
      </c>
      <c r="M1284" t="s">
        <v>2555</v>
      </c>
      <c r="N1284" t="s">
        <v>14</v>
      </c>
    </row>
    <row r="1285" x14ac:dyDescent="0.25">
      <c r="A1285" t="n">
        <v>25</v>
      </c>
      <c r="B1285" t="s">
        <v>14</v>
      </c>
      <c r="C1285" t="s">
        <v>51</v>
      </c>
      <c r="D1285" s="2" t="s">
        <f>=HYPERLINK("https://main.knesset.gov.il/APPS/legislation/main/bills/2227641", "הצעת חוק חובת פרסום זהותם של אסירים ביטחוניים ששוחררו ממאסר, התשפ""ה-2025")</f>
        <v>2799</v>
      </c>
      <c r="E1285" t="s">
        <v>2799</v>
      </c>
      <c r="F1285" t="s">
        <v>2800</v>
      </c>
      <c r="G1285" t="s">
        <v>2801</v>
      </c>
      <c r="H1285">
             </c>
      <c r="I1285" t="s">
        <v>166</v>
      </c>
      <c r="J1285" t="s">
        <v>162</v>
      </c>
      <c r="K1285" t="s">
        <v>19</v>
      </c>
      <c r="L1285" t="s">
        <v>20</v>
      </c>
      <c r="M1285" t="s">
        <v>2555</v>
      </c>
      <c r="N1285" t="s">
        <v>14</v>
      </c>
    </row>
    <row r="1286" x14ac:dyDescent="0.25">
      <c r="A1286" t="n">
        <v>25</v>
      </c>
      <c r="B1286" t="s">
        <v>14</v>
      </c>
      <c r="C1286" t="s">
        <v>51</v>
      </c>
      <c r="D1286" s="2" t="s">
        <f>=HYPERLINK("https://main.knesset.gov.il/APPS/legislation/main/bills/2222111", "הצעת חוק המאבק בתופעת השימוש בחומרים מסכנים (תיקון מס' 6) (הגבלת שיווק של חומר מסכן שיש לו שימושים מותרים), התשפ""ה–2025")</f>
        <v>2802</v>
      </c>
      <c r="E1286" t="s">
        <v>2802</v>
      </c>
      <c r="F1286" t="s">
        <v>2803</v>
      </c>
      <c r="G1286" t="s">
        <v>2804</v>
      </c>
      <c r="H1286">
             </c>
      <c r="I1286" t="s">
        <v>14</v>
      </c>
      <c r="J1286" t="s">
        <v>162</v>
      </c>
      <c r="K1286" t="s">
        <v>361</v>
      </c>
      <c r="L1286" t="s">
        <v>20</v>
      </c>
      <c r="M1286" t="s">
        <v>2555</v>
      </c>
      <c r="N1286" t="s">
        <v>14</v>
      </c>
    </row>
    <row r="1287" x14ac:dyDescent="0.25">
      <c r="A1287" t="n">
        <v>25</v>
      </c>
      <c r="B1287" t="s">
        <v>14</v>
      </c>
      <c r="C1287" t="s">
        <v>51</v>
      </c>
      <c r="D1287" s="2" t="s">
        <f>=HYPERLINK("https://main.knesset.gov.il/APPS/legislation/main/bills/2207041", "הצעת חוק להנצחת הרב אברהם יצחק הכהן קוק, התשפ""ה–2025")</f>
        <v>2805</v>
      </c>
      <c r="E1287" t="s">
        <v>2805</v>
      </c>
      <c r="F1287" t="s">
        <v>2806</v>
      </c>
      <c r="G1287" t="s">
        <v>2807</v>
      </c>
      <c r="H1287">
             </c>
      <c r="I1287" t="s">
        <v>14</v>
      </c>
      <c r="J1287" t="s">
        <v>334</v>
      </c>
      <c r="K1287" t="s">
        <v>79</v>
      </c>
      <c r="L1287" t="s">
        <v>20</v>
      </c>
      <c r="M1287" t="s">
        <v>2555</v>
      </c>
      <c r="N1287" t="s">
        <v>14</v>
      </c>
    </row>
    <row r="1288" x14ac:dyDescent="0.25">
      <c r="A1288" t="n">
        <v>25</v>
      </c>
      <c r="B1288" t="s">
        <v>14</v>
      </c>
      <c r="C1288" t="s">
        <v>51</v>
      </c>
      <c r="D1288" s="2" t="s">
        <f>=HYPERLINK("https://main.knesset.gov.il/APPS/legislation/main/bills/2196668", "הצעת חוק הסדרת השימוש בקנאביס למטרות רפואיות, התשפ""ה-2025")</f>
        <v>2808</v>
      </c>
      <c r="E1288" t="s">
        <v>2808</v>
      </c>
      <c r="F1288" t="s">
        <v>2809</v>
      </c>
      <c r="G1288" t="s">
        <v>2810</v>
      </c>
      <c r="H1288">
             </c>
      <c r="I1288" t="s">
        <v>14</v>
      </c>
      <c r="J1288" t="s">
        <v>334</v>
      </c>
      <c r="K1288" t="s">
        <v>2811</v>
      </c>
      <c r="L1288" t="s">
        <v>20</v>
      </c>
      <c r="M1288" t="s">
        <v>2555</v>
      </c>
      <c r="N1288" t="s">
        <v>14</v>
      </c>
    </row>
    <row r="1289" x14ac:dyDescent="0.25">
      <c r="A1289" t="n">
        <v>25</v>
      </c>
      <c r="B1289" t="s">
        <v>14</v>
      </c>
      <c r="C1289" t="s">
        <v>15</v>
      </c>
      <c r="D1289" s="2" t="s">
        <f>=HYPERLINK("https://main.knesset.gov.il/APPS/legislation/main/bills/2221954", "הצעת חוק לתיקון פקודת התעבורה (מס' 140), התשפ""ה–2025")</f>
        <v>2812</v>
      </c>
      <c r="E1289" t="s">
        <v>2812</v>
      </c>
      <c r="F1289" t="s">
        <v>14</v>
      </c>
      <c r="G1289" t="s">
        <v>2813</v>
      </c>
      <c r="H1289">
             </c>
      <c r="I1289" t="s">
        <v>14</v>
      </c>
      <c r="J1289" t="s">
        <v>180</v>
      </c>
      <c r="K1289" t="s">
        <v>84</v>
      </c>
      <c r="L1289" t="s">
        <v>20</v>
      </c>
      <c r="M1289" t="s">
        <v>2555</v>
      </c>
      <c r="N1289" t="s">
        <v>14</v>
      </c>
    </row>
    <row r="1290" x14ac:dyDescent="0.25">
      <c r="A1290" t="n">
        <v>25</v>
      </c>
      <c r="B1290" t="s">
        <v>14</v>
      </c>
      <c r="C1290" t="s">
        <v>15</v>
      </c>
      <c r="D1290" s="2" t="s">
        <f>=HYPERLINK("https://main.knesset.gov.il/APPS/legislation/main/bills/2234536", "הצעת חוק איסור הלבנת הון (תיקון מס' 37) (הטלת חובות על מתווך במקרקעין), התשפ""ה-2025")</f>
        <v>2814</v>
      </c>
      <c r="E1290" t="s">
        <v>2814</v>
      </c>
      <c r="F1290" t="s">
        <v>14</v>
      </c>
      <c r="G1290" t="s">
        <v>2815</v>
      </c>
      <c r="H1290">
             </c>
      <c r="I1290" t="s">
        <v>14</v>
      </c>
      <c r="J1290" t="s">
        <v>162</v>
      </c>
      <c r="K1290" t="s">
        <v>14</v>
      </c>
      <c r="L1290" t="s">
        <v>20</v>
      </c>
      <c r="M1290" t="s">
        <v>2555</v>
      </c>
      <c r="N1290" t="s">
        <v>14</v>
      </c>
    </row>
    <row r="1291" x14ac:dyDescent="0.25">
      <c r="A1291" t="n">
        <v>25</v>
      </c>
      <c r="B1291" t="s">
        <v>14</v>
      </c>
      <c r="C1291" t="s">
        <v>15</v>
      </c>
      <c r="D1291" s="2" t="s">
        <f>=HYPERLINK("https://main.knesset.gov.il/APPS/legislation/main/bills/2227209", "הצעת חוק לקידום הבנייה במתחמים מועדפים (הוראת שעה) (תיקון מס' 9), התשפ""ו-2026")</f>
        <v>2816</v>
      </c>
      <c r="E1291" t="s">
        <v>2816</v>
      </c>
      <c r="F1291" t="s">
        <v>14</v>
      </c>
      <c r="G1291" t="s">
        <v>237</v>
      </c>
      <c r="H1291">
             </c>
      <c r="I1291" t="s">
        <v>14</v>
      </c>
      <c r="J1291" t="s">
        <v>180</v>
      </c>
      <c r="K1291" t="s">
        <v>30</v>
      </c>
      <c r="L1291" t="s">
        <v>20</v>
      </c>
      <c r="M1291" t="s">
        <v>2555</v>
      </c>
      <c r="N1291" t="s">
        <v>14</v>
      </c>
    </row>
    <row r="1292" x14ac:dyDescent="0.25">
      <c r="A1292" t="n">
        <v>25</v>
      </c>
      <c r="B1292" t="s">
        <v>14</v>
      </c>
      <c r="C1292" t="s">
        <v>51</v>
      </c>
      <c r="D1292" s="2" t="s">
        <f>=HYPERLINK("https://main.knesset.gov.il/APPS/legislation/main/bills/2223329", "הצעת חוק בתי קברות צבאיים (תיקון מס' 5) (תיקון - תחולה למפרע), התשפ""ה-2024")</f>
        <v>2817</v>
      </c>
      <c r="E1292" t="s">
        <v>2817</v>
      </c>
      <c r="F1292" t="s">
        <v>2818</v>
      </c>
      <c r="G1292" t="s">
        <v>14</v>
      </c>
      <c r="H1292">
             </c>
      <c r="I1292" t="s">
        <v>14</v>
      </c>
      <c r="J1292" t="s">
        <v>183</v>
      </c>
      <c r="K1292" t="s">
        <v>19</v>
      </c>
      <c r="L1292" t="s">
        <v>20</v>
      </c>
      <c r="M1292" t="s">
        <v>2819</v>
      </c>
      <c r="N1292" t="s">
        <v>14</v>
      </c>
    </row>
    <row r="1293" x14ac:dyDescent="0.25">
      <c r="A1293" t="n">
        <v>25</v>
      </c>
      <c r="B1293" t="s">
        <v>14</v>
      </c>
      <c r="C1293" t="s">
        <v>51</v>
      </c>
      <c r="D1293" s="2" t="s">
        <f>=HYPERLINK("https://main.knesset.gov.il/APPS/legislation/main/bills/2218568", "הצעת חוק בתי קברות צבאיים (תיקון מס' 5) (תיקון - תחולה למפרע), התשפ""ד-2024")</f>
        <v>2820</v>
      </c>
      <c r="E1293" t="s">
        <v>2820</v>
      </c>
      <c r="F1293" t="s">
        <v>2821</v>
      </c>
      <c r="G1293" t="s">
        <v>14</v>
      </c>
      <c r="H1293">
             </c>
      <c r="I1293" t="s">
        <v>14</v>
      </c>
      <c r="J1293" t="s">
        <v>183</v>
      </c>
      <c r="K1293" t="s">
        <v>19</v>
      </c>
      <c r="L1293" t="s">
        <v>20</v>
      </c>
      <c r="M1293" t="s">
        <v>2819</v>
      </c>
      <c r="N1293" t="s">
        <v>14</v>
      </c>
    </row>
    <row r="1294" x14ac:dyDescent="0.25">
      <c r="A1294" t="n">
        <v>25</v>
      </c>
      <c r="B1294" t="s">
        <v>14</v>
      </c>
      <c r="C1294" t="s">
        <v>51</v>
      </c>
      <c r="D1294" s="2" t="s">
        <f>=HYPERLINK("https://main.knesset.gov.il/APPS/legislation/main/bills/2230871", "הצעת חוק המרכז להנצחת מורשתו של הנשיא יצחק נבון, התשפ""ה-2025")</f>
        <v>2822</v>
      </c>
      <c r="E1294" t="s">
        <v>2822</v>
      </c>
      <c r="F1294" t="s">
        <v>2823</v>
      </c>
      <c r="G1294" t="s">
        <v>14</v>
      </c>
      <c r="H1294">
             </c>
      <c r="I1294" t="s">
        <v>14</v>
      </c>
      <c r="J1294" t="s">
        <v>193</v>
      </c>
      <c r="K1294" t="s">
        <v>14</v>
      </c>
      <c r="L1294" t="s">
        <v>20</v>
      </c>
      <c r="M1294" t="s">
        <v>2824</v>
      </c>
      <c r="N1294" t="s">
        <v>14</v>
      </c>
    </row>
    <row r="1295" x14ac:dyDescent="0.25">
      <c r="A1295" t="n">
        <v>25</v>
      </c>
      <c r="B1295" t="s">
        <v>14</v>
      </c>
      <c r="C1295" t="s">
        <v>51</v>
      </c>
      <c r="D1295" s="2" t="s">
        <f>=HYPERLINK("https://main.knesset.gov.il/APPS/legislation/main/bills/2227588", "הצעת חוק איסור אספקת שירותים חיוניים לגורמים עוינים, התשפ""ה-2025")</f>
        <v>2652</v>
      </c>
      <c r="E1295" t="s">
        <v>2652</v>
      </c>
      <c r="F1295" t="s">
        <v>2825</v>
      </c>
      <c r="G1295" t="s">
        <v>14</v>
      </c>
      <c r="H1295">
             </c>
      <c r="I1295" t="s">
        <v>14</v>
      </c>
      <c r="J1295" t="s">
        <v>193</v>
      </c>
      <c r="K1295" t="s">
        <v>14</v>
      </c>
      <c r="L1295" t="s">
        <v>20</v>
      </c>
      <c r="M1295" t="s">
        <v>2824</v>
      </c>
      <c r="N1295" t="s">
        <v>14</v>
      </c>
    </row>
    <row r="1296" x14ac:dyDescent="0.25">
      <c r="A1296" t="n">
        <v>25</v>
      </c>
      <c r="B1296" t="s">
        <v>14</v>
      </c>
      <c r="C1296" t="s">
        <v>51</v>
      </c>
      <c r="D1296" s="2" t="s">
        <f>=HYPERLINK("https://main.knesset.gov.il/APPS/legislation/main/bills/2228059", "הצעת חוק יום המודעות למאבק במחלת הסרטן, התשפ""ה-2025")</f>
        <v>2826</v>
      </c>
      <c r="E1296" t="s">
        <v>2826</v>
      </c>
      <c r="F1296" t="s">
        <v>2827</v>
      </c>
      <c r="G1296" t="s">
        <v>14</v>
      </c>
      <c r="H1296">
             </c>
      <c r="I1296" t="s">
        <v>14</v>
      </c>
      <c r="J1296" t="s">
        <v>152</v>
      </c>
      <c r="K1296" t="s">
        <v>79</v>
      </c>
      <c r="L1296" t="s">
        <v>20</v>
      </c>
      <c r="M1296" t="s">
        <v>2824</v>
      </c>
      <c r="N1296" t="s">
        <v>14</v>
      </c>
    </row>
    <row r="1297" x14ac:dyDescent="0.25">
      <c r="A1297" t="n">
        <v>25</v>
      </c>
      <c r="B1297" t="s">
        <v>14</v>
      </c>
      <c r="C1297" t="s">
        <v>51</v>
      </c>
      <c r="D1297" s="2" t="s">
        <f>=HYPERLINK("https://main.knesset.gov.il/APPS/legislation/main/bills/2227146", "הצעת חוק יום המודעות למחלת הסרטן, התשפ""ה-2025")</f>
        <v>2828</v>
      </c>
      <c r="E1297" t="s">
        <v>2828</v>
      </c>
      <c r="F1297" t="s">
        <v>2829</v>
      </c>
      <c r="G1297" t="s">
        <v>14</v>
      </c>
      <c r="H1297">
             </c>
      <c r="I1297" t="s">
        <v>14</v>
      </c>
      <c r="J1297" t="s">
        <v>152</v>
      </c>
      <c r="K1297" t="s">
        <v>79</v>
      </c>
      <c r="L1297" t="s">
        <v>20</v>
      </c>
      <c r="M1297" t="s">
        <v>2824</v>
      </c>
      <c r="N1297" t="s">
        <v>14</v>
      </c>
    </row>
    <row r="1298" x14ac:dyDescent="0.25">
      <c r="A1298" t="n">
        <v>25</v>
      </c>
      <c r="B1298" t="s">
        <v>14</v>
      </c>
      <c r="C1298" t="s">
        <v>51</v>
      </c>
      <c r="D1298" s="2" t="s">
        <f>=HYPERLINK("https://main.knesset.gov.il/APPS/legislation/main/bills/2227422", "הצעת חוק לתיקון פקודת מס הכנסה (נקודת זיכוי בעד שירות מילואים), התשפ""ה-2025")</f>
        <v>2830</v>
      </c>
      <c r="E1298" t="s">
        <v>2830</v>
      </c>
      <c r="F1298" t="s">
        <v>2831</v>
      </c>
      <c r="G1298" t="s">
        <v>14</v>
      </c>
      <c r="H1298">
             </c>
      <c r="I1298" t="s">
        <v>14</v>
      </c>
      <c r="J1298" t="s">
        <v>193</v>
      </c>
      <c r="K1298" t="s">
        <v>14</v>
      </c>
      <c r="L1298" t="s">
        <v>20</v>
      </c>
      <c r="M1298" t="s">
        <v>2824</v>
      </c>
      <c r="N1298" t="s">
        <v>14</v>
      </c>
    </row>
    <row r="1299" x14ac:dyDescent="0.25">
      <c r="A1299" t="n">
        <v>25</v>
      </c>
      <c r="B1299" t="s">
        <v>14</v>
      </c>
      <c r="C1299" t="s">
        <v>51</v>
      </c>
      <c r="D1299" s="2" t="s">
        <f>=HYPERLINK("https://main.knesset.gov.il/APPS/legislation/main/bills/2226611", "הצעת חוק שירות המדינה (מינויים) (תיקון - ייצוג מגדרי הולם למשרות ניהול כללי במשרדי הממשלה), התשפ""ה-2025")</f>
        <v>2636</v>
      </c>
      <c r="E1299" t="s">
        <v>2636</v>
      </c>
      <c r="F1299" t="s">
        <v>2832</v>
      </c>
      <c r="G1299" t="s">
        <v>14</v>
      </c>
      <c r="H1299">
             </c>
      <c r="I1299" t="s">
        <v>14</v>
      </c>
      <c r="J1299" t="s">
        <v>193</v>
      </c>
      <c r="K1299" t="s">
        <v>14</v>
      </c>
      <c r="L1299" t="s">
        <v>20</v>
      </c>
      <c r="M1299" t="s">
        <v>2824</v>
      </c>
      <c r="N1299" t="s">
        <v>14</v>
      </c>
    </row>
    <row r="1300" x14ac:dyDescent="0.25">
      <c r="A1300" t="n">
        <v>25</v>
      </c>
      <c r="B1300" t="s">
        <v>14</v>
      </c>
      <c r="C1300" t="s">
        <v>51</v>
      </c>
      <c r="D1300" s="2" t="s">
        <f>=HYPERLINK("https://main.knesset.gov.il/APPS/legislation/main/bills/2225463", "הצעת חוק חינוך ממלכתי (תיקון - איסור נשיאת דברים במוסד חינוך למורשע בעבירת טרור, גזענות או בגידה), התשפ""ה-2024")</f>
        <v>2833</v>
      </c>
      <c r="E1300" t="s">
        <v>2833</v>
      </c>
      <c r="F1300" t="s">
        <v>2834</v>
      </c>
      <c r="G1300" t="s">
        <v>14</v>
      </c>
      <c r="H1300">
             </c>
      <c r="I1300" t="s">
        <v>14</v>
      </c>
      <c r="J1300" t="s">
        <v>152</v>
      </c>
      <c r="K1300" t="s">
        <v>79</v>
      </c>
      <c r="L1300" t="s">
        <v>20</v>
      </c>
      <c r="M1300" t="s">
        <v>2824</v>
      </c>
      <c r="N1300" t="s">
        <v>14</v>
      </c>
    </row>
    <row r="1301" x14ac:dyDescent="0.25">
      <c r="A1301" t="n">
        <v>25</v>
      </c>
      <c r="B1301" t="s">
        <v>14</v>
      </c>
      <c r="C1301" t="s">
        <v>51</v>
      </c>
      <c r="D1301" s="2" t="s">
        <f>=HYPERLINK("https://main.knesset.gov.il/APPS/legislation/main/bills/2224149", "הצעת חוק-יסוד: הממשלה (תיקון - תקופה מרבית לכהונה בתפקיד כראש הממשלה)")</f>
        <v>1205</v>
      </c>
      <c r="E1301" t="s">
        <v>1205</v>
      </c>
      <c r="F1301" t="s">
        <v>2835</v>
      </c>
      <c r="G1301" t="s">
        <v>14</v>
      </c>
      <c r="H1301">
             </c>
      <c r="I1301" t="s">
        <v>14</v>
      </c>
      <c r="J1301" t="s">
        <v>193</v>
      </c>
      <c r="K1301" t="s">
        <v>14</v>
      </c>
      <c r="L1301" t="s">
        <v>20</v>
      </c>
      <c r="M1301" t="s">
        <v>2824</v>
      </c>
      <c r="N1301" t="s">
        <v>14</v>
      </c>
    </row>
    <row r="1302" x14ac:dyDescent="0.25">
      <c r="A1302" t="n">
        <v>25</v>
      </c>
      <c r="B1302" t="s">
        <v>14</v>
      </c>
      <c r="C1302" t="s">
        <v>51</v>
      </c>
      <c r="D1302" s="2" t="s">
        <f>=HYPERLINK("https://main.knesset.gov.il/APPS/legislation/main/bills/2196020", "הצעת חוק לתיקון פקודת מס הכנסה (מיסוי קרן הון סיכון נסחרת), התשפ""ג-2022")</f>
        <v>2836</v>
      </c>
      <c r="E1302" t="s">
        <v>2836</v>
      </c>
      <c r="F1302" t="s">
        <v>2837</v>
      </c>
      <c r="G1302" t="s">
        <v>14</v>
      </c>
      <c r="H1302">
             </c>
      <c r="I1302" t="s">
        <v>14</v>
      </c>
      <c r="J1302" t="s">
        <v>193</v>
      </c>
      <c r="K1302" t="s">
        <v>14</v>
      </c>
      <c r="L1302" t="s">
        <v>20</v>
      </c>
      <c r="M1302" t="s">
        <v>2824</v>
      </c>
      <c r="N1302" t="s">
        <v>14</v>
      </c>
    </row>
    <row r="1303" x14ac:dyDescent="0.25">
      <c r="A1303" t="n">
        <v>25</v>
      </c>
      <c r="B1303" t="s">
        <v>14</v>
      </c>
      <c r="C1303" t="s">
        <v>51</v>
      </c>
      <c r="D1303" s="2" t="s">
        <f>=HYPERLINK("https://main.knesset.gov.il/APPS/legislation/main/bills/2231303", "הצעת חוק חובת פרסום שמותיהם של אסירים ביטחוניים ששוחררו ממאסר, התשפ""ה-2025")</f>
        <v>2838</v>
      </c>
      <c r="E1303" t="s">
        <v>2838</v>
      </c>
      <c r="F1303" t="s">
        <v>2839</v>
      </c>
      <c r="G1303" t="s">
        <v>14</v>
      </c>
      <c r="H1303">
             </c>
      <c r="I1303" t="s">
        <v>14</v>
      </c>
      <c r="J1303" t="s">
        <v>183</v>
      </c>
      <c r="K1303" t="s">
        <v>19</v>
      </c>
      <c r="L1303" t="s">
        <v>20</v>
      </c>
      <c r="M1303" t="s">
        <v>2840</v>
      </c>
      <c r="N1303" t="s">
        <v>14</v>
      </c>
    </row>
    <row r="1304" x14ac:dyDescent="0.25">
      <c r="A1304" t="n">
        <v>25</v>
      </c>
      <c r="B1304" t="s">
        <v>14</v>
      </c>
      <c r="C1304" t="s">
        <v>51</v>
      </c>
      <c r="D1304" s="2" t="s">
        <f>=HYPERLINK("https://main.knesset.gov.il/APPS/legislation/main/bills/2231609", "חוק חובת המכרזים (תיקון מס' 24 – הוראת שעה) (תיקון מס' 2), התשפ""ה–2025")</f>
        <v>2841</v>
      </c>
      <c r="E1304" t="s">
        <v>2841</v>
      </c>
      <c r="F1304" t="s">
        <v>2842</v>
      </c>
      <c r="G1304" t="s">
        <v>2843</v>
      </c>
      <c r="H1304" t="n">
        <v>3443</v>
      </c>
      <c r="I1304" t="s">
        <v>14</v>
      </c>
      <c r="J1304" t="s">
        <v>18</v>
      </c>
      <c r="K1304" t="s">
        <v>27</v>
      </c>
      <c r="L1304" t="s">
        <v>20</v>
      </c>
      <c r="M1304" t="s">
        <v>2840</v>
      </c>
      <c r="N1304" t="s">
        <v>2844</v>
      </c>
    </row>
    <row r="1305" x14ac:dyDescent="0.25">
      <c r="A1305" t="n">
        <v>25</v>
      </c>
      <c r="B1305" t="s">
        <v>14</v>
      </c>
      <c r="C1305" t="s">
        <v>51</v>
      </c>
      <c r="D1305" s="2" t="s">
        <f>=HYPERLINK("https://main.knesset.gov.il/APPS/legislation/main/bills/2221806", "הצעת חוק יישום הסכם הביניים בדבר הגדה המערבית ורצועת עזה (הגבלת פעילות) (תיקון מס' 4) (איסור פעילות בתחומי מדינת ישראל, אכיפה ועונשין), התשפ""ה–2025")</f>
        <v>2845</v>
      </c>
      <c r="E1305" t="s">
        <v>2845</v>
      </c>
      <c r="F1305" t="s">
        <v>2846</v>
      </c>
      <c r="G1305" t="s">
        <v>2847</v>
      </c>
      <c r="H1305">
             </c>
      <c r="I1305" t="s">
        <v>14</v>
      </c>
      <c r="J1305" t="s">
        <v>162</v>
      </c>
      <c r="K1305" t="s">
        <v>19</v>
      </c>
      <c r="L1305" t="s">
        <v>20</v>
      </c>
      <c r="M1305" t="s">
        <v>2840</v>
      </c>
      <c r="N1305" t="s">
        <v>14</v>
      </c>
    </row>
    <row r="1306" x14ac:dyDescent="0.25">
      <c r="A1306" t="n">
        <v>25</v>
      </c>
      <c r="B1306" t="s">
        <v>14</v>
      </c>
      <c r="C1306" t="s">
        <v>51</v>
      </c>
      <c r="D1306" s="2" t="s">
        <f>=HYPERLINK("https://main.knesset.gov.il/APPS/legislation/main/bills/2218982", "הצעת חוק העונשין (תיקון מס' 153), התשפ""ה–2025")</f>
        <v>2848</v>
      </c>
      <c r="E1306" t="s">
        <v>2848</v>
      </c>
      <c r="F1306" t="s">
        <v>2849</v>
      </c>
      <c r="G1306" t="s">
        <v>2850</v>
      </c>
      <c r="H1306">
             </c>
      <c r="I1306" t="s">
        <v>14</v>
      </c>
      <c r="J1306" t="s">
        <v>180</v>
      </c>
      <c r="K1306" t="s">
        <v>19</v>
      </c>
      <c r="L1306" t="s">
        <v>20</v>
      </c>
      <c r="M1306" t="s">
        <v>2840</v>
      </c>
      <c r="N1306" t="s">
        <v>14</v>
      </c>
    </row>
    <row r="1307" x14ac:dyDescent="0.25">
      <c r="A1307" t="n">
        <v>25</v>
      </c>
      <c r="B1307" t="s">
        <v>14</v>
      </c>
      <c r="C1307" t="s">
        <v>15</v>
      </c>
      <c r="D1307" s="2" t="s">
        <f>=HYPERLINK("https://main.knesset.gov.il/APPS/legislation/main/bills/2229620", "חוק לייעול האכיפה והפיקוח העירוניים ברשויות המקומיות (הוראת שעה) (תיקון מס' 18), התשפ""ה–2025 ")</f>
        <v>2851</v>
      </c>
      <c r="E1307" t="s">
        <v>2851</v>
      </c>
      <c r="F1307" t="s">
        <v>14</v>
      </c>
      <c r="G1307" t="s">
        <v>2852</v>
      </c>
      <c r="H1307" t="n">
        <v>3442</v>
      </c>
      <c r="I1307" t="s">
        <v>14</v>
      </c>
      <c r="J1307" t="s">
        <v>18</v>
      </c>
      <c r="K1307" t="s">
        <v>19</v>
      </c>
      <c r="L1307" t="s">
        <v>20</v>
      </c>
      <c r="M1307" t="s">
        <v>2853</v>
      </c>
      <c r="N1307" t="s">
        <v>2854</v>
      </c>
    </row>
    <row r="1308" x14ac:dyDescent="0.25">
      <c r="A1308" t="n">
        <v>25</v>
      </c>
      <c r="B1308" t="s">
        <v>14</v>
      </c>
      <c r="C1308" t="s">
        <v>51</v>
      </c>
      <c r="D1308" s="2" t="s">
        <f>=HYPERLINK("https://main.knesset.gov.il/APPS/legislation/main/bills/2232766", "הצעת חוק הגנת אזרח ישראלי שהוטלו עליו עיצומים כלכליים על ידי מדינה זרה (תיקוני חקיקה), התשפ""ה-2025")</f>
        <v>2855</v>
      </c>
      <c r="E1308" t="s">
        <v>2855</v>
      </c>
      <c r="F1308" t="s">
        <v>2856</v>
      </c>
      <c r="G1308" t="s">
        <v>14</v>
      </c>
      <c r="H1308">
             </c>
      <c r="I1308" t="s">
        <v>14</v>
      </c>
      <c r="J1308" t="s">
        <v>242</v>
      </c>
      <c r="K1308" t="s">
        <v>14</v>
      </c>
      <c r="L1308" t="s">
        <v>20</v>
      </c>
      <c r="M1308" t="s">
        <v>2853</v>
      </c>
      <c r="N1308" t="s">
        <v>14</v>
      </c>
    </row>
    <row r="1309" x14ac:dyDescent="0.25">
      <c r="A1309" t="n">
        <v>25</v>
      </c>
      <c r="B1309" t="s">
        <v>14</v>
      </c>
      <c r="C1309" t="s">
        <v>51</v>
      </c>
      <c r="D1309" s="2" t="s">
        <f>=HYPERLINK("https://main.knesset.gov.il/APPS/legislation/main/bills/2233791", "הצעת חוק לתיקון פקודת העיריות (ועדת מכרזים), התשפ""ה-2025")</f>
        <v>2857</v>
      </c>
      <c r="E1309" t="s">
        <v>2857</v>
      </c>
      <c r="F1309" t="s">
        <v>2858</v>
      </c>
      <c r="G1309" t="s">
        <v>14</v>
      </c>
      <c r="H1309">
             </c>
      <c r="I1309" t="s">
        <v>14</v>
      </c>
      <c r="J1309" t="s">
        <v>242</v>
      </c>
      <c r="K1309" t="s">
        <v>14</v>
      </c>
      <c r="L1309" t="s">
        <v>20</v>
      </c>
      <c r="M1309" t="s">
        <v>2853</v>
      </c>
      <c r="N1309" t="s">
        <v>14</v>
      </c>
    </row>
    <row r="1310" x14ac:dyDescent="0.25">
      <c r="A1310" t="n">
        <v>25</v>
      </c>
      <c r="B1310" t="s">
        <v>14</v>
      </c>
      <c r="C1310" t="s">
        <v>51</v>
      </c>
      <c r="D1310" s="2" t="s">
        <f>=HYPERLINK("https://main.knesset.gov.il/APPS/legislation/main/bills/2234092", "הצעת חוק התפזרות הכנסת העשרים וחמש, התשפ""ה-2025")</f>
        <v>542</v>
      </c>
      <c r="E1310" t="s">
        <v>542</v>
      </c>
      <c r="F1310" t="s">
        <v>2859</v>
      </c>
      <c r="G1310" t="s">
        <v>14</v>
      </c>
      <c r="H1310">
             </c>
      <c r="I1310" t="s">
        <v>14</v>
      </c>
      <c r="J1310" t="s">
        <v>202</v>
      </c>
      <c r="K1310" t="s">
        <v>14</v>
      </c>
      <c r="L1310" t="s">
        <v>20</v>
      </c>
      <c r="M1310" t="s">
        <v>2853</v>
      </c>
      <c r="N1310" t="s">
        <v>14</v>
      </c>
    </row>
    <row r="1311" x14ac:dyDescent="0.25">
      <c r="A1311" t="n">
        <v>25</v>
      </c>
      <c r="B1311" t="s">
        <v>14</v>
      </c>
      <c r="C1311" t="s">
        <v>51</v>
      </c>
      <c r="D1311" s="2" t="s">
        <f>=HYPERLINK("https://main.knesset.gov.il/APPS/legislation/main/bills/2233761", "הצעת חוק התפזרות הכנסת העשרים וחמש, התשפ""ה-2025")</f>
        <v>542</v>
      </c>
      <c r="E1311" t="s">
        <v>542</v>
      </c>
      <c r="F1311" t="s">
        <v>2860</v>
      </c>
      <c r="G1311" t="s">
        <v>14</v>
      </c>
      <c r="H1311">
             </c>
      <c r="I1311" t="s">
        <v>14</v>
      </c>
      <c r="J1311" t="s">
        <v>242</v>
      </c>
      <c r="K1311" t="s">
        <v>14</v>
      </c>
      <c r="L1311" t="s">
        <v>20</v>
      </c>
      <c r="M1311" t="s">
        <v>2853</v>
      </c>
      <c r="N1311" t="s">
        <v>14</v>
      </c>
    </row>
    <row r="1312" x14ac:dyDescent="0.25">
      <c r="A1312" t="n">
        <v>25</v>
      </c>
      <c r="B1312" t="s">
        <v>14</v>
      </c>
      <c r="C1312" t="s">
        <v>51</v>
      </c>
      <c r="D1312" s="2" t="s">
        <f>=HYPERLINK("https://main.knesset.gov.il/APPS/legislation/main/bills/2234013", "הצעת חוק לתיקון פקודת העיריות (גמול כספי לחברי מועצה בעירייה), התשפ""ה-2025 ")</f>
        <v>2861</v>
      </c>
      <c r="E1312" t="s">
        <v>2861</v>
      </c>
      <c r="F1312" t="s">
        <v>2862</v>
      </c>
      <c r="G1312" t="s">
        <v>14</v>
      </c>
      <c r="H1312">
             </c>
      <c r="I1312" t="s">
        <v>14</v>
      </c>
      <c r="J1312" t="s">
        <v>242</v>
      </c>
      <c r="K1312" t="s">
        <v>14</v>
      </c>
      <c r="L1312" t="s">
        <v>20</v>
      </c>
      <c r="M1312" t="s">
        <v>2853</v>
      </c>
      <c r="N1312" t="s">
        <v>14</v>
      </c>
    </row>
    <row r="1313" x14ac:dyDescent="0.25">
      <c r="A1313" t="n">
        <v>25</v>
      </c>
      <c r="B1313" t="s">
        <v>14</v>
      </c>
      <c r="C1313" t="s">
        <v>51</v>
      </c>
      <c r="D1313" s="2" t="s">
        <f>=HYPERLINK("https://main.knesset.gov.il/APPS/legislation/main/bills/2232599", "הצעת חוק הרשויות המקומיות (בחירת ראש הרשות וסגניו וכהונתם) (תיקון - סגנים נוספים), התשפ""ה-2025")</f>
        <v>2863</v>
      </c>
      <c r="E1313" t="s">
        <v>2863</v>
      </c>
      <c r="F1313" t="s">
        <v>2864</v>
      </c>
      <c r="G1313" t="s">
        <v>14</v>
      </c>
      <c r="H1313">
             </c>
      <c r="I1313" t="s">
        <v>14</v>
      </c>
      <c r="J1313" t="s">
        <v>242</v>
      </c>
      <c r="K1313" t="s">
        <v>14</v>
      </c>
      <c r="L1313" t="s">
        <v>20</v>
      </c>
      <c r="M1313" t="s">
        <v>2853</v>
      </c>
      <c r="N1313" t="s">
        <v>14</v>
      </c>
    </row>
    <row r="1314" x14ac:dyDescent="0.25">
      <c r="A1314" t="n">
        <v>25</v>
      </c>
      <c r="B1314" t="s">
        <v>14</v>
      </c>
      <c r="C1314" t="s">
        <v>51</v>
      </c>
      <c r="D1314" s="2" t="s">
        <f>=HYPERLINK("https://main.knesset.gov.il/APPS/legislation/main/bills/2234032", "הצעת חוק זכויות בעלי חיים (העברת סמכויות הוועדה בכנסת) (תיקוני חקיקה), התשפ""ה-2025")</f>
        <v>2865</v>
      </c>
      <c r="E1314" t="s">
        <v>2865</v>
      </c>
      <c r="F1314" t="s">
        <v>2866</v>
      </c>
      <c r="G1314" t="s">
        <v>14</v>
      </c>
      <c r="H1314">
             </c>
      <c r="I1314" t="s">
        <v>14</v>
      </c>
      <c r="J1314" t="s">
        <v>242</v>
      </c>
      <c r="K1314" t="s">
        <v>14</v>
      </c>
      <c r="L1314" t="s">
        <v>20</v>
      </c>
      <c r="M1314" t="s">
        <v>2853</v>
      </c>
      <c r="N1314" t="s">
        <v>14</v>
      </c>
    </row>
    <row r="1315" x14ac:dyDescent="0.25">
      <c r="A1315" t="n">
        <v>25</v>
      </c>
      <c r="B1315" t="s">
        <v>14</v>
      </c>
      <c r="C1315" t="s">
        <v>51</v>
      </c>
      <c r="D1315" s="2" t="s">
        <f>=HYPERLINK("https://main.knesset.gov.il/APPS/legislation/main/bills/2234014", "הצעת חוק דוד בן-גוריון (תיקון - מינוי נציגי יד בן־גוריון למכון), התשפ""ה-2025")</f>
        <v>2867</v>
      </c>
      <c r="E1315" t="s">
        <v>2867</v>
      </c>
      <c r="F1315" t="s">
        <v>2868</v>
      </c>
      <c r="G1315" t="s">
        <v>14</v>
      </c>
      <c r="H1315">
             </c>
      <c r="I1315" t="s">
        <v>14</v>
      </c>
      <c r="J1315" t="s">
        <v>242</v>
      </c>
      <c r="K1315" t="s">
        <v>14</v>
      </c>
      <c r="L1315" t="s">
        <v>20</v>
      </c>
      <c r="M1315" t="s">
        <v>2853</v>
      </c>
      <c r="N1315" t="s">
        <v>14</v>
      </c>
    </row>
    <row r="1316" x14ac:dyDescent="0.25">
      <c r="A1316" t="n">
        <v>25</v>
      </c>
      <c r="B1316" t="s">
        <v>14</v>
      </c>
      <c r="C1316" t="s">
        <v>51</v>
      </c>
      <c r="D1316" s="2" t="s">
        <f>=HYPERLINK("https://main.knesset.gov.il/APPS/legislation/main/bills/2234069", "הצעת חוק עבודת נשים (תיקון - תקופת לידה והורות לגבר), התשפ""ה-2025")</f>
        <v>2869</v>
      </c>
      <c r="E1316" t="s">
        <v>2869</v>
      </c>
      <c r="F1316" t="s">
        <v>2870</v>
      </c>
      <c r="G1316" t="s">
        <v>14</v>
      </c>
      <c r="H1316">
             </c>
      <c r="I1316" t="s">
        <v>14</v>
      </c>
      <c r="J1316" t="s">
        <v>242</v>
      </c>
      <c r="K1316" t="s">
        <v>14</v>
      </c>
      <c r="L1316" t="s">
        <v>20</v>
      </c>
      <c r="M1316" t="s">
        <v>2853</v>
      </c>
      <c r="N1316" t="s">
        <v>14</v>
      </c>
    </row>
    <row r="1317" x14ac:dyDescent="0.25">
      <c r="A1317" t="n">
        <v>25</v>
      </c>
      <c r="B1317" t="s">
        <v>14</v>
      </c>
      <c r="C1317" t="s">
        <v>51</v>
      </c>
      <c r="D1317" s="2" t="s">
        <f>=HYPERLINK("https://main.knesset.gov.il/APPS/legislation/main/bills/2234073", "הצעת חוק תרומת ביציות (תיקון - תרומת ביציות בין בנות זוג), התשפ""ה-2025")</f>
        <v>2871</v>
      </c>
      <c r="E1317" t="s">
        <v>2871</v>
      </c>
      <c r="F1317" t="s">
        <v>2872</v>
      </c>
      <c r="G1317" t="s">
        <v>14</v>
      </c>
      <c r="H1317">
             </c>
      <c r="I1317" t="s">
        <v>14</v>
      </c>
      <c r="J1317" t="s">
        <v>242</v>
      </c>
      <c r="K1317" t="s">
        <v>14</v>
      </c>
      <c r="L1317" t="s">
        <v>20</v>
      </c>
      <c r="M1317" t="s">
        <v>2853</v>
      </c>
      <c r="N1317" t="s">
        <v>14</v>
      </c>
    </row>
    <row r="1318" x14ac:dyDescent="0.25">
      <c r="A1318" t="n">
        <v>25</v>
      </c>
      <c r="B1318" t="s">
        <v>14</v>
      </c>
      <c r="C1318" t="s">
        <v>51</v>
      </c>
      <c r="D1318" s="2" t="s">
        <f>=HYPERLINK("https://main.knesset.gov.il/APPS/legislation/main/bills/2234025", "הצעת חוק הסכמים לנשיאת עוברים (אישור הסכם ומעמד היילוד) (תיקון - הרחבת הזכאות להליכי נשיאת עוברים), התשפ""ה-2025")</f>
        <v>2873</v>
      </c>
      <c r="E1318" t="s">
        <v>2873</v>
      </c>
      <c r="F1318" t="s">
        <v>2874</v>
      </c>
      <c r="G1318" t="s">
        <v>14</v>
      </c>
      <c r="H1318">
             </c>
      <c r="I1318" t="s">
        <v>14</v>
      </c>
      <c r="J1318" t="s">
        <v>242</v>
      </c>
      <c r="K1318" t="s">
        <v>14</v>
      </c>
      <c r="L1318" t="s">
        <v>20</v>
      </c>
      <c r="M1318" t="s">
        <v>2853</v>
      </c>
      <c r="N1318" t="s">
        <v>14</v>
      </c>
    </row>
    <row r="1319" x14ac:dyDescent="0.25">
      <c r="A1319" t="n">
        <v>25</v>
      </c>
      <c r="B1319" t="s">
        <v>14</v>
      </c>
      <c r="C1319" t="s">
        <v>51</v>
      </c>
      <c r="D1319" s="2" t="s">
        <f>=HYPERLINK("https://main.knesset.gov.il/APPS/legislation/main/bills/2234068", "הצעת חוק עבודת נשים (תיקון - הוספת חלקו של חודש במניין), התשפ""ה-2025")</f>
        <v>2875</v>
      </c>
      <c r="E1319" t="s">
        <v>2875</v>
      </c>
      <c r="F1319" t="s">
        <v>2876</v>
      </c>
      <c r="G1319" t="s">
        <v>14</v>
      </c>
      <c r="H1319">
             </c>
      <c r="I1319" t="s">
        <v>14</v>
      </c>
      <c r="J1319" t="s">
        <v>242</v>
      </c>
      <c r="K1319" t="s">
        <v>14</v>
      </c>
      <c r="L1319" t="s">
        <v>20</v>
      </c>
      <c r="M1319" t="s">
        <v>2853</v>
      </c>
      <c r="N1319" t="s">
        <v>14</v>
      </c>
    </row>
    <row r="1320" x14ac:dyDescent="0.25">
      <c r="A1320" t="n">
        <v>25</v>
      </c>
      <c r="B1320" t="s">
        <v>14</v>
      </c>
      <c r="C1320" t="s">
        <v>51</v>
      </c>
      <c r="D1320" s="2" t="s">
        <f>=HYPERLINK("https://main.knesset.gov.il/APPS/legislation/main/bills/2234034", "הצעת חוק לשמירה על בטיחות מעליות, התשפ""ה-2025")</f>
        <v>2877</v>
      </c>
      <c r="E1320" t="s">
        <v>2877</v>
      </c>
      <c r="F1320" t="s">
        <v>2878</v>
      </c>
      <c r="G1320" t="s">
        <v>14</v>
      </c>
      <c r="H1320">
             </c>
      <c r="I1320" t="s">
        <v>14</v>
      </c>
      <c r="J1320" t="s">
        <v>242</v>
      </c>
      <c r="K1320" t="s">
        <v>14</v>
      </c>
      <c r="L1320" t="s">
        <v>20</v>
      </c>
      <c r="M1320" t="s">
        <v>2853</v>
      </c>
      <c r="N1320" t="s">
        <v>14</v>
      </c>
    </row>
    <row r="1321" x14ac:dyDescent="0.25">
      <c r="A1321" t="n">
        <v>25</v>
      </c>
      <c r="B1321" t="s">
        <v>14</v>
      </c>
      <c r="C1321" t="s">
        <v>51</v>
      </c>
      <c r="D1321" s="2" t="s">
        <f>=HYPERLINK("https://main.knesset.gov.il/APPS/legislation/main/bills/2234022", "הצעת חוק המתווכים במקרקעין (תיקון - אחריות לתשלום דמי תיווך), התשפ""ה-2025")</f>
        <v>2879</v>
      </c>
      <c r="E1321" t="s">
        <v>2879</v>
      </c>
      <c r="F1321" t="s">
        <v>2880</v>
      </c>
      <c r="G1321" t="s">
        <v>14</v>
      </c>
      <c r="H1321">
             </c>
      <c r="I1321" t="s">
        <v>14</v>
      </c>
      <c r="J1321" t="s">
        <v>242</v>
      </c>
      <c r="K1321" t="s">
        <v>14</v>
      </c>
      <c r="L1321" t="s">
        <v>20</v>
      </c>
      <c r="M1321" t="s">
        <v>2853</v>
      </c>
      <c r="N1321" t="s">
        <v>14</v>
      </c>
    </row>
    <row r="1322" x14ac:dyDescent="0.25">
      <c r="A1322" t="n">
        <v>25</v>
      </c>
      <c r="B1322" t="s">
        <v>14</v>
      </c>
      <c r="C1322" t="s">
        <v>51</v>
      </c>
      <c r="D1322" s="2" t="s">
        <f>=HYPERLINK("https://main.knesset.gov.il/APPS/legislation/main/bills/2234027", "הצעת חוק הפיקוח על צעצועים מסוכנים, התשפ""ה-2025")</f>
        <v>2881</v>
      </c>
      <c r="E1322" t="s">
        <v>2881</v>
      </c>
      <c r="F1322" t="s">
        <v>2882</v>
      </c>
      <c r="G1322" t="s">
        <v>14</v>
      </c>
      <c r="H1322">
             </c>
      <c r="I1322" t="s">
        <v>14</v>
      </c>
      <c r="J1322" t="s">
        <v>242</v>
      </c>
      <c r="K1322" t="s">
        <v>14</v>
      </c>
      <c r="L1322" t="s">
        <v>20</v>
      </c>
      <c r="M1322" t="s">
        <v>2853</v>
      </c>
      <c r="N1322" t="s">
        <v>14</v>
      </c>
    </row>
    <row r="1323" x14ac:dyDescent="0.25">
      <c r="A1323" t="n">
        <v>25</v>
      </c>
      <c r="B1323" t="s">
        <v>14</v>
      </c>
      <c r="C1323" t="s">
        <v>51</v>
      </c>
      <c r="D1323" s="2" t="s">
        <f>=HYPERLINK("https://main.knesset.gov.il/APPS/legislation/main/bills/2233820", "הצעת חוק הקאדים (תיקון - גיל פרישה לקאדי שילדו נפטר), התשפ""ה-2025")</f>
        <v>2883</v>
      </c>
      <c r="E1323" t="s">
        <v>2883</v>
      </c>
      <c r="F1323" t="s">
        <v>2884</v>
      </c>
      <c r="G1323" t="s">
        <v>14</v>
      </c>
      <c r="H1323">
             </c>
      <c r="I1323" t="s">
        <v>14</v>
      </c>
      <c r="J1323" t="s">
        <v>1372</v>
      </c>
      <c r="K1323" t="s">
        <v>14</v>
      </c>
      <c r="L1323" t="s">
        <v>20</v>
      </c>
      <c r="M1323" t="s">
        <v>2853</v>
      </c>
      <c r="N1323" t="s">
        <v>14</v>
      </c>
    </row>
    <row r="1324" x14ac:dyDescent="0.25">
      <c r="A1324" t="n">
        <v>25</v>
      </c>
      <c r="B1324" t="s">
        <v>14</v>
      </c>
      <c r="C1324" t="s">
        <v>51</v>
      </c>
      <c r="D1324" s="2" t="s">
        <f>=HYPERLINK("https://main.knesset.gov.il/APPS/legislation/main/bills/2234030", "הצעת חוק הרשויות המקומיות (בחירות) (תיקון - העלאת אחוז החסימה), התשפ""ה-2025")</f>
        <v>2885</v>
      </c>
      <c r="E1324" t="s">
        <v>2885</v>
      </c>
      <c r="F1324" t="s">
        <v>2886</v>
      </c>
      <c r="G1324" t="s">
        <v>14</v>
      </c>
      <c r="H1324">
             </c>
      <c r="I1324" t="s">
        <v>14</v>
      </c>
      <c r="J1324" t="s">
        <v>242</v>
      </c>
      <c r="K1324" t="s">
        <v>14</v>
      </c>
      <c r="L1324" t="s">
        <v>20</v>
      </c>
      <c r="M1324" t="s">
        <v>2853</v>
      </c>
      <c r="N1324" t="s">
        <v>14</v>
      </c>
    </row>
    <row r="1325" x14ac:dyDescent="0.25">
      <c r="A1325" t="n">
        <v>25</v>
      </c>
      <c r="B1325" t="s">
        <v>14</v>
      </c>
      <c r="C1325" t="s">
        <v>51</v>
      </c>
      <c r="D1325" s="2" t="s">
        <f>=HYPERLINK("https://main.knesset.gov.il/APPS/legislation/main/bills/2233660", "הצעת חוק הביטוח הלאומי (תיקון - עבודה מועדפת ביישובי קו העימות בצפון ובדרום), התשפ""ה-2025")</f>
        <v>2781</v>
      </c>
      <c r="E1325" t="s">
        <v>2781</v>
      </c>
      <c r="F1325" t="s">
        <v>2887</v>
      </c>
      <c r="G1325" t="s">
        <v>14</v>
      </c>
      <c r="H1325">
             </c>
      <c r="I1325" t="s">
        <v>14</v>
      </c>
      <c r="J1325" t="s">
        <v>242</v>
      </c>
      <c r="K1325" t="s">
        <v>14</v>
      </c>
      <c r="L1325" t="s">
        <v>20</v>
      </c>
      <c r="M1325" t="s">
        <v>2853</v>
      </c>
      <c r="N1325" t="s">
        <v>14</v>
      </c>
    </row>
    <row r="1326" x14ac:dyDescent="0.25">
      <c r="A1326" t="n">
        <v>25</v>
      </c>
      <c r="B1326" t="s">
        <v>14</v>
      </c>
      <c r="C1326" t="s">
        <v>51</v>
      </c>
      <c r="D1326" s="2" t="s">
        <f>=HYPERLINK("https://main.knesset.gov.il/APPS/legislation/main/bills/2232488", "הצעת חוק הרבנות הראשית לישראל (תיקון - מינוי מנהל כללי ותקציב הרבנות הראשית לישראל), התשפ""ה-2025")</f>
        <v>2888</v>
      </c>
      <c r="E1326" t="s">
        <v>2888</v>
      </c>
      <c r="F1326" t="s">
        <v>2889</v>
      </c>
      <c r="G1326" t="s">
        <v>14</v>
      </c>
      <c r="H1326">
             </c>
      <c r="I1326" t="s">
        <v>14</v>
      </c>
      <c r="J1326" t="s">
        <v>242</v>
      </c>
      <c r="K1326" t="s">
        <v>14</v>
      </c>
      <c r="L1326" t="s">
        <v>20</v>
      </c>
      <c r="M1326" t="s">
        <v>2853</v>
      </c>
      <c r="N1326" t="s">
        <v>14</v>
      </c>
    </row>
    <row r="1327" x14ac:dyDescent="0.25">
      <c r="A1327" t="n">
        <v>25</v>
      </c>
      <c r="B1327" t="s">
        <v>14</v>
      </c>
      <c r="C1327" t="s">
        <v>51</v>
      </c>
      <c r="D1327" s="2" t="s">
        <f>=HYPERLINK("https://main.knesset.gov.il/APPS/legislation/main/bills/2234019", "הצעת חוק החזקת תעודת זהות והצגתה (תיקון - תעודה מזהה), התשפ""ה-2025")</f>
        <v>2890</v>
      </c>
      <c r="E1327" t="s">
        <v>2890</v>
      </c>
      <c r="F1327" t="s">
        <v>2891</v>
      </c>
      <c r="G1327" t="s">
        <v>14</v>
      </c>
      <c r="H1327">
             </c>
      <c r="I1327" t="s">
        <v>14</v>
      </c>
      <c r="J1327" t="s">
        <v>242</v>
      </c>
      <c r="K1327" t="s">
        <v>14</v>
      </c>
      <c r="L1327" t="s">
        <v>20</v>
      </c>
      <c r="M1327" t="s">
        <v>2853</v>
      </c>
      <c r="N1327" t="s">
        <v>14</v>
      </c>
    </row>
    <row r="1328" x14ac:dyDescent="0.25">
      <c r="A1328" t="n">
        <v>25</v>
      </c>
      <c r="B1328" t="s">
        <v>14</v>
      </c>
      <c r="C1328" t="s">
        <v>51</v>
      </c>
      <c r="D1328" s="2" t="s">
        <f>=HYPERLINK("https://main.knesset.gov.il/APPS/legislation/main/bills/2234072", "הצעת חוק מרשם האוכלוסין (תיקון - רישום הורה נוסף), התשפ""ה-2025")</f>
        <v>2892</v>
      </c>
      <c r="E1328" t="s">
        <v>2892</v>
      </c>
      <c r="F1328" t="s">
        <v>2893</v>
      </c>
      <c r="G1328" t="s">
        <v>14</v>
      </c>
      <c r="H1328">
             </c>
      <c r="I1328" t="s">
        <v>14</v>
      </c>
      <c r="J1328" t="s">
        <v>242</v>
      </c>
      <c r="K1328" t="s">
        <v>14</v>
      </c>
      <c r="L1328" t="s">
        <v>20</v>
      </c>
      <c r="M1328" t="s">
        <v>2853</v>
      </c>
      <c r="N1328" t="s">
        <v>14</v>
      </c>
    </row>
    <row r="1329" x14ac:dyDescent="0.25">
      <c r="A1329" t="n">
        <v>25</v>
      </c>
      <c r="B1329" t="s">
        <v>14</v>
      </c>
      <c r="C1329" t="s">
        <v>51</v>
      </c>
      <c r="D1329" s="2" t="s">
        <f>=HYPERLINK("https://main.knesset.gov.il/APPS/legislation/main/bills/2234038", "הצעת חוק-יסוד: כבוד האדם וחירותו (תיקון - הזכות לשוויון)")</f>
        <v>2894</v>
      </c>
      <c r="E1329" t="s">
        <v>2894</v>
      </c>
      <c r="F1329" t="s">
        <v>2895</v>
      </c>
      <c r="G1329" t="s">
        <v>14</v>
      </c>
      <c r="H1329">
             </c>
      <c r="I1329" t="s">
        <v>14</v>
      </c>
      <c r="J1329" t="s">
        <v>242</v>
      </c>
      <c r="K1329" t="s">
        <v>14</v>
      </c>
      <c r="L1329" t="s">
        <v>20</v>
      </c>
      <c r="M1329" t="s">
        <v>2853</v>
      </c>
      <c r="N1329" t="s">
        <v>14</v>
      </c>
    </row>
    <row r="1330" x14ac:dyDescent="0.25">
      <c r="A1330" t="n">
        <v>25</v>
      </c>
      <c r="B1330" t="s">
        <v>14</v>
      </c>
      <c r="C1330" t="s">
        <v>51</v>
      </c>
      <c r="D1330" s="2" t="s">
        <f>=HYPERLINK("https://main.knesset.gov.il/APPS/legislation/main/bills/2233011", "הצעת חוק העונשין (תיקון - החמרת ענישה בריגול חמור ומגע עם סוכן חוץ), התשפ""ה-2025")</f>
        <v>2896</v>
      </c>
      <c r="E1330" t="s">
        <v>2896</v>
      </c>
      <c r="F1330" t="s">
        <v>2897</v>
      </c>
      <c r="G1330" t="s">
        <v>14</v>
      </c>
      <c r="H1330">
             </c>
      <c r="I1330" t="s">
        <v>14</v>
      </c>
      <c r="J1330" t="s">
        <v>242</v>
      </c>
      <c r="K1330" t="s">
        <v>14</v>
      </c>
      <c r="L1330" t="s">
        <v>20</v>
      </c>
      <c r="M1330" t="s">
        <v>2853</v>
      </c>
      <c r="N1330" t="s">
        <v>14</v>
      </c>
    </row>
    <row r="1331" x14ac:dyDescent="0.25">
      <c r="A1331" t="n">
        <v>25</v>
      </c>
      <c r="B1331" t="s">
        <v>14</v>
      </c>
      <c r="C1331" t="s">
        <v>51</v>
      </c>
      <c r="D1331" s="2" t="s">
        <f>=HYPERLINK("https://main.knesset.gov.il/APPS/legislation/main/bills/2233977", "הצעת חוק גנים לאומיים, שמורות טבע, אתרים לאומיים ואתרי הנצחה (תיקון - כניסת חתן וכלה ללא תשלום), התשפ""ה-2025")</f>
        <v>2898</v>
      </c>
      <c r="E1331" t="s">
        <v>2898</v>
      </c>
      <c r="F1331" t="s">
        <v>2899</v>
      </c>
      <c r="G1331" t="s">
        <v>14</v>
      </c>
      <c r="H1331">
             </c>
      <c r="I1331" t="s">
        <v>14</v>
      </c>
      <c r="J1331" t="s">
        <v>242</v>
      </c>
      <c r="K1331" t="s">
        <v>14</v>
      </c>
      <c r="L1331" t="s">
        <v>20</v>
      </c>
      <c r="M1331" t="s">
        <v>2853</v>
      </c>
      <c r="N1331" t="s">
        <v>14</v>
      </c>
    </row>
    <row r="1332" x14ac:dyDescent="0.25">
      <c r="A1332" t="n">
        <v>25</v>
      </c>
      <c r="B1332" t="s">
        <v>14</v>
      </c>
      <c r="C1332" t="s">
        <v>51</v>
      </c>
      <c r="D1332" s="2" t="s">
        <f>=HYPERLINK("https://main.knesset.gov.il/APPS/legislation/main/bills/2233790", "הצעת חוק הבנקאות (שירות ללקוח) (תיקון - מתן שירותי הפקדה בכל כספומט בנקאי), התשפ""ה-2025")</f>
        <v>2900</v>
      </c>
      <c r="E1332" t="s">
        <v>2900</v>
      </c>
      <c r="F1332" t="s">
        <v>2901</v>
      </c>
      <c r="G1332" t="s">
        <v>14</v>
      </c>
      <c r="H1332">
             </c>
      <c r="I1332" t="s">
        <v>14</v>
      </c>
      <c r="J1332" t="s">
        <v>242</v>
      </c>
      <c r="K1332" t="s">
        <v>14</v>
      </c>
      <c r="L1332" t="s">
        <v>20</v>
      </c>
      <c r="M1332" t="s">
        <v>2853</v>
      </c>
      <c r="N1332" t="s">
        <v>14</v>
      </c>
    </row>
    <row r="1333" x14ac:dyDescent="0.25">
      <c r="A1333" t="n">
        <v>25</v>
      </c>
      <c r="B1333" t="s">
        <v>14</v>
      </c>
      <c r="C1333" t="s">
        <v>51</v>
      </c>
      <c r="D1333" s="2" t="s">
        <f>=HYPERLINK("https://main.knesset.gov.il/APPS/legislation/main/bills/2233914", "הצעת חוק לתיקון פקודת התעבורה (הוראות לעניין סככות המתנה בתחנות אוטובוס), התשפ״ה-2025")</f>
        <v>2902</v>
      </c>
      <c r="E1333" t="s">
        <v>2902</v>
      </c>
      <c r="F1333" t="s">
        <v>2903</v>
      </c>
      <c r="G1333" t="s">
        <v>14</v>
      </c>
      <c r="H1333">
             </c>
      <c r="I1333" t="s">
        <v>14</v>
      </c>
      <c r="J1333" t="s">
        <v>242</v>
      </c>
      <c r="K1333" t="s">
        <v>14</v>
      </c>
      <c r="L1333" t="s">
        <v>20</v>
      </c>
      <c r="M1333" t="s">
        <v>2853</v>
      </c>
      <c r="N1333" t="s">
        <v>14</v>
      </c>
    </row>
    <row r="1334" x14ac:dyDescent="0.25">
      <c r="A1334" t="n">
        <v>25</v>
      </c>
      <c r="B1334" t="s">
        <v>14</v>
      </c>
      <c r="C1334" t="s">
        <v>51</v>
      </c>
      <c r="D1334" s="2" t="s">
        <f>=HYPERLINK("https://main.knesset.gov.il/APPS/legislation/main/bills/2233983", "הצעת חוק הבנקאות (שירות ללקוח) (תיקון - מסירת מידע על עמלות וריביות בשל פירעון מוקדם של הלוואה), התשפ""ה-2025")</f>
        <v>2759</v>
      </c>
      <c r="E1334" t="s">
        <v>2759</v>
      </c>
      <c r="F1334" t="s">
        <v>2904</v>
      </c>
      <c r="G1334" t="s">
        <v>14</v>
      </c>
      <c r="H1334">
             </c>
      <c r="I1334" t="s">
        <v>14</v>
      </c>
      <c r="J1334" t="s">
        <v>242</v>
      </c>
      <c r="K1334" t="s">
        <v>14</v>
      </c>
      <c r="L1334" t="s">
        <v>20</v>
      </c>
      <c r="M1334" t="s">
        <v>2853</v>
      </c>
      <c r="N1334" t="s">
        <v>14</v>
      </c>
    </row>
    <row r="1335" x14ac:dyDescent="0.25">
      <c r="A1335" t="n">
        <v>25</v>
      </c>
      <c r="B1335" t="s">
        <v>14</v>
      </c>
      <c r="C1335" t="s">
        <v>51</v>
      </c>
      <c r="D1335" s="2" t="s">
        <f>=HYPERLINK("https://main.knesset.gov.il/APPS/legislation/main/bills/2234134", "הצעת חוק הבנקאות (שירות ללקוח) (תיקון - ביטול פעולה מכוח הרשאה לחיוב בשל היעדר יתרה מספקת בחשבון והגבלת עמלות בשל הרשאה לחיוב), התשפ""ה-2025")</f>
        <v>2007</v>
      </c>
      <c r="E1335" t="s">
        <v>2007</v>
      </c>
      <c r="F1335" t="s">
        <v>2905</v>
      </c>
      <c r="G1335" t="s">
        <v>14</v>
      </c>
      <c r="H1335">
             </c>
      <c r="I1335" t="s">
        <v>14</v>
      </c>
      <c r="J1335" t="s">
        <v>242</v>
      </c>
      <c r="K1335" t="s">
        <v>14</v>
      </c>
      <c r="L1335" t="s">
        <v>20</v>
      </c>
      <c r="M1335" t="s">
        <v>2853</v>
      </c>
      <c r="N1335" t="s">
        <v>14</v>
      </c>
    </row>
    <row r="1336" x14ac:dyDescent="0.25">
      <c r="A1336" t="n">
        <v>25</v>
      </c>
      <c r="B1336" t="s">
        <v>14</v>
      </c>
      <c r="C1336" t="s">
        <v>51</v>
      </c>
      <c r="D1336" s="2" t="s">
        <f>=HYPERLINK("https://main.knesset.gov.il/APPS/legislation/main/bills/2233979", "הצעת חוק מחיקת רישומים בגין התקהלות אסורה, התשפ""ה-2025")</f>
        <v>2906</v>
      </c>
      <c r="E1336" t="s">
        <v>2906</v>
      </c>
      <c r="F1336" t="s">
        <v>2907</v>
      </c>
      <c r="G1336" t="s">
        <v>14</v>
      </c>
      <c r="H1336">
             </c>
      <c r="I1336" t="s">
        <v>14</v>
      </c>
      <c r="J1336" t="s">
        <v>242</v>
      </c>
      <c r="K1336" t="s">
        <v>14</v>
      </c>
      <c r="L1336" t="s">
        <v>20</v>
      </c>
      <c r="M1336" t="s">
        <v>2853</v>
      </c>
      <c r="N1336" t="s">
        <v>14</v>
      </c>
    </row>
    <row r="1337" x14ac:dyDescent="0.25">
      <c r="A1337" t="n">
        <v>25</v>
      </c>
      <c r="B1337" t="s">
        <v>14</v>
      </c>
      <c r="C1337" t="s">
        <v>51</v>
      </c>
      <c r="D1337" s="2" t="s">
        <f>=HYPERLINK("https://main.knesset.gov.il/APPS/legislation/main/bills/2234018", "הצעת חוק הביטוח הלאומי (תיקון - הודעה לפני גביית חוב), התשפ""ה-2025")</f>
        <v>2908</v>
      </c>
      <c r="E1337" t="s">
        <v>2908</v>
      </c>
      <c r="F1337" t="s">
        <v>2909</v>
      </c>
      <c r="G1337" t="s">
        <v>14</v>
      </c>
      <c r="H1337">
             </c>
      <c r="I1337" t="s">
        <v>14</v>
      </c>
      <c r="J1337" t="s">
        <v>242</v>
      </c>
      <c r="K1337" t="s">
        <v>14</v>
      </c>
      <c r="L1337" t="s">
        <v>20</v>
      </c>
      <c r="M1337" t="s">
        <v>2853</v>
      </c>
      <c r="N1337" t="s">
        <v>14</v>
      </c>
    </row>
    <row r="1338" x14ac:dyDescent="0.25">
      <c r="A1338" t="n">
        <v>25</v>
      </c>
      <c r="B1338" t="s">
        <v>14</v>
      </c>
      <c r="C1338" t="s">
        <v>51</v>
      </c>
      <c r="D1338" s="2" t="s">
        <f>=HYPERLINK("https://main.knesset.gov.il/APPS/legislation/main/bills/2234010", "הצעת חוק בתי המשפט (תיקון - תקופת צינון במועמדות חבר כנסת או שר למשרת שופט), התשפ""ה-2025")</f>
        <v>2910</v>
      </c>
      <c r="E1338" t="s">
        <v>2910</v>
      </c>
      <c r="F1338" t="s">
        <v>2911</v>
      </c>
      <c r="G1338" t="s">
        <v>14</v>
      </c>
      <c r="H1338">
             </c>
      <c r="I1338" t="s">
        <v>14</v>
      </c>
      <c r="J1338" t="s">
        <v>1372</v>
      </c>
      <c r="K1338" t="s">
        <v>14</v>
      </c>
      <c r="L1338" t="s">
        <v>20</v>
      </c>
      <c r="M1338" t="s">
        <v>2853</v>
      </c>
      <c r="N1338" t="s">
        <v>14</v>
      </c>
    </row>
    <row r="1339" x14ac:dyDescent="0.25">
      <c r="A1339" t="n">
        <v>25</v>
      </c>
      <c r="B1339" t="s">
        <v>14</v>
      </c>
      <c r="C1339" t="s">
        <v>51</v>
      </c>
      <c r="D1339" s="2" t="s">
        <f>=HYPERLINK("https://main.knesset.gov.il/APPS/legislation/main/bills/2232243", "הצעת חוק זיכרון השואה והגבורה - יד ושם (תיקון - הגדרת יד ושם כגוף מבוקר וחיזוק הפיקוח הפרלמנטרי עליו), התשפ""ה-2025")</f>
        <v>2912</v>
      </c>
      <c r="E1339" t="s">
        <v>2912</v>
      </c>
      <c r="F1339" t="s">
        <v>2913</v>
      </c>
      <c r="G1339" t="s">
        <v>14</v>
      </c>
      <c r="H1339">
             </c>
      <c r="I1339" t="s">
        <v>14</v>
      </c>
      <c r="J1339" t="s">
        <v>242</v>
      </c>
      <c r="K1339" t="s">
        <v>14</v>
      </c>
      <c r="L1339" t="s">
        <v>20</v>
      </c>
      <c r="M1339" t="s">
        <v>2853</v>
      </c>
      <c r="N1339" t="s">
        <v>14</v>
      </c>
    </row>
    <row r="1340" x14ac:dyDescent="0.25">
      <c r="A1340" t="n">
        <v>25</v>
      </c>
      <c r="B1340" t="s">
        <v>14</v>
      </c>
      <c r="C1340" t="s">
        <v>51</v>
      </c>
      <c r="D1340" s="2" t="s">
        <f>=HYPERLINK("https://main.knesset.gov.il/APPS/legislation/main/bills/2233789", "הצעת חוק דחיית תשלומי מס לעסק חדש (תיקוני חקיקה), התשפ""ה-2025")</f>
        <v>2914</v>
      </c>
      <c r="E1340" t="s">
        <v>2914</v>
      </c>
      <c r="F1340" t="s">
        <v>2915</v>
      </c>
      <c r="G1340" t="s">
        <v>14</v>
      </c>
      <c r="H1340">
             </c>
      <c r="I1340" t="s">
        <v>14</v>
      </c>
      <c r="J1340" t="s">
        <v>242</v>
      </c>
      <c r="K1340" t="s">
        <v>14</v>
      </c>
      <c r="L1340" t="s">
        <v>20</v>
      </c>
      <c r="M1340" t="s">
        <v>2853</v>
      </c>
      <c r="N1340" t="s">
        <v>14</v>
      </c>
    </row>
    <row r="1341" x14ac:dyDescent="0.25">
      <c r="A1341" t="n">
        <v>25</v>
      </c>
      <c r="B1341" t="s">
        <v>14</v>
      </c>
      <c r="C1341" t="s">
        <v>51</v>
      </c>
      <c r="D1341" s="2" t="s">
        <f>=HYPERLINK("https://main.knesset.gov.il/APPS/legislation/main/bills/2233773", "הצעת חוק לביטול ההתיישנות בעבירות מין במשפחה (תיקוני חקיקה), התשפ""ה-2025")</f>
        <v>2916</v>
      </c>
      <c r="E1341" t="s">
        <v>2916</v>
      </c>
      <c r="F1341" t="s">
        <v>2917</v>
      </c>
      <c r="G1341" t="s">
        <v>14</v>
      </c>
      <c r="H1341">
             </c>
      <c r="I1341" t="s">
        <v>14</v>
      </c>
      <c r="J1341" t="s">
        <v>242</v>
      </c>
      <c r="K1341" t="s">
        <v>14</v>
      </c>
      <c r="L1341" t="s">
        <v>20</v>
      </c>
      <c r="M1341" t="s">
        <v>2853</v>
      </c>
      <c r="N1341" t="s">
        <v>14</v>
      </c>
    </row>
    <row r="1342" x14ac:dyDescent="0.25">
      <c r="A1342" t="n">
        <v>25</v>
      </c>
      <c r="B1342" t="s">
        <v>14</v>
      </c>
      <c r="C1342" t="s">
        <v>51</v>
      </c>
      <c r="D1342" s="2" t="s">
        <f>=HYPERLINK("https://main.knesset.gov.il/APPS/legislation/main/bills/2234063", "הצעת חוק לתיקון פקודת מס הכנסה (פטור ממס למקבלי קצבת ילד נכה), התשפ""ה-2025")</f>
        <v>2918</v>
      </c>
      <c r="E1342" t="s">
        <v>2918</v>
      </c>
      <c r="F1342" t="s">
        <v>2919</v>
      </c>
      <c r="G1342" t="s">
        <v>14</v>
      </c>
      <c r="H1342">
             </c>
      <c r="I1342" t="s">
        <v>14</v>
      </c>
      <c r="J1342" t="s">
        <v>242</v>
      </c>
      <c r="K1342" t="s">
        <v>14</v>
      </c>
      <c r="L1342" t="s">
        <v>20</v>
      </c>
      <c r="M1342" t="s">
        <v>2853</v>
      </c>
      <c r="N1342" t="s">
        <v>14</v>
      </c>
    </row>
    <row r="1343" x14ac:dyDescent="0.25">
      <c r="A1343" t="n">
        <v>25</v>
      </c>
      <c r="B1343" t="s">
        <v>14</v>
      </c>
      <c r="C1343" t="s">
        <v>51</v>
      </c>
      <c r="D1343" s="2" t="s">
        <f>=HYPERLINK("https://main.knesset.gov.il/APPS/legislation/main/bills/2233940", "הצעת חוק תמיכה במימון פעילות ארגון נכי צה""ל ובתי הלוחם ובארגון נפגעי פעולות האיבה, התשפ""ה-2025")</f>
        <v>2650</v>
      </c>
      <c r="E1343" t="s">
        <v>2650</v>
      </c>
      <c r="F1343" t="s">
        <v>2920</v>
      </c>
      <c r="G1343" t="s">
        <v>14</v>
      </c>
      <c r="H1343">
             </c>
      <c r="I1343" t="s">
        <v>14</v>
      </c>
      <c r="J1343" t="s">
        <v>242</v>
      </c>
      <c r="K1343" t="s">
        <v>14</v>
      </c>
      <c r="L1343" t="s">
        <v>20</v>
      </c>
      <c r="M1343" t="s">
        <v>2853</v>
      </c>
      <c r="N1343" t="s">
        <v>14</v>
      </c>
    </row>
    <row r="1344" x14ac:dyDescent="0.25">
      <c r="A1344" t="n">
        <v>25</v>
      </c>
      <c r="B1344" t="s">
        <v>14</v>
      </c>
      <c r="C1344" t="s">
        <v>51</v>
      </c>
      <c r="D1344" s="2" t="s">
        <f>=HYPERLINK("https://main.knesset.gov.il/APPS/legislation/main/bills/2234020", "הצעת חוק המוזיאונים (תיקון - מוזיאונים להנצחה ולהנחלה של זכר השואה והגבורה), התשפ""ה-2025")</f>
        <v>2921</v>
      </c>
      <c r="E1344" t="s">
        <v>2921</v>
      </c>
      <c r="F1344" t="s">
        <v>2922</v>
      </c>
      <c r="G1344" t="s">
        <v>14</v>
      </c>
      <c r="H1344">
             </c>
      <c r="I1344" t="s">
        <v>14</v>
      </c>
      <c r="J1344" t="s">
        <v>242</v>
      </c>
      <c r="K1344" t="s">
        <v>14</v>
      </c>
      <c r="L1344" t="s">
        <v>20</v>
      </c>
      <c r="M1344" t="s">
        <v>2853</v>
      </c>
      <c r="N1344" t="s">
        <v>14</v>
      </c>
    </row>
    <row r="1345" x14ac:dyDescent="0.25">
      <c r="A1345" t="n">
        <v>25</v>
      </c>
      <c r="B1345" t="s">
        <v>14</v>
      </c>
      <c r="C1345" t="s">
        <v>51</v>
      </c>
      <c r="D1345" s="2" t="s">
        <f>=HYPERLINK("https://main.knesset.gov.il/APPS/legislation/main/bills/2234008", "הצעת חוק בית המשפט לענייני משפחה (תיקון - בני זוג מאותו המין), התשפ""ה-2025")</f>
        <v>2923</v>
      </c>
      <c r="E1345" t="s">
        <v>2923</v>
      </c>
      <c r="F1345" t="s">
        <v>2924</v>
      </c>
      <c r="G1345" t="s">
        <v>14</v>
      </c>
      <c r="H1345">
             </c>
      <c r="I1345" t="s">
        <v>14</v>
      </c>
      <c r="J1345" t="s">
        <v>242</v>
      </c>
      <c r="K1345" t="s">
        <v>14</v>
      </c>
      <c r="L1345" t="s">
        <v>20</v>
      </c>
      <c r="M1345" t="s">
        <v>2853</v>
      </c>
      <c r="N1345" t="s">
        <v>14</v>
      </c>
    </row>
    <row r="1346" x14ac:dyDescent="0.25">
      <c r="A1346" t="n">
        <v>25</v>
      </c>
      <c r="B1346" t="s">
        <v>14</v>
      </c>
      <c r="C1346" t="s">
        <v>51</v>
      </c>
      <c r="D1346" s="2" t="s">
        <f>=HYPERLINK("https://main.knesset.gov.il/APPS/legislation/main/bills/2234012", "הצעת חוק בתי המשפט (תיקון - צילום בבתי משפט), התשפ""ה-2025")</f>
        <v>2925</v>
      </c>
      <c r="E1346" t="s">
        <v>2925</v>
      </c>
      <c r="F1346" t="s">
        <v>2926</v>
      </c>
      <c r="G1346" t="s">
        <v>14</v>
      </c>
      <c r="H1346">
             </c>
      <c r="I1346" t="s">
        <v>14</v>
      </c>
      <c r="J1346" t="s">
        <v>242</v>
      </c>
      <c r="K1346" t="s">
        <v>14</v>
      </c>
      <c r="L1346" t="s">
        <v>20</v>
      </c>
      <c r="M1346" t="s">
        <v>2853</v>
      </c>
      <c r="N1346" t="s">
        <v>14</v>
      </c>
    </row>
    <row r="1347" x14ac:dyDescent="0.25">
      <c r="A1347" t="n">
        <v>25</v>
      </c>
      <c r="B1347" t="s">
        <v>14</v>
      </c>
      <c r="C1347" t="s">
        <v>51</v>
      </c>
      <c r="D1347" s="2" t="s">
        <f>=HYPERLINK("https://main.knesset.gov.il/APPS/legislation/main/bills/2233582", "הצעת חוק לתיקון פקודת מס הכנסה (ניכוי בעד שכר עובדים המשרתים במילואים), התשפ""ה-2025")</f>
        <v>2927</v>
      </c>
      <c r="E1347" t="s">
        <v>2927</v>
      </c>
      <c r="F1347" t="s">
        <v>2928</v>
      </c>
      <c r="G1347" t="s">
        <v>14</v>
      </c>
      <c r="H1347">
             </c>
      <c r="I1347" t="s">
        <v>14</v>
      </c>
      <c r="J1347" t="s">
        <v>242</v>
      </c>
      <c r="K1347" t="s">
        <v>14</v>
      </c>
      <c r="L1347" t="s">
        <v>20</v>
      </c>
      <c r="M1347" t="s">
        <v>2853</v>
      </c>
      <c r="N1347" t="s">
        <v>14</v>
      </c>
    </row>
    <row r="1348" x14ac:dyDescent="0.25">
      <c r="A1348" t="n">
        <v>25</v>
      </c>
      <c r="B1348" t="s">
        <v>14</v>
      </c>
      <c r="C1348" t="s">
        <v>51</v>
      </c>
      <c r="D1348" s="2" t="s">
        <f>=HYPERLINK("https://main.knesset.gov.il/APPS/legislation/main/bills/2233639", "הצעת חוק לביטול ההתיישנות בעבירות מין (תיקוני חקיקה), התשפ""ה-2025")</f>
        <v>2929</v>
      </c>
      <c r="E1348" t="s">
        <v>2929</v>
      </c>
      <c r="F1348" t="s">
        <v>2930</v>
      </c>
      <c r="G1348" t="s">
        <v>14</v>
      </c>
      <c r="H1348">
             </c>
      <c r="I1348" t="s">
        <v>14</v>
      </c>
      <c r="J1348" t="s">
        <v>242</v>
      </c>
      <c r="K1348" t="s">
        <v>14</v>
      </c>
      <c r="L1348" t="s">
        <v>20</v>
      </c>
      <c r="M1348" t="s">
        <v>2853</v>
      </c>
      <c r="N1348" t="s">
        <v>14</v>
      </c>
    </row>
    <row r="1349" x14ac:dyDescent="0.25">
      <c r="A1349" t="n">
        <v>25</v>
      </c>
      <c r="B1349" t="s">
        <v>14</v>
      </c>
      <c r="C1349" t="s">
        <v>51</v>
      </c>
      <c r="D1349" s="2" t="s">
        <f>=HYPERLINK("https://main.knesset.gov.il/APPS/legislation/main/bills/2234002", "הצעת חוק אימוץ ילדים (תיקון - כשירות לאמץ והתאמת מאמצים לילד), התשפ""ה-2025")</f>
        <v>2931</v>
      </c>
      <c r="E1349" t="s">
        <v>2931</v>
      </c>
      <c r="F1349" t="s">
        <v>2932</v>
      </c>
      <c r="G1349" t="s">
        <v>14</v>
      </c>
      <c r="H1349">
             </c>
      <c r="I1349" t="s">
        <v>14</v>
      </c>
      <c r="J1349" t="s">
        <v>242</v>
      </c>
      <c r="K1349" t="s">
        <v>14</v>
      </c>
      <c r="L1349" t="s">
        <v>20</v>
      </c>
      <c r="M1349" t="s">
        <v>2853</v>
      </c>
      <c r="N1349" t="s">
        <v>14</v>
      </c>
    </row>
    <row r="1350" x14ac:dyDescent="0.25">
      <c r="A1350" t="n">
        <v>25</v>
      </c>
      <c r="B1350" t="s">
        <v>14</v>
      </c>
      <c r="C1350" t="s">
        <v>51</v>
      </c>
      <c r="D1350" s="2" t="s">
        <f>=HYPERLINK("https://main.knesset.gov.il/APPS/legislation/main/bills/2233981", "הצעת חוק טיפול בפעוט עם מוגבלות (תיקוני חקיקה), התשפ""ה-2025")</f>
        <v>2933</v>
      </c>
      <c r="E1350" t="s">
        <v>2933</v>
      </c>
      <c r="F1350" t="s">
        <v>2934</v>
      </c>
      <c r="G1350" t="s">
        <v>14</v>
      </c>
      <c r="H1350">
             </c>
      <c r="I1350" t="s">
        <v>14</v>
      </c>
      <c r="J1350" t="s">
        <v>242</v>
      </c>
      <c r="K1350" t="s">
        <v>14</v>
      </c>
      <c r="L1350" t="s">
        <v>20</v>
      </c>
      <c r="M1350" t="s">
        <v>2853</v>
      </c>
      <c r="N1350" t="s">
        <v>14</v>
      </c>
    </row>
    <row r="1351" x14ac:dyDescent="0.25">
      <c r="A1351" t="n">
        <v>25</v>
      </c>
      <c r="B1351" t="s">
        <v>14</v>
      </c>
      <c r="C1351" t="s">
        <v>51</v>
      </c>
      <c r="D1351" s="2" t="s">
        <f>=HYPERLINK("https://main.knesset.gov.il/APPS/legislation/main/bills/2233568", "הצעת חוק הבטחת הכנסה (תיקון - זכאי לגמלה ששוהה מחוץ לישראל בשל מצב מיוחד) (הוראת שעה), התשפ""ה-2025")</f>
        <v>2935</v>
      </c>
      <c r="E1351" t="s">
        <v>2935</v>
      </c>
      <c r="F1351" t="s">
        <v>2936</v>
      </c>
      <c r="G1351" t="s">
        <v>14</v>
      </c>
      <c r="H1351">
             </c>
      <c r="I1351" t="s">
        <v>14</v>
      </c>
      <c r="J1351" t="s">
        <v>202</v>
      </c>
      <c r="K1351" t="s">
        <v>14</v>
      </c>
      <c r="L1351" t="s">
        <v>20</v>
      </c>
      <c r="M1351" t="s">
        <v>2853</v>
      </c>
      <c r="N1351" t="s">
        <v>14</v>
      </c>
    </row>
    <row r="1352" x14ac:dyDescent="0.25">
      <c r="A1352" t="n">
        <v>25</v>
      </c>
      <c r="B1352" t="s">
        <v>14</v>
      </c>
      <c r="C1352" t="s">
        <v>51</v>
      </c>
      <c r="D1352" s="2" t="s">
        <f>=HYPERLINK("https://main.knesset.gov.il/APPS/legislation/main/bills/2233980", "הצעת חוק הביטוח הלאומי (תיקון - תיאום דמי ביטוח), התשפ""ה-2025")</f>
        <v>2937</v>
      </c>
      <c r="E1352" t="s">
        <v>2937</v>
      </c>
      <c r="F1352" t="s">
        <v>2938</v>
      </c>
      <c r="G1352" t="s">
        <v>14</v>
      </c>
      <c r="H1352">
             </c>
      <c r="I1352" t="s">
        <v>14</v>
      </c>
      <c r="J1352" t="s">
        <v>242</v>
      </c>
      <c r="K1352" t="s">
        <v>14</v>
      </c>
      <c r="L1352" t="s">
        <v>20</v>
      </c>
      <c r="M1352" t="s">
        <v>2853</v>
      </c>
      <c r="N1352" t="s">
        <v>14</v>
      </c>
    </row>
    <row r="1353" x14ac:dyDescent="0.25">
      <c r="A1353" t="n">
        <v>25</v>
      </c>
      <c r="B1353" t="s">
        <v>14</v>
      </c>
      <c r="C1353" t="s">
        <v>51</v>
      </c>
      <c r="D1353" s="2" t="s">
        <f>=HYPERLINK("https://main.knesset.gov.il/APPS/legislation/main/bills/2233644", "הצעת חוק לתיקון פקודת מס הכנסה (הודעה בדבר זכאות לנקודת זיכוי), התשפ״ה-2025")</f>
        <v>2939</v>
      </c>
      <c r="E1353" t="s">
        <v>2939</v>
      </c>
      <c r="F1353" t="s">
        <v>2940</v>
      </c>
      <c r="G1353" t="s">
        <v>14</v>
      </c>
      <c r="H1353">
             </c>
      <c r="I1353" t="s">
        <v>14</v>
      </c>
      <c r="J1353" t="s">
        <v>242</v>
      </c>
      <c r="K1353" t="s">
        <v>14</v>
      </c>
      <c r="L1353" t="s">
        <v>20</v>
      </c>
      <c r="M1353" t="s">
        <v>2853</v>
      </c>
      <c r="N1353" t="s">
        <v>14</v>
      </c>
    </row>
    <row r="1354" x14ac:dyDescent="0.25">
      <c r="A1354" t="n">
        <v>25</v>
      </c>
      <c r="B1354" t="s">
        <v>14</v>
      </c>
      <c r="C1354" t="s">
        <v>51</v>
      </c>
      <c r="D1354" s="2" t="s">
        <f>=HYPERLINK("https://main.knesset.gov.il/APPS/legislation/main/bills/2234087", "הצעת חוק-יסוד: משק המדינה (תיקון - בחינת העלות לרשויות מקומיות)")</f>
        <v>2941</v>
      </c>
      <c r="E1354" t="s">
        <v>2941</v>
      </c>
      <c r="F1354" t="s">
        <v>2942</v>
      </c>
      <c r="G1354" t="s">
        <v>14</v>
      </c>
      <c r="H1354">
             </c>
      <c r="I1354" t="s">
        <v>14</v>
      </c>
      <c r="J1354" t="s">
        <v>242</v>
      </c>
      <c r="K1354" t="s">
        <v>14</v>
      </c>
      <c r="L1354" t="s">
        <v>20</v>
      </c>
      <c r="M1354" t="s">
        <v>2853</v>
      </c>
      <c r="N1354" t="s">
        <v>14</v>
      </c>
    </row>
    <row r="1355" x14ac:dyDescent="0.25">
      <c r="A1355" t="n">
        <v>25</v>
      </c>
      <c r="B1355" t="s">
        <v>14</v>
      </c>
      <c r="C1355" t="s">
        <v>51</v>
      </c>
      <c r="D1355" s="2" t="s">
        <f>=HYPERLINK("https://main.knesset.gov.il/APPS/legislation/main/bills/2233590", "הצעת חוק איסור צריכת זנות (הוראת שעה ותיקון חקיקה) (תיקון - עיגון כהוראת קבע), התשפ""ה- 2025")</f>
        <v>2943</v>
      </c>
      <c r="E1355" t="s">
        <v>2943</v>
      </c>
      <c r="F1355" t="s">
        <v>2944</v>
      </c>
      <c r="G1355" t="s">
        <v>14</v>
      </c>
      <c r="H1355">
             </c>
      <c r="I1355" t="s">
        <v>14</v>
      </c>
      <c r="J1355" t="s">
        <v>242</v>
      </c>
      <c r="K1355" t="s">
        <v>14</v>
      </c>
      <c r="L1355" t="s">
        <v>20</v>
      </c>
      <c r="M1355" t="s">
        <v>2853</v>
      </c>
      <c r="N1355" t="s">
        <v>14</v>
      </c>
    </row>
    <row r="1356" x14ac:dyDescent="0.25">
      <c r="A1356" t="n">
        <v>25</v>
      </c>
      <c r="B1356" t="s">
        <v>14</v>
      </c>
      <c r="C1356" t="s">
        <v>51</v>
      </c>
      <c r="D1356" s="2" t="s">
        <f>=HYPERLINK("https://main.knesset.gov.il/APPS/legislation/main/bills/2233976", "הצעת חוק זכויות החולה (תיקון - טיפול רפואי לקטין מגיל 15 ללא נוכחות הורה), התשפ""ה-2025")</f>
        <v>2945</v>
      </c>
      <c r="E1356" t="s">
        <v>2945</v>
      </c>
      <c r="F1356" t="s">
        <v>2946</v>
      </c>
      <c r="G1356" t="s">
        <v>14</v>
      </c>
      <c r="H1356">
             </c>
      <c r="I1356" t="s">
        <v>14</v>
      </c>
      <c r="J1356" t="s">
        <v>242</v>
      </c>
      <c r="K1356" t="s">
        <v>14</v>
      </c>
      <c r="L1356" t="s">
        <v>20</v>
      </c>
      <c r="M1356" t="s">
        <v>2853</v>
      </c>
      <c r="N1356" t="s">
        <v>14</v>
      </c>
    </row>
    <row r="1357" x14ac:dyDescent="0.25">
      <c r="A1357" t="n">
        <v>25</v>
      </c>
      <c r="B1357" t="s">
        <v>14</v>
      </c>
      <c r="C1357" t="s">
        <v>51</v>
      </c>
      <c r="D1357" s="2" t="s">
        <f>=HYPERLINK("https://main.knesset.gov.il/APPS/legislation/main/bills/2234006", "הצעת חוק הביטוח הלאומי (תיקון - גמלת אבל), התשפ""ה-2025")</f>
        <v>2947</v>
      </c>
      <c r="E1357" t="s">
        <v>2947</v>
      </c>
      <c r="F1357" t="s">
        <v>2948</v>
      </c>
      <c r="G1357" t="s">
        <v>14</v>
      </c>
      <c r="H1357">
             </c>
      <c r="I1357" t="s">
        <v>14</v>
      </c>
      <c r="J1357" t="s">
        <v>242</v>
      </c>
      <c r="K1357" t="s">
        <v>14</v>
      </c>
      <c r="L1357" t="s">
        <v>20</v>
      </c>
      <c r="M1357" t="s">
        <v>2853</v>
      </c>
      <c r="N1357" t="s">
        <v>14</v>
      </c>
    </row>
    <row r="1358" x14ac:dyDescent="0.25">
      <c r="A1358" t="n">
        <v>25</v>
      </c>
      <c r="B1358" t="s">
        <v>14</v>
      </c>
      <c r="C1358" t="s">
        <v>51</v>
      </c>
      <c r="D1358" s="2" t="s">
        <f>=HYPERLINK("https://main.knesset.gov.il/APPS/legislation/main/bills/2233973", "הצעת חוק מסירת מידע לחברי הכנסת ולוועדות הכנסת (תיקוני חקיקה), התשפ""ה-2025")</f>
        <v>2949</v>
      </c>
      <c r="E1358" t="s">
        <v>2949</v>
      </c>
      <c r="F1358" t="s">
        <v>2950</v>
      </c>
      <c r="G1358" t="s">
        <v>14</v>
      </c>
      <c r="H1358">
             </c>
      <c r="I1358" t="s">
        <v>14</v>
      </c>
      <c r="J1358" t="s">
        <v>242</v>
      </c>
      <c r="K1358" t="s">
        <v>14</v>
      </c>
      <c r="L1358" t="s">
        <v>20</v>
      </c>
      <c r="M1358" t="s">
        <v>2853</v>
      </c>
      <c r="N1358" t="s">
        <v>14</v>
      </c>
    </row>
    <row r="1359" x14ac:dyDescent="0.25">
      <c r="A1359" t="n">
        <v>25</v>
      </c>
      <c r="B1359" t="s">
        <v>14</v>
      </c>
      <c r="C1359" t="s">
        <v>51</v>
      </c>
      <c r="D1359" s="2" t="s">
        <f>=HYPERLINK("https://main.knesset.gov.il/APPS/legislation/main/bills/2233885", "הצעת חוק התגמולים לנפגעי פעולות איבה (תיקון - משפחה מלווה ליתומים בגירים), התשפ""ה-2025")</f>
        <v>2951</v>
      </c>
      <c r="E1359" t="s">
        <v>2951</v>
      </c>
      <c r="F1359" t="s">
        <v>2952</v>
      </c>
      <c r="G1359" t="s">
        <v>14</v>
      </c>
      <c r="H1359">
             </c>
      <c r="I1359" t="s">
        <v>14</v>
      </c>
      <c r="J1359" t="s">
        <v>242</v>
      </c>
      <c r="K1359" t="s">
        <v>14</v>
      </c>
      <c r="L1359" t="s">
        <v>20</v>
      </c>
      <c r="M1359" t="s">
        <v>2853</v>
      </c>
      <c r="N1359" t="s">
        <v>14</v>
      </c>
    </row>
    <row r="1360" x14ac:dyDescent="0.25">
      <c r="A1360" t="n">
        <v>25</v>
      </c>
      <c r="B1360" t="s">
        <v>14</v>
      </c>
      <c r="C1360" t="s">
        <v>51</v>
      </c>
      <c r="D1360" s="2" t="s">
        <f>=HYPERLINK("https://main.knesset.gov.il/APPS/legislation/main/bills/2233964", "הצעת חוק טיפול בכתות פוגעניות, התשפ""ה-2025")</f>
        <v>2953</v>
      </c>
      <c r="E1360" t="s">
        <v>2953</v>
      </c>
      <c r="F1360" t="s">
        <v>2954</v>
      </c>
      <c r="G1360" t="s">
        <v>14</v>
      </c>
      <c r="H1360">
             </c>
      <c r="I1360" t="s">
        <v>14</v>
      </c>
      <c r="J1360" t="s">
        <v>242</v>
      </c>
      <c r="K1360" t="s">
        <v>14</v>
      </c>
      <c r="L1360" t="s">
        <v>20</v>
      </c>
      <c r="M1360" t="s">
        <v>2853</v>
      </c>
      <c r="N1360" t="s">
        <v>14</v>
      </c>
    </row>
    <row r="1361" x14ac:dyDescent="0.25">
      <c r="A1361" t="n">
        <v>25</v>
      </c>
      <c r="B1361" t="s">
        <v>14</v>
      </c>
      <c r="C1361" t="s">
        <v>51</v>
      </c>
      <c r="D1361" s="2" t="s">
        <f>=HYPERLINK("https://main.knesset.gov.il/APPS/legislation/main/bills/2233788", "הצעת חוק טיפול בכתות פוגעניות, התשפ""ה-2025")</f>
        <v>2953</v>
      </c>
      <c r="E1361" t="s">
        <v>2953</v>
      </c>
      <c r="F1361" t="s">
        <v>2955</v>
      </c>
      <c r="G1361" t="s">
        <v>14</v>
      </c>
      <c r="H1361">
             </c>
      <c r="I1361" t="s">
        <v>14</v>
      </c>
      <c r="J1361" t="s">
        <v>242</v>
      </c>
      <c r="K1361" t="s">
        <v>14</v>
      </c>
      <c r="L1361" t="s">
        <v>20</v>
      </c>
      <c r="M1361" t="s">
        <v>2853</v>
      </c>
      <c r="N1361" t="s">
        <v>14</v>
      </c>
    </row>
    <row r="1362" x14ac:dyDescent="0.25">
      <c r="A1362" t="n">
        <v>25</v>
      </c>
      <c r="B1362" t="s">
        <v>14</v>
      </c>
      <c r="C1362" t="s">
        <v>51</v>
      </c>
      <c r="D1362" s="2" t="s">
        <f>=HYPERLINK("https://main.knesset.gov.il/APPS/legislation/main/bills/2233792", "הצעת חוק לתיקון פקודת הרוקחים (רכישת תרופות על ידי קטין מגיל 15), התשפ""ה-2025")</f>
        <v>2956</v>
      </c>
      <c r="E1362" t="s">
        <v>2956</v>
      </c>
      <c r="F1362" t="s">
        <v>2957</v>
      </c>
      <c r="G1362" t="s">
        <v>14</v>
      </c>
      <c r="H1362">
             </c>
      <c r="I1362" t="s">
        <v>14</v>
      </c>
      <c r="J1362" t="s">
        <v>242</v>
      </c>
      <c r="K1362" t="s">
        <v>14</v>
      </c>
      <c r="L1362" t="s">
        <v>20</v>
      </c>
      <c r="M1362" t="s">
        <v>2853</v>
      </c>
      <c r="N1362" t="s">
        <v>14</v>
      </c>
    </row>
    <row r="1363" x14ac:dyDescent="0.25">
      <c r="A1363" t="n">
        <v>25</v>
      </c>
      <c r="B1363" t="s">
        <v>14</v>
      </c>
      <c r="C1363" t="s">
        <v>51</v>
      </c>
      <c r="D1363" s="2" t="s">
        <f>=HYPERLINK("https://main.knesset.gov.il/APPS/legislation/main/bills/2221002", "הצעת חוק לתיקון פקודת בתי הסוהר (מס' 69), התשפ""ה–2025")</f>
        <v>2958</v>
      </c>
      <c r="E1363" t="s">
        <v>2958</v>
      </c>
      <c r="F1363" t="s">
        <v>2959</v>
      </c>
      <c r="G1363" t="s">
        <v>2960</v>
      </c>
      <c r="H1363">
             </c>
      <c r="I1363" t="s">
        <v>14</v>
      </c>
      <c r="J1363" t="s">
        <v>180</v>
      </c>
      <c r="K1363" t="s">
        <v>19</v>
      </c>
      <c r="L1363" t="s">
        <v>20</v>
      </c>
      <c r="M1363" t="s">
        <v>2853</v>
      </c>
      <c r="N1363" t="s">
        <v>14</v>
      </c>
    </row>
    <row r="1364" x14ac:dyDescent="0.25">
      <c r="A1364" t="n">
        <v>25</v>
      </c>
      <c r="B1364" t="s">
        <v>14</v>
      </c>
      <c r="C1364" t="s">
        <v>15</v>
      </c>
      <c r="D1364" s="2" t="s">
        <f>=HYPERLINK("https://main.knesset.gov.il/APPS/legislation/main/bills/2234269", "הצעת חוק העונשין (תיקון מס' 158) (אסון טבע, מלחמה ומצב חירום), התשפ""ה-2025")</f>
        <v>2961</v>
      </c>
      <c r="E1364" t="s">
        <v>2961</v>
      </c>
      <c r="F1364" t="s">
        <v>14</v>
      </c>
      <c r="G1364" t="s">
        <v>2962</v>
      </c>
      <c r="H1364">
             </c>
      <c r="I1364" t="s">
        <v>14</v>
      </c>
      <c r="J1364" t="s">
        <v>334</v>
      </c>
      <c r="K1364" t="s">
        <v>14</v>
      </c>
      <c r="L1364" t="s">
        <v>20</v>
      </c>
      <c r="M1364" t="s">
        <v>2853</v>
      </c>
      <c r="N1364" t="s">
        <v>14</v>
      </c>
    </row>
    <row r="1365" x14ac:dyDescent="0.25">
      <c r="A1365" t="n">
        <v>25</v>
      </c>
      <c r="B1365" t="s">
        <v>14</v>
      </c>
      <c r="C1365" t="s">
        <v>15</v>
      </c>
      <c r="D1365" s="2" t="s">
        <f>=HYPERLINK("https://main.knesset.gov.il/APPS/legislation/main/bills/2234283", "הצעת חוק מועצת הצמחים (ייצור ושיווק) (תיקון מס' 11), התשפ""ה-2025")</f>
        <v>2963</v>
      </c>
      <c r="E1365" t="s">
        <v>2963</v>
      </c>
      <c r="F1365" t="s">
        <v>14</v>
      </c>
      <c r="G1365" t="s">
        <v>2964</v>
      </c>
      <c r="H1365">
             </c>
      <c r="I1365" t="s">
        <v>14</v>
      </c>
      <c r="J1365" t="s">
        <v>334</v>
      </c>
      <c r="K1365" t="s">
        <v>14</v>
      </c>
      <c r="L1365" t="s">
        <v>20</v>
      </c>
      <c r="M1365" t="s">
        <v>2853</v>
      </c>
      <c r="N1365" t="s">
        <v>14</v>
      </c>
    </row>
    <row r="1366" x14ac:dyDescent="0.25">
      <c r="A1366" t="n">
        <v>25</v>
      </c>
      <c r="B1366" t="s">
        <v>14</v>
      </c>
      <c r="C1366" t="s">
        <v>51</v>
      </c>
      <c r="D1366" s="2" t="s">
        <f>=HYPERLINK("https://main.knesset.gov.il/APPS/legislation/main/bills/2199054", "הצעת חוק הגנת הצרכן (תיקון - חובת הקלטת שיחות, שמירתן ומסירתן לצרכן), התשפ""ג-2023")</f>
        <v>2965</v>
      </c>
      <c r="E1366" t="s">
        <v>2965</v>
      </c>
      <c r="F1366" t="s">
        <v>2966</v>
      </c>
      <c r="G1366" t="s">
        <v>14</v>
      </c>
      <c r="H1366">
             </c>
      <c r="I1366" t="s">
        <v>14</v>
      </c>
      <c r="J1366" t="s">
        <v>183</v>
      </c>
      <c r="K1366" t="s">
        <v>84</v>
      </c>
      <c r="L1366" t="s">
        <v>20</v>
      </c>
      <c r="M1366" t="s">
        <v>2967</v>
      </c>
      <c r="N1366" t="s">
        <v>14</v>
      </c>
    </row>
    <row r="1367" x14ac:dyDescent="0.25">
      <c r="A1367" t="n">
        <v>25</v>
      </c>
      <c r="B1367" t="s">
        <v>14</v>
      </c>
      <c r="C1367" t="s">
        <v>51</v>
      </c>
      <c r="D1367" s="2" t="s">
        <f>=HYPERLINK("https://main.knesset.gov.il/APPS/legislation/main/bills/2203246", "הצעת חוק הגנת הצרכן (תיקון - חובת הקלטה של עסקה טלפונית), התשפ""ג-2023")</f>
        <v>2968</v>
      </c>
      <c r="E1367" t="s">
        <v>2968</v>
      </c>
      <c r="F1367" t="s">
        <v>2969</v>
      </c>
      <c r="G1367" t="s">
        <v>14</v>
      </c>
      <c r="H1367">
             </c>
      <c r="I1367" t="s">
        <v>14</v>
      </c>
      <c r="J1367" t="s">
        <v>183</v>
      </c>
      <c r="K1367" t="s">
        <v>84</v>
      </c>
      <c r="L1367" t="s">
        <v>20</v>
      </c>
      <c r="M1367" t="s">
        <v>2967</v>
      </c>
      <c r="N1367" t="s">
        <v>14</v>
      </c>
    </row>
    <row r="1368" x14ac:dyDescent="0.25">
      <c r="A1368" t="n">
        <v>25</v>
      </c>
      <c r="B1368" t="s">
        <v>14</v>
      </c>
      <c r="C1368" t="s">
        <v>51</v>
      </c>
      <c r="D1368" s="2" t="s">
        <f>=HYPERLINK("https://main.knesset.gov.il/APPS/legislation/main/bills/2197087", "הצעת חוק איסור לכידת בעלי חיים באמצעות מלכודות אסורות, התשפ""ה-2025")</f>
        <v>2970</v>
      </c>
      <c r="E1368" t="s">
        <v>2970</v>
      </c>
      <c r="F1368" t="s">
        <v>2971</v>
      </c>
      <c r="G1368" t="s">
        <v>2972</v>
      </c>
      <c r="H1368">
             </c>
      <c r="I1368" t="s">
        <v>166</v>
      </c>
      <c r="J1368" t="s">
        <v>38</v>
      </c>
      <c r="K1368" t="s">
        <v>79</v>
      </c>
      <c r="L1368" t="s">
        <v>20</v>
      </c>
      <c r="M1368" t="s">
        <v>2967</v>
      </c>
      <c r="N1368" t="s">
        <v>14</v>
      </c>
    </row>
    <row r="1369" x14ac:dyDescent="0.25">
      <c r="A1369" t="n">
        <v>25</v>
      </c>
      <c r="B1369" t="s">
        <v>14</v>
      </c>
      <c r="C1369" t="s">
        <v>51</v>
      </c>
      <c r="D1369" s="2" t="s">
        <f>=HYPERLINK("https://main.knesset.gov.il/APPS/legislation/main/bills/2228138", "חוק איסור שהייה וישיבה בישראל שלא כדין (תיקוני חקיקה), התשפ""ה-2025")</f>
        <v>2973</v>
      </c>
      <c r="E1369" t="s">
        <v>2973</v>
      </c>
      <c r="F1369" t="s">
        <v>2974</v>
      </c>
      <c r="G1369" t="s">
        <v>2975</v>
      </c>
      <c r="H1369" t="n">
        <v>3441</v>
      </c>
      <c r="I1369" t="s">
        <v>14</v>
      </c>
      <c r="J1369" t="s">
        <v>18</v>
      </c>
      <c r="K1369" t="s">
        <v>39</v>
      </c>
      <c r="L1369" t="s">
        <v>20</v>
      </c>
      <c r="M1369" t="s">
        <v>2967</v>
      </c>
      <c r="N1369" t="s">
        <v>2976</v>
      </c>
    </row>
    <row r="1370" x14ac:dyDescent="0.25">
      <c r="A1370" t="n">
        <v>25</v>
      </c>
      <c r="B1370" t="s">
        <v>14</v>
      </c>
      <c r="C1370" t="s">
        <v>51</v>
      </c>
      <c r="D1370" s="2" t="s">
        <f>=HYPERLINK("https://main.knesset.gov.il/APPS/legislation/main/bills/2231157", "הצעת חוק התגמולים לנפגעי פעולות איבה (תיקון - קבורה בחלקה לבחירת המשפחה), התשפ""ה-2025")</f>
        <v>2977</v>
      </c>
      <c r="E1370" t="s">
        <v>2977</v>
      </c>
      <c r="F1370" t="s">
        <v>2978</v>
      </c>
      <c r="G1370" t="s">
        <v>14</v>
      </c>
      <c r="H1370">
             </c>
      <c r="I1370" t="s">
        <v>14</v>
      </c>
      <c r="J1370" t="s">
        <v>193</v>
      </c>
      <c r="K1370" t="s">
        <v>14</v>
      </c>
      <c r="L1370" t="s">
        <v>20</v>
      </c>
      <c r="M1370" t="s">
        <v>2967</v>
      </c>
      <c r="N1370" t="s">
        <v>14</v>
      </c>
    </row>
    <row r="1371" x14ac:dyDescent="0.25">
      <c r="A1371" t="n">
        <v>25</v>
      </c>
      <c r="B1371" t="s">
        <v>14</v>
      </c>
      <c r="C1371" t="s">
        <v>51</v>
      </c>
      <c r="D1371" s="2" t="s">
        <f>=HYPERLINK("https://main.knesset.gov.il/APPS/legislation/main/bills/2231152", "הצעת חוק-יסוד: הממשלה (תיקון - הגבלת תקופת כהונה של ראש הממשלה) ")</f>
        <v>1583</v>
      </c>
      <c r="E1371" t="s">
        <v>1583</v>
      </c>
      <c r="F1371" t="s">
        <v>2979</v>
      </c>
      <c r="G1371" t="s">
        <v>14</v>
      </c>
      <c r="H1371">
             </c>
      <c r="I1371" t="s">
        <v>14</v>
      </c>
      <c r="J1371" t="s">
        <v>193</v>
      </c>
      <c r="K1371" t="s">
        <v>14</v>
      </c>
      <c r="L1371" t="s">
        <v>20</v>
      </c>
      <c r="M1371" t="s">
        <v>2967</v>
      </c>
      <c r="N1371" t="s">
        <v>14</v>
      </c>
    </row>
    <row r="1372" x14ac:dyDescent="0.25">
      <c r="A1372" t="n">
        <v>25</v>
      </c>
      <c r="B1372" t="s">
        <v>14</v>
      </c>
      <c r="C1372" t="s">
        <v>51</v>
      </c>
      <c r="D1372" s="2" t="s">
        <f>=HYPERLINK("https://main.knesset.gov.il/APPS/legislation/main/bills/2227676", "הצעת חוק משק החשמל (תיקון - הוזלת תעריפי החשמל בימי שבת), התשפ""ה-2025")</f>
        <v>2980</v>
      </c>
      <c r="E1372" t="s">
        <v>2980</v>
      </c>
      <c r="F1372" t="s">
        <v>2981</v>
      </c>
      <c r="G1372" t="s">
        <v>14</v>
      </c>
      <c r="H1372">
             </c>
      <c r="I1372" t="s">
        <v>14</v>
      </c>
      <c r="J1372" t="s">
        <v>193</v>
      </c>
      <c r="K1372" t="s">
        <v>14</v>
      </c>
      <c r="L1372" t="s">
        <v>20</v>
      </c>
      <c r="M1372" t="s">
        <v>2967</v>
      </c>
      <c r="N1372" t="s">
        <v>14</v>
      </c>
    </row>
    <row r="1373" x14ac:dyDescent="0.25">
      <c r="A1373" t="n">
        <v>25</v>
      </c>
      <c r="B1373" t="s">
        <v>14</v>
      </c>
      <c r="C1373" t="s">
        <v>51</v>
      </c>
      <c r="D1373" s="2" t="s">
        <f>=HYPERLINK("https://main.knesset.gov.il/APPS/legislation/main/bills/2212215", "הצעת חוק זכויות הסטודנט (תיקון - הוראת שעה - חרבות ברזל) (מימון שכר לימוד למשרתי מילואים), התשפ״ד-2024")</f>
        <v>2982</v>
      </c>
      <c r="E1373" t="s">
        <v>2982</v>
      </c>
      <c r="F1373" t="s">
        <v>2983</v>
      </c>
      <c r="G1373" t="s">
        <v>14</v>
      </c>
      <c r="H1373">
             </c>
      <c r="I1373" t="s">
        <v>14</v>
      </c>
      <c r="J1373" t="s">
        <v>193</v>
      </c>
      <c r="K1373" t="s">
        <v>14</v>
      </c>
      <c r="L1373" t="s">
        <v>20</v>
      </c>
      <c r="M1373" t="s">
        <v>2967</v>
      </c>
      <c r="N1373" t="s">
        <v>14</v>
      </c>
    </row>
    <row r="1374" x14ac:dyDescent="0.25">
      <c r="A1374" t="n">
        <v>25</v>
      </c>
      <c r="B1374" t="s">
        <v>14</v>
      </c>
      <c r="C1374" t="s">
        <v>51</v>
      </c>
      <c r="D1374" s="2" t="s">
        <f>=HYPERLINK("https://main.knesset.gov.il/APPS/legislation/main/bills/2207565", "הצעת חוק הבחירות לכנסת (תיקון - הצבעת אנשי צוות אוויר), התשפ""ג-2023")</f>
        <v>2984</v>
      </c>
      <c r="E1374" t="s">
        <v>2984</v>
      </c>
      <c r="F1374" t="s">
        <v>2985</v>
      </c>
      <c r="G1374" t="s">
        <v>14</v>
      </c>
      <c r="H1374">
             </c>
      <c r="I1374" t="s">
        <v>14</v>
      </c>
      <c r="J1374" t="s">
        <v>193</v>
      </c>
      <c r="K1374" t="s">
        <v>14</v>
      </c>
      <c r="L1374" t="s">
        <v>20</v>
      </c>
      <c r="M1374" t="s">
        <v>2967</v>
      </c>
      <c r="N1374" t="s">
        <v>14</v>
      </c>
    </row>
    <row r="1375" x14ac:dyDescent="0.25">
      <c r="A1375" t="n">
        <v>25</v>
      </c>
      <c r="B1375" t="s">
        <v>14</v>
      </c>
      <c r="C1375" t="s">
        <v>51</v>
      </c>
      <c r="D1375" s="2" t="s">
        <f>=HYPERLINK("https://main.knesset.gov.il/APPS/legislation/main/bills/2203631", "הצעת חוק השבות (תיקון - זכויות בני משפחה), התשפ""ג-2023")</f>
        <v>2986</v>
      </c>
      <c r="E1375" t="s">
        <v>2986</v>
      </c>
      <c r="F1375" t="s">
        <v>2987</v>
      </c>
      <c r="G1375" t="s">
        <v>14</v>
      </c>
      <c r="H1375">
             </c>
      <c r="I1375" t="s">
        <v>14</v>
      </c>
      <c r="J1375" t="s">
        <v>193</v>
      </c>
      <c r="K1375" t="s">
        <v>14</v>
      </c>
      <c r="L1375" t="s">
        <v>20</v>
      </c>
      <c r="M1375" t="s">
        <v>2967</v>
      </c>
      <c r="N1375" t="s">
        <v>14</v>
      </c>
    </row>
    <row r="1376" x14ac:dyDescent="0.25">
      <c r="A1376" t="n">
        <v>25</v>
      </c>
      <c r="B1376" t="s">
        <v>14</v>
      </c>
      <c r="C1376" t="s">
        <v>51</v>
      </c>
      <c r="D1376" s="2" t="s">
        <f>=HYPERLINK("https://main.knesset.gov.il/APPS/legislation/main/bills/2196179", "הצעת חוק זכויות התלמיד (תיקון - מניעת פגיעה בתלמיד עקב פעילות המתקיימת במוסד חינוך בניגוד לטובת הילד ורצון ההורים), התשפ""ג-2023")</f>
        <v>2988</v>
      </c>
      <c r="E1376" t="s">
        <v>2988</v>
      </c>
      <c r="F1376" t="s">
        <v>2989</v>
      </c>
      <c r="G1376" t="s">
        <v>14</v>
      </c>
      <c r="H1376">
             </c>
      <c r="I1376" t="s">
        <v>14</v>
      </c>
      <c r="J1376" t="s">
        <v>202</v>
      </c>
      <c r="K1376" t="s">
        <v>14</v>
      </c>
      <c r="L1376" t="s">
        <v>20</v>
      </c>
      <c r="M1376" t="s">
        <v>2967</v>
      </c>
      <c r="N1376" t="s">
        <v>14</v>
      </c>
    </row>
    <row r="1377" x14ac:dyDescent="0.25">
      <c r="A1377" t="n">
        <v>25</v>
      </c>
      <c r="B1377" t="s">
        <v>14</v>
      </c>
      <c r="C1377" t="s">
        <v>51</v>
      </c>
      <c r="D1377" s="2" t="s">
        <f>=HYPERLINK("https://main.knesset.gov.il/APPS/legislation/main/bills/2198743", "הצעת חוק זכויות הסטודנט (תיקון מס' 10), התשפ""ה–2025")</f>
        <v>2990</v>
      </c>
      <c r="E1377" t="s">
        <v>2990</v>
      </c>
      <c r="F1377" t="s">
        <v>2991</v>
      </c>
      <c r="G1377" t="s">
        <v>2992</v>
      </c>
      <c r="H1377">
             </c>
      <c r="I1377" t="s">
        <v>14</v>
      </c>
      <c r="J1377" t="s">
        <v>232</v>
      </c>
      <c r="K1377" t="s">
        <v>79</v>
      </c>
      <c r="L1377" t="s">
        <v>20</v>
      </c>
      <c r="M1377" t="s">
        <v>2967</v>
      </c>
      <c r="N1377" t="s">
        <v>14</v>
      </c>
    </row>
    <row r="1378" x14ac:dyDescent="0.25">
      <c r="A1378" t="n">
        <v>25</v>
      </c>
      <c r="B1378" t="s">
        <v>14</v>
      </c>
      <c r="C1378" t="s">
        <v>15</v>
      </c>
      <c r="D1378" s="2" t="s">
        <f>=HYPERLINK("https://main.knesset.gov.il/APPS/legislation/main/bills/2234101", "הצעת חוק הסדרת הליכים לפני רשם קשרי משפחה, התשפ""ה-2025")</f>
        <v>2993</v>
      </c>
      <c r="E1378" t="s">
        <v>2993</v>
      </c>
      <c r="F1378" t="s">
        <v>14</v>
      </c>
      <c r="G1378" t="s">
        <v>2994</v>
      </c>
      <c r="H1378">
             </c>
      <c r="I1378" t="s">
        <v>14</v>
      </c>
      <c r="J1378" t="s">
        <v>162</v>
      </c>
      <c r="K1378" t="s">
        <v>14</v>
      </c>
      <c r="L1378" t="s">
        <v>20</v>
      </c>
      <c r="M1378" t="s">
        <v>2967</v>
      </c>
      <c r="N1378" t="s">
        <v>14</v>
      </c>
    </row>
    <row r="1379" x14ac:dyDescent="0.25">
      <c r="A1379" t="n">
        <v>25</v>
      </c>
      <c r="B1379" t="s">
        <v>14</v>
      </c>
      <c r="C1379" t="s">
        <v>15</v>
      </c>
      <c r="D1379" s="2" t="s">
        <f>=HYPERLINK("https://main.knesset.gov.il/APPS/legislation/main/bills/2234109", "הצעת חוק הסדרת העיסוק בשירותי מסחר בניירות ערך, התשפ""ה-2025 ")</f>
        <v>2995</v>
      </c>
      <c r="E1379" t="s">
        <v>2995</v>
      </c>
      <c r="F1379" t="s">
        <v>14</v>
      </c>
      <c r="G1379" t="s">
        <v>2996</v>
      </c>
      <c r="H1379">
             </c>
      <c r="I1379" t="s">
        <v>14</v>
      </c>
      <c r="J1379" t="s">
        <v>162</v>
      </c>
      <c r="K1379" t="s">
        <v>14</v>
      </c>
      <c r="L1379" t="s">
        <v>20</v>
      </c>
      <c r="M1379" t="s">
        <v>2967</v>
      </c>
      <c r="N1379" t="s">
        <v>14</v>
      </c>
    </row>
    <row r="1380" x14ac:dyDescent="0.25">
      <c r="A1380" t="n">
        <v>25</v>
      </c>
      <c r="B1380" t="s">
        <v>14</v>
      </c>
      <c r="C1380" t="s">
        <v>51</v>
      </c>
      <c r="D1380" s="2" t="s">
        <f>=HYPERLINK("https://main.knesset.gov.il/APPS/legislation/main/bills/2205266", "הצעת חוק המרכז לגביית קנסות, אגרות והוצאות (תיקון מס' 30) (פיצויים שהטיל בית משפט צבאי), התשפ""ד–2024")</f>
        <v>2997</v>
      </c>
      <c r="E1380" t="s">
        <v>2997</v>
      </c>
      <c r="F1380" t="s">
        <v>2998</v>
      </c>
      <c r="G1380" t="s">
        <v>2999</v>
      </c>
      <c r="H1380">
             </c>
      <c r="I1380" t="s">
        <v>166</v>
      </c>
      <c r="J1380" t="s">
        <v>38</v>
      </c>
      <c r="K1380" t="s">
        <v>27</v>
      </c>
      <c r="L1380" t="s">
        <v>20</v>
      </c>
      <c r="M1380" t="s">
        <v>3000</v>
      </c>
      <c r="N1380" t="s">
        <v>14</v>
      </c>
    </row>
    <row r="1381" x14ac:dyDescent="0.25">
      <c r="A1381" t="n">
        <v>25</v>
      </c>
      <c r="B1381" t="s">
        <v>14</v>
      </c>
      <c r="C1381" t="s">
        <v>15</v>
      </c>
      <c r="D1381" s="2" t="s">
        <f>=HYPERLINK("https://main.knesset.gov.il/APPS/legislation/main/bills/2229395", "הצעת חוק למניעת מפגעי אסבסט ואבק מזיק (תיקון מס' 5), התשפ""ה-2025")</f>
        <v>3001</v>
      </c>
      <c r="E1381" t="s">
        <v>3001</v>
      </c>
      <c r="F1381" t="s">
        <v>14</v>
      </c>
      <c r="G1381" t="s">
        <v>3002</v>
      </c>
      <c r="H1381">
             </c>
      <c r="I1381" t="s">
        <v>14</v>
      </c>
      <c r="J1381" t="s">
        <v>180</v>
      </c>
      <c r="K1381" t="s">
        <v>30</v>
      </c>
      <c r="L1381" t="s">
        <v>20</v>
      </c>
      <c r="M1381" t="s">
        <v>3000</v>
      </c>
      <c r="N1381" t="s">
        <v>14</v>
      </c>
    </row>
    <row r="1382" x14ac:dyDescent="0.25">
      <c r="A1382" t="n">
        <v>25</v>
      </c>
      <c r="B1382" t="s">
        <v>14</v>
      </c>
      <c r="C1382" t="s">
        <v>51</v>
      </c>
      <c r="D1382" s="2" t="s">
        <f>=HYPERLINK("https://main.knesset.gov.il/APPS/legislation/main/bills/2224774", "הצעת חוק איסור פרסומת והגבלת השיווק של מוצרי טבק ועישון (תיקון - איסור על ייצור ושיווק של חומר מילוי בטעם או בריח מובחן), התשפ""ה-2024")</f>
        <v>3003</v>
      </c>
      <c r="E1382" t="s">
        <v>3003</v>
      </c>
      <c r="F1382" t="s">
        <v>3004</v>
      </c>
      <c r="G1382" t="s">
        <v>14</v>
      </c>
      <c r="H1382">
             </c>
      <c r="I1382" t="s">
        <v>14</v>
      </c>
      <c r="J1382" t="s">
        <v>152</v>
      </c>
      <c r="K1382" t="s">
        <v>84</v>
      </c>
      <c r="L1382" t="s">
        <v>20</v>
      </c>
      <c r="M1382" t="s">
        <v>3005</v>
      </c>
      <c r="N1382" t="s">
        <v>14</v>
      </c>
    </row>
    <row r="1383" x14ac:dyDescent="0.25">
      <c r="A1383" t="n">
        <v>25</v>
      </c>
      <c r="B1383" t="s">
        <v>14</v>
      </c>
      <c r="C1383" t="s">
        <v>51</v>
      </c>
      <c r="D1383" s="2" t="s">
        <f>=HYPERLINK("https://main.knesset.gov.il/APPS/legislation/main/bills/2232648", "הצעת חוק תמיכה במערך הטיפול בחללים (הוראת שעה), התשפ״ה-2025")</f>
        <v>3006</v>
      </c>
      <c r="E1383" t="s">
        <v>3006</v>
      </c>
      <c r="F1383" t="s">
        <v>3007</v>
      </c>
      <c r="G1383" t="s">
        <v>14</v>
      </c>
      <c r="H1383">
             </c>
      <c r="I1383" t="s">
        <v>14</v>
      </c>
      <c r="J1383" t="s">
        <v>242</v>
      </c>
      <c r="K1383" t="s">
        <v>14</v>
      </c>
      <c r="L1383" t="s">
        <v>20</v>
      </c>
      <c r="M1383" t="s">
        <v>3005</v>
      </c>
      <c r="N1383" t="s">
        <v>14</v>
      </c>
    </row>
    <row r="1384" x14ac:dyDescent="0.25">
      <c r="A1384" t="n">
        <v>25</v>
      </c>
      <c r="B1384" t="s">
        <v>14</v>
      </c>
      <c r="C1384" t="s">
        <v>51</v>
      </c>
      <c r="D1384" s="2" t="s">
        <f>=HYPERLINK("https://main.knesset.gov.il/APPS/legislation/main/bills/2232246", "הצעת חוק התכנון והבנייה (תיקון - פטור מהיתר בנייה להקמת מערכת פוטו-וולטאית ומתקן לאגירת אנרגיה על גג בית ומבנה ציבור בנגב), התשפ""ה-2025")</f>
        <v>3008</v>
      </c>
      <c r="E1384" t="s">
        <v>3008</v>
      </c>
      <c r="F1384" t="s">
        <v>3009</v>
      </c>
      <c r="G1384" t="s">
        <v>14</v>
      </c>
      <c r="H1384">
             </c>
      <c r="I1384" t="s">
        <v>14</v>
      </c>
      <c r="J1384" t="s">
        <v>242</v>
      </c>
      <c r="K1384" t="s">
        <v>14</v>
      </c>
      <c r="L1384" t="s">
        <v>20</v>
      </c>
      <c r="M1384" t="s">
        <v>3005</v>
      </c>
      <c r="N1384" t="s">
        <v>14</v>
      </c>
    </row>
    <row r="1385" x14ac:dyDescent="0.25">
      <c r="A1385" t="n">
        <v>25</v>
      </c>
      <c r="B1385" t="s">
        <v>14</v>
      </c>
      <c r="C1385" t="s">
        <v>51</v>
      </c>
      <c r="D1385" s="2" t="s">
        <f>=HYPERLINK("https://main.knesset.gov.il/APPS/legislation/main/bills/2232493", "הצעת חוק התכנון והבנייה (תיקון - מכירה ישירה של תוצרת חקלאית), התשפ""ה-2025")</f>
        <v>2598</v>
      </c>
      <c r="E1385" t="s">
        <v>2598</v>
      </c>
      <c r="F1385" t="s">
        <v>3010</v>
      </c>
      <c r="G1385" t="s">
        <v>14</v>
      </c>
      <c r="H1385">
             </c>
      <c r="I1385" t="s">
        <v>14</v>
      </c>
      <c r="J1385" t="s">
        <v>242</v>
      </c>
      <c r="K1385" t="s">
        <v>14</v>
      </c>
      <c r="L1385" t="s">
        <v>20</v>
      </c>
      <c r="M1385" t="s">
        <v>3005</v>
      </c>
      <c r="N1385" t="s">
        <v>14</v>
      </c>
    </row>
    <row r="1386" x14ac:dyDescent="0.25">
      <c r="A1386" t="n">
        <v>25</v>
      </c>
      <c r="B1386" t="s">
        <v>14</v>
      </c>
      <c r="C1386" t="s">
        <v>51</v>
      </c>
      <c r="D1386" s="2" t="s">
        <f>=HYPERLINK("https://main.knesset.gov.il/APPS/legislation/main/bills/2228656", "הצעת חוק הסדרת הבתים המאזנים בישראל, התשפ""ה-2025")</f>
        <v>2777</v>
      </c>
      <c r="E1386" t="s">
        <v>2777</v>
      </c>
      <c r="F1386" t="s">
        <v>3011</v>
      </c>
      <c r="G1386" t="s">
        <v>14</v>
      </c>
      <c r="H1386">
             </c>
      <c r="I1386" t="s">
        <v>14</v>
      </c>
      <c r="J1386" t="s">
        <v>242</v>
      </c>
      <c r="K1386" t="s">
        <v>14</v>
      </c>
      <c r="L1386" t="s">
        <v>20</v>
      </c>
      <c r="M1386" t="s">
        <v>3005</v>
      </c>
      <c r="N1386" t="s">
        <v>14</v>
      </c>
    </row>
    <row r="1387" x14ac:dyDescent="0.25">
      <c r="A1387" t="n">
        <v>25</v>
      </c>
      <c r="B1387" t="s">
        <v>14</v>
      </c>
      <c r="C1387" t="s">
        <v>51</v>
      </c>
      <c r="D1387" s="2" t="s">
        <f>=HYPERLINK("https://main.knesset.gov.il/APPS/legislation/main/bills/2233239", "הצעת חוק העונשין (תיקון - החמרת ענישה ועונש מזערי על גניבה תוך ניצול מצב חירום), התשפ""ה-2025")</f>
        <v>3012</v>
      </c>
      <c r="E1387" t="s">
        <v>3012</v>
      </c>
      <c r="F1387" t="s">
        <v>3013</v>
      </c>
      <c r="G1387" t="s">
        <v>14</v>
      </c>
      <c r="H1387">
             </c>
      <c r="I1387" t="s">
        <v>14</v>
      </c>
      <c r="J1387" t="s">
        <v>242</v>
      </c>
      <c r="K1387" t="s">
        <v>14</v>
      </c>
      <c r="L1387" t="s">
        <v>20</v>
      </c>
      <c r="M1387" t="s">
        <v>3005</v>
      </c>
      <c r="N1387" t="s">
        <v>14</v>
      </c>
    </row>
    <row r="1388" x14ac:dyDescent="0.25">
      <c r="A1388" t="n">
        <v>25</v>
      </c>
      <c r="B1388" t="s">
        <v>14</v>
      </c>
      <c r="C1388" t="s">
        <v>51</v>
      </c>
      <c r="D1388" s="2" t="s">
        <f>=HYPERLINK("https://main.knesset.gov.il/APPS/legislation/main/bills/2232527", "הצעת חוק הבטחת גישה למזון בשעת חירום, התשפ""ה-2025")</f>
        <v>1587</v>
      </c>
      <c r="E1388" t="s">
        <v>1587</v>
      </c>
      <c r="F1388" t="s">
        <v>3014</v>
      </c>
      <c r="G1388" t="s">
        <v>14</v>
      </c>
      <c r="H1388">
             </c>
      <c r="I1388" t="s">
        <v>14</v>
      </c>
      <c r="J1388" t="s">
        <v>242</v>
      </c>
      <c r="K1388" t="s">
        <v>14</v>
      </c>
      <c r="L1388" t="s">
        <v>20</v>
      </c>
      <c r="M1388" t="s">
        <v>3005</v>
      </c>
      <c r="N1388" t="s">
        <v>14</v>
      </c>
    </row>
    <row r="1389" x14ac:dyDescent="0.25">
      <c r="A1389" t="n">
        <v>25</v>
      </c>
      <c r="B1389" t="s">
        <v>14</v>
      </c>
      <c r="C1389" t="s">
        <v>51</v>
      </c>
      <c r="D1389" s="2" t="s">
        <f>=HYPERLINK("https://main.knesset.gov.il/APPS/legislation/main/bills/2232549", "הצעת חוק נציבות תלונות הציבור על מייצגי המדינה בערכאות (תיקון - עצמאות הנציב וייעול הליכי בירור תלונות), התשפ""ה-2025")</f>
        <v>3015</v>
      </c>
      <c r="E1389" t="s">
        <v>3015</v>
      </c>
      <c r="F1389" t="s">
        <v>3016</v>
      </c>
      <c r="G1389" t="s">
        <v>14</v>
      </c>
      <c r="H1389">
             </c>
      <c r="I1389" t="s">
        <v>14</v>
      </c>
      <c r="J1389" t="s">
        <v>242</v>
      </c>
      <c r="K1389" t="s">
        <v>14</v>
      </c>
      <c r="L1389" t="s">
        <v>20</v>
      </c>
      <c r="M1389" t="s">
        <v>3005</v>
      </c>
      <c r="N1389" t="s">
        <v>14</v>
      </c>
    </row>
    <row r="1390" x14ac:dyDescent="0.25">
      <c r="A1390" t="n">
        <v>25</v>
      </c>
      <c r="B1390" t="s">
        <v>14</v>
      </c>
      <c r="C1390" t="s">
        <v>51</v>
      </c>
      <c r="D1390" s="2" t="s">
        <f>=HYPERLINK("https://main.knesset.gov.il/APPS/legislation/main/bills/2232268", "הצעת חוק הבנקאות (רישוי) (תיקון - איסור עיסוק במסחר ושמירה של מטבעות וירטואליים) (הוראת שעה), התשפ""ה-2025")</f>
        <v>3017</v>
      </c>
      <c r="E1390" t="s">
        <v>3017</v>
      </c>
      <c r="F1390" t="s">
        <v>3018</v>
      </c>
      <c r="G1390" t="s">
        <v>14</v>
      </c>
      <c r="H1390">
             </c>
      <c r="I1390" t="s">
        <v>14</v>
      </c>
      <c r="J1390" t="s">
        <v>242</v>
      </c>
      <c r="K1390" t="s">
        <v>14</v>
      </c>
      <c r="L1390" t="s">
        <v>20</v>
      </c>
      <c r="M1390" t="s">
        <v>3005</v>
      </c>
      <c r="N1390" t="s">
        <v>14</v>
      </c>
    </row>
    <row r="1391" x14ac:dyDescent="0.25">
      <c r="A1391" t="n">
        <v>25</v>
      </c>
      <c r="B1391" t="s">
        <v>14</v>
      </c>
      <c r="C1391" t="s">
        <v>51</v>
      </c>
      <c r="D1391" s="2" t="s">
        <f>=HYPERLINK("https://main.knesset.gov.il/APPS/legislation/main/bills/2232690", "הצעת חוק הרשות הארצית לכבאות והצלה (תיקון - הגבלת התאגדות וגיל פרישה), התשפ""ה-2025 ")</f>
        <v>3019</v>
      </c>
      <c r="E1391" t="s">
        <v>3019</v>
      </c>
      <c r="F1391" t="s">
        <v>3020</v>
      </c>
      <c r="G1391" t="s">
        <v>14</v>
      </c>
      <c r="H1391">
             </c>
      <c r="I1391" t="s">
        <v>14</v>
      </c>
      <c r="J1391" t="s">
        <v>242</v>
      </c>
      <c r="K1391" t="s">
        <v>14</v>
      </c>
      <c r="L1391" t="s">
        <v>20</v>
      </c>
      <c r="M1391" t="s">
        <v>3005</v>
      </c>
      <c r="N1391" t="s">
        <v>14</v>
      </c>
    </row>
    <row r="1392" x14ac:dyDescent="0.25">
      <c r="A1392" t="n">
        <v>25</v>
      </c>
      <c r="B1392" t="s">
        <v>14</v>
      </c>
      <c r="C1392" t="s">
        <v>51</v>
      </c>
      <c r="D1392" s="2" t="s">
        <f>=HYPERLINK("https://main.knesset.gov.il/APPS/legislation/main/bills/2232494", "הצעת חוק הרשות הארצית לכבאות והצלה (תיקון - הגבלת התאגדות וגיל פרישה), התשפ""ה-2025 ")</f>
        <v>3019</v>
      </c>
      <c r="E1392" t="s">
        <v>3019</v>
      </c>
      <c r="F1392" t="s">
        <v>3021</v>
      </c>
      <c r="G1392" t="s">
        <v>14</v>
      </c>
      <c r="H1392">
             </c>
      <c r="I1392" t="s">
        <v>14</v>
      </c>
      <c r="J1392" t="s">
        <v>242</v>
      </c>
      <c r="K1392" t="s">
        <v>14</v>
      </c>
      <c r="L1392" t="s">
        <v>20</v>
      </c>
      <c r="M1392" t="s">
        <v>3005</v>
      </c>
      <c r="N1392" t="s">
        <v>14</v>
      </c>
    </row>
    <row r="1393" x14ac:dyDescent="0.25">
      <c r="A1393" t="n">
        <v>25</v>
      </c>
      <c r="B1393" t="s">
        <v>14</v>
      </c>
      <c r="C1393" t="s">
        <v>51</v>
      </c>
      <c r="D1393" s="2" t="s">
        <f>=HYPERLINK("https://main.knesset.gov.il/APPS/legislation/main/bills/2232128", "הצעת חוק האופוזיציה ברשויות המקומיות (תיקוני חקיקה), התשפ""ה-2025")</f>
        <v>3022</v>
      </c>
      <c r="E1393" t="s">
        <v>3022</v>
      </c>
      <c r="F1393" t="s">
        <v>3023</v>
      </c>
      <c r="G1393" t="s">
        <v>14</v>
      </c>
      <c r="H1393">
             </c>
      <c r="I1393" t="s">
        <v>14</v>
      </c>
      <c r="J1393" t="s">
        <v>242</v>
      </c>
      <c r="K1393" t="s">
        <v>14</v>
      </c>
      <c r="L1393" t="s">
        <v>20</v>
      </c>
      <c r="M1393" t="s">
        <v>3005</v>
      </c>
      <c r="N1393" t="s">
        <v>14</v>
      </c>
    </row>
    <row r="1394" x14ac:dyDescent="0.25">
      <c r="A1394" t="n">
        <v>25</v>
      </c>
      <c r="B1394" t="s">
        <v>14</v>
      </c>
      <c r="C1394" t="s">
        <v>51</v>
      </c>
      <c r="D1394" s="2" t="s">
        <f>=HYPERLINK("https://main.knesset.gov.il/APPS/legislation/main/bills/2232480", "הצעת חוק העונשין (תיקון - פיצויים לנפגע עבירת סחיטת דמי חסות), התשפ""ה-2025")</f>
        <v>3024</v>
      </c>
      <c r="E1394" t="s">
        <v>3024</v>
      </c>
      <c r="F1394" t="s">
        <v>3025</v>
      </c>
      <c r="G1394" t="s">
        <v>14</v>
      </c>
      <c r="H1394">
             </c>
      <c r="I1394" t="s">
        <v>14</v>
      </c>
      <c r="J1394" t="s">
        <v>202</v>
      </c>
      <c r="K1394" t="s">
        <v>14</v>
      </c>
      <c r="L1394" t="s">
        <v>20</v>
      </c>
      <c r="M1394" t="s">
        <v>3005</v>
      </c>
      <c r="N1394" t="s">
        <v>14</v>
      </c>
    </row>
    <row r="1395" x14ac:dyDescent="0.25">
      <c r="A1395" t="n">
        <v>25</v>
      </c>
      <c r="B1395" t="s">
        <v>14</v>
      </c>
      <c r="C1395" t="s">
        <v>51</v>
      </c>
      <c r="D1395" s="2" t="s">
        <f>=HYPERLINK("https://main.knesset.gov.il/APPS/legislation/main/bills/2233186", "הצעת חוק העונשין (תיקון - עבירת ביזה), התשפ""ה-2025")</f>
        <v>2754</v>
      </c>
      <c r="E1395" t="s">
        <v>2754</v>
      </c>
      <c r="F1395" t="s">
        <v>3026</v>
      </c>
      <c r="G1395" t="s">
        <v>14</v>
      </c>
      <c r="H1395">
             </c>
      <c r="I1395" t="s">
        <v>14</v>
      </c>
      <c r="J1395" t="s">
        <v>242</v>
      </c>
      <c r="K1395" t="s">
        <v>14</v>
      </c>
      <c r="L1395" t="s">
        <v>20</v>
      </c>
      <c r="M1395" t="s">
        <v>3005</v>
      </c>
      <c r="N1395" t="s">
        <v>14</v>
      </c>
    </row>
    <row r="1396" x14ac:dyDescent="0.25">
      <c r="A1396" t="n">
        <v>25</v>
      </c>
      <c r="B1396" t="s">
        <v>14</v>
      </c>
      <c r="C1396" t="s">
        <v>51</v>
      </c>
      <c r="D1396" s="2" t="s">
        <f>=HYPERLINK("https://main.knesset.gov.il/APPS/legislation/main/bills/2231998", "הצעת חוק שירות המילואים (תיקון - הטבה ברכישת דירה ראשונה למשרת מילואים פעיל), התשפ""ה-2025")</f>
        <v>3027</v>
      </c>
      <c r="E1396" t="s">
        <v>3027</v>
      </c>
      <c r="F1396" t="s">
        <v>3028</v>
      </c>
      <c r="G1396" t="s">
        <v>14</v>
      </c>
      <c r="H1396">
             </c>
      <c r="I1396" t="s">
        <v>14</v>
      </c>
      <c r="J1396" t="s">
        <v>242</v>
      </c>
      <c r="K1396" t="s">
        <v>14</v>
      </c>
      <c r="L1396" t="s">
        <v>20</v>
      </c>
      <c r="M1396" t="s">
        <v>3005</v>
      </c>
      <c r="N1396" t="s">
        <v>14</v>
      </c>
    </row>
    <row r="1397" x14ac:dyDescent="0.25">
      <c r="A1397" t="n">
        <v>25</v>
      </c>
      <c r="B1397" t="s">
        <v>14</v>
      </c>
      <c r="C1397" t="s">
        <v>51</v>
      </c>
      <c r="D1397" s="2" t="s">
        <f>=HYPERLINK("https://main.knesset.gov.il/APPS/legislation/main/bills/2232486", "הצעת חוק סימון מנות בריאות במסעדות, התשפ""ה-2025")</f>
        <v>2723</v>
      </c>
      <c r="E1397" t="s">
        <v>2723</v>
      </c>
      <c r="F1397" t="s">
        <v>3029</v>
      </c>
      <c r="G1397" t="s">
        <v>14</v>
      </c>
      <c r="H1397">
             </c>
      <c r="I1397" t="s">
        <v>14</v>
      </c>
      <c r="J1397" t="s">
        <v>242</v>
      </c>
      <c r="K1397" t="s">
        <v>14</v>
      </c>
      <c r="L1397" t="s">
        <v>20</v>
      </c>
      <c r="M1397" t="s">
        <v>3005</v>
      </c>
      <c r="N1397" t="s">
        <v>14</v>
      </c>
    </row>
    <row r="1398" x14ac:dyDescent="0.25">
      <c r="A1398" t="n">
        <v>25</v>
      </c>
      <c r="B1398" t="s">
        <v>14</v>
      </c>
      <c r="C1398" t="s">
        <v>51</v>
      </c>
      <c r="D1398" s="2" t="s">
        <f>=HYPERLINK("https://main.knesset.gov.il/APPS/legislation/main/bills/2233613", "הצעת חוק חובת המכרזים (תיקון מס' 24 - הוראת שעה) (תיקון - הארכת הוראת השעה), התשפ""ה-2025")</f>
        <v>3030</v>
      </c>
      <c r="E1398" t="s">
        <v>3030</v>
      </c>
      <c r="F1398" t="s">
        <v>3031</v>
      </c>
      <c r="G1398" t="s">
        <v>14</v>
      </c>
      <c r="H1398">
             </c>
      <c r="I1398" t="s">
        <v>14</v>
      </c>
      <c r="J1398" t="s">
        <v>242</v>
      </c>
      <c r="K1398" t="s">
        <v>14</v>
      </c>
      <c r="L1398" t="s">
        <v>20</v>
      </c>
      <c r="M1398" t="s">
        <v>3005</v>
      </c>
      <c r="N1398" t="s">
        <v>14</v>
      </c>
    </row>
    <row r="1399" x14ac:dyDescent="0.25">
      <c r="A1399" t="n">
        <v>25</v>
      </c>
      <c r="B1399" t="s">
        <v>14</v>
      </c>
      <c r="C1399" t="s">
        <v>51</v>
      </c>
      <c r="D1399" s="2" t="s">
        <f>=HYPERLINK("https://main.knesset.gov.il/APPS/legislation/main/bills/2233021", "הצעת חוק הסדרת השימוש בקנאביס למטרות רפואיות, התשפ""ה-2025")</f>
        <v>2808</v>
      </c>
      <c r="E1399" t="s">
        <v>2808</v>
      </c>
      <c r="F1399" t="s">
        <v>3032</v>
      </c>
      <c r="G1399" t="s">
        <v>14</v>
      </c>
      <c r="H1399">
             </c>
      <c r="I1399" t="s">
        <v>14</v>
      </c>
      <c r="J1399" t="s">
        <v>242</v>
      </c>
      <c r="K1399" t="s">
        <v>14</v>
      </c>
      <c r="L1399" t="s">
        <v>20</v>
      </c>
      <c r="M1399" t="s">
        <v>3005</v>
      </c>
      <c r="N1399" t="s">
        <v>14</v>
      </c>
    </row>
    <row r="1400" x14ac:dyDescent="0.25">
      <c r="A1400" t="n">
        <v>25</v>
      </c>
      <c r="B1400" t="s">
        <v>14</v>
      </c>
      <c r="C1400" t="s">
        <v>51</v>
      </c>
      <c r="D1400" s="2" t="s">
        <f>=HYPERLINK("https://main.knesset.gov.il/APPS/legislation/main/bills/2233646", "הצעת חוק הביטוח הלאומי (תיקון - מענק בשל ירידה בהכנסות לעצמאים ששירתו במילואים במלחמת חרבות ברזל), התשפ״ה-2025")</f>
        <v>3033</v>
      </c>
      <c r="E1400" t="s">
        <v>3033</v>
      </c>
      <c r="F1400" t="s">
        <v>3034</v>
      </c>
      <c r="G1400" t="s">
        <v>14</v>
      </c>
      <c r="H1400">
             </c>
      <c r="I1400" t="s">
        <v>14</v>
      </c>
      <c r="J1400" t="s">
        <v>242</v>
      </c>
      <c r="K1400" t="s">
        <v>14</v>
      </c>
      <c r="L1400" t="s">
        <v>20</v>
      </c>
      <c r="M1400" t="s">
        <v>3005</v>
      </c>
      <c r="N1400" t="s">
        <v>14</v>
      </c>
    </row>
    <row r="1401" x14ac:dyDescent="0.25">
      <c r="A1401" t="n">
        <v>25</v>
      </c>
      <c r="B1401" t="s">
        <v>14</v>
      </c>
      <c r="C1401" t="s">
        <v>51</v>
      </c>
      <c r="D1401" s="2" t="s">
        <f>=HYPERLINK("https://main.knesset.gov.il/APPS/legislation/main/bills/2233645", "הצעת חוק אומנה לילדים (תיקון - העלאת גיל אומן), התשפ""ה-2025")</f>
        <v>1430</v>
      </c>
      <c r="E1401" t="s">
        <v>1430</v>
      </c>
      <c r="F1401" t="s">
        <v>3035</v>
      </c>
      <c r="G1401" t="s">
        <v>14</v>
      </c>
      <c r="H1401">
             </c>
      <c r="I1401" t="s">
        <v>14</v>
      </c>
      <c r="J1401" t="s">
        <v>242</v>
      </c>
      <c r="K1401" t="s">
        <v>14</v>
      </c>
      <c r="L1401" t="s">
        <v>20</v>
      </c>
      <c r="M1401" t="s">
        <v>3005</v>
      </c>
      <c r="N1401" t="s">
        <v>14</v>
      </c>
    </row>
    <row r="1402" x14ac:dyDescent="0.25">
      <c r="A1402" t="n">
        <v>25</v>
      </c>
      <c r="B1402" t="s">
        <v>14</v>
      </c>
      <c r="C1402" t="s">
        <v>51</v>
      </c>
      <c r="D1402" s="2" t="s">
        <f>=HYPERLINK("https://main.knesset.gov.il/APPS/legislation/main/bills/2232489", "הצעת חוק עידוד תרומות מזון (תיקון - חובת העברת עודפי מזון לארגון לחלוקת מזון), התשפ""ה-2025")</f>
        <v>2797</v>
      </c>
      <c r="E1402" t="s">
        <v>2797</v>
      </c>
      <c r="F1402" t="s">
        <v>3036</v>
      </c>
      <c r="G1402" t="s">
        <v>14</v>
      </c>
      <c r="H1402">
             </c>
      <c r="I1402" t="s">
        <v>14</v>
      </c>
      <c r="J1402" t="s">
        <v>242</v>
      </c>
      <c r="K1402" t="s">
        <v>14</v>
      </c>
      <c r="L1402" t="s">
        <v>20</v>
      </c>
      <c r="M1402" t="s">
        <v>3005</v>
      </c>
      <c r="N1402" t="s">
        <v>14</v>
      </c>
    </row>
    <row r="1403" x14ac:dyDescent="0.25">
      <c r="A1403" t="n">
        <v>25</v>
      </c>
      <c r="B1403" t="s">
        <v>14</v>
      </c>
      <c r="C1403" t="s">
        <v>51</v>
      </c>
      <c r="D1403" s="2" t="s">
        <f>=HYPERLINK("https://main.knesset.gov.il/APPS/legislation/main/bills/2233496", "הצעת חוק תמיכה במימון פעילות ארגון נכי צה""ל ובתי הלוחם ובארגון נפגעי פעולות האיבה, התשפ""ה-2025")</f>
        <v>2650</v>
      </c>
      <c r="E1403" t="s">
        <v>2650</v>
      </c>
      <c r="F1403" t="s">
        <v>3037</v>
      </c>
      <c r="G1403" t="s">
        <v>14</v>
      </c>
      <c r="H1403">
             </c>
      <c r="I1403" t="s">
        <v>14</v>
      </c>
      <c r="J1403" t="s">
        <v>242</v>
      </c>
      <c r="K1403" t="s">
        <v>14</v>
      </c>
      <c r="L1403" t="s">
        <v>20</v>
      </c>
      <c r="M1403" t="s">
        <v>3005</v>
      </c>
      <c r="N1403" t="s">
        <v>14</v>
      </c>
    </row>
    <row r="1404" x14ac:dyDescent="0.25">
      <c r="A1404" t="n">
        <v>25</v>
      </c>
      <c r="B1404" t="s">
        <v>14</v>
      </c>
      <c r="C1404" t="s">
        <v>51</v>
      </c>
      <c r="D1404" s="2" t="s">
        <f>=HYPERLINK("https://main.knesset.gov.il/APPS/legislation/main/bills/2215001", "הצעת חוק הירושה (תיקון מס' 22), התשפ""ה–2025")</f>
        <v>3038</v>
      </c>
      <c r="E1404" t="s">
        <v>3038</v>
      </c>
      <c r="F1404" t="s">
        <v>3039</v>
      </c>
      <c r="G1404" t="s">
        <v>3040</v>
      </c>
      <c r="H1404">
             </c>
      <c r="I1404" t="s">
        <v>14</v>
      </c>
      <c r="J1404" t="s">
        <v>180</v>
      </c>
      <c r="K1404" t="s">
        <v>27</v>
      </c>
      <c r="L1404" t="s">
        <v>20</v>
      </c>
      <c r="M1404" t="s">
        <v>3005</v>
      </c>
      <c r="N1404" t="s">
        <v>14</v>
      </c>
    </row>
    <row r="1405" x14ac:dyDescent="0.25">
      <c r="A1405" t="n">
        <v>25</v>
      </c>
      <c r="B1405" t="s">
        <v>14</v>
      </c>
      <c r="C1405" t="s">
        <v>51</v>
      </c>
      <c r="D1405" s="2" t="s">
        <f>=HYPERLINK("https://main.knesset.gov.il/APPS/legislation/main/bills/2207390", "הצעת חוק הרשויות המקומיות (תגמול לחברי מועצה), התשפ""ה–2025")</f>
        <v>3041</v>
      </c>
      <c r="E1405" t="s">
        <v>3041</v>
      </c>
      <c r="F1405" t="s">
        <v>3042</v>
      </c>
      <c r="G1405" t="s">
        <v>3043</v>
      </c>
      <c r="H1405">
             </c>
      <c r="I1405" t="s">
        <v>166</v>
      </c>
      <c r="J1405" t="s">
        <v>162</v>
      </c>
      <c r="K1405" t="s">
        <v>30</v>
      </c>
      <c r="L1405" t="s">
        <v>20</v>
      </c>
      <c r="M1405" t="s">
        <v>3005</v>
      </c>
      <c r="N1405" t="s">
        <v>14</v>
      </c>
    </row>
    <row r="1406" x14ac:dyDescent="0.25">
      <c r="A1406" t="n">
        <v>25</v>
      </c>
      <c r="B1406" t="s">
        <v>14</v>
      </c>
      <c r="C1406" t="s">
        <v>51</v>
      </c>
      <c r="D1406" s="2" t="s">
        <f>=HYPERLINK("https://main.knesset.gov.il/APPS/legislation/main/bills/2216748", "הצעת חוק הנוער (שפיטה, ענישה ודרכי טיפול) (תיקון - נוכחות עורך דין בחקירת קטין) (הוראת שעה), התשפ""ד-2024")</f>
        <v>3044</v>
      </c>
      <c r="E1406" t="s">
        <v>3044</v>
      </c>
      <c r="F1406" t="s">
        <v>3045</v>
      </c>
      <c r="G1406" t="s">
        <v>14</v>
      </c>
      <c r="H1406">
             </c>
      <c r="I1406" t="s">
        <v>14</v>
      </c>
      <c r="J1406" t="s">
        <v>183</v>
      </c>
      <c r="K1406" t="s">
        <v>27</v>
      </c>
      <c r="L1406" t="s">
        <v>20</v>
      </c>
      <c r="M1406" t="s">
        <v>3046</v>
      </c>
      <c r="N1406" t="s">
        <v>14</v>
      </c>
    </row>
    <row r="1407" x14ac:dyDescent="0.25">
      <c r="A1407" t="n">
        <v>25</v>
      </c>
      <c r="B1407" t="s">
        <v>14</v>
      </c>
      <c r="C1407" t="s">
        <v>51</v>
      </c>
      <c r="D1407" s="2" t="s">
        <f>=HYPERLINK("https://main.knesset.gov.il/APPS/legislation/main/bills/2232811", "הצעת חוק טיפול בכתות פוגעניות, התשפ""ה-2025")</f>
        <v>2953</v>
      </c>
      <c r="E1407" t="s">
        <v>2953</v>
      </c>
      <c r="F1407" t="s">
        <v>3047</v>
      </c>
      <c r="G1407" t="s">
        <v>14</v>
      </c>
      <c r="H1407">
             </c>
      <c r="I1407" t="s">
        <v>14</v>
      </c>
      <c r="J1407" t="s">
        <v>193</v>
      </c>
      <c r="K1407" t="s">
        <v>14</v>
      </c>
      <c r="L1407" t="s">
        <v>20</v>
      </c>
      <c r="M1407" t="s">
        <v>3048</v>
      </c>
      <c r="N1407" t="s">
        <v>14</v>
      </c>
    </row>
    <row r="1408" x14ac:dyDescent="0.25">
      <c r="A1408" t="n">
        <v>25</v>
      </c>
      <c r="B1408" t="s">
        <v>14</v>
      </c>
      <c r="C1408" t="s">
        <v>51</v>
      </c>
      <c r="D1408" s="2" t="s">
        <f>=HYPERLINK("https://main.knesset.gov.il/APPS/legislation/main/bills/2230549", "הצעת חוק הביטוח הלאומי (תיקון - דמי אבטלה לעצמאים), התשפ""ה-2025")</f>
        <v>3049</v>
      </c>
      <c r="E1408" t="s">
        <v>3049</v>
      </c>
      <c r="F1408" t="s">
        <v>3050</v>
      </c>
      <c r="G1408" t="s">
        <v>14</v>
      </c>
      <c r="H1408">
             </c>
      <c r="I1408" t="s">
        <v>14</v>
      </c>
      <c r="J1408" t="s">
        <v>193</v>
      </c>
      <c r="K1408" t="s">
        <v>14</v>
      </c>
      <c r="L1408" t="s">
        <v>20</v>
      </c>
      <c r="M1408" t="s">
        <v>3048</v>
      </c>
      <c r="N1408" t="s">
        <v>14</v>
      </c>
    </row>
    <row r="1409" x14ac:dyDescent="0.25">
      <c r="A1409" t="n">
        <v>25</v>
      </c>
      <c r="B1409" t="s">
        <v>14</v>
      </c>
      <c r="C1409" t="s">
        <v>51</v>
      </c>
      <c r="D1409" s="2" t="s">
        <f>=HYPERLINK("https://main.knesset.gov.il/APPS/legislation/main/bills/2230604", "הצעת חוק טיפול בכתות פוגעניות, התשפ""ה-2025")</f>
        <v>2953</v>
      </c>
      <c r="E1409" t="s">
        <v>2953</v>
      </c>
      <c r="F1409" t="s">
        <v>3051</v>
      </c>
      <c r="G1409" t="s">
        <v>14</v>
      </c>
      <c r="H1409">
             </c>
      <c r="I1409" t="s">
        <v>14</v>
      </c>
      <c r="J1409" t="s">
        <v>193</v>
      </c>
      <c r="K1409" t="s">
        <v>14</v>
      </c>
      <c r="L1409" t="s">
        <v>20</v>
      </c>
      <c r="M1409" t="s">
        <v>3048</v>
      </c>
      <c r="N1409" t="s">
        <v>14</v>
      </c>
    </row>
    <row r="1410" x14ac:dyDescent="0.25">
      <c r="A1410" t="n">
        <v>25</v>
      </c>
      <c r="B1410" t="s">
        <v>14</v>
      </c>
      <c r="C1410" t="s">
        <v>51</v>
      </c>
      <c r="D1410" s="2" t="s">
        <f>=HYPERLINK("https://main.knesset.gov.il/APPS/legislation/main/bills/2229920", "הצעת חוק להגדרת רצועת עזה כאזור עוין ואיסור יחסי מסחר, התשפ""ה-2025")</f>
        <v>1271</v>
      </c>
      <c r="E1410" t="s">
        <v>1271</v>
      </c>
      <c r="F1410" t="s">
        <v>3052</v>
      </c>
      <c r="G1410" t="s">
        <v>14</v>
      </c>
      <c r="H1410">
             </c>
      <c r="I1410" t="s">
        <v>14</v>
      </c>
      <c r="J1410" t="s">
        <v>193</v>
      </c>
      <c r="K1410" t="s">
        <v>14</v>
      </c>
      <c r="L1410" t="s">
        <v>20</v>
      </c>
      <c r="M1410" t="s">
        <v>3048</v>
      </c>
      <c r="N1410" t="s">
        <v>14</v>
      </c>
    </row>
    <row r="1411" x14ac:dyDescent="0.25">
      <c r="A1411" t="n">
        <v>25</v>
      </c>
      <c r="B1411" t="s">
        <v>14</v>
      </c>
      <c r="C1411" t="s">
        <v>51</v>
      </c>
      <c r="D1411" s="2" t="s">
        <f>=HYPERLINK("https://main.knesset.gov.il/APPS/legislation/main/bills/2225190", "הצעת חוק שירות ביטחון (תיקון - סיוע טיפולי לבוגרי השירות הצבאי), התשפ""ה-2025")</f>
        <v>3053</v>
      </c>
      <c r="E1411" t="s">
        <v>3053</v>
      </c>
      <c r="F1411" t="s">
        <v>3054</v>
      </c>
      <c r="G1411" t="s">
        <v>14</v>
      </c>
      <c r="H1411">
             </c>
      <c r="I1411" t="s">
        <v>14</v>
      </c>
      <c r="J1411" t="s">
        <v>193</v>
      </c>
      <c r="K1411" t="s">
        <v>14</v>
      </c>
      <c r="L1411" t="s">
        <v>20</v>
      </c>
      <c r="M1411" t="s">
        <v>3048</v>
      </c>
      <c r="N1411" t="s">
        <v>14</v>
      </c>
    </row>
    <row r="1412" x14ac:dyDescent="0.25">
      <c r="A1412" t="n">
        <v>25</v>
      </c>
      <c r="B1412" t="s">
        <v>14</v>
      </c>
      <c r="C1412" t="s">
        <v>51</v>
      </c>
      <c r="D1412" s="2" t="s">
        <f>=HYPERLINK("https://main.knesset.gov.il/APPS/legislation/main/bills/2220735", "הצעת חוק ביטוח בריאות ממלכתי (תיקון - הפחתה בדמי ביטוח בריאות לתושבי הפריפריה), התשפ""ד-2024")</f>
        <v>3055</v>
      </c>
      <c r="E1412" t="s">
        <v>3055</v>
      </c>
      <c r="F1412" t="s">
        <v>3056</v>
      </c>
      <c r="G1412" t="s">
        <v>14</v>
      </c>
      <c r="H1412">
             </c>
      <c r="I1412" t="s">
        <v>14</v>
      </c>
      <c r="J1412" t="s">
        <v>193</v>
      </c>
      <c r="K1412" t="s">
        <v>14</v>
      </c>
      <c r="L1412" t="s">
        <v>20</v>
      </c>
      <c r="M1412" t="s">
        <v>3048</v>
      </c>
      <c r="N1412" t="s">
        <v>14</v>
      </c>
    </row>
    <row r="1413" x14ac:dyDescent="0.25">
      <c r="A1413" t="n">
        <v>25</v>
      </c>
      <c r="B1413" t="s">
        <v>14</v>
      </c>
      <c r="C1413" t="s">
        <v>51</v>
      </c>
      <c r="D1413" s="2" t="s">
        <f>=HYPERLINK("https://main.knesset.gov.il/APPS/legislation/main/bills/2205614", "הצעת חוק לתיקון פקודת העיריות (ועדת מכרזים), התשפ""ג-2023")</f>
        <v>3057</v>
      </c>
      <c r="E1413" t="s">
        <v>3057</v>
      </c>
      <c r="F1413" t="s">
        <v>3058</v>
      </c>
      <c r="G1413" t="s">
        <v>14</v>
      </c>
      <c r="H1413">
             </c>
      <c r="I1413" t="s">
        <v>14</v>
      </c>
      <c r="J1413" t="s">
        <v>193</v>
      </c>
      <c r="K1413" t="s">
        <v>14</v>
      </c>
      <c r="L1413" t="s">
        <v>20</v>
      </c>
      <c r="M1413" t="s">
        <v>3048</v>
      </c>
      <c r="N1413" t="s">
        <v>14</v>
      </c>
    </row>
    <row r="1414" x14ac:dyDescent="0.25">
      <c r="A1414" t="n">
        <v>25</v>
      </c>
      <c r="B1414" t="s">
        <v>14</v>
      </c>
      <c r="C1414" t="s">
        <v>51</v>
      </c>
      <c r="D1414" s="2" t="s">
        <f>=HYPERLINK("https://main.knesset.gov.il/APPS/legislation/main/bills/2202389", "הצעת חוק טיפול בכתות פוגעניות, התשפ""ג-2023")</f>
        <v>3059</v>
      </c>
      <c r="E1414" t="s">
        <v>3059</v>
      </c>
      <c r="F1414" t="s">
        <v>3060</v>
      </c>
      <c r="G1414" t="s">
        <v>14</v>
      </c>
      <c r="H1414">
             </c>
      <c r="I1414" t="s">
        <v>14</v>
      </c>
      <c r="J1414" t="s">
        <v>193</v>
      </c>
      <c r="K1414" t="s">
        <v>14</v>
      </c>
      <c r="L1414" t="s">
        <v>20</v>
      </c>
      <c r="M1414" t="s">
        <v>3048</v>
      </c>
      <c r="N1414" t="s">
        <v>14</v>
      </c>
    </row>
    <row r="1415" x14ac:dyDescent="0.25">
      <c r="A1415" t="n">
        <v>25</v>
      </c>
      <c r="B1415" t="s">
        <v>14</v>
      </c>
      <c r="C1415" t="s">
        <v>51</v>
      </c>
      <c r="D1415" s="2" t="s">
        <f>=HYPERLINK("https://main.knesset.gov.il/APPS/legislation/main/bills/2231518", "הצעת חוק קידום התחרות בענפי המזון והפארם (תיקון - היקף מחזור המכירות של קמעונאי פארם גדול), התשפ""ה-2025")</f>
        <v>3061</v>
      </c>
      <c r="E1415" t="s">
        <v>3061</v>
      </c>
      <c r="F1415" t="s">
        <v>3062</v>
      </c>
      <c r="G1415" t="s">
        <v>14</v>
      </c>
      <c r="H1415">
             </c>
      <c r="I1415" t="s">
        <v>14</v>
      </c>
      <c r="J1415" t="s">
        <v>183</v>
      </c>
      <c r="K1415" t="s">
        <v>84</v>
      </c>
      <c r="L1415" t="s">
        <v>20</v>
      </c>
      <c r="M1415" t="s">
        <v>3063</v>
      </c>
      <c r="N1415" t="s">
        <v>14</v>
      </c>
    </row>
    <row r="1416" x14ac:dyDescent="0.25">
      <c r="A1416" t="n">
        <v>25</v>
      </c>
      <c r="B1416" t="s">
        <v>14</v>
      </c>
      <c r="C1416" t="s">
        <v>51</v>
      </c>
      <c r="D1416" s="2" t="s">
        <f>=HYPERLINK("https://main.knesset.gov.il/APPS/legislation/main/bills/2208152", "הצעת חוק הרשויות המקומיות (גמול השתתפות בישיבות והחזר הוצאות לחברי מועצה), התשפ""ג-2023")</f>
        <v>3064</v>
      </c>
      <c r="E1416" t="s">
        <v>3064</v>
      </c>
      <c r="F1416" t="s">
        <v>3065</v>
      </c>
      <c r="G1416" t="s">
        <v>14</v>
      </c>
      <c r="H1416">
             </c>
      <c r="I1416" t="s">
        <v>14</v>
      </c>
      <c r="J1416" t="s">
        <v>183</v>
      </c>
      <c r="K1416" t="s">
        <v>30</v>
      </c>
      <c r="L1416" t="s">
        <v>20</v>
      </c>
      <c r="M1416" t="s">
        <v>3063</v>
      </c>
      <c r="N1416" t="s">
        <v>14</v>
      </c>
    </row>
    <row r="1417" x14ac:dyDescent="0.25">
      <c r="A1417" t="n">
        <v>25</v>
      </c>
      <c r="B1417" t="s">
        <v>14</v>
      </c>
      <c r="C1417" t="s">
        <v>51</v>
      </c>
      <c r="D1417" s="2" t="s">
        <f>=HYPERLINK("https://main.knesset.gov.il/APPS/legislation/main/bills/2200635", "הצעת חוק הרשויות המקומיות (זכויות וחובות של חברי מועצה), התשפ""ג-2023")</f>
        <v>3066</v>
      </c>
      <c r="E1417" t="s">
        <v>3066</v>
      </c>
      <c r="F1417" t="s">
        <v>3067</v>
      </c>
      <c r="G1417" t="s">
        <v>14</v>
      </c>
      <c r="H1417">
             </c>
      <c r="I1417" t="s">
        <v>14</v>
      </c>
      <c r="J1417" t="s">
        <v>183</v>
      </c>
      <c r="K1417" t="s">
        <v>30</v>
      </c>
      <c r="L1417" t="s">
        <v>20</v>
      </c>
      <c r="M1417" t="s">
        <v>3063</v>
      </c>
      <c r="N1417" t="s">
        <v>14</v>
      </c>
    </row>
    <row r="1418" x14ac:dyDescent="0.25">
      <c r="A1418" t="n">
        <v>25</v>
      </c>
      <c r="B1418" t="s">
        <v>14</v>
      </c>
      <c r="C1418" t="s">
        <v>51</v>
      </c>
      <c r="D1418" s="2" t="s">
        <f>=HYPERLINK("https://main.knesset.gov.il/APPS/legislation/main/bills/2196056", "הצעת חוק שירות אזרחי (תיקון - הארכת גיל הזכאות של נכה נפש לשרת במסגרת שירות לאומי או התנדבות קהילתית), התשפ""ג-2022")</f>
        <v>3068</v>
      </c>
      <c r="E1418" t="s">
        <v>3068</v>
      </c>
      <c r="F1418" t="s">
        <v>3069</v>
      </c>
      <c r="G1418" t="s">
        <v>14</v>
      </c>
      <c r="H1418">
             </c>
      <c r="I1418" t="s">
        <v>14</v>
      </c>
      <c r="J1418" t="s">
        <v>183</v>
      </c>
      <c r="K1418" t="s">
        <v>46</v>
      </c>
      <c r="L1418" t="s">
        <v>20</v>
      </c>
      <c r="M1418" t="s">
        <v>3063</v>
      </c>
      <c r="N1418" t="s">
        <v>14</v>
      </c>
    </row>
    <row r="1419" x14ac:dyDescent="0.25">
      <c r="A1419" t="n">
        <v>25</v>
      </c>
      <c r="B1419" t="s">
        <v>14</v>
      </c>
      <c r="C1419" t="s">
        <v>51</v>
      </c>
      <c r="D1419" s="2" t="s">
        <f>=HYPERLINK("https://main.knesset.gov.il/APPS/legislation/main/bills/2196198", "הצעת חוק שיפוט בתי דין דתיים (בוררות), התשפ""ג-2023")</f>
        <v>3070</v>
      </c>
      <c r="E1419" t="s">
        <v>3070</v>
      </c>
      <c r="F1419" t="s">
        <v>3071</v>
      </c>
      <c r="G1419" t="s">
        <v>14</v>
      </c>
      <c r="H1419">
             </c>
      <c r="I1419" t="s">
        <v>14</v>
      </c>
      <c r="J1419" t="s">
        <v>183</v>
      </c>
      <c r="K1419" t="s">
        <v>27</v>
      </c>
      <c r="L1419" t="s">
        <v>20</v>
      </c>
      <c r="M1419" t="s">
        <v>3063</v>
      </c>
      <c r="N1419" t="s">
        <v>14</v>
      </c>
    </row>
    <row r="1420" x14ac:dyDescent="0.25">
      <c r="A1420" t="n">
        <v>25</v>
      </c>
      <c r="B1420" t="s">
        <v>14</v>
      </c>
      <c r="C1420" t="s">
        <v>51</v>
      </c>
      <c r="D1420" s="2" t="s">
        <f>=HYPERLINK("https://main.knesset.gov.il/APPS/legislation/main/bills/2222372", "חוק ניוד מידע רפואי (תיקון מס' 2), התשפ""ה–2025")</f>
        <v>3072</v>
      </c>
      <c r="E1420" t="s">
        <v>3072</v>
      </c>
      <c r="F1420" t="s">
        <v>3073</v>
      </c>
      <c r="G1420" t="s">
        <v>3074</v>
      </c>
      <c r="H1420" t="n">
        <v>3439</v>
      </c>
      <c r="I1420" t="s">
        <v>14</v>
      </c>
      <c r="J1420" t="s">
        <v>18</v>
      </c>
      <c r="K1420" t="s">
        <v>361</v>
      </c>
      <c r="L1420" t="s">
        <v>20</v>
      </c>
      <c r="M1420" t="s">
        <v>3063</v>
      </c>
      <c r="N1420" t="s">
        <v>3075</v>
      </c>
    </row>
    <row r="1421" x14ac:dyDescent="0.25">
      <c r="A1421" t="n">
        <v>25</v>
      </c>
      <c r="B1421" t="s">
        <v>14</v>
      </c>
      <c r="C1421" t="s">
        <v>51</v>
      </c>
      <c r="D1421" s="2" t="s">
        <f>=HYPERLINK("https://main.knesset.gov.il/APPS/legislation/main/bills/2220210", "חוק המרכז להנצחת זכרו של דוד לוי, התשפ""ה–2025")</f>
        <v>3076</v>
      </c>
      <c r="E1421" t="s">
        <v>3076</v>
      </c>
      <c r="F1421" t="s">
        <v>3077</v>
      </c>
      <c r="G1421" t="s">
        <v>3078</v>
      </c>
      <c r="H1421" t="n">
        <v>3438</v>
      </c>
      <c r="I1421" t="s">
        <v>14</v>
      </c>
      <c r="J1421" t="s">
        <v>18</v>
      </c>
      <c r="K1421" t="s">
        <v>79</v>
      </c>
      <c r="L1421" t="s">
        <v>20</v>
      </c>
      <c r="M1421" t="s">
        <v>3063</v>
      </c>
      <c r="N1421" t="s">
        <v>3079</v>
      </c>
    </row>
    <row r="1422" x14ac:dyDescent="0.25">
      <c r="A1422" t="n">
        <v>25</v>
      </c>
      <c r="B1422" t="s">
        <v>14</v>
      </c>
      <c r="C1422" t="s">
        <v>15</v>
      </c>
      <c r="D1422" s="2" t="s">
        <f>=HYPERLINK("https://main.knesset.gov.il/APPS/legislation/main/bills/2233299", "חוק לתיקון פקודת סדר הדין הפלילי (מעצר וחיפוש) (מס' 18), התשפ""ה-2025")</f>
        <v>3080</v>
      </c>
      <c r="E1422" t="s">
        <v>3080</v>
      </c>
      <c r="F1422" t="s">
        <v>14</v>
      </c>
      <c r="G1422" t="s">
        <v>3081</v>
      </c>
      <c r="H1422" t="n">
        <v>3436</v>
      </c>
      <c r="I1422" t="s">
        <v>14</v>
      </c>
      <c r="J1422" t="s">
        <v>18</v>
      </c>
      <c r="K1422" t="s">
        <v>19</v>
      </c>
      <c r="L1422" t="s">
        <v>20</v>
      </c>
      <c r="M1422" t="s">
        <v>3082</v>
      </c>
      <c r="N1422" t="s">
        <v>3083</v>
      </c>
    </row>
    <row r="1423" x14ac:dyDescent="0.25">
      <c r="A1423" t="n">
        <v>25</v>
      </c>
      <c r="B1423" t="s">
        <v>14</v>
      </c>
      <c r="C1423" t="s">
        <v>51</v>
      </c>
      <c r="D1423" s="2" t="s">
        <f>=HYPERLINK("https://main.knesset.gov.il/APPS/legislation/main/bills/2226166", "הצעת חוק רישוי עסקים (תיקון מס' 40 – הוראת שעה), התשפ""ה–2025")</f>
        <v>3084</v>
      </c>
      <c r="E1423" t="s">
        <v>3084</v>
      </c>
      <c r="F1423" t="s">
        <v>3085</v>
      </c>
      <c r="G1423" t="s">
        <v>3086</v>
      </c>
      <c r="H1423">
             </c>
      <c r="I1423" t="s">
        <v>14</v>
      </c>
      <c r="J1423" t="s">
        <v>232</v>
      </c>
      <c r="K1423" t="s">
        <v>30</v>
      </c>
      <c r="L1423" t="s">
        <v>20</v>
      </c>
      <c r="M1423" t="s">
        <v>3082</v>
      </c>
      <c r="N1423" t="s">
        <v>14</v>
      </c>
    </row>
    <row r="1424" x14ac:dyDescent="0.25">
      <c r="A1424" t="n">
        <v>25</v>
      </c>
      <c r="B1424" t="s">
        <v>14</v>
      </c>
      <c r="C1424" t="s">
        <v>51</v>
      </c>
      <c r="D1424" s="2" t="s">
        <f>=HYPERLINK("https://main.knesset.gov.il/APPS/legislation/main/bills/2202549", "הצעת חוק לביטול ההתיישנות בעבירות מין במשפחה (תיקוני חקיקה), התשפ""ג-2023")</f>
        <v>3087</v>
      </c>
      <c r="E1424" t="s">
        <v>3087</v>
      </c>
      <c r="F1424" t="s">
        <v>3088</v>
      </c>
      <c r="G1424" t="s">
        <v>14</v>
      </c>
      <c r="H1424">
             </c>
      <c r="I1424" t="s">
        <v>14</v>
      </c>
      <c r="J1424" t="s">
        <v>183</v>
      </c>
      <c r="K1424" t="s">
        <v>14</v>
      </c>
      <c r="L1424" t="s">
        <v>20</v>
      </c>
      <c r="M1424" t="s">
        <v>3082</v>
      </c>
      <c r="N1424" t="s">
        <v>14</v>
      </c>
    </row>
    <row r="1425" x14ac:dyDescent="0.25">
      <c r="A1425" t="n">
        <v>25</v>
      </c>
      <c r="B1425" t="s">
        <v>14</v>
      </c>
      <c r="C1425" t="s">
        <v>51</v>
      </c>
      <c r="D1425" s="2" t="s">
        <f>=HYPERLINK("https://main.knesset.gov.il/APPS/legislation/main/bills/2200737", "הצעת חוק לביטול ההתיישנות בעבירות מין (תיקוני חקיקה), התשפ""ג-2023")</f>
        <v>3089</v>
      </c>
      <c r="E1425" t="s">
        <v>3089</v>
      </c>
      <c r="F1425" t="s">
        <v>3090</v>
      </c>
      <c r="G1425" t="s">
        <v>14</v>
      </c>
      <c r="H1425">
             </c>
      <c r="I1425" t="s">
        <v>14</v>
      </c>
      <c r="J1425" t="s">
        <v>183</v>
      </c>
      <c r="K1425" t="s">
        <v>14</v>
      </c>
      <c r="L1425" t="s">
        <v>20</v>
      </c>
      <c r="M1425" t="s">
        <v>3082</v>
      </c>
      <c r="N1425" t="s">
        <v>14</v>
      </c>
    </row>
    <row r="1426" x14ac:dyDescent="0.25">
      <c r="A1426" t="n">
        <v>25</v>
      </c>
      <c r="B1426" t="s">
        <v>14</v>
      </c>
      <c r="C1426" t="s">
        <v>51</v>
      </c>
      <c r="D1426" s="2" t="s">
        <f>=HYPERLINK("https://main.knesset.gov.il/APPS/legislation/main/bills/2200198", "הצעת חוק לביטול ההתיישנות בעבירות מין (תיקוני חקיקה), התשפ""ג-2023")</f>
        <v>3089</v>
      </c>
      <c r="E1426" t="s">
        <v>3089</v>
      </c>
      <c r="F1426" t="s">
        <v>3091</v>
      </c>
      <c r="G1426" t="s">
        <v>14</v>
      </c>
      <c r="H1426">
             </c>
      <c r="I1426" t="s">
        <v>14</v>
      </c>
      <c r="J1426" t="s">
        <v>183</v>
      </c>
      <c r="K1426" t="s">
        <v>14</v>
      </c>
      <c r="L1426" t="s">
        <v>20</v>
      </c>
      <c r="M1426" t="s">
        <v>3082</v>
      </c>
      <c r="N1426" t="s">
        <v>14</v>
      </c>
    </row>
    <row r="1427" x14ac:dyDescent="0.25">
      <c r="A1427" t="n">
        <v>25</v>
      </c>
      <c r="B1427" t="s">
        <v>14</v>
      </c>
      <c r="C1427" t="s">
        <v>15</v>
      </c>
      <c r="D1427" s="2" t="s">
        <f>=HYPERLINK("https://main.knesset.gov.il/APPS/legislation/main/bills/2227198", "סעיף 9(6) (אישור עשייה במקרקעין) מתוך הצעת חוק התוכנית הכלכלית (תיקוני חקיקה ליישום המדיניות הכלכלית לשנת התקציב 2025), התשפ""ה-2024 [פוצל לפי סעיף 84(ב) לתקנון]")</f>
        <v>3092</v>
      </c>
      <c r="E1427" t="s">
        <v>3092</v>
      </c>
      <c r="F1427" t="s">
        <v>14</v>
      </c>
      <c r="G1427" t="s">
        <v>237</v>
      </c>
      <c r="H1427">
             </c>
      <c r="I1427" t="s">
        <v>14</v>
      </c>
      <c r="J1427" t="s">
        <v>38</v>
      </c>
      <c r="K1427" t="s">
        <v>30</v>
      </c>
      <c r="L1427" t="s">
        <v>20</v>
      </c>
      <c r="M1427" t="s">
        <v>3082</v>
      </c>
      <c r="N1427" t="s">
        <v>14</v>
      </c>
    </row>
    <row r="1428" x14ac:dyDescent="0.25">
      <c r="A1428" t="n">
        <v>25</v>
      </c>
      <c r="B1428" t="s">
        <v>14</v>
      </c>
      <c r="C1428" t="s">
        <v>15</v>
      </c>
      <c r="D1428" s="2" t="s">
        <f>=HYPERLINK("https://main.knesset.gov.il/APPS/legislation/main/bills/2231137", "חוק איסור צריכת זנות (הוראת שעה ותיקון חקיקה) (תיקון), התשפ""ה-2025")</f>
        <v>3093</v>
      </c>
      <c r="E1428" t="s">
        <v>3093</v>
      </c>
      <c r="F1428" t="s">
        <v>14</v>
      </c>
      <c r="G1428" t="s">
        <v>3094</v>
      </c>
      <c r="H1428" t="n">
        <v>3437</v>
      </c>
      <c r="I1428" t="s">
        <v>14</v>
      </c>
      <c r="J1428" t="s">
        <v>18</v>
      </c>
      <c r="K1428" t="s">
        <v>27</v>
      </c>
      <c r="L1428" t="s">
        <v>20</v>
      </c>
      <c r="M1428" t="s">
        <v>3082</v>
      </c>
      <c r="N1428" t="s">
        <v>3095</v>
      </c>
    </row>
    <row r="1429" x14ac:dyDescent="0.25">
      <c r="A1429" t="n">
        <v>25</v>
      </c>
      <c r="B1429" t="s">
        <v>14</v>
      </c>
      <c r="C1429" t="s">
        <v>15</v>
      </c>
      <c r="D1429" s="2" t="s">
        <f>=HYPERLINK("https://main.knesset.gov.il/APPS/legislation/main/bills/2233647", "חוק לייעול האכיפה והפיקוח העירוניים ברשויות המקומיות (הוראת שעה) (תיקון מס' 17), התשפ""ה-2025")</f>
        <v>3096</v>
      </c>
      <c r="E1429" t="s">
        <v>3096</v>
      </c>
      <c r="F1429" t="s">
        <v>14</v>
      </c>
      <c r="G1429" t="s">
        <v>2852</v>
      </c>
      <c r="H1429" t="n">
        <v>3435</v>
      </c>
      <c r="I1429" t="s">
        <v>14</v>
      </c>
      <c r="J1429" t="s">
        <v>18</v>
      </c>
      <c r="K1429" t="s">
        <v>19</v>
      </c>
      <c r="L1429" t="s">
        <v>20</v>
      </c>
      <c r="M1429" t="s">
        <v>3082</v>
      </c>
      <c r="N1429" t="s">
        <v>3097</v>
      </c>
    </row>
    <row r="1430" x14ac:dyDescent="0.25">
      <c r="A1430" t="n">
        <v>25</v>
      </c>
      <c r="B1430" t="s">
        <v>14</v>
      </c>
      <c r="C1430" t="s">
        <v>51</v>
      </c>
      <c r="D1430" s="2" t="s">
        <f>=HYPERLINK("https://main.knesset.gov.il/APPS/legislation/main/bills/2227895", "הצעת חוק הבנקאות (שירות ללקוח) (תיקון - הצעת הלוואה בריבית מופחתת לכיסוי חריגה בחשבון העובר ושב), התשפ""ה-2025")</f>
        <v>3098</v>
      </c>
      <c r="E1430" t="s">
        <v>3098</v>
      </c>
      <c r="F1430" t="s">
        <v>3099</v>
      </c>
      <c r="G1430" t="s">
        <v>14</v>
      </c>
      <c r="H1430">
             </c>
      <c r="I1430" t="s">
        <v>14</v>
      </c>
      <c r="J1430" t="s">
        <v>242</v>
      </c>
      <c r="K1430" t="s">
        <v>14</v>
      </c>
      <c r="L1430" t="s">
        <v>20</v>
      </c>
      <c r="M1430" t="s">
        <v>3082</v>
      </c>
      <c r="N1430" t="s">
        <v>14</v>
      </c>
    </row>
    <row r="1431" x14ac:dyDescent="0.25">
      <c r="A1431" t="n">
        <v>25</v>
      </c>
      <c r="B1431" t="s">
        <v>14</v>
      </c>
      <c r="C1431" t="s">
        <v>51</v>
      </c>
      <c r="D1431" s="2" t="s">
        <f>=HYPERLINK("https://main.knesset.gov.il/APPS/legislation/main/bills/2233322", "הצעת חוק הגנה על בתי עסק (איסור על כפיית שביתה), התשפ""ה-2025")</f>
        <v>3100</v>
      </c>
      <c r="E1431" t="s">
        <v>3100</v>
      </c>
      <c r="F1431" t="s">
        <v>3101</v>
      </c>
      <c r="G1431" t="s">
        <v>14</v>
      </c>
      <c r="H1431">
             </c>
      <c r="I1431" t="s">
        <v>14</v>
      </c>
      <c r="J1431" t="s">
        <v>242</v>
      </c>
      <c r="K1431" t="s">
        <v>14</v>
      </c>
      <c r="L1431" t="s">
        <v>20</v>
      </c>
      <c r="M1431" t="s">
        <v>3082</v>
      </c>
      <c r="N1431" t="s">
        <v>14</v>
      </c>
    </row>
    <row r="1432" x14ac:dyDescent="0.25">
      <c r="A1432" t="n">
        <v>25</v>
      </c>
      <c r="B1432" t="s">
        <v>14</v>
      </c>
      <c r="C1432" t="s">
        <v>51</v>
      </c>
      <c r="D1432" s="2" t="s">
        <f>=HYPERLINK("https://main.knesset.gov.il/APPS/legislation/main/bills/2232739", "הצעת חוק לתיקון פקודת מס הכנסה (הודעה בדבר זכאות לנקודת זיכוי), התשפ״ה-2025")</f>
        <v>2939</v>
      </c>
      <c r="E1432" t="s">
        <v>2939</v>
      </c>
      <c r="F1432" t="s">
        <v>3102</v>
      </c>
      <c r="G1432" t="s">
        <v>14</v>
      </c>
      <c r="H1432">
             </c>
      <c r="I1432" t="s">
        <v>14</v>
      </c>
      <c r="J1432" t="s">
        <v>242</v>
      </c>
      <c r="K1432" t="s">
        <v>14</v>
      </c>
      <c r="L1432" t="s">
        <v>20</v>
      </c>
      <c r="M1432" t="s">
        <v>3082</v>
      </c>
      <c r="N1432" t="s">
        <v>14</v>
      </c>
    </row>
    <row r="1433" x14ac:dyDescent="0.25">
      <c r="A1433" t="n">
        <v>25</v>
      </c>
      <c r="B1433" t="s">
        <v>14</v>
      </c>
      <c r="C1433" t="s">
        <v>51</v>
      </c>
      <c r="D1433" s="2" t="s">
        <f>=HYPERLINK("https://main.knesset.gov.il/APPS/legislation/main/bills/2232635", "הצעת חוק זאב ז'בוטינסקי (ציון זכרו ופועלו) (תיקון - הגדלת תקציב הפעילות ומימון המכון), התשפ""ה-2025")</f>
        <v>3103</v>
      </c>
      <c r="E1433" t="s">
        <v>3103</v>
      </c>
      <c r="F1433" t="s">
        <v>3104</v>
      </c>
      <c r="G1433" t="s">
        <v>14</v>
      </c>
      <c r="H1433">
             </c>
      <c r="I1433" t="s">
        <v>14</v>
      </c>
      <c r="J1433" t="s">
        <v>242</v>
      </c>
      <c r="K1433" t="s">
        <v>14</v>
      </c>
      <c r="L1433" t="s">
        <v>20</v>
      </c>
      <c r="M1433" t="s">
        <v>3082</v>
      </c>
      <c r="N1433" t="s">
        <v>14</v>
      </c>
    </row>
    <row r="1434" x14ac:dyDescent="0.25">
      <c r="A1434" t="n">
        <v>25</v>
      </c>
      <c r="B1434" t="s">
        <v>14</v>
      </c>
      <c r="C1434" t="s">
        <v>51</v>
      </c>
      <c r="D1434" s="2" t="s">
        <f>=HYPERLINK("https://main.knesset.gov.il/APPS/legislation/main/bills/2233026", "הצעת חוק הרשות הארצית לכבאות והצלה (תיקון - חובת קביעת תקנות בדבר נקיטת אמצעי בטיחות אש והצלה), התשפ""ה-2025 ")</f>
        <v>3105</v>
      </c>
      <c r="E1434" t="s">
        <v>3105</v>
      </c>
      <c r="F1434" t="s">
        <v>3106</v>
      </c>
      <c r="G1434" t="s">
        <v>14</v>
      </c>
      <c r="H1434">
             </c>
      <c r="I1434" t="s">
        <v>14</v>
      </c>
      <c r="J1434" t="s">
        <v>242</v>
      </c>
      <c r="K1434" t="s">
        <v>14</v>
      </c>
      <c r="L1434" t="s">
        <v>20</v>
      </c>
      <c r="M1434" t="s">
        <v>3082</v>
      </c>
      <c r="N1434" t="s">
        <v>14</v>
      </c>
    </row>
    <row r="1435" x14ac:dyDescent="0.25">
      <c r="A1435" t="n">
        <v>25</v>
      </c>
      <c r="B1435" t="s">
        <v>14</v>
      </c>
      <c r="C1435" t="s">
        <v>51</v>
      </c>
      <c r="D1435" s="2" t="s">
        <f>=HYPERLINK("https://main.knesset.gov.il/APPS/legislation/main/bills/2232685", "הצעת חוק לתיקון פקודת המשטרה (הסדרת ההפעלה של מכת""זית ותיעוד חזותי של ההפעלה), התשפ""ה-2025")</f>
        <v>3107</v>
      </c>
      <c r="E1435" t="s">
        <v>3107</v>
      </c>
      <c r="F1435" t="s">
        <v>3108</v>
      </c>
      <c r="G1435" t="s">
        <v>14</v>
      </c>
      <c r="H1435">
             </c>
      <c r="I1435" t="s">
        <v>14</v>
      </c>
      <c r="J1435" t="s">
        <v>242</v>
      </c>
      <c r="K1435" t="s">
        <v>14</v>
      </c>
      <c r="L1435" t="s">
        <v>20</v>
      </c>
      <c r="M1435" t="s">
        <v>3082</v>
      </c>
      <c r="N1435" t="s">
        <v>14</v>
      </c>
    </row>
    <row r="1436" x14ac:dyDescent="0.25">
      <c r="A1436" t="n">
        <v>25</v>
      </c>
      <c r="B1436" t="s">
        <v>14</v>
      </c>
      <c r="C1436" t="s">
        <v>51</v>
      </c>
      <c r="D1436" s="2" t="s">
        <f>=HYPERLINK("https://main.knesset.gov.il/APPS/legislation/main/bills/2233054", "הצעת חוק לתיקון פקודת מס הכנסה (זיכוי ממס לתושבי העיר באר שבע), התשפ""ה-2025 ")</f>
        <v>3109</v>
      </c>
      <c r="E1436" t="s">
        <v>3109</v>
      </c>
      <c r="F1436" t="s">
        <v>3110</v>
      </c>
      <c r="G1436" t="s">
        <v>14</v>
      </c>
      <c r="H1436">
             </c>
      <c r="I1436" t="s">
        <v>14</v>
      </c>
      <c r="J1436" t="s">
        <v>242</v>
      </c>
      <c r="K1436" t="s">
        <v>14</v>
      </c>
      <c r="L1436" t="s">
        <v>20</v>
      </c>
      <c r="M1436" t="s">
        <v>3082</v>
      </c>
      <c r="N1436" t="s">
        <v>14</v>
      </c>
    </row>
    <row r="1437" x14ac:dyDescent="0.25">
      <c r="A1437" t="n">
        <v>25</v>
      </c>
      <c r="B1437" t="s">
        <v>14</v>
      </c>
      <c r="C1437" t="s">
        <v>51</v>
      </c>
      <c r="D1437" s="2" t="s">
        <f>=HYPERLINK("https://main.knesset.gov.il/APPS/legislation/main/bills/2232754", "הצעת חוק הביטוח הלאומי (תיקון - מענק בשל ירידה בהכנסות לעצמאים ששירתו במילואים במלחמת חרבות ברזל), התשפ״ה-2025")</f>
        <v>3033</v>
      </c>
      <c r="E1437" t="s">
        <v>3033</v>
      </c>
      <c r="F1437" t="s">
        <v>3111</v>
      </c>
      <c r="G1437" t="s">
        <v>14</v>
      </c>
      <c r="H1437">
             </c>
      <c r="I1437" t="s">
        <v>14</v>
      </c>
      <c r="J1437" t="s">
        <v>242</v>
      </c>
      <c r="K1437" t="s">
        <v>14</v>
      </c>
      <c r="L1437" t="s">
        <v>20</v>
      </c>
      <c r="M1437" t="s">
        <v>3082</v>
      </c>
      <c r="N1437" t="s">
        <v>14</v>
      </c>
    </row>
    <row r="1438" x14ac:dyDescent="0.25">
      <c r="A1438" t="n">
        <v>25</v>
      </c>
      <c r="B1438" t="s">
        <v>14</v>
      </c>
      <c r="C1438" t="s">
        <v>51</v>
      </c>
      <c r="D1438" s="2" t="s">
        <f>=HYPERLINK("https://main.knesset.gov.il/APPS/legislation/main/bills/2218019", "הצעת חוק איסור החזקת מכשיר המשמש לביצוע עבירה (עקיפה ושיבוש של מערכות טכנולוגיות) (תיקוני חקיקה), התשפ""ה–2025")</f>
        <v>3112</v>
      </c>
      <c r="E1438" t="s">
        <v>3112</v>
      </c>
      <c r="F1438" t="s">
        <v>3113</v>
      </c>
      <c r="G1438" t="s">
        <v>3114</v>
      </c>
      <c r="H1438">
             </c>
      <c r="I1438" t="s">
        <v>166</v>
      </c>
      <c r="J1438" t="s">
        <v>162</v>
      </c>
      <c r="K1438" t="s">
        <v>27</v>
      </c>
      <c r="L1438" t="s">
        <v>20</v>
      </c>
      <c r="M1438" t="s">
        <v>3082</v>
      </c>
      <c r="N1438" t="s">
        <v>14</v>
      </c>
    </row>
    <row r="1439" x14ac:dyDescent="0.25">
      <c r="A1439" t="n">
        <v>25</v>
      </c>
      <c r="B1439" t="s">
        <v>14</v>
      </c>
      <c r="C1439" t="s">
        <v>15</v>
      </c>
      <c r="D1439" s="2" t="s">
        <f>=HYPERLINK("https://main.knesset.gov.il/APPS/legislation/main/bills/2233596", "הצעת חוק מיסוי מקרקעין (שבח ורכישה) (תיקון מס' 106), התשפ""ה-2025")</f>
        <v>3115</v>
      </c>
      <c r="E1439" t="s">
        <v>3115</v>
      </c>
      <c r="F1439" t="s">
        <v>14</v>
      </c>
      <c r="G1439" t="s">
        <v>3116</v>
      </c>
      <c r="H1439">
             </c>
      <c r="I1439" t="s">
        <v>14</v>
      </c>
      <c r="J1439" t="s">
        <v>162</v>
      </c>
      <c r="K1439" t="s">
        <v>14</v>
      </c>
      <c r="L1439" t="s">
        <v>20</v>
      </c>
      <c r="M1439" t="s">
        <v>3082</v>
      </c>
      <c r="N1439" t="s">
        <v>14</v>
      </c>
    </row>
    <row r="1440" x14ac:dyDescent="0.25">
      <c r="A1440" t="n">
        <v>25</v>
      </c>
      <c r="B1440" t="s">
        <v>14</v>
      </c>
      <c r="C1440" t="s">
        <v>15</v>
      </c>
      <c r="D1440" s="2" t="s">
        <f>=HYPERLINK("https://main.knesset.gov.il/APPS/legislation/main/bills/2233093", "חוק הסמכת צבא הגנה לישראל ושירות הביטחון הכללי לביצוע חדירה לחומר מחשב המשמש להפעלת מצלמה נייחת ופעולה בו (הוראת שעה - חרבות ברזל) (תיקון מס' 4), התשפ""ה-2025")</f>
        <v>3117</v>
      </c>
      <c r="E1440" t="s">
        <v>3117</v>
      </c>
      <c r="F1440" t="s">
        <v>14</v>
      </c>
      <c r="G1440" t="s">
        <v>3118</v>
      </c>
      <c r="H1440" t="n">
        <v>3434</v>
      </c>
      <c r="I1440" t="s">
        <v>14</v>
      </c>
      <c r="J1440" t="s">
        <v>18</v>
      </c>
      <c r="K1440" t="s">
        <v>39</v>
      </c>
      <c r="L1440" t="s">
        <v>20</v>
      </c>
      <c r="M1440" t="s">
        <v>3119</v>
      </c>
      <c r="N1440" t="s">
        <v>3120</v>
      </c>
    </row>
    <row r="1441" x14ac:dyDescent="0.25">
      <c r="A1441" t="n">
        <v>25</v>
      </c>
      <c r="B1441" t="s">
        <v>14</v>
      </c>
      <c r="C1441" t="s">
        <v>15</v>
      </c>
      <c r="D1441" s="2" t="s">
        <f>=HYPERLINK("https://main.knesset.gov.il/APPS/legislation/main/bills/2232288", "חוק שירות לאומי-אזרחי (תיקון מס' 7), התשפ""ה-2025")</f>
        <v>3121</v>
      </c>
      <c r="E1441" t="s">
        <v>3121</v>
      </c>
      <c r="F1441" t="s">
        <v>14</v>
      </c>
      <c r="G1441" t="s">
        <v>3122</v>
      </c>
      <c r="H1441" t="n">
        <v>3433</v>
      </c>
      <c r="I1441" t="s">
        <v>14</v>
      </c>
      <c r="J1441" t="s">
        <v>18</v>
      </c>
      <c r="K1441" t="s">
        <v>39</v>
      </c>
      <c r="L1441" t="s">
        <v>20</v>
      </c>
      <c r="M1441" t="s">
        <v>3119</v>
      </c>
      <c r="N1441" t="s">
        <v>3123</v>
      </c>
    </row>
    <row r="1442" x14ac:dyDescent="0.25">
      <c r="A1442" t="n">
        <v>25</v>
      </c>
      <c r="B1442" t="s">
        <v>14</v>
      </c>
      <c r="C1442" t="s">
        <v>51</v>
      </c>
      <c r="D1442" s="2" t="s">
        <f>=HYPERLINK("https://main.knesset.gov.il/APPS/legislation/main/bills/2224462", "הצעת חוק הגנת הפרטיות (תיקון מס' 14), התשפ""ה-2025")</f>
        <v>3124</v>
      </c>
      <c r="E1442" t="s">
        <v>3124</v>
      </c>
      <c r="F1442" t="s">
        <v>3125</v>
      </c>
      <c r="G1442" t="s">
        <v>3126</v>
      </c>
      <c r="H1442">
             </c>
      <c r="I1442" t="s">
        <v>14</v>
      </c>
      <c r="J1442" t="s">
        <v>180</v>
      </c>
      <c r="K1442" t="s">
        <v>19</v>
      </c>
      <c r="L1442" t="s">
        <v>20</v>
      </c>
      <c r="M1442" t="s">
        <v>3119</v>
      </c>
      <c r="N1442" t="s">
        <v>14</v>
      </c>
    </row>
    <row r="1443" x14ac:dyDescent="0.25">
      <c r="A1443" t="n">
        <v>25</v>
      </c>
      <c r="B1443" t="s">
        <v>14</v>
      </c>
      <c r="C1443" t="s">
        <v>51</v>
      </c>
      <c r="D1443" s="2" t="s">
        <f>=HYPERLINK("https://main.knesset.gov.il/APPS/legislation/main/bills/2230613", "הצעת חוק איסור צריכת זנות, התשפ""ה-2025")</f>
        <v>3127</v>
      </c>
      <c r="E1443" t="s">
        <v>3127</v>
      </c>
      <c r="F1443" t="s">
        <v>3128</v>
      </c>
      <c r="G1443" t="s">
        <v>14</v>
      </c>
      <c r="H1443">
             </c>
      <c r="I1443" t="s">
        <v>14</v>
      </c>
      <c r="J1443" t="s">
        <v>152</v>
      </c>
      <c r="K1443" t="s">
        <v>27</v>
      </c>
      <c r="L1443" t="s">
        <v>20</v>
      </c>
      <c r="M1443" t="s">
        <v>3129</v>
      </c>
      <c r="N1443" t="s">
        <v>14</v>
      </c>
    </row>
    <row r="1444" x14ac:dyDescent="0.25">
      <c r="A1444" t="n">
        <v>25</v>
      </c>
      <c r="B1444" t="s">
        <v>14</v>
      </c>
      <c r="C1444" t="s">
        <v>51</v>
      </c>
      <c r="D1444" s="2" t="s">
        <f>=HYPERLINK("https://main.knesset.gov.il/APPS/legislation/main/bills/2229392", "הצעת חוק איסור צריכת זנות, תשפ""ה-2025")</f>
        <v>3130</v>
      </c>
      <c r="E1444" t="s">
        <v>3130</v>
      </c>
      <c r="F1444" t="s">
        <v>3131</v>
      </c>
      <c r="G1444" t="s">
        <v>14</v>
      </c>
      <c r="H1444">
             </c>
      <c r="I1444" t="s">
        <v>14</v>
      </c>
      <c r="J1444" t="s">
        <v>152</v>
      </c>
      <c r="K1444" t="s">
        <v>27</v>
      </c>
      <c r="L1444" t="s">
        <v>20</v>
      </c>
      <c r="M1444" t="s">
        <v>3129</v>
      </c>
      <c r="N1444" t="s">
        <v>14</v>
      </c>
    </row>
    <row r="1445" x14ac:dyDescent="0.25">
      <c r="A1445" t="n">
        <v>25</v>
      </c>
      <c r="B1445" t="s">
        <v>14</v>
      </c>
      <c r="C1445" t="s">
        <v>51</v>
      </c>
      <c r="D1445" s="2" t="s">
        <f>=HYPERLINK("https://main.knesset.gov.il/APPS/legislation/main/bills/2219136", "הצעת חוק איסור צריכת זנות (הוראת שעה ותיקון חקיקה) (תיקון - עיגון כהוראת קבע), התשפ""ד-2024")</f>
        <v>3132</v>
      </c>
      <c r="E1445" t="s">
        <v>3132</v>
      </c>
      <c r="F1445" t="s">
        <v>3133</v>
      </c>
      <c r="G1445" t="s">
        <v>14</v>
      </c>
      <c r="H1445">
             </c>
      <c r="I1445" t="s">
        <v>14</v>
      </c>
      <c r="J1445" t="s">
        <v>152</v>
      </c>
      <c r="K1445" t="s">
        <v>27</v>
      </c>
      <c r="L1445" t="s">
        <v>20</v>
      </c>
      <c r="M1445" t="s">
        <v>3129</v>
      </c>
      <c r="N1445" t="s">
        <v>14</v>
      </c>
    </row>
    <row r="1446" x14ac:dyDescent="0.25">
      <c r="A1446" t="n">
        <v>25</v>
      </c>
      <c r="B1446" t="s">
        <v>14</v>
      </c>
      <c r="C1446" t="s">
        <v>15</v>
      </c>
      <c r="D1446" s="2" t="s">
        <f>=HYPERLINK("https://main.knesset.gov.il/APPS/legislation/main/bills/2232962", "חוק להשתתפותם של העובדים ובעלי תפקיד בשירות הציבורי, בצעדים לייצוב המצב הפיסקלי במדינה במהלך השנים 2025 ו-2026 (הוראת שעה) (תיקון מס' 2), התשפ""ה-2025")</f>
        <v>3134</v>
      </c>
      <c r="E1446" t="s">
        <v>3134</v>
      </c>
      <c r="F1446" t="s">
        <v>14</v>
      </c>
      <c r="G1446" t="s">
        <v>3135</v>
      </c>
      <c r="H1446" t="n">
        <v>3431</v>
      </c>
      <c r="I1446" t="s">
        <v>14</v>
      </c>
      <c r="J1446" t="s">
        <v>18</v>
      </c>
      <c r="K1446" t="s">
        <v>46</v>
      </c>
      <c r="L1446" t="s">
        <v>20</v>
      </c>
      <c r="M1446" t="s">
        <v>3136</v>
      </c>
      <c r="N1446" t="s">
        <v>3137</v>
      </c>
    </row>
    <row r="1447" x14ac:dyDescent="0.25">
      <c r="A1447" t="n">
        <v>25</v>
      </c>
      <c r="B1447" t="s">
        <v>14</v>
      </c>
      <c r="C1447" t="s">
        <v>15</v>
      </c>
      <c r="D1447" s="2" t="s">
        <f>=HYPERLINK("https://main.knesset.gov.il/APPS/legislation/main/bills/2229394", "חוק משק החשמל (תיקון מס' 20), התשפ""ה-2025 ")</f>
        <v>3138</v>
      </c>
      <c r="E1447" t="s">
        <v>3138</v>
      </c>
      <c r="F1447" t="s">
        <v>14</v>
      </c>
      <c r="G1447" t="s">
        <v>3139</v>
      </c>
      <c r="H1447" t="n">
        <v>3432</v>
      </c>
      <c r="I1447" t="s">
        <v>14</v>
      </c>
      <c r="J1447" t="s">
        <v>18</v>
      </c>
      <c r="K1447" t="s">
        <v>84</v>
      </c>
      <c r="L1447" t="s">
        <v>20</v>
      </c>
      <c r="M1447" t="s">
        <v>3136</v>
      </c>
      <c r="N1447" t="s">
        <v>3140</v>
      </c>
    </row>
    <row r="1448" x14ac:dyDescent="0.25">
      <c r="A1448" t="n">
        <v>25</v>
      </c>
      <c r="B1448" t="s">
        <v>14</v>
      </c>
      <c r="C1448" t="s">
        <v>51</v>
      </c>
      <c r="D1448" s="2" t="s">
        <f>=HYPERLINK("https://main.knesset.gov.il/APPS/legislation/main/bills/2232561", "הצעת חוק הנכים (תגמולים ושיקום) (תיקון - הגדלת זכויות לנכה עם הפרעה בתר-חבלתית שמקבל תגמול מיוחד), התשפ""ה-2025")</f>
        <v>3141</v>
      </c>
      <c r="E1448" t="s">
        <v>3141</v>
      </c>
      <c r="F1448" t="s">
        <v>3142</v>
      </c>
      <c r="G1448" t="s">
        <v>14</v>
      </c>
      <c r="H1448">
             </c>
      <c r="I1448" t="s">
        <v>14</v>
      </c>
      <c r="J1448" t="s">
        <v>242</v>
      </c>
      <c r="K1448" t="s">
        <v>14</v>
      </c>
      <c r="L1448" t="s">
        <v>20</v>
      </c>
      <c r="M1448" t="s">
        <v>3136</v>
      </c>
      <c r="N1448" t="s">
        <v>14</v>
      </c>
    </row>
    <row r="1449" x14ac:dyDescent="0.25">
      <c r="A1449" t="n">
        <v>25</v>
      </c>
      <c r="B1449" t="s">
        <v>14</v>
      </c>
      <c r="C1449" t="s">
        <v>51</v>
      </c>
      <c r="D1449" s="2" t="s">
        <f>=HYPERLINK("https://main.knesset.gov.il/APPS/legislation/main/bills/2224619", "הצעת חוק שימוש במונח יהודה והשומרון, התשפ""ה–2025")</f>
        <v>3143</v>
      </c>
      <c r="E1449" t="s">
        <v>3143</v>
      </c>
      <c r="F1449" t="s">
        <v>3144</v>
      </c>
      <c r="G1449" t="s">
        <v>3145</v>
      </c>
      <c r="H1449">
             </c>
      <c r="I1449" t="s">
        <v>166</v>
      </c>
      <c r="J1449" t="s">
        <v>232</v>
      </c>
      <c r="K1449" t="s">
        <v>27</v>
      </c>
      <c r="L1449" t="s">
        <v>20</v>
      </c>
      <c r="M1449" t="s">
        <v>3136</v>
      </c>
      <c r="N1449" t="s">
        <v>14</v>
      </c>
    </row>
    <row r="1450" x14ac:dyDescent="0.25">
      <c r="A1450" t="n">
        <v>25</v>
      </c>
      <c r="B1450" t="s">
        <v>14</v>
      </c>
      <c r="C1450" t="s">
        <v>51</v>
      </c>
      <c r="D1450" s="2" t="s">
        <f>=HYPERLINK("https://main.knesset.gov.il/APPS/legislation/main/bills/2206870", "חוק הבעת עמדה של נפגע או נפגעת עבירה בנוגע לשחרור על־תנאי ממאסר (תיקוני חקיקה), התשפ""ה–2025")</f>
        <v>3146</v>
      </c>
      <c r="E1450" t="s">
        <v>3146</v>
      </c>
      <c r="F1450" t="s">
        <v>3147</v>
      </c>
      <c r="G1450" t="s">
        <v>3148</v>
      </c>
      <c r="H1450" t="n">
        <v>3430</v>
      </c>
      <c r="I1450" t="s">
        <v>14</v>
      </c>
      <c r="J1450" t="s">
        <v>18</v>
      </c>
      <c r="K1450" t="s">
        <v>27</v>
      </c>
      <c r="L1450" t="s">
        <v>20</v>
      </c>
      <c r="M1450" t="s">
        <v>3149</v>
      </c>
      <c r="N1450" t="s">
        <v>3150</v>
      </c>
    </row>
    <row r="1451" x14ac:dyDescent="0.25">
      <c r="A1451" t="n">
        <v>25</v>
      </c>
      <c r="B1451" t="s">
        <v>14</v>
      </c>
      <c r="C1451" t="s">
        <v>15</v>
      </c>
      <c r="D1451" s="2" t="s">
        <f>=HYPERLINK("https://main.knesset.gov.il/APPS/legislation/main/bills/2223990", "חוק הביטוח הלאומי (תיקון מס' 258), התשפ""ה-2025 ")</f>
        <v>3151</v>
      </c>
      <c r="E1451" t="s">
        <v>3151</v>
      </c>
      <c r="F1451" t="s">
        <v>14</v>
      </c>
      <c r="G1451" t="s">
        <v>3152</v>
      </c>
      <c r="H1451" t="n">
        <v>3429</v>
      </c>
      <c r="I1451" t="s">
        <v>14</v>
      </c>
      <c r="J1451" t="s">
        <v>18</v>
      </c>
      <c r="K1451" t="s">
        <v>46</v>
      </c>
      <c r="L1451" t="s">
        <v>20</v>
      </c>
      <c r="M1451" t="s">
        <v>3149</v>
      </c>
      <c r="N1451" t="s">
        <v>3153</v>
      </c>
    </row>
    <row r="1452" x14ac:dyDescent="0.25">
      <c r="A1452" t="n">
        <v>25</v>
      </c>
      <c r="B1452" t="s">
        <v>14</v>
      </c>
      <c r="C1452" t="s">
        <v>15</v>
      </c>
      <c r="D1452" s="2" t="s">
        <f>=HYPERLINK("https://main.knesset.gov.il/APPS/legislation/main/bills/2209988", "חוק הכללת אמצעי זיהוי ביומטריים ונתוני זיהוי ביומטריים במסמכי זיהוי ובמאגר מידע (תיקון מס' 8 – הוראת שעה), התשפ""ה–2025")</f>
        <v>3154</v>
      </c>
      <c r="E1452" t="s">
        <v>3154</v>
      </c>
      <c r="F1452" t="s">
        <v>14</v>
      </c>
      <c r="G1452" t="s">
        <v>3155</v>
      </c>
      <c r="H1452" t="n">
        <v>3428</v>
      </c>
      <c r="I1452" t="s">
        <v>14</v>
      </c>
      <c r="J1452" t="s">
        <v>18</v>
      </c>
      <c r="K1452" t="s">
        <v>14</v>
      </c>
      <c r="L1452" t="s">
        <v>20</v>
      </c>
      <c r="M1452" t="s">
        <v>3149</v>
      </c>
      <c r="N1452" t="s">
        <v>3156</v>
      </c>
    </row>
    <row r="1453" x14ac:dyDescent="0.25">
      <c r="A1453" t="n">
        <v>25</v>
      </c>
      <c r="B1453" t="s">
        <v>14</v>
      </c>
      <c r="C1453" t="s">
        <v>15</v>
      </c>
      <c r="D1453" s="2" t="s">
        <f>=HYPERLINK("https://main.knesset.gov.il/APPS/legislation/main/bills/2227194", "חוק תקשורת דיגיטלית עם גופים ציבוריים (תיקון מס' 4), התשפ""ה-2025 ")</f>
        <v>3157</v>
      </c>
      <c r="E1453" t="s">
        <v>3157</v>
      </c>
      <c r="F1453" t="s">
        <v>14</v>
      </c>
      <c r="G1453" t="s">
        <v>237</v>
      </c>
      <c r="H1453" t="n">
        <v>3382</v>
      </c>
      <c r="I1453" t="s">
        <v>14</v>
      </c>
      <c r="J1453" t="s">
        <v>18</v>
      </c>
      <c r="K1453" t="s">
        <v>75</v>
      </c>
      <c r="L1453" t="s">
        <v>20</v>
      </c>
      <c r="M1453" t="s">
        <v>3149</v>
      </c>
      <c r="N1453" t="s">
        <v>14</v>
      </c>
    </row>
    <row r="1454" x14ac:dyDescent="0.25">
      <c r="A1454" t="n">
        <v>25</v>
      </c>
      <c r="B1454" t="s">
        <v>14</v>
      </c>
      <c r="C1454" t="s">
        <v>51</v>
      </c>
      <c r="D1454" s="2" t="s">
        <f>=HYPERLINK("https://main.knesset.gov.il/APPS/legislation/main/bills/2231725", "הצעת חוק הכנסת (תיקון - הרכב הוועדה הציבורית לבדיקת כשירות והתאמה של מועמדים למשרת היועץ המשפטי לכנסת), התשפ""ה-2025")</f>
        <v>3158</v>
      </c>
      <c r="E1454" t="s">
        <v>3158</v>
      </c>
      <c r="F1454" t="s">
        <v>3159</v>
      </c>
      <c r="G1454" t="s">
        <v>14</v>
      </c>
      <c r="H1454">
             </c>
      <c r="I1454" t="s">
        <v>14</v>
      </c>
      <c r="J1454" t="s">
        <v>242</v>
      </c>
      <c r="K1454" t="s">
        <v>14</v>
      </c>
      <c r="L1454" t="s">
        <v>20</v>
      </c>
      <c r="M1454" t="s">
        <v>3149</v>
      </c>
      <c r="N1454" t="s">
        <v>14</v>
      </c>
    </row>
    <row r="1455" x14ac:dyDescent="0.25">
      <c r="A1455" t="n">
        <v>25</v>
      </c>
      <c r="B1455" t="s">
        <v>14</v>
      </c>
      <c r="C1455" t="s">
        <v>51</v>
      </c>
      <c r="D1455" s="2" t="s">
        <f>=HYPERLINK("https://main.knesset.gov.il/APPS/legislation/main/bills/2232364", "הצעת חוק המועצה הארצית לביטחון תזונתי (תיקון - קרן לשמירה על ביטחון תזונתי), התשפ""ה-2025")</f>
        <v>3160</v>
      </c>
      <c r="E1455" t="s">
        <v>3160</v>
      </c>
      <c r="F1455" t="s">
        <v>3161</v>
      </c>
      <c r="G1455" t="s">
        <v>14</v>
      </c>
      <c r="H1455">
             </c>
      <c r="I1455" t="s">
        <v>14</v>
      </c>
      <c r="J1455" t="s">
        <v>242</v>
      </c>
      <c r="K1455" t="s">
        <v>14</v>
      </c>
      <c r="L1455" t="s">
        <v>20</v>
      </c>
      <c r="M1455" t="s">
        <v>3149</v>
      </c>
      <c r="N1455" t="s">
        <v>14</v>
      </c>
    </row>
    <row r="1456" x14ac:dyDescent="0.25">
      <c r="A1456" t="n">
        <v>25</v>
      </c>
      <c r="B1456" t="s">
        <v>14</v>
      </c>
      <c r="C1456" t="s">
        <v>51</v>
      </c>
      <c r="D1456" s="2" t="s">
        <f>=HYPERLINK("https://main.knesset.gov.il/APPS/legislation/main/bills/2232387", "הצעת חוק בעלות אחודה (תיקוני חקיקה), התשפ""ה-2025 ")</f>
        <v>3162</v>
      </c>
      <c r="E1456" t="s">
        <v>3162</v>
      </c>
      <c r="F1456" t="s">
        <v>3163</v>
      </c>
      <c r="G1456" t="s">
        <v>14</v>
      </c>
      <c r="H1456">
             </c>
      <c r="I1456" t="s">
        <v>14</v>
      </c>
      <c r="J1456" t="s">
        <v>202</v>
      </c>
      <c r="K1456" t="s">
        <v>14</v>
      </c>
      <c r="L1456" t="s">
        <v>20</v>
      </c>
      <c r="M1456" t="s">
        <v>3149</v>
      </c>
      <c r="N1456" t="s">
        <v>14</v>
      </c>
    </row>
    <row r="1457" x14ac:dyDescent="0.25">
      <c r="A1457" t="n">
        <v>25</v>
      </c>
      <c r="B1457" t="s">
        <v>14</v>
      </c>
      <c r="C1457" t="s">
        <v>51</v>
      </c>
      <c r="D1457" s="2" t="s">
        <f>=HYPERLINK("https://main.knesset.gov.il/APPS/legislation/main/bills/2232391", "הצעת חוק להקפאת כספים ששילמה הרשות הפלסטינית בזיקה לטרור מהכספים המועברים אליה מממשלת ישראל (תיקון - איסור העברת כספים מהרשות הפלסטינית לפעיל טרור), התשפ""ה-2025")</f>
        <v>3164</v>
      </c>
      <c r="E1457" t="s">
        <v>3164</v>
      </c>
      <c r="F1457" t="s">
        <v>3165</v>
      </c>
      <c r="G1457" t="s">
        <v>14</v>
      </c>
      <c r="H1457">
             </c>
      <c r="I1457" t="s">
        <v>14</v>
      </c>
      <c r="J1457" t="s">
        <v>242</v>
      </c>
      <c r="K1457" t="s">
        <v>14</v>
      </c>
      <c r="L1457" t="s">
        <v>20</v>
      </c>
      <c r="M1457" t="s">
        <v>3149</v>
      </c>
      <c r="N1457" t="s">
        <v>14</v>
      </c>
    </row>
    <row r="1458" x14ac:dyDescent="0.25">
      <c r="A1458" t="n">
        <v>25</v>
      </c>
      <c r="B1458" t="s">
        <v>14</v>
      </c>
      <c r="C1458" t="s">
        <v>51</v>
      </c>
      <c r="D1458" s="2" t="s">
        <f>=HYPERLINK("https://main.knesset.gov.il/APPS/legislation/main/bills/2230308", "הצעת חוק שירות ביטחון (תיקון - גיוס חובה לעולים חדשים), התשפ""ה-2025")</f>
        <v>3166</v>
      </c>
      <c r="E1458" t="s">
        <v>3166</v>
      </c>
      <c r="F1458" t="s">
        <v>3167</v>
      </c>
      <c r="G1458" t="s">
        <v>14</v>
      </c>
      <c r="H1458">
             </c>
      <c r="I1458" t="s">
        <v>14</v>
      </c>
      <c r="J1458" t="s">
        <v>242</v>
      </c>
      <c r="K1458" t="s">
        <v>14</v>
      </c>
      <c r="L1458" t="s">
        <v>20</v>
      </c>
      <c r="M1458" t="s">
        <v>3149</v>
      </c>
      <c r="N1458" t="s">
        <v>14</v>
      </c>
    </row>
    <row r="1459" x14ac:dyDescent="0.25">
      <c r="A1459" t="n">
        <v>25</v>
      </c>
      <c r="B1459" t="s">
        <v>14</v>
      </c>
      <c r="C1459" t="s">
        <v>51</v>
      </c>
      <c r="D1459" s="2" t="s">
        <f>=HYPERLINK("https://main.knesset.gov.il/APPS/legislation/main/bills/2232179", "הצעת חוק מכירת רכב משומש (זכאות למידע וגילוי נאות) (תיקון - קבלת מידע לפני רכישת רכב משומש), התשפ""ה-2025")</f>
        <v>3168</v>
      </c>
      <c r="E1459" t="s">
        <v>3168</v>
      </c>
      <c r="F1459" t="s">
        <v>3169</v>
      </c>
      <c r="G1459" t="s">
        <v>14</v>
      </c>
      <c r="H1459">
             </c>
      <c r="I1459" t="s">
        <v>14</v>
      </c>
      <c r="J1459" t="s">
        <v>242</v>
      </c>
      <c r="K1459" t="s">
        <v>14</v>
      </c>
      <c r="L1459" t="s">
        <v>20</v>
      </c>
      <c r="M1459" t="s">
        <v>3149</v>
      </c>
      <c r="N1459" t="s">
        <v>14</v>
      </c>
    </row>
    <row r="1460" x14ac:dyDescent="0.25">
      <c r="A1460" t="n">
        <v>25</v>
      </c>
      <c r="B1460" t="s">
        <v>14</v>
      </c>
      <c r="C1460" t="s">
        <v>51</v>
      </c>
      <c r="D1460" s="2" t="s">
        <f>=HYPERLINK("https://main.knesset.gov.il/APPS/legislation/main/bills/2232175", "הצעת חוק סיוע ליצרן חקלאי באזורים הסמוכים לגבול המדינה, התשפ""ה-2025")</f>
        <v>3170</v>
      </c>
      <c r="E1460" t="s">
        <v>3170</v>
      </c>
      <c r="F1460" t="s">
        <v>3171</v>
      </c>
      <c r="G1460" t="s">
        <v>14</v>
      </c>
      <c r="H1460">
             </c>
      <c r="I1460" t="s">
        <v>14</v>
      </c>
      <c r="J1460" t="s">
        <v>242</v>
      </c>
      <c r="K1460" t="s">
        <v>14</v>
      </c>
      <c r="L1460" t="s">
        <v>20</v>
      </c>
      <c r="M1460" t="s">
        <v>3149</v>
      </c>
      <c r="N1460" t="s">
        <v>14</v>
      </c>
    </row>
    <row r="1461" x14ac:dyDescent="0.25">
      <c r="A1461" t="n">
        <v>25</v>
      </c>
      <c r="B1461" t="s">
        <v>14</v>
      </c>
      <c r="C1461" t="s">
        <v>51</v>
      </c>
      <c r="D1461" s="2" t="s">
        <f>=HYPERLINK("https://main.knesset.gov.il/APPS/legislation/main/bills/2232061", "הצעת חוק הנכים (תגמולים ושיקום) (תיקון - החזר בשל אובדן הכנסה לבן משפחה של נכה בתקופת האשפוז ולאחריה), התשפ""ה-2025")</f>
        <v>3172</v>
      </c>
      <c r="E1461" t="s">
        <v>3172</v>
      </c>
      <c r="F1461" t="s">
        <v>3173</v>
      </c>
      <c r="G1461" t="s">
        <v>14</v>
      </c>
      <c r="H1461">
             </c>
      <c r="I1461" t="s">
        <v>14</v>
      </c>
      <c r="J1461" t="s">
        <v>242</v>
      </c>
      <c r="K1461" t="s">
        <v>14</v>
      </c>
      <c r="L1461" t="s">
        <v>20</v>
      </c>
      <c r="M1461" t="s">
        <v>3149</v>
      </c>
      <c r="N1461" t="s">
        <v>14</v>
      </c>
    </row>
    <row r="1462" x14ac:dyDescent="0.25">
      <c r="A1462" t="n">
        <v>25</v>
      </c>
      <c r="B1462" t="s">
        <v>14</v>
      </c>
      <c r="C1462" t="s">
        <v>51</v>
      </c>
      <c r="D1462" s="2" t="s">
        <f>=HYPERLINK("https://main.knesset.gov.il/APPS/legislation/main/bills/2232191", "הצעת חוק סדר הדין הפלילי (סמכויות אכיפה - מעצרים) (תיקון - החרגת עבירת גביית דמי חסות), התשפ""ה-2025")</f>
        <v>3174</v>
      </c>
      <c r="E1462" t="s">
        <v>3174</v>
      </c>
      <c r="F1462" t="s">
        <v>3175</v>
      </c>
      <c r="G1462" t="s">
        <v>14</v>
      </c>
      <c r="H1462">
             </c>
      <c r="I1462" t="s">
        <v>14</v>
      </c>
      <c r="J1462" t="s">
        <v>242</v>
      </c>
      <c r="K1462" t="s">
        <v>14</v>
      </c>
      <c r="L1462" t="s">
        <v>20</v>
      </c>
      <c r="M1462" t="s">
        <v>3149</v>
      </c>
      <c r="N1462" t="s">
        <v>14</v>
      </c>
    </row>
    <row r="1463" x14ac:dyDescent="0.25">
      <c r="A1463" t="n">
        <v>25</v>
      </c>
      <c r="B1463" t="s">
        <v>14</v>
      </c>
      <c r="C1463" t="s">
        <v>51</v>
      </c>
      <c r="D1463" s="2" t="s">
        <f>=HYPERLINK("https://main.knesset.gov.il/APPS/legislation/main/bills/2230508", "הצעת חוק החברות הממשלתיות (תיקון - ייצוג הולם לבני העדה האתיופית), התשפ""ה-2025")</f>
        <v>3176</v>
      </c>
      <c r="E1463" t="s">
        <v>3176</v>
      </c>
      <c r="F1463" t="s">
        <v>3177</v>
      </c>
      <c r="G1463" t="s">
        <v>14</v>
      </c>
      <c r="H1463">
             </c>
      <c r="I1463" t="s">
        <v>14</v>
      </c>
      <c r="J1463" t="s">
        <v>242</v>
      </c>
      <c r="K1463" t="s">
        <v>14</v>
      </c>
      <c r="L1463" t="s">
        <v>20</v>
      </c>
      <c r="M1463" t="s">
        <v>3149</v>
      </c>
      <c r="N1463" t="s">
        <v>14</v>
      </c>
    </row>
    <row r="1464" x14ac:dyDescent="0.25">
      <c r="A1464" t="n">
        <v>25</v>
      </c>
      <c r="B1464" t="s">
        <v>14</v>
      </c>
      <c r="C1464" t="s">
        <v>51</v>
      </c>
      <c r="D1464" s="2" t="s">
        <f>=HYPERLINK("https://main.knesset.gov.il/APPS/legislation/main/bills/2232790", "הצעת חוק קרן לאזרחי ישראל (תיקון - הבטחת תקצוב הנגב), התשפ""ה-2025")</f>
        <v>521</v>
      </c>
      <c r="E1464" t="s">
        <v>521</v>
      </c>
      <c r="F1464" t="s">
        <v>3178</v>
      </c>
      <c r="G1464" t="s">
        <v>14</v>
      </c>
      <c r="H1464">
             </c>
      <c r="I1464" t="s">
        <v>14</v>
      </c>
      <c r="J1464" t="s">
        <v>242</v>
      </c>
      <c r="K1464" t="s">
        <v>14</v>
      </c>
      <c r="L1464" t="s">
        <v>20</v>
      </c>
      <c r="M1464" t="s">
        <v>3149</v>
      </c>
      <c r="N1464" t="s">
        <v>14</v>
      </c>
    </row>
    <row r="1465" x14ac:dyDescent="0.25">
      <c r="A1465" t="n">
        <v>25</v>
      </c>
      <c r="B1465" t="s">
        <v>14</v>
      </c>
      <c r="C1465" t="s">
        <v>51</v>
      </c>
      <c r="D1465" s="2" t="s">
        <f>=HYPERLINK("https://main.knesset.gov.il/APPS/legislation/main/bills/2232517", "הצעת חוק ועדות חקירה (תיקון - אירועי חובה להקמת ועדת חקירה ממלכתית), התשפ""ה-2025")</f>
        <v>3179</v>
      </c>
      <c r="E1465" t="s">
        <v>3179</v>
      </c>
      <c r="F1465" t="s">
        <v>3180</v>
      </c>
      <c r="G1465" t="s">
        <v>14</v>
      </c>
      <c r="H1465">
             </c>
      <c r="I1465" t="s">
        <v>14</v>
      </c>
      <c r="J1465" t="s">
        <v>242</v>
      </c>
      <c r="K1465" t="s">
        <v>14</v>
      </c>
      <c r="L1465" t="s">
        <v>20</v>
      </c>
      <c r="M1465" t="s">
        <v>3149</v>
      </c>
      <c r="N1465" t="s">
        <v>14</v>
      </c>
    </row>
    <row r="1466" x14ac:dyDescent="0.25">
      <c r="A1466" t="n">
        <v>25</v>
      </c>
      <c r="B1466" t="s">
        <v>14</v>
      </c>
      <c r="C1466" t="s">
        <v>51</v>
      </c>
      <c r="D1466" s="2" t="s">
        <f>=HYPERLINK("https://main.knesset.gov.il/APPS/legislation/main/bills/2232050", "הצעת חוק הביטוח הלאומי (תיקון - שיעור קצבת שירותים מיוחדים וגמלת ילד נכה למעסיקים שני מטפלים), התשפ""ה-2025")</f>
        <v>3181</v>
      </c>
      <c r="E1466" t="s">
        <v>3181</v>
      </c>
      <c r="F1466" t="s">
        <v>3182</v>
      </c>
      <c r="G1466" t="s">
        <v>14</v>
      </c>
      <c r="H1466">
             </c>
      <c r="I1466" t="s">
        <v>14</v>
      </c>
      <c r="J1466" t="s">
        <v>242</v>
      </c>
      <c r="K1466" t="s">
        <v>14</v>
      </c>
      <c r="L1466" t="s">
        <v>20</v>
      </c>
      <c r="M1466" t="s">
        <v>3149</v>
      </c>
      <c r="N1466" t="s">
        <v>14</v>
      </c>
    </row>
    <row r="1467" x14ac:dyDescent="0.25">
      <c r="A1467" t="n">
        <v>25</v>
      </c>
      <c r="B1467" t="s">
        <v>14</v>
      </c>
      <c r="C1467" t="s">
        <v>51</v>
      </c>
      <c r="D1467" s="2" t="s">
        <f>=HYPERLINK("https://main.knesset.gov.il/APPS/legislation/main/bills/2230763", "הצעת חוק איסור עיסוק נוסף לשופטים, חברי הכנסת ושרים, התשפ""ה-2025")</f>
        <v>3183</v>
      </c>
      <c r="E1467" t="s">
        <v>3183</v>
      </c>
      <c r="F1467" t="s">
        <v>3184</v>
      </c>
      <c r="G1467" t="s">
        <v>14</v>
      </c>
      <c r="H1467">
             </c>
      <c r="I1467" t="s">
        <v>14</v>
      </c>
      <c r="J1467" t="s">
        <v>242</v>
      </c>
      <c r="K1467" t="s">
        <v>14</v>
      </c>
      <c r="L1467" t="s">
        <v>20</v>
      </c>
      <c r="M1467" t="s">
        <v>3149</v>
      </c>
      <c r="N1467" t="s">
        <v>14</v>
      </c>
    </row>
    <row r="1468" x14ac:dyDescent="0.25">
      <c r="A1468" t="n">
        <v>25</v>
      </c>
      <c r="B1468" t="s">
        <v>14</v>
      </c>
      <c r="C1468" t="s">
        <v>51</v>
      </c>
      <c r="D1468" s="2" t="s">
        <f>=HYPERLINK("https://main.knesset.gov.il/APPS/legislation/main/bills/2232353", "הצעת חוק עובדים זרים (תיקון - האחראי על טיפול בפניות מעסיקים בענף הסיעוד הביתי), התשפ""ה-2025")</f>
        <v>3185</v>
      </c>
      <c r="E1468" t="s">
        <v>3185</v>
      </c>
      <c r="F1468" t="s">
        <v>3186</v>
      </c>
      <c r="G1468" t="s">
        <v>14</v>
      </c>
      <c r="H1468">
             </c>
      <c r="I1468" t="s">
        <v>14</v>
      </c>
      <c r="J1468" t="s">
        <v>242</v>
      </c>
      <c r="K1468" t="s">
        <v>14</v>
      </c>
      <c r="L1468" t="s">
        <v>20</v>
      </c>
      <c r="M1468" t="s">
        <v>3149</v>
      </c>
      <c r="N1468" t="s">
        <v>14</v>
      </c>
    </row>
    <row r="1469" x14ac:dyDescent="0.25">
      <c r="A1469" t="n">
        <v>25</v>
      </c>
      <c r="B1469" t="s">
        <v>14</v>
      </c>
      <c r="C1469" t="s">
        <v>51</v>
      </c>
      <c r="D1469" s="2" t="s">
        <f>=HYPERLINK("https://main.knesset.gov.il/APPS/legislation/main/bills/2232610", "הצעת חוק לתיקון פקודת מסי העיריה ומסי הממשלה (פיטורין) (נכס המשמש כמבנה לארגון נוער), התשפ""ה-2025")</f>
        <v>3187</v>
      </c>
      <c r="E1469" t="s">
        <v>3187</v>
      </c>
      <c r="F1469" t="s">
        <v>3188</v>
      </c>
      <c r="G1469" t="s">
        <v>14</v>
      </c>
      <c r="H1469">
             </c>
      <c r="I1469" t="s">
        <v>14</v>
      </c>
      <c r="J1469" t="s">
        <v>242</v>
      </c>
      <c r="K1469" t="s">
        <v>14</v>
      </c>
      <c r="L1469" t="s">
        <v>20</v>
      </c>
      <c r="M1469" t="s">
        <v>3149</v>
      </c>
      <c r="N1469" t="s">
        <v>14</v>
      </c>
    </row>
    <row r="1470" x14ac:dyDescent="0.25">
      <c r="A1470" t="n">
        <v>25</v>
      </c>
      <c r="B1470" t="s">
        <v>14</v>
      </c>
      <c r="C1470" t="s">
        <v>51</v>
      </c>
      <c r="D1470" s="2" t="s">
        <f>=HYPERLINK("https://main.knesset.gov.il/APPS/legislation/main/bills/2232573", "הצעת חוק לעידוד השקעות הון בחקלאות (תיקון - השוואת ההטבות בתעשייה להטבות בחקלאות ותמיכה בתזונה בריאה), התשפ""ה-2025")</f>
        <v>3189</v>
      </c>
      <c r="E1470" t="s">
        <v>3189</v>
      </c>
      <c r="F1470" t="s">
        <v>3190</v>
      </c>
      <c r="G1470" t="s">
        <v>14</v>
      </c>
      <c r="H1470">
             </c>
      <c r="I1470" t="s">
        <v>14</v>
      </c>
      <c r="J1470" t="s">
        <v>242</v>
      </c>
      <c r="K1470" t="s">
        <v>14</v>
      </c>
      <c r="L1470" t="s">
        <v>20</v>
      </c>
      <c r="M1470" t="s">
        <v>3149</v>
      </c>
      <c r="N1470" t="s">
        <v>14</v>
      </c>
    </row>
    <row r="1471" x14ac:dyDescent="0.25">
      <c r="A1471" t="n">
        <v>25</v>
      </c>
      <c r="B1471" t="s">
        <v>14</v>
      </c>
      <c r="C1471" t="s">
        <v>51</v>
      </c>
      <c r="D1471" s="2" t="s">
        <f>=HYPERLINK("https://main.knesset.gov.il/APPS/legislation/main/bills/2205253", "חוק התקשורת (בזק ושידורים) (תיקון מס' 82 – הוראת שעה), התשפ""ה–2025")</f>
        <v>3191</v>
      </c>
      <c r="E1471" t="s">
        <v>3191</v>
      </c>
      <c r="F1471" t="s">
        <v>3192</v>
      </c>
      <c r="G1471" t="s">
        <v>3193</v>
      </c>
      <c r="H1471" t="n">
        <v>3426</v>
      </c>
      <c r="I1471" t="s">
        <v>14</v>
      </c>
      <c r="J1471" t="s">
        <v>18</v>
      </c>
      <c r="K1471" t="s">
        <v>84</v>
      </c>
      <c r="L1471" t="s">
        <v>20</v>
      </c>
      <c r="M1471" t="s">
        <v>3194</v>
      </c>
      <c r="N1471" t="s">
        <v>3195</v>
      </c>
    </row>
    <row r="1472" x14ac:dyDescent="0.25">
      <c r="A1472" t="n">
        <v>25</v>
      </c>
      <c r="B1472" t="s">
        <v>14</v>
      </c>
      <c r="C1472" t="s">
        <v>51</v>
      </c>
      <c r="D1472" s="2" t="s">
        <f>=HYPERLINK("https://main.knesset.gov.il/APPS/legislation/main/bills/2230351", "הצעת חוק הגנה על הציבור מפני ביצוע עבירות מין (תיקון - סמכויות עיכוב ומעצר), התשפ""ה-2025")</f>
        <v>3196</v>
      </c>
      <c r="E1472" t="s">
        <v>3196</v>
      </c>
      <c r="F1472" t="s">
        <v>3197</v>
      </c>
      <c r="G1472" t="s">
        <v>14</v>
      </c>
      <c r="H1472">
             </c>
      <c r="I1472" t="s">
        <v>14</v>
      </c>
      <c r="J1472" t="s">
        <v>202</v>
      </c>
      <c r="K1472" t="s">
        <v>14</v>
      </c>
      <c r="L1472" t="s">
        <v>20</v>
      </c>
      <c r="M1472" t="s">
        <v>3194</v>
      </c>
      <c r="N1472" t="s">
        <v>14</v>
      </c>
    </row>
    <row r="1473" x14ac:dyDescent="0.25">
      <c r="A1473" t="n">
        <v>25</v>
      </c>
      <c r="B1473" t="s">
        <v>14</v>
      </c>
      <c r="C1473" t="s">
        <v>51</v>
      </c>
      <c r="D1473" s="2" t="s">
        <f>=HYPERLINK("https://main.knesset.gov.il/APPS/legislation/main/bills/2229916", "הצעת חוק שירותי תעופה (פיצוי וסיוע בשל ביטול טיסה או שינוי בתנאיה) (תיקון - הודעה לגבי ביטול טיסה או שינוי במועד טיסה), התשפ""ה-2025")</f>
        <v>3198</v>
      </c>
      <c r="E1473" t="s">
        <v>3198</v>
      </c>
      <c r="F1473" t="s">
        <v>3199</v>
      </c>
      <c r="G1473" t="s">
        <v>14</v>
      </c>
      <c r="H1473">
             </c>
      <c r="I1473" t="s">
        <v>14</v>
      </c>
      <c r="J1473" t="s">
        <v>152</v>
      </c>
      <c r="K1473" t="s">
        <v>84</v>
      </c>
      <c r="L1473" t="s">
        <v>20</v>
      </c>
      <c r="M1473" t="s">
        <v>3194</v>
      </c>
      <c r="N1473" t="s">
        <v>14</v>
      </c>
    </row>
    <row r="1474" x14ac:dyDescent="0.25">
      <c r="A1474" t="n">
        <v>25</v>
      </c>
      <c r="B1474" t="s">
        <v>14</v>
      </c>
      <c r="C1474" t="s">
        <v>51</v>
      </c>
      <c r="D1474" s="2" t="s">
        <f>=HYPERLINK("https://main.knesset.gov.il/APPS/legislation/main/bills/2230165", "הצעת חוק סמכויות לשם שמירה על ביטחון הציבור (תיקון - הסמכת מאבטחים למניעת פעילות חבלנית עוינת במרחב הציבורי ברשויות המקומיות), התשפ""ה-2025 ")</f>
        <v>3200</v>
      </c>
      <c r="E1474" t="s">
        <v>3200</v>
      </c>
      <c r="F1474" t="s">
        <v>3201</v>
      </c>
      <c r="G1474" t="s">
        <v>14</v>
      </c>
      <c r="H1474">
             </c>
      <c r="I1474" t="s">
        <v>14</v>
      </c>
      <c r="J1474" t="s">
        <v>202</v>
      </c>
      <c r="K1474" t="s">
        <v>14</v>
      </c>
      <c r="L1474" t="s">
        <v>20</v>
      </c>
      <c r="M1474" t="s">
        <v>3194</v>
      </c>
      <c r="N1474" t="s">
        <v>14</v>
      </c>
    </row>
    <row r="1475" x14ac:dyDescent="0.25">
      <c r="A1475" t="n">
        <v>25</v>
      </c>
      <c r="B1475" t="s">
        <v>14</v>
      </c>
      <c r="C1475" t="s">
        <v>51</v>
      </c>
      <c r="D1475" s="2" t="s">
        <f>=HYPERLINK("https://main.knesset.gov.il/APPS/legislation/main/bills/2229200", "הצעת חוק הגנת הצרכן (תיקון - שינוי יעד של משלוח טובין), התשפ""ה-2025")</f>
        <v>3202</v>
      </c>
      <c r="E1475" t="s">
        <v>3202</v>
      </c>
      <c r="F1475" t="s">
        <v>3203</v>
      </c>
      <c r="G1475" t="s">
        <v>14</v>
      </c>
      <c r="H1475">
             </c>
      <c r="I1475" t="s">
        <v>14</v>
      </c>
      <c r="J1475" t="s">
        <v>202</v>
      </c>
      <c r="K1475" t="s">
        <v>14</v>
      </c>
      <c r="L1475" t="s">
        <v>20</v>
      </c>
      <c r="M1475" t="s">
        <v>3194</v>
      </c>
      <c r="N1475" t="s">
        <v>14</v>
      </c>
    </row>
    <row r="1476" x14ac:dyDescent="0.25">
      <c r="A1476" t="n">
        <v>25</v>
      </c>
      <c r="B1476" t="s">
        <v>14</v>
      </c>
      <c r="C1476" t="s">
        <v>51</v>
      </c>
      <c r="D1476" s="2" t="s">
        <f>=HYPERLINK("https://main.knesset.gov.il/APPS/legislation/main/bills/2228518", "הצעת חוק הביטוח הלאומי (תיקון - הגבלת תשלום בעד טיפול בתביעה), התשפ""ה-2025")</f>
        <v>3204</v>
      </c>
      <c r="E1476" t="s">
        <v>3204</v>
      </c>
      <c r="F1476" t="s">
        <v>3205</v>
      </c>
      <c r="G1476" t="s">
        <v>14</v>
      </c>
      <c r="H1476">
             </c>
      <c r="I1476" t="s">
        <v>14</v>
      </c>
      <c r="J1476" t="s">
        <v>202</v>
      </c>
      <c r="K1476" t="s">
        <v>14</v>
      </c>
      <c r="L1476" t="s">
        <v>20</v>
      </c>
      <c r="M1476" t="s">
        <v>3194</v>
      </c>
      <c r="N1476" t="s">
        <v>14</v>
      </c>
    </row>
    <row r="1477" x14ac:dyDescent="0.25">
      <c r="A1477" t="n">
        <v>25</v>
      </c>
      <c r="B1477" t="s">
        <v>14</v>
      </c>
      <c r="C1477" t="s">
        <v>51</v>
      </c>
      <c r="D1477" s="2" t="s">
        <f>=HYPERLINK("https://main.knesset.gov.il/APPS/legislation/main/bills/2224955", "הצעת חוק סמכויות לשם שמירה על ביטחון הציבור (תיקון - הסמכת מאבטחים למניעת פעילות חבלנית עוינת במרחב הציבורי ברשויות המקומיות), התשפ""ה-2025 ")</f>
        <v>3200</v>
      </c>
      <c r="E1477" t="s">
        <v>3200</v>
      </c>
      <c r="F1477" t="s">
        <v>3206</v>
      </c>
      <c r="G1477" t="s">
        <v>14</v>
      </c>
      <c r="H1477">
             </c>
      <c r="I1477" t="s">
        <v>14</v>
      </c>
      <c r="J1477" t="s">
        <v>202</v>
      </c>
      <c r="K1477" t="s">
        <v>14</v>
      </c>
      <c r="L1477" t="s">
        <v>20</v>
      </c>
      <c r="M1477" t="s">
        <v>3194</v>
      </c>
      <c r="N1477" t="s">
        <v>14</v>
      </c>
    </row>
    <row r="1478" x14ac:dyDescent="0.25">
      <c r="A1478" t="n">
        <v>25</v>
      </c>
      <c r="B1478" t="s">
        <v>14</v>
      </c>
      <c r="C1478" t="s">
        <v>51</v>
      </c>
      <c r="D1478" s="2" t="s">
        <f>=HYPERLINK("https://main.knesset.gov.il/APPS/legislation/main/bills/2220125", "הצעת חוק המאבק במדינות תומכות טרור, התשפ""ד-2024")</f>
        <v>3207</v>
      </c>
      <c r="E1478" t="s">
        <v>3207</v>
      </c>
      <c r="F1478" t="s">
        <v>3208</v>
      </c>
      <c r="G1478" t="s">
        <v>14</v>
      </c>
      <c r="H1478">
             </c>
      <c r="I1478" t="s">
        <v>14</v>
      </c>
      <c r="J1478" t="s">
        <v>202</v>
      </c>
      <c r="K1478" t="s">
        <v>14</v>
      </c>
      <c r="L1478" t="s">
        <v>20</v>
      </c>
      <c r="M1478" t="s">
        <v>3194</v>
      </c>
      <c r="N1478" t="s">
        <v>14</v>
      </c>
    </row>
    <row r="1479" x14ac:dyDescent="0.25">
      <c r="A1479" t="n">
        <v>25</v>
      </c>
      <c r="B1479" t="s">
        <v>14</v>
      </c>
      <c r="C1479" t="s">
        <v>51</v>
      </c>
      <c r="D1479" s="2" t="s">
        <f>=HYPERLINK("https://main.knesset.gov.il/APPS/legislation/main/bills/2218659", "הצעת חוק התפזרות הכנסת העשרים וחמש, התשפ""ד-2024")</f>
        <v>3209</v>
      </c>
      <c r="E1479" t="s">
        <v>3209</v>
      </c>
      <c r="F1479" t="s">
        <v>3210</v>
      </c>
      <c r="G1479" t="s">
        <v>14</v>
      </c>
      <c r="H1479">
             </c>
      <c r="I1479" t="s">
        <v>14</v>
      </c>
      <c r="J1479" t="s">
        <v>193</v>
      </c>
      <c r="K1479" t="s">
        <v>14</v>
      </c>
      <c r="L1479" t="s">
        <v>20</v>
      </c>
      <c r="M1479" t="s">
        <v>3194</v>
      </c>
      <c r="N1479" t="s">
        <v>14</v>
      </c>
    </row>
    <row r="1480" x14ac:dyDescent="0.25">
      <c r="A1480" t="n">
        <v>25</v>
      </c>
      <c r="B1480" t="s">
        <v>14</v>
      </c>
      <c r="C1480" t="s">
        <v>51</v>
      </c>
      <c r="D1480" s="2" t="s">
        <f>=HYPERLINK("https://main.knesset.gov.il/APPS/legislation/main/bills/2203896", "הצעת חוק התפזרות הכנסת העשרים וחמש, התשפ""ג-2023")</f>
        <v>691</v>
      </c>
      <c r="E1480" t="s">
        <v>691</v>
      </c>
      <c r="F1480" t="s">
        <v>3211</v>
      </c>
      <c r="G1480" t="s">
        <v>14</v>
      </c>
      <c r="H1480">
             </c>
      <c r="I1480" t="s">
        <v>14</v>
      </c>
      <c r="J1480" t="s">
        <v>193</v>
      </c>
      <c r="K1480" t="s">
        <v>14</v>
      </c>
      <c r="L1480" t="s">
        <v>20</v>
      </c>
      <c r="M1480" t="s">
        <v>3194</v>
      </c>
      <c r="N1480" t="s">
        <v>14</v>
      </c>
    </row>
    <row r="1481" x14ac:dyDescent="0.25">
      <c r="A1481" t="n">
        <v>25</v>
      </c>
      <c r="B1481" t="s">
        <v>14</v>
      </c>
      <c r="C1481" t="s">
        <v>51</v>
      </c>
      <c r="D1481" s="2" t="s">
        <f>=HYPERLINK("https://main.knesset.gov.il/APPS/legislation/main/bills/2203604", "הצעת חוק התפזרות הכנסת העשרים וחמש, התשפ""ג-2023")</f>
        <v>691</v>
      </c>
      <c r="E1481" t="s">
        <v>691</v>
      </c>
      <c r="F1481" t="s">
        <v>3212</v>
      </c>
      <c r="G1481" t="s">
        <v>14</v>
      </c>
      <c r="H1481">
             </c>
      <c r="I1481" t="s">
        <v>14</v>
      </c>
      <c r="J1481" t="s">
        <v>193</v>
      </c>
      <c r="K1481" t="s">
        <v>14</v>
      </c>
      <c r="L1481" t="s">
        <v>20</v>
      </c>
      <c r="M1481" t="s">
        <v>3194</v>
      </c>
      <c r="N1481" t="s">
        <v>14</v>
      </c>
    </row>
    <row r="1482" x14ac:dyDescent="0.25">
      <c r="A1482" t="n">
        <v>25</v>
      </c>
      <c r="B1482" t="s">
        <v>14</v>
      </c>
      <c r="C1482" t="s">
        <v>51</v>
      </c>
      <c r="D1482" s="2" t="s">
        <f>=HYPERLINK("https://main.knesset.gov.il/APPS/legislation/main/bills/2198981", "הצעת חוק התפזרות הכנסת העשרים וחמש, התשפ""ג-2023")</f>
        <v>691</v>
      </c>
      <c r="E1482" t="s">
        <v>691</v>
      </c>
      <c r="F1482" t="s">
        <v>3213</v>
      </c>
      <c r="G1482" t="s">
        <v>14</v>
      </c>
      <c r="H1482">
             </c>
      <c r="I1482" t="s">
        <v>14</v>
      </c>
      <c r="J1482" t="s">
        <v>193</v>
      </c>
      <c r="K1482" t="s">
        <v>14</v>
      </c>
      <c r="L1482" t="s">
        <v>20</v>
      </c>
      <c r="M1482" t="s">
        <v>3194</v>
      </c>
      <c r="N1482" t="s">
        <v>14</v>
      </c>
    </row>
    <row r="1483" x14ac:dyDescent="0.25">
      <c r="A1483" t="n">
        <v>25</v>
      </c>
      <c r="B1483" t="s">
        <v>14</v>
      </c>
      <c r="C1483" t="s">
        <v>51</v>
      </c>
      <c r="D1483" s="2" t="s">
        <f>=HYPERLINK("https://main.knesset.gov.il/APPS/legislation/main/bills/2196960", "הצעת חוק התפזרות הכנסת העשרים וחמש, התשפ""ג-2022")</f>
        <v>693</v>
      </c>
      <c r="E1483" t="s">
        <v>693</v>
      </c>
      <c r="F1483" t="s">
        <v>3214</v>
      </c>
      <c r="G1483" t="s">
        <v>14</v>
      </c>
      <c r="H1483">
             </c>
      <c r="I1483" t="s">
        <v>14</v>
      </c>
      <c r="J1483" t="s">
        <v>193</v>
      </c>
      <c r="K1483" t="s">
        <v>14</v>
      </c>
      <c r="L1483" t="s">
        <v>20</v>
      </c>
      <c r="M1483" t="s">
        <v>3194</v>
      </c>
      <c r="N1483" t="s">
        <v>14</v>
      </c>
    </row>
    <row r="1484" x14ac:dyDescent="0.25">
      <c r="A1484" t="n">
        <v>25</v>
      </c>
      <c r="B1484" t="s">
        <v>14</v>
      </c>
      <c r="C1484" t="s">
        <v>51</v>
      </c>
      <c r="D1484" s="2" t="s">
        <f>=HYPERLINK("https://main.knesset.gov.il/APPS/legislation/main/bills/2196561", "הצעת חוק התפזרות הכנסת העשרים וחמש, התשפ""ג-2022")</f>
        <v>693</v>
      </c>
      <c r="E1484" t="s">
        <v>693</v>
      </c>
      <c r="F1484" t="s">
        <v>3215</v>
      </c>
      <c r="G1484" t="s">
        <v>14</v>
      </c>
      <c r="H1484">
             </c>
      <c r="I1484" t="s">
        <v>14</v>
      </c>
      <c r="J1484" t="s">
        <v>193</v>
      </c>
      <c r="K1484" t="s">
        <v>14</v>
      </c>
      <c r="L1484" t="s">
        <v>20</v>
      </c>
      <c r="M1484" t="s">
        <v>3194</v>
      </c>
      <c r="N1484" t="s">
        <v>14</v>
      </c>
    </row>
    <row r="1485" x14ac:dyDescent="0.25">
      <c r="A1485" t="n">
        <v>25</v>
      </c>
      <c r="B1485" t="s">
        <v>14</v>
      </c>
      <c r="C1485" t="s">
        <v>15</v>
      </c>
      <c r="D1485" s="2" t="s">
        <f>=HYPERLINK("https://main.knesset.gov.il/APPS/legislation/main/bills/2232839", "הצעת חוק איסור הלבנת הון (תיקון מס' 36) (הקפאה זמנית של רכוש או של פעולה ברכוש), התשפ""ה-2025")</f>
        <v>3216</v>
      </c>
      <c r="E1485" t="s">
        <v>3216</v>
      </c>
      <c r="F1485" t="s">
        <v>14</v>
      </c>
      <c r="G1485" t="s">
        <v>3217</v>
      </c>
      <c r="H1485">
             </c>
      <c r="I1485" t="s">
        <v>14</v>
      </c>
      <c r="J1485" t="s">
        <v>162</v>
      </c>
      <c r="K1485" t="s">
        <v>14</v>
      </c>
      <c r="L1485" t="s">
        <v>20</v>
      </c>
      <c r="M1485" t="s">
        <v>3194</v>
      </c>
      <c r="N1485" t="s">
        <v>14</v>
      </c>
    </row>
    <row r="1486" x14ac:dyDescent="0.25">
      <c r="A1486" t="n">
        <v>25</v>
      </c>
      <c r="B1486" t="s">
        <v>14</v>
      </c>
      <c r="C1486" t="s">
        <v>51</v>
      </c>
      <c r="D1486" s="2" t="s">
        <f>=HYPERLINK("https://main.knesset.gov.il/APPS/legislation/main/bills/2207881", "הצעת חוק הבנקאות (שירות ללקוח) (תיקון - ריבית על יתרת זכות), התשפ""ג-2023")</f>
        <v>2536</v>
      </c>
      <c r="E1486" t="s">
        <v>2536</v>
      </c>
      <c r="F1486" t="s">
        <v>3218</v>
      </c>
      <c r="G1486" t="s">
        <v>14</v>
      </c>
      <c r="H1486">
             </c>
      <c r="I1486" t="s">
        <v>14</v>
      </c>
      <c r="J1486" t="s">
        <v>183</v>
      </c>
      <c r="K1486" t="s">
        <v>84</v>
      </c>
      <c r="L1486" t="s">
        <v>20</v>
      </c>
      <c r="M1486" t="s">
        <v>3219</v>
      </c>
      <c r="N1486" t="s">
        <v>14</v>
      </c>
    </row>
    <row r="1487" x14ac:dyDescent="0.25">
      <c r="A1487" t="n">
        <v>25</v>
      </c>
      <c r="B1487" t="s">
        <v>14</v>
      </c>
      <c r="C1487" t="s">
        <v>51</v>
      </c>
      <c r="D1487" s="2" t="s">
        <f>=HYPERLINK("https://main.knesset.gov.il/APPS/legislation/main/bills/2203717", "הצעת חוק הבנקאות (שירות ללקוח) (תיקון - ריבית על יתרת זכות), התשפ""ג-2023")</f>
        <v>2536</v>
      </c>
      <c r="E1487" t="s">
        <v>2536</v>
      </c>
      <c r="F1487" t="s">
        <v>3220</v>
      </c>
      <c r="G1487" t="s">
        <v>14</v>
      </c>
      <c r="H1487">
             </c>
      <c r="I1487" t="s">
        <v>14</v>
      </c>
      <c r="J1487" t="s">
        <v>183</v>
      </c>
      <c r="K1487" t="s">
        <v>84</v>
      </c>
      <c r="L1487" t="s">
        <v>20</v>
      </c>
      <c r="M1487" t="s">
        <v>3219</v>
      </c>
      <c r="N1487" t="s">
        <v>14</v>
      </c>
    </row>
    <row r="1488" x14ac:dyDescent="0.25">
      <c r="A1488" t="n">
        <v>25</v>
      </c>
      <c r="B1488" t="s">
        <v>14</v>
      </c>
      <c r="C1488" t="s">
        <v>51</v>
      </c>
      <c r="D1488" s="2" t="s">
        <f>=HYPERLINK("https://main.knesset.gov.il/APPS/legislation/main/bills/2218542", "חוק הנוטריונים (תיקון מס' 11), התשפ""ה-2025")</f>
        <v>3221</v>
      </c>
      <c r="E1488" t="s">
        <v>3221</v>
      </c>
      <c r="F1488" t="s">
        <v>3222</v>
      </c>
      <c r="G1488" t="s">
        <v>3223</v>
      </c>
      <c r="H1488" t="n">
        <v>3424</v>
      </c>
      <c r="I1488" t="s">
        <v>14</v>
      </c>
      <c r="J1488" t="s">
        <v>18</v>
      </c>
      <c r="K1488" t="s">
        <v>27</v>
      </c>
      <c r="L1488" t="s">
        <v>20</v>
      </c>
      <c r="M1488" t="s">
        <v>3219</v>
      </c>
      <c r="N1488" t="s">
        <v>3224</v>
      </c>
    </row>
    <row r="1489" x14ac:dyDescent="0.25">
      <c r="A1489" t="n">
        <v>25</v>
      </c>
      <c r="B1489" t="s">
        <v>14</v>
      </c>
      <c r="C1489" t="s">
        <v>51</v>
      </c>
      <c r="D1489" s="2" t="s">
        <f>=HYPERLINK("https://main.knesset.gov.il/APPS/legislation/main/bills/2220900", "חוק אסטרטגיית הביטחון הלאומי, התשפ""ה–2025")</f>
        <v>3225</v>
      </c>
      <c r="E1489" t="s">
        <v>3225</v>
      </c>
      <c r="F1489" t="s">
        <v>3226</v>
      </c>
      <c r="G1489" t="s">
        <v>3227</v>
      </c>
      <c r="H1489" t="n">
        <v>3423</v>
      </c>
      <c r="I1489" t="s">
        <v>14</v>
      </c>
      <c r="J1489" t="s">
        <v>18</v>
      </c>
      <c r="K1489" t="s">
        <v>39</v>
      </c>
      <c r="L1489" t="s">
        <v>20</v>
      </c>
      <c r="M1489" t="s">
        <v>3219</v>
      </c>
      <c r="N1489" t="s">
        <v>3228</v>
      </c>
    </row>
    <row r="1490" x14ac:dyDescent="0.25">
      <c r="A1490" t="n">
        <v>25</v>
      </c>
      <c r="B1490" t="s">
        <v>14</v>
      </c>
      <c r="C1490" t="s">
        <v>51</v>
      </c>
      <c r="D1490" s="2" t="s">
        <f>=HYPERLINK("https://main.knesset.gov.il/APPS/legislation/main/bills/2205767", "הצעת חוק השידור הציבורי הישראלי (תיקון מס' 10 והוראת שעה), התשפ""ה–2025")</f>
        <v>3229</v>
      </c>
      <c r="E1490" t="s">
        <v>3229</v>
      </c>
      <c r="F1490" t="s">
        <v>3230</v>
      </c>
      <c r="G1490" t="s">
        <v>3231</v>
      </c>
      <c r="H1490">
             </c>
      <c r="I1490" t="s">
        <v>14</v>
      </c>
      <c r="J1490" t="s">
        <v>232</v>
      </c>
      <c r="K1490" t="s">
        <v>84</v>
      </c>
      <c r="L1490" t="s">
        <v>20</v>
      </c>
      <c r="M1490" t="s">
        <v>3219</v>
      </c>
      <c r="N1490" t="s">
        <v>14</v>
      </c>
    </row>
    <row r="1491" x14ac:dyDescent="0.25">
      <c r="A1491" t="n">
        <v>25</v>
      </c>
      <c r="B1491" t="s">
        <v>14</v>
      </c>
      <c r="C1491" t="s">
        <v>51</v>
      </c>
      <c r="D1491" s="2" t="s">
        <f>=HYPERLINK("https://main.knesset.gov.il/APPS/legislation/main/bills/2225783", "הצעת חוק עבודת נשים (תיקון - הארכת תקופת הלידה וההורות להורי פעוט עם מוגבלות מורכבת), התשפ""ה-2024")</f>
        <v>3232</v>
      </c>
      <c r="E1491" t="s">
        <v>3232</v>
      </c>
      <c r="F1491" t="s">
        <v>3233</v>
      </c>
      <c r="G1491" t="s">
        <v>14</v>
      </c>
      <c r="H1491">
             </c>
      <c r="I1491" t="s">
        <v>14</v>
      </c>
      <c r="J1491" t="s">
        <v>183</v>
      </c>
      <c r="K1491" t="s">
        <v>46</v>
      </c>
      <c r="L1491" t="s">
        <v>20</v>
      </c>
      <c r="M1491" t="s">
        <v>3234</v>
      </c>
      <c r="N1491" t="s">
        <v>14</v>
      </c>
    </row>
    <row r="1492" x14ac:dyDescent="0.25">
      <c r="A1492" t="n">
        <v>25</v>
      </c>
      <c r="B1492" t="s">
        <v>14</v>
      </c>
      <c r="C1492" t="s">
        <v>15</v>
      </c>
      <c r="D1492" s="2" t="s">
        <f>=HYPERLINK("https://main.knesset.gov.il/APPS/legislation/main/bills/2231844", "הצעת חוק ההתייעלות הכלכלית (תיקוני חקיקה להשגת יעדי התקציב לשנות התקציב 2023 ו-2024) (תיקון מס' 2), התשפ""ה-2025 ")</f>
        <v>3235</v>
      </c>
      <c r="E1492" t="s">
        <v>3235</v>
      </c>
      <c r="F1492" t="s">
        <v>14</v>
      </c>
      <c r="G1492" t="s">
        <v>3236</v>
      </c>
      <c r="H1492">
             </c>
      <c r="I1492" t="s">
        <v>14</v>
      </c>
      <c r="J1492" t="s">
        <v>38</v>
      </c>
      <c r="K1492" t="s">
        <v>24</v>
      </c>
      <c r="L1492" t="s">
        <v>20</v>
      </c>
      <c r="M1492" t="s">
        <v>3234</v>
      </c>
      <c r="N1492" t="s">
        <v>14</v>
      </c>
    </row>
    <row r="1493" x14ac:dyDescent="0.25">
      <c r="A1493" t="n">
        <v>25</v>
      </c>
      <c r="B1493" t="s">
        <v>14</v>
      </c>
      <c r="C1493" t="s">
        <v>15</v>
      </c>
      <c r="D1493" s="2" t="s">
        <f>=HYPERLINK("https://main.knesset.gov.il/APPS/legislation/main/bills/2230250", "חוק לשכת עורכי הדין (תיקון מס' 46), התשפ""ה-2025 ")</f>
        <v>3237</v>
      </c>
      <c r="E1493" t="s">
        <v>3237</v>
      </c>
      <c r="F1493" t="s">
        <v>14</v>
      </c>
      <c r="G1493" t="s">
        <v>3238</v>
      </c>
      <c r="H1493" t="n">
        <v>3422</v>
      </c>
      <c r="I1493" t="s">
        <v>14</v>
      </c>
      <c r="J1493" t="s">
        <v>18</v>
      </c>
      <c r="K1493" t="s">
        <v>27</v>
      </c>
      <c r="L1493" t="s">
        <v>20</v>
      </c>
      <c r="M1493" t="s">
        <v>3234</v>
      </c>
      <c r="N1493" t="s">
        <v>3239</v>
      </c>
    </row>
    <row r="1494" x14ac:dyDescent="0.25">
      <c r="A1494" t="n">
        <v>25</v>
      </c>
      <c r="B1494" t="s">
        <v>14</v>
      </c>
      <c r="C1494" t="s">
        <v>51</v>
      </c>
      <c r="D1494" s="2" t="s">
        <f>=HYPERLINK("https://main.knesset.gov.il/APPS/legislation/main/bills/2231103", "הצעת חוק שנת שירות, התשפ""ה-2025")</f>
        <v>3240</v>
      </c>
      <c r="E1494" t="s">
        <v>3240</v>
      </c>
      <c r="F1494" t="s">
        <v>3241</v>
      </c>
      <c r="G1494" t="s">
        <v>14</v>
      </c>
      <c r="H1494">
             </c>
      <c r="I1494" t="s">
        <v>14</v>
      </c>
      <c r="J1494" t="s">
        <v>242</v>
      </c>
      <c r="K1494" t="s">
        <v>14</v>
      </c>
      <c r="L1494" t="s">
        <v>20</v>
      </c>
      <c r="M1494" t="s">
        <v>3234</v>
      </c>
      <c r="N1494" t="s">
        <v>14</v>
      </c>
    </row>
    <row r="1495" x14ac:dyDescent="0.25">
      <c r="A1495" t="n">
        <v>25</v>
      </c>
      <c r="B1495" t="s">
        <v>14</v>
      </c>
      <c r="C1495" t="s">
        <v>51</v>
      </c>
      <c r="D1495" s="2" t="s">
        <f>=HYPERLINK("https://main.knesset.gov.il/APPS/legislation/main/bills/2232063", "הצעת חוק הביטוח הלאומי (תיקון - שיעור קצבת שירותים מיוחדים וגמלת ילד נכה למעסיקים שני מטפלים), התשפ""ה-2025")</f>
        <v>3181</v>
      </c>
      <c r="E1495" t="s">
        <v>3181</v>
      </c>
      <c r="F1495" t="s">
        <v>3242</v>
      </c>
      <c r="G1495" t="s">
        <v>14</v>
      </c>
      <c r="H1495">
             </c>
      <c r="I1495" t="s">
        <v>14</v>
      </c>
      <c r="J1495" t="s">
        <v>242</v>
      </c>
      <c r="K1495" t="s">
        <v>14</v>
      </c>
      <c r="L1495" t="s">
        <v>20</v>
      </c>
      <c r="M1495" t="s">
        <v>3234</v>
      </c>
      <c r="N1495" t="s">
        <v>14</v>
      </c>
    </row>
    <row r="1496" x14ac:dyDescent="0.25">
      <c r="A1496" t="n">
        <v>25</v>
      </c>
      <c r="B1496" t="s">
        <v>14</v>
      </c>
      <c r="C1496" t="s">
        <v>51</v>
      </c>
      <c r="D1496" s="2" t="s">
        <f>=HYPERLINK("https://main.knesset.gov.il/APPS/legislation/main/bills/2230725", "הצעת חוק מימון מפלגות (תיקון - אחריות יושב ראש מפלגה לחובות סיעה שחדלה להתקיים), התשפ""ה-2025")</f>
        <v>3243</v>
      </c>
      <c r="E1496" t="s">
        <v>3243</v>
      </c>
      <c r="F1496" t="s">
        <v>3244</v>
      </c>
      <c r="G1496" t="s">
        <v>14</v>
      </c>
      <c r="H1496">
             </c>
      <c r="I1496" t="s">
        <v>14</v>
      </c>
      <c r="J1496" t="s">
        <v>242</v>
      </c>
      <c r="K1496" t="s">
        <v>14</v>
      </c>
      <c r="L1496" t="s">
        <v>20</v>
      </c>
      <c r="M1496" t="s">
        <v>3234</v>
      </c>
      <c r="N1496" t="s">
        <v>14</v>
      </c>
    </row>
    <row r="1497" x14ac:dyDescent="0.25">
      <c r="A1497" t="n">
        <v>25</v>
      </c>
      <c r="B1497" t="s">
        <v>14</v>
      </c>
      <c r="C1497" t="s">
        <v>51</v>
      </c>
      <c r="D1497" s="2" t="s">
        <f>=HYPERLINK("https://main.knesset.gov.il/APPS/legislation/main/bills/2231107", "הצעת חוק קליטת חיילים משוחררים (תיקון - הכרה בעבודה בפנימיות לילדים ונוער בסיכון כעבודה מועדפת ומתן הטבות), התשפ""ה-2025 ")</f>
        <v>3245</v>
      </c>
      <c r="E1497" t="s">
        <v>3245</v>
      </c>
      <c r="F1497" t="s">
        <v>3246</v>
      </c>
      <c r="G1497" t="s">
        <v>14</v>
      </c>
      <c r="H1497">
             </c>
      <c r="I1497" t="s">
        <v>14</v>
      </c>
      <c r="J1497" t="s">
        <v>242</v>
      </c>
      <c r="K1497" t="s">
        <v>14</v>
      </c>
      <c r="L1497" t="s">
        <v>20</v>
      </c>
      <c r="M1497" t="s">
        <v>3234</v>
      </c>
      <c r="N1497" t="s">
        <v>14</v>
      </c>
    </row>
    <row r="1498" x14ac:dyDescent="0.25">
      <c r="A1498" t="n">
        <v>25</v>
      </c>
      <c r="B1498" t="s">
        <v>14</v>
      </c>
      <c r="C1498" t="s">
        <v>51</v>
      </c>
      <c r="D1498" s="2" t="s">
        <f>=HYPERLINK("https://main.knesset.gov.il/APPS/legislation/main/bills/2232317", "הצעת חוק הנוער (טיפול והשגחה) (תיקון - טיפול בבריחה ממשמורת), התשפ""ה-2025")</f>
        <v>3247</v>
      </c>
      <c r="E1498" t="s">
        <v>3247</v>
      </c>
      <c r="F1498" t="s">
        <v>3248</v>
      </c>
      <c r="G1498" t="s">
        <v>14</v>
      </c>
      <c r="H1498">
             </c>
      <c r="I1498" t="s">
        <v>14</v>
      </c>
      <c r="J1498" t="s">
        <v>242</v>
      </c>
      <c r="K1498" t="s">
        <v>14</v>
      </c>
      <c r="L1498" t="s">
        <v>20</v>
      </c>
      <c r="M1498" t="s">
        <v>3234</v>
      </c>
      <c r="N1498" t="s">
        <v>14</v>
      </c>
    </row>
    <row r="1499" x14ac:dyDescent="0.25">
      <c r="A1499" t="n">
        <v>25</v>
      </c>
      <c r="B1499" t="s">
        <v>14</v>
      </c>
      <c r="C1499" t="s">
        <v>51</v>
      </c>
      <c r="D1499" s="2" t="s">
        <f>=HYPERLINK("https://main.knesset.gov.il/APPS/legislation/main/bills/2232552", "הצעת חוק שידור חי של דיונים בבית המשפט העליון, התשפ""ה-2025")</f>
        <v>3249</v>
      </c>
      <c r="E1499" t="s">
        <v>3249</v>
      </c>
      <c r="F1499" t="s">
        <v>3250</v>
      </c>
      <c r="G1499" t="s">
        <v>14</v>
      </c>
      <c r="H1499">
             </c>
      <c r="I1499" t="s">
        <v>14</v>
      </c>
      <c r="J1499" t="s">
        <v>242</v>
      </c>
      <c r="K1499" t="s">
        <v>14</v>
      </c>
      <c r="L1499" t="s">
        <v>20</v>
      </c>
      <c r="M1499" t="s">
        <v>3234</v>
      </c>
      <c r="N1499" t="s">
        <v>14</v>
      </c>
    </row>
    <row r="1500" x14ac:dyDescent="0.25">
      <c r="A1500" t="n">
        <v>25</v>
      </c>
      <c r="B1500" t="s">
        <v>14</v>
      </c>
      <c r="C1500" t="s">
        <v>51</v>
      </c>
      <c r="D1500" s="2" t="s">
        <f>=HYPERLINK("https://main.knesset.gov.il/APPS/legislation/main/bills/2232422", "הצעת חוק חובת המכרזים (תיקון - העדפה מתקנת לנכי צה""ל), התשפ""ה-2025")</f>
        <v>3251</v>
      </c>
      <c r="E1500" t="s">
        <v>3251</v>
      </c>
      <c r="F1500" t="s">
        <v>3252</v>
      </c>
      <c r="G1500" t="s">
        <v>14</v>
      </c>
      <c r="H1500">
             </c>
      <c r="I1500" t="s">
        <v>14</v>
      </c>
      <c r="J1500" t="s">
        <v>242</v>
      </c>
      <c r="K1500" t="s">
        <v>14</v>
      </c>
      <c r="L1500" t="s">
        <v>20</v>
      </c>
      <c r="M1500" t="s">
        <v>3234</v>
      </c>
      <c r="N1500" t="s">
        <v>14</v>
      </c>
    </row>
    <row r="1501" x14ac:dyDescent="0.25">
      <c r="A1501" t="n">
        <v>25</v>
      </c>
      <c r="B1501" t="s">
        <v>14</v>
      </c>
      <c r="C1501" t="s">
        <v>51</v>
      </c>
      <c r="D1501" s="2" t="s">
        <f>=HYPERLINK("https://main.knesset.gov.il/APPS/legislation/main/bills/2232396", "הצעת חוק יום העצמאות (תיקון - מועד יום העצמאות), התשפ""ה-2025")</f>
        <v>3253</v>
      </c>
      <c r="E1501" t="s">
        <v>3253</v>
      </c>
      <c r="F1501" t="s">
        <v>3254</v>
      </c>
      <c r="G1501" t="s">
        <v>14</v>
      </c>
      <c r="H1501">
             </c>
      <c r="I1501" t="s">
        <v>14</v>
      </c>
      <c r="J1501" t="s">
        <v>242</v>
      </c>
      <c r="K1501" t="s">
        <v>14</v>
      </c>
      <c r="L1501" t="s">
        <v>20</v>
      </c>
      <c r="M1501" t="s">
        <v>3234</v>
      </c>
      <c r="N1501" t="s">
        <v>14</v>
      </c>
    </row>
    <row r="1502" x14ac:dyDescent="0.25">
      <c r="A1502" t="n">
        <v>25</v>
      </c>
      <c r="B1502" t="s">
        <v>14</v>
      </c>
      <c r="C1502" t="s">
        <v>51</v>
      </c>
      <c r="D1502" s="2" t="s">
        <f>=HYPERLINK("https://main.knesset.gov.il/APPS/legislation/main/bills/2231842", "הצעת חוק לאשרור אמנת רומא, התשפ""ה-2025")</f>
        <v>3255</v>
      </c>
      <c r="E1502" t="s">
        <v>3255</v>
      </c>
      <c r="F1502" t="s">
        <v>3256</v>
      </c>
      <c r="G1502" t="s">
        <v>14</v>
      </c>
      <c r="H1502">
             </c>
      <c r="I1502" t="s">
        <v>14</v>
      </c>
      <c r="J1502" t="s">
        <v>242</v>
      </c>
      <c r="K1502" t="s">
        <v>14</v>
      </c>
      <c r="L1502" t="s">
        <v>20</v>
      </c>
      <c r="M1502" t="s">
        <v>3234</v>
      </c>
      <c r="N1502" t="s">
        <v>14</v>
      </c>
    </row>
    <row r="1503" x14ac:dyDescent="0.25">
      <c r="A1503" t="n">
        <v>25</v>
      </c>
      <c r="B1503" t="s">
        <v>14</v>
      </c>
      <c r="C1503" t="s">
        <v>51</v>
      </c>
      <c r="D1503" s="2" t="s">
        <f>=HYPERLINK("https://main.knesset.gov.il/APPS/legislation/main/bills/2232229", "הצעת חוק חובת לימודי ליבה וביטול מוסדות הפטור (תיקוני חקיקה), התשפ""ה-2025")</f>
        <v>3257</v>
      </c>
      <c r="E1503" t="s">
        <v>3257</v>
      </c>
      <c r="F1503" t="s">
        <v>3258</v>
      </c>
      <c r="G1503" t="s">
        <v>14</v>
      </c>
      <c r="H1503">
             </c>
      <c r="I1503" t="s">
        <v>14</v>
      </c>
      <c r="J1503" t="s">
        <v>242</v>
      </c>
      <c r="K1503" t="s">
        <v>14</v>
      </c>
      <c r="L1503" t="s">
        <v>20</v>
      </c>
      <c r="M1503" t="s">
        <v>3234</v>
      </c>
      <c r="N1503" t="s">
        <v>14</v>
      </c>
    </row>
    <row r="1504" x14ac:dyDescent="0.25">
      <c r="A1504" t="n">
        <v>25</v>
      </c>
      <c r="B1504" t="s">
        <v>14</v>
      </c>
      <c r="C1504" t="s">
        <v>51</v>
      </c>
      <c r="D1504" s="2" t="s">
        <f>=HYPERLINK("https://main.knesset.gov.il/APPS/legislation/main/bills/2231544", "הצעת חוק אחריות לתגמולים ולטיפול בחיילים בשירות מילואים או בשירות קבע ובאנשי כוחות הביטחון בשל חבלה תוך כדי השירות (תיקוני חקיקה), התשפ""ה-2025")</f>
        <v>3259</v>
      </c>
      <c r="E1504" t="s">
        <v>3259</v>
      </c>
      <c r="F1504" t="s">
        <v>3260</v>
      </c>
      <c r="G1504" t="s">
        <v>14</v>
      </c>
      <c r="H1504">
             </c>
      <c r="I1504" t="s">
        <v>14</v>
      </c>
      <c r="J1504" t="s">
        <v>242</v>
      </c>
      <c r="K1504" t="s">
        <v>14</v>
      </c>
      <c r="L1504" t="s">
        <v>20</v>
      </c>
      <c r="M1504" t="s">
        <v>3234</v>
      </c>
      <c r="N1504" t="s">
        <v>14</v>
      </c>
    </row>
    <row r="1505" x14ac:dyDescent="0.25">
      <c r="A1505" t="n">
        <v>25</v>
      </c>
      <c r="B1505" t="s">
        <v>14</v>
      </c>
      <c r="C1505" t="s">
        <v>51</v>
      </c>
      <c r="D1505" s="2" t="s">
        <f>=HYPERLINK("https://main.knesset.gov.il/APPS/legislation/main/bills/2232569", "הצעת חוק מגן דוד אדום (תיקון - הבטחת הרציפות התפקודית של מגן דוד אדום), התשפ""ה-2025")</f>
        <v>3261</v>
      </c>
      <c r="E1505" t="s">
        <v>3261</v>
      </c>
      <c r="F1505" t="s">
        <v>3262</v>
      </c>
      <c r="G1505" t="s">
        <v>14</v>
      </c>
      <c r="H1505">
             </c>
      <c r="I1505" t="s">
        <v>14</v>
      </c>
      <c r="J1505" t="s">
        <v>242</v>
      </c>
      <c r="K1505" t="s">
        <v>14</v>
      </c>
      <c r="L1505" t="s">
        <v>20</v>
      </c>
      <c r="M1505" t="s">
        <v>3234</v>
      </c>
      <c r="N1505" t="s">
        <v>14</v>
      </c>
    </row>
    <row r="1506" x14ac:dyDescent="0.25">
      <c r="A1506" t="n">
        <v>25</v>
      </c>
      <c r="B1506" t="s">
        <v>14</v>
      </c>
      <c r="C1506" t="s">
        <v>51</v>
      </c>
      <c r="D1506" s="2" t="s">
        <f>=HYPERLINK("https://main.knesset.gov.il/APPS/legislation/main/bills/2231774", "הצעת חוק התקשורת (בזק ושידורים) (תיקון - הגנה על קטינים מפני תוכן פוגעני באינטרנט באמצעות אומדן גיל), התשפ""ה-2025")</f>
        <v>3263</v>
      </c>
      <c r="E1506" t="s">
        <v>3263</v>
      </c>
      <c r="F1506" t="s">
        <v>3264</v>
      </c>
      <c r="G1506" t="s">
        <v>14</v>
      </c>
      <c r="H1506">
             </c>
      <c r="I1506" t="s">
        <v>14</v>
      </c>
      <c r="J1506" t="s">
        <v>242</v>
      </c>
      <c r="K1506" t="s">
        <v>14</v>
      </c>
      <c r="L1506" t="s">
        <v>20</v>
      </c>
      <c r="M1506" t="s">
        <v>3234</v>
      </c>
      <c r="N1506" t="s">
        <v>14</v>
      </c>
    </row>
    <row r="1507" x14ac:dyDescent="0.25">
      <c r="A1507" t="n">
        <v>25</v>
      </c>
      <c r="B1507" t="s">
        <v>14</v>
      </c>
      <c r="C1507" t="s">
        <v>15</v>
      </c>
      <c r="D1507" s="2" t="s">
        <f>=HYPERLINK("https://main.knesset.gov.il/APPS/legislation/main/bills/2229713", "הצעת חוק שירות מידע פיננסי (תיקון מס' 3 והוראת שעה), התשפ""ה-2025 ")</f>
        <v>3265</v>
      </c>
      <c r="E1507" t="s">
        <v>3265</v>
      </c>
      <c r="F1507" t="s">
        <v>14</v>
      </c>
      <c r="G1507" t="s">
        <v>3266</v>
      </c>
      <c r="H1507">
             </c>
      <c r="I1507" t="s">
        <v>14</v>
      </c>
      <c r="J1507" t="s">
        <v>180</v>
      </c>
      <c r="K1507" t="s">
        <v>84</v>
      </c>
      <c r="L1507" t="s">
        <v>20</v>
      </c>
      <c r="M1507" t="s">
        <v>3234</v>
      </c>
      <c r="N1507" t="s">
        <v>14</v>
      </c>
    </row>
    <row r="1508" x14ac:dyDescent="0.25">
      <c r="A1508" t="n">
        <v>25</v>
      </c>
      <c r="B1508" t="s">
        <v>14</v>
      </c>
      <c r="C1508" t="s">
        <v>51</v>
      </c>
      <c r="D1508" s="2" t="s">
        <f>=HYPERLINK("https://main.knesset.gov.il/APPS/legislation/main/bills/2207388", "הצעת חוק לתיקון סדרי הדין (חקירת עדים) (תיקון - מתן עדות שלא בפני הנאשם בעבירת נטילת דמי חסות), התשפ""ג-2023")</f>
        <v>3267</v>
      </c>
      <c r="E1508" t="s">
        <v>3267</v>
      </c>
      <c r="F1508" t="s">
        <v>3268</v>
      </c>
      <c r="G1508" t="s">
        <v>14</v>
      </c>
      <c r="H1508">
             </c>
      <c r="I1508" t="s">
        <v>14</v>
      </c>
      <c r="J1508" t="s">
        <v>152</v>
      </c>
      <c r="K1508" t="s">
        <v>27</v>
      </c>
      <c r="L1508" t="s">
        <v>20</v>
      </c>
      <c r="M1508" t="s">
        <v>3269</v>
      </c>
      <c r="N1508" t="s">
        <v>14</v>
      </c>
    </row>
    <row r="1509" x14ac:dyDescent="0.25">
      <c r="A1509" t="n">
        <v>25</v>
      </c>
      <c r="B1509" t="s">
        <v>14</v>
      </c>
      <c r="C1509" t="s">
        <v>51</v>
      </c>
      <c r="D1509" s="2" t="s">
        <f>=HYPERLINK("https://main.knesset.gov.il/APPS/legislation/main/bills/2197392", "הצעת חוק לתיקון סדרי הדין (חקירת עדים) (תיקון - מתן עדות שלא בפני הנאשם בעבירת נטילת דמי חסות), התשפ""ג-2023")</f>
        <v>3267</v>
      </c>
      <c r="E1509" t="s">
        <v>3267</v>
      </c>
      <c r="F1509" t="s">
        <v>3270</v>
      </c>
      <c r="G1509" t="s">
        <v>14</v>
      </c>
      <c r="H1509">
             </c>
      <c r="I1509" t="s">
        <v>14</v>
      </c>
      <c r="J1509" t="s">
        <v>152</v>
      </c>
      <c r="K1509" t="s">
        <v>27</v>
      </c>
      <c r="L1509" t="s">
        <v>20</v>
      </c>
      <c r="M1509" t="s">
        <v>3269</v>
      </c>
      <c r="N1509" t="s">
        <v>14</v>
      </c>
    </row>
    <row r="1510" x14ac:dyDescent="0.25">
      <c r="A1510" t="n">
        <v>25</v>
      </c>
      <c r="B1510" t="s">
        <v>14</v>
      </c>
      <c r="C1510" t="s">
        <v>51</v>
      </c>
      <c r="D1510" s="2" t="s">
        <f>=HYPERLINK("https://main.knesset.gov.il/APPS/legislation/main/bills/2210285", "הצעת חוק הרשות לפיתוח הנגב (תיקון - הגדרת הנגב), התשפ""ד-2024")</f>
        <v>3271</v>
      </c>
      <c r="E1510" t="s">
        <v>3271</v>
      </c>
      <c r="F1510" t="s">
        <v>3272</v>
      </c>
      <c r="G1510" t="s">
        <v>14</v>
      </c>
      <c r="H1510">
             </c>
      <c r="I1510" t="s">
        <v>14</v>
      </c>
      <c r="J1510" t="s">
        <v>152</v>
      </c>
      <c r="K1510" t="s">
        <v>84</v>
      </c>
      <c r="L1510" t="s">
        <v>20</v>
      </c>
      <c r="M1510" t="s">
        <v>3273</v>
      </c>
      <c r="N1510" t="s">
        <v>14</v>
      </c>
    </row>
    <row r="1511" x14ac:dyDescent="0.25">
      <c r="A1511" t="n">
        <v>25</v>
      </c>
      <c r="B1511" t="s">
        <v>14</v>
      </c>
      <c r="C1511" t="s">
        <v>51</v>
      </c>
      <c r="D1511" s="2" t="s">
        <f>=HYPERLINK("https://main.knesset.gov.il/APPS/legislation/main/bills/2225242", "חוק כלי הירייה (תיקון מס' 26), התשפ""ה–2025")</f>
        <v>3274</v>
      </c>
      <c r="E1511" t="s">
        <v>3274</v>
      </c>
      <c r="F1511" t="s">
        <v>3275</v>
      </c>
      <c r="G1511" t="s">
        <v>3276</v>
      </c>
      <c r="H1511" t="n">
        <v>3421</v>
      </c>
      <c r="I1511" t="s">
        <v>14</v>
      </c>
      <c r="J1511" t="s">
        <v>18</v>
      </c>
      <c r="K1511" t="s">
        <v>19</v>
      </c>
      <c r="L1511" t="s">
        <v>20</v>
      </c>
      <c r="M1511" t="s">
        <v>3273</v>
      </c>
      <c r="N1511" t="s">
        <v>3277</v>
      </c>
    </row>
    <row r="1512" x14ac:dyDescent="0.25">
      <c r="A1512" t="n">
        <v>25</v>
      </c>
      <c r="B1512" t="s">
        <v>14</v>
      </c>
      <c r="C1512" t="s">
        <v>51</v>
      </c>
      <c r="D1512" s="2" t="s">
        <f>=HYPERLINK("https://main.knesset.gov.il/APPS/legislation/main/bills/2223725", "הצעת חוק הביטוח הלאומי (תיקון - הארכת הזכאות לדמי אבטלה למשרתי מילואים), התשפ""ה-2024")</f>
        <v>3278</v>
      </c>
      <c r="E1512" t="s">
        <v>3278</v>
      </c>
      <c r="F1512" t="s">
        <v>3279</v>
      </c>
      <c r="G1512" t="s">
        <v>14</v>
      </c>
      <c r="H1512">
             </c>
      <c r="I1512" t="s">
        <v>14</v>
      </c>
      <c r="J1512" t="s">
        <v>193</v>
      </c>
      <c r="K1512" t="s">
        <v>14</v>
      </c>
      <c r="L1512" t="s">
        <v>20</v>
      </c>
      <c r="M1512" t="s">
        <v>3273</v>
      </c>
      <c r="N1512" t="s">
        <v>14</v>
      </c>
    </row>
    <row r="1513" x14ac:dyDescent="0.25">
      <c r="A1513" t="n">
        <v>25</v>
      </c>
      <c r="B1513" t="s">
        <v>14</v>
      </c>
      <c r="C1513" t="s">
        <v>51</v>
      </c>
      <c r="D1513" s="2" t="s">
        <f>=HYPERLINK("https://main.knesset.gov.il/APPS/legislation/main/bills/2224434", "הצעת חוק ביטוח בריאות ממלכתי (תיקון - הפחתה בדמי ביטוח בריאות לתושבי העוטף וקו העימות) (הוראת שעה - חרבות ברזל), התשפ""ה-2024")</f>
        <v>3280</v>
      </c>
      <c r="E1513" t="s">
        <v>3280</v>
      </c>
      <c r="F1513" t="s">
        <v>3281</v>
      </c>
      <c r="G1513" t="s">
        <v>14</v>
      </c>
      <c r="H1513">
             </c>
      <c r="I1513" t="s">
        <v>14</v>
      </c>
      <c r="J1513" t="s">
        <v>193</v>
      </c>
      <c r="K1513" t="s">
        <v>14</v>
      </c>
      <c r="L1513" t="s">
        <v>20</v>
      </c>
      <c r="M1513" t="s">
        <v>3273</v>
      </c>
      <c r="N1513" t="s">
        <v>14</v>
      </c>
    </row>
    <row r="1514" x14ac:dyDescent="0.25">
      <c r="A1514" t="n">
        <v>25</v>
      </c>
      <c r="B1514" t="s">
        <v>14</v>
      </c>
      <c r="C1514" t="s">
        <v>51</v>
      </c>
      <c r="D1514" s="2" t="s">
        <f>=HYPERLINK("https://main.knesset.gov.il/APPS/legislation/main/bills/2223497", "הצעת חוק גירוש משפחות מחבלים (תיקון - הרחבת והבניית שיקול הדעת), התשפ""ה-2024")</f>
        <v>3282</v>
      </c>
      <c r="E1514" t="s">
        <v>3282</v>
      </c>
      <c r="F1514" t="s">
        <v>3283</v>
      </c>
      <c r="G1514" t="s">
        <v>14</v>
      </c>
      <c r="H1514">
             </c>
      <c r="I1514" t="s">
        <v>14</v>
      </c>
      <c r="J1514" t="s">
        <v>152</v>
      </c>
      <c r="K1514" t="s">
        <v>30</v>
      </c>
      <c r="L1514" t="s">
        <v>20</v>
      </c>
      <c r="M1514" t="s">
        <v>3273</v>
      </c>
      <c r="N1514" t="s">
        <v>14</v>
      </c>
    </row>
    <row r="1515" x14ac:dyDescent="0.25">
      <c r="A1515" t="n">
        <v>25</v>
      </c>
      <c r="B1515" t="s">
        <v>14</v>
      </c>
      <c r="C1515" t="s">
        <v>51</v>
      </c>
      <c r="D1515" s="2" t="s">
        <f>=HYPERLINK("https://main.knesset.gov.il/APPS/legislation/main/bills/2224051", "הצעת חוק הקמת יישוב עירוני חדש לאוכלוסייה הדרוזית, התשפ""ה-2024")</f>
        <v>3284</v>
      </c>
      <c r="E1515" t="s">
        <v>3284</v>
      </c>
      <c r="F1515" t="s">
        <v>3285</v>
      </c>
      <c r="G1515" t="s">
        <v>14</v>
      </c>
      <c r="H1515">
             </c>
      <c r="I1515" t="s">
        <v>14</v>
      </c>
      <c r="J1515" t="s">
        <v>193</v>
      </c>
      <c r="K1515" t="s">
        <v>14</v>
      </c>
      <c r="L1515" t="s">
        <v>20</v>
      </c>
      <c r="M1515" t="s">
        <v>3273</v>
      </c>
      <c r="N1515" t="s">
        <v>14</v>
      </c>
    </row>
    <row r="1516" x14ac:dyDescent="0.25">
      <c r="A1516" t="n">
        <v>25</v>
      </c>
      <c r="B1516" t="s">
        <v>14</v>
      </c>
      <c r="C1516" t="s">
        <v>51</v>
      </c>
      <c r="D1516" s="2" t="s">
        <f>=HYPERLINK("https://main.knesset.gov.il/APPS/legislation/main/bills/2215554", "הצעת חוק הנכים (תגמולים ושיקום) (תיקון - קביעת זכאויות נוספות לנכים), התשפ""ד-2024")</f>
        <v>3286</v>
      </c>
      <c r="E1516" t="s">
        <v>3286</v>
      </c>
      <c r="F1516" t="s">
        <v>3287</v>
      </c>
      <c r="G1516" t="s">
        <v>14</v>
      </c>
      <c r="H1516">
             </c>
      <c r="I1516" t="s">
        <v>14</v>
      </c>
      <c r="J1516" t="s">
        <v>193</v>
      </c>
      <c r="K1516" t="s">
        <v>14</v>
      </c>
      <c r="L1516" t="s">
        <v>20</v>
      </c>
      <c r="M1516" t="s">
        <v>3273</v>
      </c>
      <c r="N1516" t="s">
        <v>14</v>
      </c>
    </row>
    <row r="1517" x14ac:dyDescent="0.25">
      <c r="A1517" t="n">
        <v>25</v>
      </c>
      <c r="B1517" t="s">
        <v>14</v>
      </c>
      <c r="C1517" t="s">
        <v>51</v>
      </c>
      <c r="D1517" s="2" t="s">
        <f>=HYPERLINK("https://main.knesset.gov.il/APPS/legislation/main/bills/2200332", "הצעת חוק איסור הפליה במוצרים, בשירותים ובכניסה למקומות בידור ולמקומות ציבוריים (תיקון - איסור הפליה בדיור), התשפ""ד-2023")</f>
        <v>3288</v>
      </c>
      <c r="E1517" t="s">
        <v>3288</v>
      </c>
      <c r="F1517" t="s">
        <v>3289</v>
      </c>
      <c r="G1517" t="s">
        <v>14</v>
      </c>
      <c r="H1517">
             </c>
      <c r="I1517" t="s">
        <v>14</v>
      </c>
      <c r="J1517" t="s">
        <v>193</v>
      </c>
      <c r="K1517" t="s">
        <v>14</v>
      </c>
      <c r="L1517" t="s">
        <v>20</v>
      </c>
      <c r="M1517" t="s">
        <v>3273</v>
      </c>
      <c r="N1517" t="s">
        <v>14</v>
      </c>
    </row>
    <row r="1518" x14ac:dyDescent="0.25">
      <c r="A1518" t="n">
        <v>25</v>
      </c>
      <c r="B1518" t="s">
        <v>14</v>
      </c>
      <c r="C1518" t="s">
        <v>51</v>
      </c>
      <c r="D1518" s="2" t="s">
        <f>=HYPERLINK("https://main.knesset.gov.il/APPS/legislation/main/bills/2198959", "הצעת חוק הביטוח הלאומי (תיקון - שלילת קצבת ילדים ממשפחות פוליגמיות), התשפ""ג-2023")</f>
        <v>3290</v>
      </c>
      <c r="E1518" t="s">
        <v>3290</v>
      </c>
      <c r="F1518" t="s">
        <v>3291</v>
      </c>
      <c r="G1518" t="s">
        <v>14</v>
      </c>
      <c r="H1518">
             </c>
      <c r="I1518" t="s">
        <v>14</v>
      </c>
      <c r="J1518" t="s">
        <v>193</v>
      </c>
      <c r="K1518" t="s">
        <v>14</v>
      </c>
      <c r="L1518" t="s">
        <v>20</v>
      </c>
      <c r="M1518" t="s">
        <v>3273</v>
      </c>
      <c r="N1518" t="s">
        <v>14</v>
      </c>
    </row>
    <row r="1519" x14ac:dyDescent="0.25">
      <c r="A1519" t="n">
        <v>25</v>
      </c>
      <c r="B1519" t="s">
        <v>14</v>
      </c>
      <c r="C1519" t="s">
        <v>51</v>
      </c>
      <c r="D1519" s="2" t="s">
        <f>=HYPERLINK("https://main.knesset.gov.il/APPS/legislation/main/bills/2198716", "הצעת חוק הרשות הלאומית לתרבות ולשפה המרוקאית יהודית, התשפ""ג-2023")</f>
        <v>3292</v>
      </c>
      <c r="E1519" t="s">
        <v>3292</v>
      </c>
      <c r="F1519" t="s">
        <v>3293</v>
      </c>
      <c r="G1519" t="s">
        <v>14</v>
      </c>
      <c r="H1519">
             </c>
      <c r="I1519" t="s">
        <v>14</v>
      </c>
      <c r="J1519" t="s">
        <v>193</v>
      </c>
      <c r="K1519" t="s">
        <v>14</v>
      </c>
      <c r="L1519" t="s">
        <v>20</v>
      </c>
      <c r="M1519" t="s">
        <v>3273</v>
      </c>
      <c r="N1519" t="s">
        <v>14</v>
      </c>
    </row>
    <row r="1520" x14ac:dyDescent="0.25">
      <c r="A1520" t="n">
        <v>25</v>
      </c>
      <c r="B1520" t="s">
        <v>14</v>
      </c>
      <c r="C1520" t="s">
        <v>51</v>
      </c>
      <c r="D1520" s="2" t="s">
        <f>=HYPERLINK("https://main.knesset.gov.il/APPS/legislation/main/bills/2196065", "הצעת חוק לתיקון פקודת מס הכנסה (ניכוי הוצאות כיבוד לפגישה מחוץ למקום העיסוק), התשפ""ג-2022")</f>
        <v>3294</v>
      </c>
      <c r="E1520" t="s">
        <v>3294</v>
      </c>
      <c r="F1520" t="s">
        <v>3295</v>
      </c>
      <c r="G1520" t="s">
        <v>14</v>
      </c>
      <c r="H1520">
             </c>
      <c r="I1520" t="s">
        <v>14</v>
      </c>
      <c r="J1520" t="s">
        <v>193</v>
      </c>
      <c r="K1520" t="s">
        <v>14</v>
      </c>
      <c r="L1520" t="s">
        <v>20</v>
      </c>
      <c r="M1520" t="s">
        <v>3273</v>
      </c>
      <c r="N1520" t="s">
        <v>14</v>
      </c>
    </row>
    <row r="1521" x14ac:dyDescent="0.25">
      <c r="A1521" t="n">
        <v>25</v>
      </c>
      <c r="B1521" t="s">
        <v>14</v>
      </c>
      <c r="C1521" t="s">
        <v>51</v>
      </c>
      <c r="D1521" s="2" t="s">
        <f>=HYPERLINK("https://main.knesset.gov.il/APPS/legislation/main/bills/2198925", "הצעת חוק ביטוח בריאות ממלכתי (תיקון - החזר דמי נסיעה באמבולנס עבור מטופל בתחום בריאות הנפש), התשפ""ג-2023")</f>
        <v>3296</v>
      </c>
      <c r="E1521" t="s">
        <v>3296</v>
      </c>
      <c r="F1521" t="s">
        <v>3297</v>
      </c>
      <c r="G1521" t="s">
        <v>14</v>
      </c>
      <c r="H1521">
             </c>
      <c r="I1521" t="s">
        <v>14</v>
      </c>
      <c r="J1521" t="s">
        <v>183</v>
      </c>
      <c r="K1521" t="s">
        <v>361</v>
      </c>
      <c r="L1521" t="s">
        <v>20</v>
      </c>
      <c r="M1521" t="s">
        <v>3298</v>
      </c>
      <c r="N1521" t="s">
        <v>14</v>
      </c>
    </row>
    <row r="1522" x14ac:dyDescent="0.25">
      <c r="A1522" t="n">
        <v>25</v>
      </c>
      <c r="B1522" t="s">
        <v>14</v>
      </c>
      <c r="C1522" t="s">
        <v>51</v>
      </c>
      <c r="D1522" s="2" t="s">
        <f>=HYPERLINK("https://main.knesset.gov.il/APPS/legislation/main/bills/2198723", "הצעת חוק ביטוח בריאות ממלכתי (תיקון - החזר דמי נסיעה באמבולנס עבור מטופל בתחום בריאות הנפש), התשפ""ג-2023")</f>
        <v>3296</v>
      </c>
      <c r="E1522" t="s">
        <v>3296</v>
      </c>
      <c r="F1522" t="s">
        <v>3299</v>
      </c>
      <c r="G1522" t="s">
        <v>14</v>
      </c>
      <c r="H1522">
             </c>
      <c r="I1522" t="s">
        <v>14</v>
      </c>
      <c r="J1522" t="s">
        <v>183</v>
      </c>
      <c r="K1522" t="s">
        <v>361</v>
      </c>
      <c r="L1522" t="s">
        <v>20</v>
      </c>
      <c r="M1522" t="s">
        <v>3298</v>
      </c>
      <c r="N1522" t="s">
        <v>14</v>
      </c>
    </row>
    <row r="1523" x14ac:dyDescent="0.25">
      <c r="A1523" t="n">
        <v>25</v>
      </c>
      <c r="B1523" t="s">
        <v>14</v>
      </c>
      <c r="C1523" t="s">
        <v>15</v>
      </c>
      <c r="D1523" s="2" t="s">
        <f>=HYPERLINK("https://main.knesset.gov.il/APPS/legislation/main/bills/2217246", "הצעת חוק התקנת מצלמות לשם הגנה על פעוטות במעונות יום לפעוטות (תיקון), התשפ""ד-2024")</f>
        <v>3300</v>
      </c>
      <c r="E1523" t="s">
        <v>3300</v>
      </c>
      <c r="F1523" t="s">
        <v>14</v>
      </c>
      <c r="G1523" t="s">
        <v>3301</v>
      </c>
      <c r="H1523">
             </c>
      <c r="I1523" t="s">
        <v>14</v>
      </c>
      <c r="J1523" t="s">
        <v>38</v>
      </c>
      <c r="K1523" t="s">
        <v>79</v>
      </c>
      <c r="L1523" t="s">
        <v>20</v>
      </c>
      <c r="M1523" t="s">
        <v>3298</v>
      </c>
      <c r="N1523" t="s">
        <v>14</v>
      </c>
    </row>
    <row r="1524" x14ac:dyDescent="0.25">
      <c r="A1524" t="n">
        <v>25</v>
      </c>
      <c r="B1524" t="s">
        <v>14</v>
      </c>
      <c r="C1524" t="s">
        <v>51</v>
      </c>
      <c r="D1524" s="2" t="s">
        <f>=HYPERLINK("https://main.knesset.gov.il/APPS/legislation/main/bills/2224762", "הצעת חוק לתיקון פקודת הסטטיסטיקה (הפניה לאפיון הרשויות המקומיות), התשפ""ה-2024")</f>
        <v>3302</v>
      </c>
      <c r="E1524" t="s">
        <v>3302</v>
      </c>
      <c r="F1524" t="s">
        <v>3303</v>
      </c>
      <c r="G1524" t="s">
        <v>14</v>
      </c>
      <c r="H1524">
             </c>
      <c r="I1524" t="s">
        <v>14</v>
      </c>
      <c r="J1524" t="s">
        <v>152</v>
      </c>
      <c r="K1524" t="s">
        <v>24</v>
      </c>
      <c r="L1524" t="s">
        <v>20</v>
      </c>
      <c r="M1524" t="s">
        <v>3298</v>
      </c>
      <c r="N1524" t="s">
        <v>14</v>
      </c>
    </row>
    <row r="1525" x14ac:dyDescent="0.25">
      <c r="A1525" t="n">
        <v>25</v>
      </c>
      <c r="B1525" t="s">
        <v>14</v>
      </c>
      <c r="C1525" t="s">
        <v>15</v>
      </c>
      <c r="D1525" s="2" t="s">
        <f>=HYPERLINK("https://main.knesset.gov.il/APPS/legislation/main/bills/2221617", "חוק עזרה משפטית בין מדינות (תיקון מס' 12), התשפ""ה-2025")</f>
        <v>3304</v>
      </c>
      <c r="E1525" t="s">
        <v>3304</v>
      </c>
      <c r="F1525" t="s">
        <v>14</v>
      </c>
      <c r="G1525" t="s">
        <v>3305</v>
      </c>
      <c r="H1525" t="n">
        <v>3420</v>
      </c>
      <c r="I1525" t="s">
        <v>14</v>
      </c>
      <c r="J1525" t="s">
        <v>18</v>
      </c>
      <c r="K1525" t="s">
        <v>27</v>
      </c>
      <c r="L1525" t="s">
        <v>20</v>
      </c>
      <c r="M1525" t="s">
        <v>3298</v>
      </c>
      <c r="N1525" t="s">
        <v>3306</v>
      </c>
    </row>
    <row r="1526" x14ac:dyDescent="0.25">
      <c r="A1526" t="n">
        <v>25</v>
      </c>
      <c r="B1526" t="s">
        <v>14</v>
      </c>
      <c r="C1526" t="s">
        <v>51</v>
      </c>
      <c r="D1526" s="2" t="s">
        <f>=HYPERLINK("https://main.knesset.gov.il/APPS/legislation/main/bills/2231526", "הצעת חוק מגן דוד אדום (תיקון - הבטחת הרציפות התפקודית של מגן דוד אדום), התשפ""ה-2025")</f>
        <v>3261</v>
      </c>
      <c r="E1526" t="s">
        <v>3261</v>
      </c>
      <c r="F1526" t="s">
        <v>3307</v>
      </c>
      <c r="G1526" t="s">
        <v>14</v>
      </c>
      <c r="H1526">
             </c>
      <c r="I1526" t="s">
        <v>14</v>
      </c>
      <c r="J1526" t="s">
        <v>242</v>
      </c>
      <c r="K1526" t="s">
        <v>14</v>
      </c>
      <c r="L1526" t="s">
        <v>20</v>
      </c>
      <c r="M1526" t="s">
        <v>3298</v>
      </c>
      <c r="N1526" t="s">
        <v>14</v>
      </c>
    </row>
    <row r="1527" x14ac:dyDescent="0.25">
      <c r="A1527" t="n">
        <v>25</v>
      </c>
      <c r="B1527" t="s">
        <v>14</v>
      </c>
      <c r="C1527" t="s">
        <v>51</v>
      </c>
      <c r="D1527" s="2" t="s">
        <f>=HYPERLINK("https://main.knesset.gov.il/APPS/legislation/main/bills/2231102", "הצעת חוק הכנסת (תיקון - צפיית חברי הכנסת בנתוני תקציב המדינה במערכת רוחבית כוללת במשרדי הממשלה), התשפ""ה-2025")</f>
        <v>3308</v>
      </c>
      <c r="E1527" t="s">
        <v>3308</v>
      </c>
      <c r="F1527" t="s">
        <v>3309</v>
      </c>
      <c r="G1527" t="s">
        <v>14</v>
      </c>
      <c r="H1527">
             </c>
      <c r="I1527" t="s">
        <v>14</v>
      </c>
      <c r="J1527" t="s">
        <v>242</v>
      </c>
      <c r="K1527" t="s">
        <v>14</v>
      </c>
      <c r="L1527" t="s">
        <v>20</v>
      </c>
      <c r="M1527" t="s">
        <v>3298</v>
      </c>
      <c r="N1527" t="s">
        <v>14</v>
      </c>
    </row>
    <row r="1528" x14ac:dyDescent="0.25">
      <c r="A1528" t="n">
        <v>25</v>
      </c>
      <c r="B1528" t="s">
        <v>14</v>
      </c>
      <c r="C1528" t="s">
        <v>51</v>
      </c>
      <c r="D1528" s="2" t="s">
        <f>=HYPERLINK("https://main.knesset.gov.il/APPS/legislation/main/bills/2230886", "הצעת חוק החיילים המשוחררים (החזרה לעבודה) (תיקון - הגנה על פצוע מלחמה בתקופת האשפוז ולאחריה) (הוראת שעה), התשפ""ה-2025")</f>
        <v>3310</v>
      </c>
      <c r="E1528" t="s">
        <v>3310</v>
      </c>
      <c r="F1528" t="s">
        <v>3311</v>
      </c>
      <c r="G1528" t="s">
        <v>14</v>
      </c>
      <c r="H1528">
             </c>
      <c r="I1528" t="s">
        <v>14</v>
      </c>
      <c r="J1528" t="s">
        <v>242</v>
      </c>
      <c r="K1528" t="s">
        <v>14</v>
      </c>
      <c r="L1528" t="s">
        <v>20</v>
      </c>
      <c r="M1528" t="s">
        <v>3298</v>
      </c>
      <c r="N1528" t="s">
        <v>14</v>
      </c>
    </row>
    <row r="1529" x14ac:dyDescent="0.25">
      <c r="A1529" t="n">
        <v>25</v>
      </c>
      <c r="B1529" t="s">
        <v>14</v>
      </c>
      <c r="C1529" t="s">
        <v>51</v>
      </c>
      <c r="D1529" s="2" t="s">
        <f>=HYPERLINK("https://main.knesset.gov.il/APPS/legislation/main/bills/2230762", "הצעת חוק הנזיקים האזרחיים (אחריות המדינה) (תיקון - סייגים לאחריות המדינה בשל פעילות טרור), התשפ״ה-2025")</f>
        <v>3312</v>
      </c>
      <c r="E1529" t="s">
        <v>3312</v>
      </c>
      <c r="F1529" t="s">
        <v>3313</v>
      </c>
      <c r="G1529" t="s">
        <v>14</v>
      </c>
      <c r="H1529">
             </c>
      <c r="I1529" t="s">
        <v>14</v>
      </c>
      <c r="J1529" t="s">
        <v>202</v>
      </c>
      <c r="K1529" t="s">
        <v>14</v>
      </c>
      <c r="L1529" t="s">
        <v>20</v>
      </c>
      <c r="M1529" t="s">
        <v>3298</v>
      </c>
      <c r="N1529" t="s">
        <v>14</v>
      </c>
    </row>
    <row r="1530" x14ac:dyDescent="0.25">
      <c r="A1530" t="n">
        <v>25</v>
      </c>
      <c r="B1530" t="s">
        <v>14</v>
      </c>
      <c r="C1530" t="s">
        <v>51</v>
      </c>
      <c r="D1530" s="2" t="s">
        <f>=HYPERLINK("https://main.knesset.gov.il/APPS/legislation/main/bills/2231728", "הצעת חוק-יסוד: הממשלה (תיקון - הגבלת מספר שרים וסגני שרים)")</f>
        <v>3314</v>
      </c>
      <c r="E1530" t="s">
        <v>3314</v>
      </c>
      <c r="F1530" t="s">
        <v>3315</v>
      </c>
      <c r="G1530" t="s">
        <v>14</v>
      </c>
      <c r="H1530">
             </c>
      <c r="I1530" t="s">
        <v>14</v>
      </c>
      <c r="J1530" t="s">
        <v>242</v>
      </c>
      <c r="K1530" t="s">
        <v>14</v>
      </c>
      <c r="L1530" t="s">
        <v>20</v>
      </c>
      <c r="M1530" t="s">
        <v>3298</v>
      </c>
      <c r="N1530" t="s">
        <v>14</v>
      </c>
    </row>
    <row r="1531" x14ac:dyDescent="0.25">
      <c r="A1531" t="n">
        <v>25</v>
      </c>
      <c r="B1531" t="s">
        <v>14</v>
      </c>
      <c r="C1531" t="s">
        <v>51</v>
      </c>
      <c r="D1531" s="2" t="s">
        <f>=HYPERLINK("https://main.knesset.gov.il/APPS/legislation/main/bills/2231332", "הצעת חוק לתיקון פקודת מס הכנסה (הקפאת הטבת מס לחייל משוחרר), התשפ""ה-2025")</f>
        <v>3316</v>
      </c>
      <c r="E1531" t="s">
        <v>3316</v>
      </c>
      <c r="F1531" t="s">
        <v>3317</v>
      </c>
      <c r="G1531" t="s">
        <v>14</v>
      </c>
      <c r="H1531">
             </c>
      <c r="I1531" t="s">
        <v>14</v>
      </c>
      <c r="J1531" t="s">
        <v>242</v>
      </c>
      <c r="K1531" t="s">
        <v>14</v>
      </c>
      <c r="L1531" t="s">
        <v>20</v>
      </c>
      <c r="M1531" t="s">
        <v>3298</v>
      </c>
      <c r="N1531" t="s">
        <v>14</v>
      </c>
    </row>
    <row r="1532" x14ac:dyDescent="0.25">
      <c r="A1532" t="n">
        <v>25</v>
      </c>
      <c r="B1532" t="s">
        <v>14</v>
      </c>
      <c r="C1532" t="s">
        <v>51</v>
      </c>
      <c r="D1532" s="2" t="s">
        <f>=HYPERLINK("https://main.knesset.gov.il/APPS/legislation/main/bills/2230348", "הצעת חוק הגנת הצרכן (תיקון - עצמאות תקציבית ודיווח), התשפ""ה-2025")</f>
        <v>3318</v>
      </c>
      <c r="E1532" t="s">
        <v>3318</v>
      </c>
      <c r="F1532" t="s">
        <v>3319</v>
      </c>
      <c r="G1532" t="s">
        <v>14</v>
      </c>
      <c r="H1532">
             </c>
      <c r="I1532" t="s">
        <v>14</v>
      </c>
      <c r="J1532" t="s">
        <v>242</v>
      </c>
      <c r="K1532" t="s">
        <v>14</v>
      </c>
      <c r="L1532" t="s">
        <v>20</v>
      </c>
      <c r="M1532" t="s">
        <v>3298</v>
      </c>
      <c r="N1532" t="s">
        <v>14</v>
      </c>
    </row>
    <row r="1533" x14ac:dyDescent="0.25">
      <c r="A1533" t="n">
        <v>25</v>
      </c>
      <c r="B1533" t="s">
        <v>14</v>
      </c>
      <c r="C1533" t="s">
        <v>51</v>
      </c>
      <c r="D1533" s="2" t="s">
        <f>=HYPERLINK("https://main.knesset.gov.il/APPS/legislation/main/bills/2232218", "הצעת חוק לתיקון פקודת העיריות (גמול השתתפות בישיבות והחזר הוצאות לחברי מועצה), התשפ""ה-2025")</f>
        <v>3320</v>
      </c>
      <c r="E1533" t="s">
        <v>3320</v>
      </c>
      <c r="F1533" t="s">
        <v>3321</v>
      </c>
      <c r="G1533" t="s">
        <v>14</v>
      </c>
      <c r="H1533">
             </c>
      <c r="I1533" t="s">
        <v>14</v>
      </c>
      <c r="J1533" t="s">
        <v>242</v>
      </c>
      <c r="K1533" t="s">
        <v>14</v>
      </c>
      <c r="L1533" t="s">
        <v>20</v>
      </c>
      <c r="M1533" t="s">
        <v>3298</v>
      </c>
      <c r="N1533" t="s">
        <v>14</v>
      </c>
    </row>
    <row r="1534" x14ac:dyDescent="0.25">
      <c r="A1534" t="n">
        <v>25</v>
      </c>
      <c r="B1534" t="s">
        <v>14</v>
      </c>
      <c r="C1534" t="s">
        <v>51</v>
      </c>
      <c r="D1534" s="2" t="s">
        <f>=HYPERLINK("https://main.knesset.gov.il/APPS/legislation/main/bills/2231899", "הצעת חוק זכויות החולה (תיקון - מניעת טיפול רפואי למחבלים במערכת הבריאות הציבורית), התשפ""ה-2025")</f>
        <v>3322</v>
      </c>
      <c r="E1534" t="s">
        <v>3322</v>
      </c>
      <c r="F1534" t="s">
        <v>3323</v>
      </c>
      <c r="G1534" t="s">
        <v>14</v>
      </c>
      <c r="H1534">
             </c>
      <c r="I1534" t="s">
        <v>14</v>
      </c>
      <c r="J1534" t="s">
        <v>242</v>
      </c>
      <c r="K1534" t="s">
        <v>14</v>
      </c>
      <c r="L1534" t="s">
        <v>20</v>
      </c>
      <c r="M1534" t="s">
        <v>3298</v>
      </c>
      <c r="N1534" t="s">
        <v>14</v>
      </c>
    </row>
    <row r="1535" x14ac:dyDescent="0.25">
      <c r="A1535" t="n">
        <v>25</v>
      </c>
      <c r="B1535" t="s">
        <v>14</v>
      </c>
      <c r="C1535" t="s">
        <v>51</v>
      </c>
      <c r="D1535" s="2" t="s">
        <f>=HYPERLINK("https://main.knesset.gov.il/APPS/legislation/main/bills/2232226", "הצעת חוק רישוי שירותים ומקצועות בענף הרכב (תיקון - מתווך במתן שירות רכב ומוסכי הסדר), התשפ""ה-2025")</f>
        <v>3324</v>
      </c>
      <c r="E1535" t="s">
        <v>3324</v>
      </c>
      <c r="F1535" t="s">
        <v>3325</v>
      </c>
      <c r="G1535" t="s">
        <v>14</v>
      </c>
      <c r="H1535">
             </c>
      <c r="I1535" t="s">
        <v>14</v>
      </c>
      <c r="J1535" t="s">
        <v>242</v>
      </c>
      <c r="K1535" t="s">
        <v>14</v>
      </c>
      <c r="L1535" t="s">
        <v>20</v>
      </c>
      <c r="M1535" t="s">
        <v>3298</v>
      </c>
      <c r="N1535" t="s">
        <v>14</v>
      </c>
    </row>
    <row r="1536" x14ac:dyDescent="0.25">
      <c r="A1536" t="n">
        <v>25</v>
      </c>
      <c r="B1536" t="s">
        <v>14</v>
      </c>
      <c r="C1536" t="s">
        <v>51</v>
      </c>
      <c r="D1536" s="2" t="s">
        <f>=HYPERLINK("https://main.knesset.gov.il/APPS/legislation/main/bills/2232275", "הצעת חוק פיצוי נפגעי אסון טבע (פיצוי לנפגעי שריפה), התשפ""ה-2025")</f>
        <v>3326</v>
      </c>
      <c r="E1536" t="s">
        <v>3326</v>
      </c>
      <c r="F1536" t="s">
        <v>3327</v>
      </c>
      <c r="G1536" t="s">
        <v>14</v>
      </c>
      <c r="H1536">
             </c>
      <c r="I1536" t="s">
        <v>14</v>
      </c>
      <c r="J1536" t="s">
        <v>242</v>
      </c>
      <c r="K1536" t="s">
        <v>14</v>
      </c>
      <c r="L1536" t="s">
        <v>20</v>
      </c>
      <c r="M1536" t="s">
        <v>3298</v>
      </c>
      <c r="N1536" t="s">
        <v>14</v>
      </c>
    </row>
    <row r="1537" x14ac:dyDescent="0.25">
      <c r="A1537" t="n">
        <v>25</v>
      </c>
      <c r="B1537" t="s">
        <v>14</v>
      </c>
      <c r="C1537" t="s">
        <v>51</v>
      </c>
      <c r="D1537" s="2" t="s">
        <f>=HYPERLINK("https://main.knesset.gov.il/APPS/legislation/main/bills/2232152", "הצעת חוק הבחירות לכנסת (תיקון - אחוז החסימה), התשפ""ה-2025")</f>
        <v>3328</v>
      </c>
      <c r="E1537" t="s">
        <v>3328</v>
      </c>
      <c r="F1537" t="s">
        <v>3329</v>
      </c>
      <c r="G1537" t="s">
        <v>14</v>
      </c>
      <c r="H1537">
             </c>
      <c r="I1537" t="s">
        <v>14</v>
      </c>
      <c r="J1537" t="s">
        <v>242</v>
      </c>
      <c r="K1537" t="s">
        <v>14</v>
      </c>
      <c r="L1537" t="s">
        <v>20</v>
      </c>
      <c r="M1537" t="s">
        <v>3298</v>
      </c>
      <c r="N1537" t="s">
        <v>14</v>
      </c>
    </row>
    <row r="1538" x14ac:dyDescent="0.25">
      <c r="A1538" t="n">
        <v>25</v>
      </c>
      <c r="B1538" t="s">
        <v>14</v>
      </c>
      <c r="C1538" t="s">
        <v>51</v>
      </c>
      <c r="D1538" s="2" t="s">
        <f>=HYPERLINK("https://main.knesset.gov.il/APPS/legislation/main/bills/2232160", "הצעת חוק לתיקון פקודת התעבורה (קידום התחרות באמצעות תחבורה שיתופית מקוונת), התשפ""ה-2025")</f>
        <v>3330</v>
      </c>
      <c r="E1538" t="s">
        <v>3330</v>
      </c>
      <c r="F1538" t="s">
        <v>3331</v>
      </c>
      <c r="G1538" t="s">
        <v>14</v>
      </c>
      <c r="H1538">
             </c>
      <c r="I1538" t="s">
        <v>14</v>
      </c>
      <c r="J1538" t="s">
        <v>242</v>
      </c>
      <c r="K1538" t="s">
        <v>14</v>
      </c>
      <c r="L1538" t="s">
        <v>20</v>
      </c>
      <c r="M1538" t="s">
        <v>3298</v>
      </c>
      <c r="N1538" t="s">
        <v>14</v>
      </c>
    </row>
    <row r="1539" x14ac:dyDescent="0.25">
      <c r="A1539" t="n">
        <v>25</v>
      </c>
      <c r="B1539" t="s">
        <v>14</v>
      </c>
      <c r="C1539" t="s">
        <v>51</v>
      </c>
      <c r="D1539" s="2" t="s">
        <f>=HYPERLINK("https://main.knesset.gov.il/APPS/legislation/main/bills/2231130", "הצעת חוק החלת הפחתת שכר על נושאי משרה, התשפ""ה-2025")</f>
        <v>3332</v>
      </c>
      <c r="E1539" t="s">
        <v>3332</v>
      </c>
      <c r="F1539" t="s">
        <v>3333</v>
      </c>
      <c r="G1539" t="s">
        <v>14</v>
      </c>
      <c r="H1539">
             </c>
      <c r="I1539" t="s">
        <v>14</v>
      </c>
      <c r="J1539" t="s">
        <v>242</v>
      </c>
      <c r="K1539" t="s">
        <v>14</v>
      </c>
      <c r="L1539" t="s">
        <v>20</v>
      </c>
      <c r="M1539" t="s">
        <v>3298</v>
      </c>
      <c r="N1539" t="s">
        <v>14</v>
      </c>
    </row>
    <row r="1540" x14ac:dyDescent="0.25">
      <c r="A1540" t="n">
        <v>25</v>
      </c>
      <c r="B1540" t="s">
        <v>14</v>
      </c>
      <c r="C1540" t="s">
        <v>51</v>
      </c>
      <c r="D1540" s="2" t="s">
        <f>=HYPERLINK("https://main.knesset.gov.il/APPS/legislation/main/bills/2232151", "הצעת חוק חובת שליחת בקשת תשלום טרם עיקול ותפיסה של נכסים המוחזקים בידי צד שלישי (תיקוני חקיקה), התשפ""ה-2025")</f>
        <v>3334</v>
      </c>
      <c r="E1540" t="s">
        <v>3334</v>
      </c>
      <c r="F1540" t="s">
        <v>3335</v>
      </c>
      <c r="G1540" t="s">
        <v>14</v>
      </c>
      <c r="H1540">
             </c>
      <c r="I1540" t="s">
        <v>14</v>
      </c>
      <c r="J1540" t="s">
        <v>242</v>
      </c>
      <c r="K1540" t="s">
        <v>14</v>
      </c>
      <c r="L1540" t="s">
        <v>20</v>
      </c>
      <c r="M1540" t="s">
        <v>3298</v>
      </c>
      <c r="N1540" t="s">
        <v>14</v>
      </c>
    </row>
    <row r="1541" x14ac:dyDescent="0.25">
      <c r="A1541" t="n">
        <v>25</v>
      </c>
      <c r="B1541" t="s">
        <v>14</v>
      </c>
      <c r="C1541" t="s">
        <v>51</v>
      </c>
      <c r="D1541" s="2" t="s">
        <f>=HYPERLINK("https://main.knesset.gov.il/APPS/legislation/main/bills/2228792", "הצעת חוק מיסוי מקרקעין (שבח ורכישה) (תיקון - מכירת דירה שמשמשת למגורי המוכר), התשפ""ה-2025")</f>
        <v>3336</v>
      </c>
      <c r="E1541" t="s">
        <v>3336</v>
      </c>
      <c r="F1541" t="s">
        <v>3337</v>
      </c>
      <c r="G1541" t="s">
        <v>14</v>
      </c>
      <c r="H1541">
             </c>
      <c r="I1541" t="s">
        <v>14</v>
      </c>
      <c r="J1541" t="s">
        <v>242</v>
      </c>
      <c r="K1541" t="s">
        <v>14</v>
      </c>
      <c r="L1541" t="s">
        <v>20</v>
      </c>
      <c r="M1541" t="s">
        <v>3298</v>
      </c>
      <c r="N1541" t="s">
        <v>14</v>
      </c>
    </row>
    <row r="1542" x14ac:dyDescent="0.25">
      <c r="A1542" t="n">
        <v>25</v>
      </c>
      <c r="B1542" t="s">
        <v>14</v>
      </c>
      <c r="C1542" t="s">
        <v>51</v>
      </c>
      <c r="D1542" s="2" t="s">
        <f>=HYPERLINK("https://main.knesset.gov.il/APPS/legislation/main/bills/2220461", "הצעת חוק נכסי המדינה (תיקון מס' 9) (הרשאת שימוש לשם הקמת מיתקני שידור לתקשורת בשיטה התאית), התשפ""ה–2025")</f>
        <v>3338</v>
      </c>
      <c r="E1542" t="s">
        <v>3338</v>
      </c>
      <c r="F1542" t="s">
        <v>3339</v>
      </c>
      <c r="G1542" t="s">
        <v>3340</v>
      </c>
      <c r="H1542">
             </c>
      <c r="I1542" t="s">
        <v>14</v>
      </c>
      <c r="J1542" t="s">
        <v>334</v>
      </c>
      <c r="K1542" t="s">
        <v>84</v>
      </c>
      <c r="L1542" t="s">
        <v>20</v>
      </c>
      <c r="M1542" t="s">
        <v>3298</v>
      </c>
      <c r="N1542" t="s">
        <v>14</v>
      </c>
    </row>
    <row r="1543" x14ac:dyDescent="0.25">
      <c r="A1543" t="n">
        <v>25</v>
      </c>
      <c r="B1543" t="s">
        <v>14</v>
      </c>
      <c r="C1543" t="s">
        <v>51</v>
      </c>
      <c r="D1543" s="2" t="s">
        <f>=HYPERLINK("https://main.knesset.gov.il/APPS/legislation/main/bills/2203951", "הצעת חוק שירות התעסוקה (תיקון מס' 24) (הגברת התחרות בסיעוד הביתי), התשפ""ה–2025")</f>
        <v>3341</v>
      </c>
      <c r="E1543" t="s">
        <v>3341</v>
      </c>
      <c r="F1543" t="s">
        <v>3342</v>
      </c>
      <c r="G1543" t="s">
        <v>3343</v>
      </c>
      <c r="H1543">
             </c>
      <c r="I1543" t="s">
        <v>14</v>
      </c>
      <c r="J1543" t="s">
        <v>334</v>
      </c>
      <c r="K1543" t="s">
        <v>46</v>
      </c>
      <c r="L1543" t="s">
        <v>20</v>
      </c>
      <c r="M1543" t="s">
        <v>3298</v>
      </c>
      <c r="N1543" t="s">
        <v>14</v>
      </c>
    </row>
    <row r="1544" x14ac:dyDescent="0.25">
      <c r="A1544" t="n">
        <v>25</v>
      </c>
      <c r="B1544" t="s">
        <v>14</v>
      </c>
      <c r="C1544" t="s">
        <v>15</v>
      </c>
      <c r="D1544" s="2" t="s">
        <f>=HYPERLINK("https://main.knesset.gov.il/APPS/legislation/main/bills/2232434", "הצעת חוק חדלות פירעון ושיקום כלכלי (צו לשיקום כלכלי על יסוד הכתב) (הוראת שעה), התשפ""ה-2025")</f>
        <v>3344</v>
      </c>
      <c r="E1544" t="s">
        <v>3344</v>
      </c>
      <c r="F1544" t="s">
        <v>14</v>
      </c>
      <c r="G1544" t="s">
        <v>3345</v>
      </c>
      <c r="H1544">
             </c>
      <c r="I1544" t="s">
        <v>14</v>
      </c>
      <c r="J1544" t="s">
        <v>162</v>
      </c>
      <c r="K1544" t="s">
        <v>14</v>
      </c>
      <c r="L1544" t="s">
        <v>20</v>
      </c>
      <c r="M1544" t="s">
        <v>3298</v>
      </c>
      <c r="N1544" t="s">
        <v>14</v>
      </c>
    </row>
    <row r="1545" x14ac:dyDescent="0.25">
      <c r="A1545" t="n">
        <v>25</v>
      </c>
      <c r="B1545" t="s">
        <v>14</v>
      </c>
      <c r="C1545" t="s">
        <v>51</v>
      </c>
      <c r="D1545" s="2" t="s">
        <f>=HYPERLINK("https://main.knesset.gov.il/APPS/legislation/main/bills/2226156", "הצעת חוק ניוד מידע רפואי (תיקון - הוספת גופים ציבוריים), התשפ""ה-2025")</f>
        <v>3346</v>
      </c>
      <c r="E1545" t="s">
        <v>3346</v>
      </c>
      <c r="F1545" t="s">
        <v>3347</v>
      </c>
      <c r="G1545" t="s">
        <v>14</v>
      </c>
      <c r="H1545">
             </c>
      <c r="I1545" t="s">
        <v>14</v>
      </c>
      <c r="J1545" t="s">
        <v>183</v>
      </c>
      <c r="K1545" t="s">
        <v>361</v>
      </c>
      <c r="L1545" t="s">
        <v>20</v>
      </c>
      <c r="M1545" t="s">
        <v>3348</v>
      </c>
      <c r="N1545" t="s">
        <v>14</v>
      </c>
    </row>
    <row r="1546" x14ac:dyDescent="0.25">
      <c r="A1546" t="n">
        <v>25</v>
      </c>
      <c r="B1546" t="s">
        <v>14</v>
      </c>
      <c r="C1546" t="s">
        <v>51</v>
      </c>
      <c r="D1546" s="2" t="s">
        <f>=HYPERLINK("https://main.knesset.gov.il/APPS/legislation/main/bills/2229768", "הצעת חוק איסור התקשרות בהסדר לקביעת מחיר אחיד למזון במשלוח ובהזמנה בבית האוכל, התשפ""ה-2025")</f>
        <v>3349</v>
      </c>
      <c r="E1546" t="s">
        <v>3349</v>
      </c>
      <c r="F1546" t="s">
        <v>3350</v>
      </c>
      <c r="G1546" t="s">
        <v>14</v>
      </c>
      <c r="H1546">
             </c>
      <c r="I1546" t="s">
        <v>14</v>
      </c>
      <c r="J1546" t="s">
        <v>202</v>
      </c>
      <c r="K1546" t="s">
        <v>14</v>
      </c>
      <c r="L1546" t="s">
        <v>20</v>
      </c>
      <c r="M1546" t="s">
        <v>3348</v>
      </c>
      <c r="N1546" t="s">
        <v>14</v>
      </c>
    </row>
    <row r="1547" x14ac:dyDescent="0.25">
      <c r="A1547" t="n">
        <v>25</v>
      </c>
      <c r="B1547" t="s">
        <v>14</v>
      </c>
      <c r="C1547" t="s">
        <v>51</v>
      </c>
      <c r="D1547" s="2" t="s">
        <f>=HYPERLINK("https://main.knesset.gov.il/APPS/legislation/main/bills/2230004", "הצעת חוק שירות המילואים (תיקון - הפחתת שיעור המס שחל על תגמולים למשרתי מילואים), התשפ""ה-2025")</f>
        <v>3351</v>
      </c>
      <c r="E1547" t="s">
        <v>3351</v>
      </c>
      <c r="F1547" t="s">
        <v>3352</v>
      </c>
      <c r="G1547" t="s">
        <v>14</v>
      </c>
      <c r="H1547">
             </c>
      <c r="I1547" t="s">
        <v>14</v>
      </c>
      <c r="J1547" t="s">
        <v>193</v>
      </c>
      <c r="K1547" t="s">
        <v>14</v>
      </c>
      <c r="L1547" t="s">
        <v>20</v>
      </c>
      <c r="M1547" t="s">
        <v>3348</v>
      </c>
      <c r="N1547" t="s">
        <v>14</v>
      </c>
    </row>
    <row r="1548" x14ac:dyDescent="0.25">
      <c r="A1548" t="n">
        <v>25</v>
      </c>
      <c r="B1548" t="s">
        <v>14</v>
      </c>
      <c r="C1548" t="s">
        <v>51</v>
      </c>
      <c r="D1548" s="2" t="s">
        <f>=HYPERLINK("https://main.knesset.gov.il/APPS/legislation/main/bills/2229575", "הצעת חוק ביטול הצנזורה על סרטים, התשפ""ה-2025")</f>
        <v>3353</v>
      </c>
      <c r="E1548" t="s">
        <v>3353</v>
      </c>
      <c r="F1548" t="s">
        <v>3354</v>
      </c>
      <c r="G1548" t="s">
        <v>14</v>
      </c>
      <c r="H1548">
             </c>
      <c r="I1548" t="s">
        <v>14</v>
      </c>
      <c r="J1548" t="s">
        <v>193</v>
      </c>
      <c r="K1548" t="s">
        <v>14</v>
      </c>
      <c r="L1548" t="s">
        <v>20</v>
      </c>
      <c r="M1548" t="s">
        <v>3348</v>
      </c>
      <c r="N1548" t="s">
        <v>14</v>
      </c>
    </row>
    <row r="1549" x14ac:dyDescent="0.25">
      <c r="A1549" t="n">
        <v>25</v>
      </c>
      <c r="B1549" t="s">
        <v>14</v>
      </c>
      <c r="C1549" t="s">
        <v>51</v>
      </c>
      <c r="D1549" s="2" t="s">
        <f>=HYPERLINK("https://main.knesset.gov.il/APPS/legislation/main/bills/2227427", "הצעת חוק החיילים המשוחררים (החזרה לעבודה) (תיקון - הרחבת תקופת הגנה מפני פיטורים למשרתים במילואים), התשפ""ה-2025")</f>
        <v>3355</v>
      </c>
      <c r="E1549" t="s">
        <v>3355</v>
      </c>
      <c r="F1549" t="s">
        <v>3356</v>
      </c>
      <c r="G1549" t="s">
        <v>14</v>
      </c>
      <c r="H1549">
             </c>
      <c r="I1549" t="s">
        <v>14</v>
      </c>
      <c r="J1549" t="s">
        <v>193</v>
      </c>
      <c r="K1549" t="s">
        <v>14</v>
      </c>
      <c r="L1549" t="s">
        <v>20</v>
      </c>
      <c r="M1549" t="s">
        <v>3348</v>
      </c>
      <c r="N1549" t="s">
        <v>14</v>
      </c>
    </row>
    <row r="1550" x14ac:dyDescent="0.25">
      <c r="A1550" t="n">
        <v>25</v>
      </c>
      <c r="B1550" t="s">
        <v>14</v>
      </c>
      <c r="C1550" t="s">
        <v>51</v>
      </c>
      <c r="D1550" s="2" t="s">
        <f>=HYPERLINK("https://main.knesset.gov.il/APPS/legislation/main/bills/2222604", "הצעת חוק גנים לאומיים, שמורות טבע, אתרים לאומיים ואתרי הנצחה (תיקון - שמירה על מעמד האתרים הלאומיים), התשפ""ה-2024")</f>
        <v>3357</v>
      </c>
      <c r="E1550" t="s">
        <v>3357</v>
      </c>
      <c r="F1550" t="s">
        <v>3358</v>
      </c>
      <c r="G1550" t="s">
        <v>14</v>
      </c>
      <c r="H1550">
             </c>
      <c r="I1550" t="s">
        <v>14</v>
      </c>
      <c r="J1550" t="s">
        <v>193</v>
      </c>
      <c r="K1550" t="s">
        <v>14</v>
      </c>
      <c r="L1550" t="s">
        <v>20</v>
      </c>
      <c r="M1550" t="s">
        <v>3348</v>
      </c>
      <c r="N1550" t="s">
        <v>14</v>
      </c>
    </row>
    <row r="1551" x14ac:dyDescent="0.25">
      <c r="A1551" t="n">
        <v>25</v>
      </c>
      <c r="B1551" t="s">
        <v>14</v>
      </c>
      <c r="C1551" t="s">
        <v>51</v>
      </c>
      <c r="D1551" s="2" t="s">
        <f>=HYPERLINK("https://main.knesset.gov.il/APPS/legislation/main/bills/2220826", "הצעת חוק בית המשפט לענייני משפחה (תיקון - ביטול האגרה עבור הורה בבקשת מינוי כאפוטרופוס), התשפ״ד-2024")</f>
        <v>3359</v>
      </c>
      <c r="E1551" t="s">
        <v>3359</v>
      </c>
      <c r="F1551" t="s">
        <v>3360</v>
      </c>
      <c r="G1551" t="s">
        <v>14</v>
      </c>
      <c r="H1551">
             </c>
      <c r="I1551" t="s">
        <v>14</v>
      </c>
      <c r="J1551" t="s">
        <v>193</v>
      </c>
      <c r="K1551" t="s">
        <v>14</v>
      </c>
      <c r="L1551" t="s">
        <v>20</v>
      </c>
      <c r="M1551" t="s">
        <v>3348</v>
      </c>
      <c r="N1551" t="s">
        <v>14</v>
      </c>
    </row>
    <row r="1552" x14ac:dyDescent="0.25">
      <c r="A1552" t="n">
        <v>25</v>
      </c>
      <c r="B1552" t="s">
        <v>14</v>
      </c>
      <c r="C1552" t="s">
        <v>51</v>
      </c>
      <c r="D1552" s="2" t="s">
        <f>=HYPERLINK("https://main.knesset.gov.il/APPS/legislation/main/bills/2223999", "הצעת חוק העונשין (תיקון - שימוש במשבש תדרים), התשפ""ה-2024")</f>
        <v>3361</v>
      </c>
      <c r="E1552" t="s">
        <v>3361</v>
      </c>
      <c r="F1552" t="s">
        <v>3362</v>
      </c>
      <c r="G1552" t="s">
        <v>14</v>
      </c>
      <c r="H1552">
             </c>
      <c r="I1552" t="s">
        <v>14</v>
      </c>
      <c r="J1552" t="s">
        <v>183</v>
      </c>
      <c r="K1552" t="s">
        <v>27</v>
      </c>
      <c r="L1552" t="s">
        <v>20</v>
      </c>
      <c r="M1552" t="s">
        <v>3363</v>
      </c>
      <c r="N1552" t="s">
        <v>14</v>
      </c>
    </row>
    <row r="1553" x14ac:dyDescent="0.25">
      <c r="A1553" t="n">
        <v>25</v>
      </c>
      <c r="B1553" t="s">
        <v>14</v>
      </c>
      <c r="C1553" t="s">
        <v>51</v>
      </c>
      <c r="D1553" s="2" t="s">
        <f>=HYPERLINK("https://main.knesset.gov.il/APPS/legislation/main/bills/2231299", "הצעת חוק-יסוד: משאל עם - ועדת חקירה ממלכתית לאירועי 7 באוקטובר")</f>
        <v>3364</v>
      </c>
      <c r="E1553" t="s">
        <v>3364</v>
      </c>
      <c r="F1553" t="s">
        <v>3365</v>
      </c>
      <c r="G1553" t="s">
        <v>14</v>
      </c>
      <c r="H1553">
             </c>
      <c r="I1553" t="s">
        <v>14</v>
      </c>
      <c r="J1553" t="s">
        <v>242</v>
      </c>
      <c r="K1553" t="s">
        <v>14</v>
      </c>
      <c r="L1553" t="s">
        <v>20</v>
      </c>
      <c r="M1553" t="s">
        <v>3363</v>
      </c>
      <c r="N1553" t="s">
        <v>14</v>
      </c>
    </row>
    <row r="1554" x14ac:dyDescent="0.25">
      <c r="A1554" t="n">
        <v>25</v>
      </c>
      <c r="B1554" t="s">
        <v>14</v>
      </c>
      <c r="C1554" t="s">
        <v>51</v>
      </c>
      <c r="D1554" s="2" t="s">
        <f>=HYPERLINK("https://main.knesset.gov.il/APPS/legislation/main/bills/2222447", "הצעת חוק לתיקון פקודת הסמים המסוכנים (איסור פרסום והפצת חומר פרסומי למכירת סמים מסוכנים), התשפ""ה-2025")</f>
        <v>3366</v>
      </c>
      <c r="E1554" t="s">
        <v>3366</v>
      </c>
      <c r="F1554" t="s">
        <v>3367</v>
      </c>
      <c r="G1554" t="s">
        <v>14</v>
      </c>
      <c r="H1554">
             </c>
      <c r="I1554" t="s">
        <v>14</v>
      </c>
      <c r="J1554" t="s">
        <v>242</v>
      </c>
      <c r="K1554" t="s">
        <v>14</v>
      </c>
      <c r="L1554" t="s">
        <v>20</v>
      </c>
      <c r="M1554" t="s">
        <v>3363</v>
      </c>
      <c r="N1554" t="s">
        <v>14</v>
      </c>
    </row>
    <row r="1555" x14ac:dyDescent="0.25">
      <c r="A1555" t="n">
        <v>25</v>
      </c>
      <c r="B1555" t="s">
        <v>14</v>
      </c>
      <c r="C1555" t="s">
        <v>51</v>
      </c>
      <c r="D1555" s="2" t="s">
        <f>=HYPERLINK("https://main.knesset.gov.il/APPS/legislation/main/bills/2231227", "הצעת חוק יידוע ודיווח על מינוי יועצים חיצוניים לנושאי משרה ציבורית, התשפ""ה-2025")</f>
        <v>3368</v>
      </c>
      <c r="E1555" t="s">
        <v>3368</v>
      </c>
      <c r="F1555" t="s">
        <v>3369</v>
      </c>
      <c r="G1555" t="s">
        <v>14</v>
      </c>
      <c r="H1555">
             </c>
      <c r="I1555" t="s">
        <v>14</v>
      </c>
      <c r="J1555" t="s">
        <v>242</v>
      </c>
      <c r="K1555" t="s">
        <v>14</v>
      </c>
      <c r="L1555" t="s">
        <v>20</v>
      </c>
      <c r="M1555" t="s">
        <v>3363</v>
      </c>
      <c r="N1555" t="s">
        <v>14</v>
      </c>
    </row>
    <row r="1556" x14ac:dyDescent="0.25">
      <c r="A1556" t="n">
        <v>25</v>
      </c>
      <c r="B1556" t="s">
        <v>14</v>
      </c>
      <c r="C1556" t="s">
        <v>51</v>
      </c>
      <c r="D1556" s="2" t="s">
        <f>=HYPERLINK("https://main.knesset.gov.il/APPS/legislation/main/bills/2231729", "הצעת חוק-יסוד: הממשלה (תיקון - הגבלת מספר שרים וסגני שרים)")</f>
        <v>3314</v>
      </c>
      <c r="E1556" t="s">
        <v>3314</v>
      </c>
      <c r="F1556" t="s">
        <v>3370</v>
      </c>
      <c r="G1556" t="s">
        <v>14</v>
      </c>
      <c r="H1556">
             </c>
      <c r="I1556" t="s">
        <v>14</v>
      </c>
      <c r="J1556" t="s">
        <v>242</v>
      </c>
      <c r="K1556" t="s">
        <v>14</v>
      </c>
      <c r="L1556" t="s">
        <v>20</v>
      </c>
      <c r="M1556" t="s">
        <v>3363</v>
      </c>
      <c r="N1556" t="s">
        <v>14</v>
      </c>
    </row>
    <row r="1557" x14ac:dyDescent="0.25">
      <c r="A1557" t="n">
        <v>25</v>
      </c>
      <c r="B1557" t="s">
        <v>14</v>
      </c>
      <c r="C1557" t="s">
        <v>51</v>
      </c>
      <c r="D1557" s="2" t="s">
        <f>=HYPERLINK("https://main.knesset.gov.il/APPS/legislation/main/bills/2231300", "הצעת חוק חיפוש במקום שהוכרז כאזור מועד לפשיעה אלימה (תיקוני חקיקה), התשפ""ה-2025")</f>
        <v>3371</v>
      </c>
      <c r="E1557" t="s">
        <v>3371</v>
      </c>
      <c r="F1557" t="s">
        <v>3372</v>
      </c>
      <c r="G1557" t="s">
        <v>14</v>
      </c>
      <c r="H1557">
             </c>
      <c r="I1557" t="s">
        <v>14</v>
      </c>
      <c r="J1557" t="s">
        <v>242</v>
      </c>
      <c r="K1557" t="s">
        <v>14</v>
      </c>
      <c r="L1557" t="s">
        <v>20</v>
      </c>
      <c r="M1557" t="s">
        <v>3363</v>
      </c>
      <c r="N1557" t="s">
        <v>14</v>
      </c>
    </row>
    <row r="1558" x14ac:dyDescent="0.25">
      <c r="A1558" t="n">
        <v>25</v>
      </c>
      <c r="B1558" t="s">
        <v>14</v>
      </c>
      <c r="C1558" t="s">
        <v>51</v>
      </c>
      <c r="D1558" s="2" t="s">
        <f>=HYPERLINK("https://main.knesset.gov.il/APPS/legislation/main/bills/2230661", "הצעת חוק עובדים זרים (תיקון - האחראי על טיפול בפניות מעסיקים בענף הסיעוד הביתי), התשפ""ה-2025")</f>
        <v>3185</v>
      </c>
      <c r="E1558" t="s">
        <v>3185</v>
      </c>
      <c r="F1558" t="s">
        <v>3373</v>
      </c>
      <c r="G1558" t="s">
        <v>14</v>
      </c>
      <c r="H1558">
             </c>
      <c r="I1558" t="s">
        <v>14</v>
      </c>
      <c r="J1558" t="s">
        <v>242</v>
      </c>
      <c r="K1558" t="s">
        <v>14</v>
      </c>
      <c r="L1558" t="s">
        <v>20</v>
      </c>
      <c r="M1558" t="s">
        <v>3363</v>
      </c>
      <c r="N1558" t="s">
        <v>14</v>
      </c>
    </row>
    <row r="1559" x14ac:dyDescent="0.25">
      <c r="A1559" t="n">
        <v>25</v>
      </c>
      <c r="B1559" t="s">
        <v>14</v>
      </c>
      <c r="C1559" t="s">
        <v>51</v>
      </c>
      <c r="D1559" s="2" t="s">
        <f>=HYPERLINK("https://main.knesset.gov.il/APPS/legislation/main/bills/2228924", "הצעת חוק מרשם האוכלוסין (תיקון - רישום מען באמצעות נקודת ציון), התשפ""ה-2025")</f>
        <v>3374</v>
      </c>
      <c r="E1559" t="s">
        <v>3374</v>
      </c>
      <c r="F1559" t="s">
        <v>3375</v>
      </c>
      <c r="G1559" t="s">
        <v>14</v>
      </c>
      <c r="H1559">
             </c>
      <c r="I1559" t="s">
        <v>14</v>
      </c>
      <c r="J1559" t="s">
        <v>242</v>
      </c>
      <c r="K1559" t="s">
        <v>14</v>
      </c>
      <c r="L1559" t="s">
        <v>20</v>
      </c>
      <c r="M1559" t="s">
        <v>3363</v>
      </c>
      <c r="N1559" t="s">
        <v>14</v>
      </c>
    </row>
    <row r="1560" x14ac:dyDescent="0.25">
      <c r="A1560" t="n">
        <v>25</v>
      </c>
      <c r="B1560" t="s">
        <v>14</v>
      </c>
      <c r="C1560" t="s">
        <v>51</v>
      </c>
      <c r="D1560" s="2" t="s">
        <f>=HYPERLINK("https://main.knesset.gov.il/APPS/legislation/main/bills/2230961", "הצעת חוק השבת זכויות במקרקעין שנשללו ביהודה והשומרון לפני קום המדינה, התשפ""ה-2025")</f>
        <v>3376</v>
      </c>
      <c r="E1560" t="s">
        <v>3376</v>
      </c>
      <c r="F1560" t="s">
        <v>3377</v>
      </c>
      <c r="G1560" t="s">
        <v>14</v>
      </c>
      <c r="H1560">
             </c>
      <c r="I1560" t="s">
        <v>14</v>
      </c>
      <c r="J1560" t="s">
        <v>242</v>
      </c>
      <c r="K1560" t="s">
        <v>14</v>
      </c>
      <c r="L1560" t="s">
        <v>20</v>
      </c>
      <c r="M1560" t="s">
        <v>3363</v>
      </c>
      <c r="N1560" t="s">
        <v>14</v>
      </c>
    </row>
    <row r="1561" x14ac:dyDescent="0.25">
      <c r="A1561" t="n">
        <v>25</v>
      </c>
      <c r="B1561" t="s">
        <v>14</v>
      </c>
      <c r="C1561" t="s">
        <v>51</v>
      </c>
      <c r="D1561" s="2" t="s">
        <f>=HYPERLINK("https://main.knesset.gov.il/APPS/legislation/main/bills/2231478", "הצעת חוק לתיקון פקודת העיריות (תעודה על תשלום חובות), התשפ""ה-2025")</f>
        <v>3378</v>
      </c>
      <c r="E1561" t="s">
        <v>3378</v>
      </c>
      <c r="F1561" t="s">
        <v>3379</v>
      </c>
      <c r="G1561" t="s">
        <v>14</v>
      </c>
      <c r="H1561">
             </c>
      <c r="I1561" t="s">
        <v>14</v>
      </c>
      <c r="J1561" t="s">
        <v>242</v>
      </c>
      <c r="K1561" t="s">
        <v>14</v>
      </c>
      <c r="L1561" t="s">
        <v>20</v>
      </c>
      <c r="M1561" t="s">
        <v>3363</v>
      </c>
      <c r="N1561" t="s">
        <v>14</v>
      </c>
    </row>
    <row r="1562" x14ac:dyDescent="0.25">
      <c r="A1562" t="n">
        <v>25</v>
      </c>
      <c r="B1562" t="s">
        <v>14</v>
      </c>
      <c r="C1562" t="s">
        <v>51</v>
      </c>
      <c r="D1562" s="2" t="s">
        <f>=HYPERLINK("https://main.knesset.gov.il/APPS/legislation/main/bills/2231654", "הצעת חוק לתיקון פקודת העיריות (הבטחת תשלומי גמלאות לעובדי עירייה), התשפ""ה-2025")</f>
        <v>3380</v>
      </c>
      <c r="E1562" t="s">
        <v>3380</v>
      </c>
      <c r="F1562" t="s">
        <v>3381</v>
      </c>
      <c r="G1562" t="s">
        <v>14</v>
      </c>
      <c r="H1562">
             </c>
      <c r="I1562" t="s">
        <v>14</v>
      </c>
      <c r="J1562" t="s">
        <v>242</v>
      </c>
      <c r="K1562" t="s">
        <v>14</v>
      </c>
      <c r="L1562" t="s">
        <v>20</v>
      </c>
      <c r="M1562" t="s">
        <v>3363</v>
      </c>
      <c r="N1562" t="s">
        <v>14</v>
      </c>
    </row>
    <row r="1563" x14ac:dyDescent="0.25">
      <c r="A1563" t="n">
        <v>25</v>
      </c>
      <c r="B1563" t="s">
        <v>14</v>
      </c>
      <c r="C1563" t="s">
        <v>51</v>
      </c>
      <c r="D1563" s="2" t="s">
        <f>=HYPERLINK("https://main.knesset.gov.il/APPS/legislation/main/bills/2231353", "הצעת חוק שירות המילואים (תיקון - הטבות בדיור לחיילי מילואים), התשפ""ה-2025")</f>
        <v>3382</v>
      </c>
      <c r="E1563" t="s">
        <v>3382</v>
      </c>
      <c r="F1563" t="s">
        <v>3383</v>
      </c>
      <c r="G1563" t="s">
        <v>14</v>
      </c>
      <c r="H1563">
             </c>
      <c r="I1563" t="s">
        <v>14</v>
      </c>
      <c r="J1563" t="s">
        <v>242</v>
      </c>
      <c r="K1563" t="s">
        <v>14</v>
      </c>
      <c r="L1563" t="s">
        <v>20</v>
      </c>
      <c r="M1563" t="s">
        <v>3363</v>
      </c>
      <c r="N1563" t="s">
        <v>14</v>
      </c>
    </row>
    <row r="1564" x14ac:dyDescent="0.25">
      <c r="A1564" t="n">
        <v>25</v>
      </c>
      <c r="B1564" t="s">
        <v>14</v>
      </c>
      <c r="C1564" t="s">
        <v>51</v>
      </c>
      <c r="D1564" s="2" t="s">
        <f>=HYPERLINK("https://main.knesset.gov.il/APPS/legislation/main/bills/2231365", "הצעת חוק המאבק במדינות תומכות טרור, התשפ""ה-2025")</f>
        <v>3384</v>
      </c>
      <c r="E1564" t="s">
        <v>3384</v>
      </c>
      <c r="F1564" t="s">
        <v>3385</v>
      </c>
      <c r="G1564" t="s">
        <v>14</v>
      </c>
      <c r="H1564">
             </c>
      <c r="I1564" t="s">
        <v>14</v>
      </c>
      <c r="J1564" t="s">
        <v>202</v>
      </c>
      <c r="K1564" t="s">
        <v>14</v>
      </c>
      <c r="L1564" t="s">
        <v>20</v>
      </c>
      <c r="M1564" t="s">
        <v>3363</v>
      </c>
      <c r="N1564" t="s">
        <v>14</v>
      </c>
    </row>
    <row r="1565" x14ac:dyDescent="0.25">
      <c r="A1565" t="n">
        <v>25</v>
      </c>
      <c r="B1565" t="s">
        <v>14</v>
      </c>
      <c r="C1565" t="s">
        <v>51</v>
      </c>
      <c r="D1565" s="2" t="s">
        <f>=HYPERLINK("https://main.knesset.gov.il/APPS/legislation/main/bills/2231485", "הצעת חוק לתיקון פקודת המשטרה (הצבת מערכת צילום ביומטרית לצורך מניעת אלימות במגרשי הספורט) (הוראת שעה), התשפ""ה-2025")</f>
        <v>3386</v>
      </c>
      <c r="E1565" t="s">
        <v>3386</v>
      </c>
      <c r="F1565" t="s">
        <v>3387</v>
      </c>
      <c r="G1565" t="s">
        <v>14</v>
      </c>
      <c r="H1565">
             </c>
      <c r="I1565" t="s">
        <v>14</v>
      </c>
      <c r="J1565" t="s">
        <v>242</v>
      </c>
      <c r="K1565" t="s">
        <v>14</v>
      </c>
      <c r="L1565" t="s">
        <v>20</v>
      </c>
      <c r="M1565" t="s">
        <v>3363</v>
      </c>
      <c r="N1565" t="s">
        <v>14</v>
      </c>
    </row>
    <row r="1566" x14ac:dyDescent="0.25">
      <c r="A1566" t="n">
        <v>25</v>
      </c>
      <c r="B1566" t="s">
        <v>14</v>
      </c>
      <c r="C1566" t="s">
        <v>51</v>
      </c>
      <c r="D1566" s="2" t="s">
        <f>=HYPERLINK("https://main.knesset.gov.il/APPS/legislation/main/bills/2231396", "הצעת חוק הוועדה לטיפול במשפחות נעדרים אזרחיים, התשפ""ה-2025")</f>
        <v>3388</v>
      </c>
      <c r="E1566" t="s">
        <v>3388</v>
      </c>
      <c r="F1566" t="s">
        <v>3389</v>
      </c>
      <c r="G1566" t="s">
        <v>14</v>
      </c>
      <c r="H1566">
             </c>
      <c r="I1566" t="s">
        <v>14</v>
      </c>
      <c r="J1566" t="s">
        <v>202</v>
      </c>
      <c r="K1566" t="s">
        <v>14</v>
      </c>
      <c r="L1566" t="s">
        <v>20</v>
      </c>
      <c r="M1566" t="s">
        <v>3363</v>
      </c>
      <c r="N1566" t="s">
        <v>14</v>
      </c>
    </row>
    <row r="1567" x14ac:dyDescent="0.25">
      <c r="A1567" t="n">
        <v>25</v>
      </c>
      <c r="B1567" t="s">
        <v>14</v>
      </c>
      <c r="C1567" t="s">
        <v>51</v>
      </c>
      <c r="D1567" s="2" t="s">
        <f>=HYPERLINK("https://main.knesset.gov.il/APPS/legislation/main/bills/2231906", "הצעת חוק החקלאות, התשפ""ה-2025")</f>
        <v>3390</v>
      </c>
      <c r="E1567" t="s">
        <v>3390</v>
      </c>
      <c r="F1567" t="s">
        <v>3391</v>
      </c>
      <c r="G1567" t="s">
        <v>14</v>
      </c>
      <c r="H1567">
             </c>
      <c r="I1567" t="s">
        <v>14</v>
      </c>
      <c r="J1567" t="s">
        <v>242</v>
      </c>
      <c r="K1567" t="s">
        <v>14</v>
      </c>
      <c r="L1567" t="s">
        <v>20</v>
      </c>
      <c r="M1567" t="s">
        <v>3363</v>
      </c>
      <c r="N1567" t="s">
        <v>14</v>
      </c>
    </row>
    <row r="1568" x14ac:dyDescent="0.25">
      <c r="A1568" t="n">
        <v>25</v>
      </c>
      <c r="B1568" t="s">
        <v>14</v>
      </c>
      <c r="C1568" t="s">
        <v>51</v>
      </c>
      <c r="D1568" s="2" t="s">
        <f>=HYPERLINK("https://main.knesset.gov.il/APPS/legislation/main/bills/2231684", "הצעת חוק המים (תיקון - הנחות לבתי תפילה), התשפ""ה-2025")</f>
        <v>3392</v>
      </c>
      <c r="E1568" t="s">
        <v>3392</v>
      </c>
      <c r="F1568" t="s">
        <v>3393</v>
      </c>
      <c r="G1568" t="s">
        <v>14</v>
      </c>
      <c r="H1568">
             </c>
      <c r="I1568" t="s">
        <v>14</v>
      </c>
      <c r="J1568" t="s">
        <v>242</v>
      </c>
      <c r="K1568" t="s">
        <v>14</v>
      </c>
      <c r="L1568" t="s">
        <v>20</v>
      </c>
      <c r="M1568" t="s">
        <v>3363</v>
      </c>
      <c r="N1568" t="s">
        <v>14</v>
      </c>
    </row>
    <row r="1569" x14ac:dyDescent="0.25">
      <c r="A1569" t="n">
        <v>25</v>
      </c>
      <c r="B1569" t="s">
        <v>14</v>
      </c>
      <c r="C1569" t="s">
        <v>51</v>
      </c>
      <c r="D1569" s="2" t="s">
        <f>=HYPERLINK("https://main.knesset.gov.il/APPS/legislation/main/bills/2231898", "הצעת חוק איסור התקשרות בהסדר לקביעת מחיר אחיד למזון במשלוח ובהזמנה בבית האוכל, התשפ""ה-2025")</f>
        <v>3349</v>
      </c>
      <c r="E1569" t="s">
        <v>3349</v>
      </c>
      <c r="F1569" t="s">
        <v>3394</v>
      </c>
      <c r="G1569" t="s">
        <v>14</v>
      </c>
      <c r="H1569">
             </c>
      <c r="I1569" t="s">
        <v>14</v>
      </c>
      <c r="J1569" t="s">
        <v>242</v>
      </c>
      <c r="K1569" t="s">
        <v>14</v>
      </c>
      <c r="L1569" t="s">
        <v>20</v>
      </c>
      <c r="M1569" t="s">
        <v>3363</v>
      </c>
      <c r="N1569" t="s">
        <v>14</v>
      </c>
    </row>
    <row r="1570" x14ac:dyDescent="0.25">
      <c r="A1570" t="n">
        <v>25</v>
      </c>
      <c r="B1570" t="s">
        <v>14</v>
      </c>
      <c r="C1570" t="s">
        <v>51</v>
      </c>
      <c r="D1570" s="2" t="s">
        <f>=HYPERLINK("https://main.knesset.gov.il/APPS/legislation/main/bills/2231902", "הצעת חוק תמיכה במימון פעילות ארגון נכי צה""ל ובתי הלוחם ובארגון נפגעי פעולות האיבה, התשפ""ה-2025")</f>
        <v>2650</v>
      </c>
      <c r="E1570" t="s">
        <v>2650</v>
      </c>
      <c r="F1570" t="s">
        <v>3395</v>
      </c>
      <c r="G1570" t="s">
        <v>14</v>
      </c>
      <c r="H1570">
             </c>
      <c r="I1570" t="s">
        <v>14</v>
      </c>
      <c r="J1570" t="s">
        <v>242</v>
      </c>
      <c r="K1570" t="s">
        <v>14</v>
      </c>
      <c r="L1570" t="s">
        <v>20</v>
      </c>
      <c r="M1570" t="s">
        <v>3363</v>
      </c>
      <c r="N1570" t="s">
        <v>14</v>
      </c>
    </row>
    <row r="1571" x14ac:dyDescent="0.25">
      <c r="A1571" t="n">
        <v>25</v>
      </c>
      <c r="B1571" t="s">
        <v>14</v>
      </c>
      <c r="C1571" t="s">
        <v>51</v>
      </c>
      <c r="D1571" s="2" t="s">
        <f>=HYPERLINK("https://main.knesset.gov.il/APPS/legislation/main/bills/2231180", "הצעת חוק התכנון והבנייה (תיקון - הקלה בפיצול דירות) התשפ""ה-2025")</f>
        <v>3396</v>
      </c>
      <c r="E1571" t="s">
        <v>3396</v>
      </c>
      <c r="F1571" t="s">
        <v>3397</v>
      </c>
      <c r="G1571" t="s">
        <v>14</v>
      </c>
      <c r="H1571">
             </c>
      <c r="I1571" t="s">
        <v>14</v>
      </c>
      <c r="J1571" t="s">
        <v>242</v>
      </c>
      <c r="K1571" t="s">
        <v>14</v>
      </c>
      <c r="L1571" t="s">
        <v>20</v>
      </c>
      <c r="M1571" t="s">
        <v>3363</v>
      </c>
      <c r="N1571" t="s">
        <v>14</v>
      </c>
    </row>
    <row r="1572" x14ac:dyDescent="0.25">
      <c r="A1572" t="n">
        <v>25</v>
      </c>
      <c r="B1572" t="s">
        <v>14</v>
      </c>
      <c r="C1572" t="s">
        <v>51</v>
      </c>
      <c r="D1572" s="2" t="s">
        <f>=HYPERLINK("https://main.knesset.gov.il/APPS/legislation/main/bills/2231847", "הצעת חוק הביטוח הלאומי (תיקון - הצמדת קצבת נכות מעבודה לשכר הממוצע במשק), התשפ""ה-2025")</f>
        <v>3398</v>
      </c>
      <c r="E1572" t="s">
        <v>3398</v>
      </c>
      <c r="F1572" t="s">
        <v>3399</v>
      </c>
      <c r="G1572" t="s">
        <v>14</v>
      </c>
      <c r="H1572">
             </c>
      <c r="I1572" t="s">
        <v>14</v>
      </c>
      <c r="J1572" t="s">
        <v>242</v>
      </c>
      <c r="K1572" t="s">
        <v>14</v>
      </c>
      <c r="L1572" t="s">
        <v>20</v>
      </c>
      <c r="M1572" t="s">
        <v>3363</v>
      </c>
      <c r="N1572" t="s">
        <v>14</v>
      </c>
    </row>
    <row r="1573" x14ac:dyDescent="0.25">
      <c r="A1573" t="n">
        <v>25</v>
      </c>
      <c r="B1573" t="s">
        <v>14</v>
      </c>
      <c r="C1573" t="s">
        <v>51</v>
      </c>
      <c r="D1573" s="2" t="s">
        <f>=HYPERLINK("https://main.knesset.gov.il/APPS/legislation/main/bills/2228357", "הצעת חוק להגברת האכיפה של דיני העבודה (תיקון - עיצום כספי בשל אי-הסדרת ביטוח רפואי לעובד זר), התשפ""ה-2025")</f>
        <v>3400</v>
      </c>
      <c r="E1573" t="s">
        <v>3400</v>
      </c>
      <c r="F1573" t="s">
        <v>3401</v>
      </c>
      <c r="G1573" t="s">
        <v>14</v>
      </c>
      <c r="H1573">
             </c>
      <c r="I1573" t="s">
        <v>14</v>
      </c>
      <c r="J1573" t="s">
        <v>242</v>
      </c>
      <c r="K1573" t="s">
        <v>14</v>
      </c>
      <c r="L1573" t="s">
        <v>20</v>
      </c>
      <c r="M1573" t="s">
        <v>3363</v>
      </c>
      <c r="N1573" t="s">
        <v>14</v>
      </c>
    </row>
    <row r="1574" x14ac:dyDescent="0.25">
      <c r="A1574" t="n">
        <v>25</v>
      </c>
      <c r="B1574" t="s">
        <v>14</v>
      </c>
      <c r="C1574" t="s">
        <v>51</v>
      </c>
      <c r="D1574" s="2" t="s">
        <f>=HYPERLINK("https://main.knesset.gov.il/APPS/legislation/main/bills/2231075", "הצעת חוק לתיקון פקודת מס הכנסה (הכרה בקרן משפחתית כמוסד ציבורי), התשפ""ה-2025")</f>
        <v>3402</v>
      </c>
      <c r="E1574" t="s">
        <v>3402</v>
      </c>
      <c r="F1574" t="s">
        <v>3403</v>
      </c>
      <c r="G1574" t="s">
        <v>14</v>
      </c>
      <c r="H1574">
             </c>
      <c r="I1574" t="s">
        <v>14</v>
      </c>
      <c r="J1574" t="s">
        <v>242</v>
      </c>
      <c r="K1574" t="s">
        <v>14</v>
      </c>
      <c r="L1574" t="s">
        <v>20</v>
      </c>
      <c r="M1574" t="s">
        <v>3363</v>
      </c>
      <c r="N1574" t="s">
        <v>14</v>
      </c>
    </row>
    <row r="1575" x14ac:dyDescent="0.25">
      <c r="A1575" t="n">
        <v>25</v>
      </c>
      <c r="B1575" t="s">
        <v>14</v>
      </c>
      <c r="C1575" t="s">
        <v>51</v>
      </c>
      <c r="D1575" s="2" t="s">
        <f>=HYPERLINK("https://main.knesset.gov.il/APPS/legislation/main/bills/2231074", "הצעת חוק לתיקון פקודת מס הכנסה (הגדלת תקרת תרומה מזכה למוסד ציבורי), התשפ""ה-2025")</f>
        <v>3404</v>
      </c>
      <c r="E1575" t="s">
        <v>3404</v>
      </c>
      <c r="F1575" t="s">
        <v>3405</v>
      </c>
      <c r="G1575" t="s">
        <v>14</v>
      </c>
      <c r="H1575">
             </c>
      <c r="I1575" t="s">
        <v>14</v>
      </c>
      <c r="J1575" t="s">
        <v>242</v>
      </c>
      <c r="K1575" t="s">
        <v>14</v>
      </c>
      <c r="L1575" t="s">
        <v>20</v>
      </c>
      <c r="M1575" t="s">
        <v>3363</v>
      </c>
      <c r="N1575" t="s">
        <v>14</v>
      </c>
    </row>
    <row r="1576" x14ac:dyDescent="0.25">
      <c r="A1576" t="n">
        <v>25</v>
      </c>
      <c r="B1576" t="s">
        <v>14</v>
      </c>
      <c r="C1576" t="s">
        <v>15</v>
      </c>
      <c r="D1576" s="2" t="s">
        <f>=HYPERLINK("https://main.knesset.gov.il/APPS/legislation/main/bills/2228735", "הצעת חוק להסדרת עסקאות איגוח, התשפ""ה-2025 ")</f>
        <v>3406</v>
      </c>
      <c r="E1576" t="s">
        <v>3406</v>
      </c>
      <c r="F1576" t="s">
        <v>14</v>
      </c>
      <c r="G1576" t="s">
        <v>3407</v>
      </c>
      <c r="H1576">
             </c>
      <c r="I1576" t="s">
        <v>14</v>
      </c>
      <c r="J1576" t="s">
        <v>303</v>
      </c>
      <c r="K1576" t="s">
        <v>14</v>
      </c>
      <c r="L1576" t="s">
        <v>20</v>
      </c>
      <c r="M1576" t="s">
        <v>3363</v>
      </c>
      <c r="N1576" t="s">
        <v>14</v>
      </c>
    </row>
    <row r="1577" x14ac:dyDescent="0.25">
      <c r="A1577" t="n">
        <v>25</v>
      </c>
      <c r="B1577" t="s">
        <v>14</v>
      </c>
      <c r="C1577" t="s">
        <v>15</v>
      </c>
      <c r="D1577" s="2" t="s">
        <f>=HYPERLINK("https://main.knesset.gov.il/APPS/legislation/main/bills/2231611", "חוק מניעת פגיעת גוף שידורים זר בביטחון המדינה (הוראה שעה - חרבות ברזל) (תיקון מס' 3), התשפ""ה-2025")</f>
        <v>3408</v>
      </c>
      <c r="E1577" t="s">
        <v>3408</v>
      </c>
      <c r="F1577" t="s">
        <v>14</v>
      </c>
      <c r="G1577" t="s">
        <v>3409</v>
      </c>
      <c r="H1577" t="n">
        <v>3418</v>
      </c>
      <c r="I1577" t="s">
        <v>14</v>
      </c>
      <c r="J1577" t="s">
        <v>18</v>
      </c>
      <c r="K1577" t="s">
        <v>19</v>
      </c>
      <c r="L1577" t="s">
        <v>20</v>
      </c>
      <c r="M1577" t="s">
        <v>3410</v>
      </c>
      <c r="N1577" t="s">
        <v>3411</v>
      </c>
    </row>
    <row r="1578" x14ac:dyDescent="0.25">
      <c r="A1578" t="n">
        <v>25</v>
      </c>
      <c r="B1578" t="s">
        <v>14</v>
      </c>
      <c r="C1578" t="s">
        <v>51</v>
      </c>
      <c r="D1578" s="2" t="s">
        <f>=HYPERLINK("https://main.knesset.gov.il/APPS/legislation/main/bills/2213964", "חוק התכנון והבנייה (תיקון מס' 161), התשפ""ה–2025")</f>
        <v>3412</v>
      </c>
      <c r="E1578" t="s">
        <v>3412</v>
      </c>
      <c r="F1578" t="s">
        <v>3413</v>
      </c>
      <c r="G1578" t="s">
        <v>3414</v>
      </c>
      <c r="H1578" t="n">
        <v>3419</v>
      </c>
      <c r="I1578" t="s">
        <v>14</v>
      </c>
      <c r="J1578" t="s">
        <v>18</v>
      </c>
      <c r="K1578" t="s">
        <v>30</v>
      </c>
      <c r="L1578" t="s">
        <v>20</v>
      </c>
      <c r="M1578" t="s">
        <v>3410</v>
      </c>
      <c r="N1578" t="s">
        <v>3415</v>
      </c>
    </row>
    <row r="1579" x14ac:dyDescent="0.25">
      <c r="A1579" t="n">
        <v>25</v>
      </c>
      <c r="B1579" t="s">
        <v>14</v>
      </c>
      <c r="C1579" t="s">
        <v>51</v>
      </c>
      <c r="D1579" s="2" t="s">
        <f>=HYPERLINK("https://main.knesset.gov.il/APPS/legislation/main/bills/2230303", "הצעת חוק ציון שירות צבאי או שירות לאומי בהשכלה הגבוהה ובשירות המדינה (תיקוני חקיקה), התשפ""ה-2025")</f>
        <v>3416</v>
      </c>
      <c r="E1579" t="s">
        <v>3416</v>
      </c>
      <c r="F1579" t="s">
        <v>3417</v>
      </c>
      <c r="G1579" t="s">
        <v>14</v>
      </c>
      <c r="H1579">
             </c>
      <c r="I1579" t="s">
        <v>14</v>
      </c>
      <c r="J1579" t="s">
        <v>193</v>
      </c>
      <c r="K1579" t="s">
        <v>14</v>
      </c>
      <c r="L1579" t="s">
        <v>20</v>
      </c>
      <c r="M1579" t="s">
        <v>3410</v>
      </c>
      <c r="N1579" t="s">
        <v>14</v>
      </c>
    </row>
    <row r="1580" x14ac:dyDescent="0.25">
      <c r="A1580" t="n">
        <v>25</v>
      </c>
      <c r="B1580" t="s">
        <v>14</v>
      </c>
      <c r="C1580" t="s">
        <v>51</v>
      </c>
      <c r="D1580" s="2" t="s">
        <f>=HYPERLINK("https://main.knesset.gov.il/APPS/legislation/main/bills/2230175", "הצעת חוק תגמול משפחות על תרומתן לשירות בצבא הגנה לישראל, התשפ""ה-2025")</f>
        <v>3418</v>
      </c>
      <c r="E1580" t="s">
        <v>3418</v>
      </c>
      <c r="F1580" t="s">
        <v>3419</v>
      </c>
      <c r="G1580" t="s">
        <v>14</v>
      </c>
      <c r="H1580">
             </c>
      <c r="I1580" t="s">
        <v>14</v>
      </c>
      <c r="J1580" t="s">
        <v>193</v>
      </c>
      <c r="K1580" t="s">
        <v>14</v>
      </c>
      <c r="L1580" t="s">
        <v>20</v>
      </c>
      <c r="M1580" t="s">
        <v>3410</v>
      </c>
      <c r="N1580" t="s">
        <v>14</v>
      </c>
    </row>
    <row r="1581" x14ac:dyDescent="0.25">
      <c r="A1581" t="n">
        <v>25</v>
      </c>
      <c r="B1581" t="s">
        <v>14</v>
      </c>
      <c r="C1581" t="s">
        <v>51</v>
      </c>
      <c r="D1581" s="2" t="s">
        <f>=HYPERLINK("https://main.knesset.gov.il/APPS/legislation/main/bills/2229171", "הצעת חוק איסור הכחשת הנכבה, התשפ""ה-2025")</f>
        <v>3420</v>
      </c>
      <c r="E1581" t="s">
        <v>3420</v>
      </c>
      <c r="F1581" t="s">
        <v>3421</v>
      </c>
      <c r="G1581" t="s">
        <v>14</v>
      </c>
      <c r="H1581">
             </c>
      <c r="I1581" t="s">
        <v>14</v>
      </c>
      <c r="J1581" t="s">
        <v>193</v>
      </c>
      <c r="K1581" t="s">
        <v>14</v>
      </c>
      <c r="L1581" t="s">
        <v>20</v>
      </c>
      <c r="M1581" t="s">
        <v>3410</v>
      </c>
      <c r="N1581" t="s">
        <v>14</v>
      </c>
    </row>
    <row r="1582" x14ac:dyDescent="0.25">
      <c r="A1582" t="n">
        <v>25</v>
      </c>
      <c r="B1582" t="s">
        <v>14</v>
      </c>
      <c r="C1582" t="s">
        <v>51</v>
      </c>
      <c r="D1582" s="2" t="s">
        <f>=HYPERLINK("https://main.knesset.gov.il/APPS/legislation/main/bills/2227993", "הצעת חוק חובת המכרזים (תיקון - העדפה למעסיק משרתי מילואים), התשפ""ה-2025")</f>
        <v>1591</v>
      </c>
      <c r="E1582" t="s">
        <v>1591</v>
      </c>
      <c r="F1582" t="s">
        <v>3422</v>
      </c>
      <c r="G1582" t="s">
        <v>14</v>
      </c>
      <c r="H1582">
             </c>
      <c r="I1582" t="s">
        <v>14</v>
      </c>
      <c r="J1582" t="s">
        <v>193</v>
      </c>
      <c r="K1582" t="s">
        <v>14</v>
      </c>
      <c r="L1582" t="s">
        <v>20</v>
      </c>
      <c r="M1582" t="s">
        <v>3410</v>
      </c>
      <c r="N1582" t="s">
        <v>14</v>
      </c>
    </row>
    <row r="1583" x14ac:dyDescent="0.25">
      <c r="A1583" t="n">
        <v>25</v>
      </c>
      <c r="B1583" t="s">
        <v>14</v>
      </c>
      <c r="C1583" t="s">
        <v>51</v>
      </c>
      <c r="D1583" s="2" t="s">
        <f>=HYPERLINK("https://main.knesset.gov.il/APPS/legislation/main/bills/2224224", "הצעת חוק פיקוח על מחירי מצרכים ושירותים (תיקון - פיקוח על מחירי לחם מלא, דגנים, כוסמין ושיפון), התשפ""ה-2024")</f>
        <v>3423</v>
      </c>
      <c r="E1583" t="s">
        <v>3423</v>
      </c>
      <c r="F1583" t="s">
        <v>3424</v>
      </c>
      <c r="G1583" t="s">
        <v>14</v>
      </c>
      <c r="H1583">
             </c>
      <c r="I1583" t="s">
        <v>14</v>
      </c>
      <c r="J1583" t="s">
        <v>193</v>
      </c>
      <c r="K1583" t="s">
        <v>14</v>
      </c>
      <c r="L1583" t="s">
        <v>20</v>
      </c>
      <c r="M1583" t="s">
        <v>3410</v>
      </c>
      <c r="N1583" t="s">
        <v>14</v>
      </c>
    </row>
    <row r="1584" x14ac:dyDescent="0.25">
      <c r="A1584" t="n">
        <v>25</v>
      </c>
      <c r="B1584" t="s">
        <v>14</v>
      </c>
      <c r="C1584" t="s">
        <v>51</v>
      </c>
      <c r="D1584" s="2" t="s">
        <f>=HYPERLINK("https://main.knesset.gov.il/APPS/legislation/main/bills/2224063", "הצעת חוק לתיקון פקודת המשטרה (ביטול הכפיפות לשר וסמכותו להתוות מדיניות), התשפ""ה-2024")</f>
        <v>3425</v>
      </c>
      <c r="E1584" t="s">
        <v>3425</v>
      </c>
      <c r="F1584" t="s">
        <v>3426</v>
      </c>
      <c r="G1584" t="s">
        <v>14</v>
      </c>
      <c r="H1584">
             </c>
      <c r="I1584" t="s">
        <v>14</v>
      </c>
      <c r="J1584" t="s">
        <v>193</v>
      </c>
      <c r="K1584" t="s">
        <v>14</v>
      </c>
      <c r="L1584" t="s">
        <v>20</v>
      </c>
      <c r="M1584" t="s">
        <v>3410</v>
      </c>
      <c r="N1584" t="s">
        <v>14</v>
      </c>
    </row>
    <row r="1585" x14ac:dyDescent="0.25">
      <c r="A1585" t="n">
        <v>25</v>
      </c>
      <c r="B1585" t="s">
        <v>14</v>
      </c>
      <c r="C1585" t="s">
        <v>51</v>
      </c>
      <c r="D1585" s="2" t="s">
        <f>=HYPERLINK("https://main.knesset.gov.il/APPS/legislation/main/bills/2222177", "הצעת חוק כלי הירייה (תיקון מס' 27), התשפ""ה–2025")</f>
        <v>3427</v>
      </c>
      <c r="E1585" t="s">
        <v>3427</v>
      </c>
      <c r="F1585" t="s">
        <v>3428</v>
      </c>
      <c r="G1585" t="s">
        <v>3429</v>
      </c>
      <c r="H1585">
             </c>
      <c r="I1585" t="s">
        <v>14</v>
      </c>
      <c r="J1585" t="s">
        <v>180</v>
      </c>
      <c r="K1585" t="s">
        <v>19</v>
      </c>
      <c r="L1585" t="s">
        <v>20</v>
      </c>
      <c r="M1585" t="s">
        <v>3410</v>
      </c>
      <c r="N1585" t="s">
        <v>14</v>
      </c>
    </row>
    <row r="1586" x14ac:dyDescent="0.25">
      <c r="A1586" t="n">
        <v>25</v>
      </c>
      <c r="B1586" t="s">
        <v>14</v>
      </c>
      <c r="C1586" t="s">
        <v>51</v>
      </c>
      <c r="D1586" s="2" t="s">
        <f>=HYPERLINK("https://main.knesset.gov.il/APPS/legislation/main/bills/2214728", "הצעת חוק שירות המילואים (תיקון מס' 3) (הטבות בדיור לחיילי מילואים), התשפ""ה–2025")</f>
        <v>3430</v>
      </c>
      <c r="E1586" t="s">
        <v>3430</v>
      </c>
      <c r="F1586" t="s">
        <v>3431</v>
      </c>
      <c r="G1586" t="s">
        <v>3432</v>
      </c>
      <c r="H1586">
             </c>
      <c r="I1586" t="s">
        <v>14</v>
      </c>
      <c r="J1586" t="s">
        <v>162</v>
      </c>
      <c r="K1586" t="s">
        <v>39</v>
      </c>
      <c r="L1586" t="s">
        <v>20</v>
      </c>
      <c r="M1586" t="s">
        <v>3410</v>
      </c>
      <c r="N1586" t="s">
        <v>14</v>
      </c>
    </row>
    <row r="1587" x14ac:dyDescent="0.25">
      <c r="A1587" t="n">
        <v>25</v>
      </c>
      <c r="B1587" t="s">
        <v>14</v>
      </c>
      <c r="C1587" t="s">
        <v>15</v>
      </c>
      <c r="D1587" s="2" t="s">
        <f>=HYPERLINK("https://main.knesset.gov.il/APPS/legislation/main/bills/2207551", "הצעת חוק לתיקון דיני הבחירות לרשויות המקומיות, התשפ""ג-2023 - הגשת רשימת מועמדים באופן ממוכן והליכים משפטיים בעניין ביטול בחירות")</f>
        <v>3433</v>
      </c>
      <c r="E1587" t="s">
        <v>3433</v>
      </c>
      <c r="F1587" t="s">
        <v>14</v>
      </c>
      <c r="G1587" t="s">
        <v>3434</v>
      </c>
      <c r="H1587">
             </c>
      <c r="I1587" t="s">
        <v>14</v>
      </c>
      <c r="J1587" t="s">
        <v>38</v>
      </c>
      <c r="K1587" t="s">
        <v>30</v>
      </c>
      <c r="L1587" t="s">
        <v>20</v>
      </c>
      <c r="M1587" t="s">
        <v>3435</v>
      </c>
      <c r="N1587" t="s">
        <v>14</v>
      </c>
    </row>
    <row r="1588" x14ac:dyDescent="0.25">
      <c r="A1588" t="n">
        <v>25</v>
      </c>
      <c r="B1588" t="s">
        <v>14</v>
      </c>
      <c r="C1588" t="s">
        <v>51</v>
      </c>
      <c r="D1588" s="2" t="s">
        <f>=HYPERLINK("https://main.knesset.gov.il/APPS/legislation/main/bills/2217571", "חוק הבנקאות (שירות ללקוח) (תיקון מס' 39), התשפ""ה–2025")</f>
        <v>3436</v>
      </c>
      <c r="E1588" t="s">
        <v>3436</v>
      </c>
      <c r="F1588" t="s">
        <v>3437</v>
      </c>
      <c r="G1588" t="s">
        <v>3438</v>
      </c>
      <c r="H1588" t="n">
        <v>3417</v>
      </c>
      <c r="I1588" t="s">
        <v>14</v>
      </c>
      <c r="J1588" t="s">
        <v>18</v>
      </c>
      <c r="K1588" t="s">
        <v>84</v>
      </c>
      <c r="L1588" t="s">
        <v>20</v>
      </c>
      <c r="M1588" t="s">
        <v>3435</v>
      </c>
      <c r="N1588" t="s">
        <v>3439</v>
      </c>
    </row>
    <row r="1589" x14ac:dyDescent="0.25">
      <c r="A1589" t="n">
        <v>25</v>
      </c>
      <c r="B1589" t="s">
        <v>14</v>
      </c>
      <c r="C1589" t="s">
        <v>15</v>
      </c>
      <c r="D1589" s="2" t="s">
        <f>=HYPERLINK("https://main.knesset.gov.il/APPS/legislation/main/bills/2230635", "חוק העונשין (תיקון מס' 133 – הוראת שעה) (תיקון מס' 3), התשפ""ה-2025 ")</f>
        <v>3440</v>
      </c>
      <c r="E1589" t="s">
        <v>3440</v>
      </c>
      <c r="F1589" t="s">
        <v>14</v>
      </c>
      <c r="G1589" t="s">
        <v>3441</v>
      </c>
      <c r="H1589" t="n">
        <v>3416</v>
      </c>
      <c r="I1589" t="s">
        <v>14</v>
      </c>
      <c r="J1589" t="s">
        <v>18</v>
      </c>
      <c r="K1589" t="s">
        <v>27</v>
      </c>
      <c r="L1589" t="s">
        <v>20</v>
      </c>
      <c r="M1589" t="s">
        <v>3435</v>
      </c>
      <c r="N1589" t="s">
        <v>3442</v>
      </c>
    </row>
    <row r="1590" x14ac:dyDescent="0.25">
      <c r="A1590" t="n">
        <v>25</v>
      </c>
      <c r="B1590" t="s">
        <v>14</v>
      </c>
      <c r="C1590" t="s">
        <v>15</v>
      </c>
      <c r="D1590" s="2" t="s">
        <f>=HYPERLINK("https://main.knesset.gov.il/APPS/legislation/main/bills/2231474", "חוק להשתתפותם של העובדים ובעלי תפקיד בשירות הציבורי, בצעדים לייצוב המצב הפיסקלי במדינה במהלך השנים 2025 ו-2026 (הוראת שעה) (תיקון), התשפ""ה-2025")</f>
        <v>3443</v>
      </c>
      <c r="E1590" t="s">
        <v>3443</v>
      </c>
      <c r="F1590" t="s">
        <v>14</v>
      </c>
      <c r="G1590" t="s">
        <v>3444</v>
      </c>
      <c r="H1590" t="n">
        <v>3415</v>
      </c>
      <c r="I1590" t="s">
        <v>14</v>
      </c>
      <c r="J1590" t="s">
        <v>18</v>
      </c>
      <c r="K1590" t="s">
        <v>46</v>
      </c>
      <c r="L1590" t="s">
        <v>20</v>
      </c>
      <c r="M1590" t="s">
        <v>3445</v>
      </c>
      <c r="N1590" t="s">
        <v>3446</v>
      </c>
    </row>
    <row r="1591" x14ac:dyDescent="0.25">
      <c r="A1591" t="n">
        <v>25</v>
      </c>
      <c r="B1591" t="s">
        <v>14</v>
      </c>
      <c r="C1591" t="s">
        <v>15</v>
      </c>
      <c r="D1591" s="2" t="s">
        <f>=HYPERLINK("https://main.knesset.gov.il/APPS/legislation/main/bills/2231120", "חוק לתיקון פקודת בתי הסוהר (תיקון מס' 66 - הוראת שעה - חרבות ברזל) (חופשה מיוחדת לאסיר) (תיקון מס' 3), התשפ""ה-2025")</f>
        <v>3447</v>
      </c>
      <c r="E1591" t="s">
        <v>3447</v>
      </c>
      <c r="F1591" t="s">
        <v>14</v>
      </c>
      <c r="G1591" t="s">
        <v>3448</v>
      </c>
      <c r="H1591" t="n">
        <v>3414</v>
      </c>
      <c r="I1591" t="s">
        <v>14</v>
      </c>
      <c r="J1591" t="s">
        <v>18</v>
      </c>
      <c r="K1591" t="s">
        <v>19</v>
      </c>
      <c r="L1591" t="s">
        <v>20</v>
      </c>
      <c r="M1591" t="s">
        <v>3445</v>
      </c>
      <c r="N1591" t="s">
        <v>3449</v>
      </c>
    </row>
    <row r="1592" x14ac:dyDescent="0.25">
      <c r="A1592" t="n">
        <v>25</v>
      </c>
      <c r="B1592" t="s">
        <v>14</v>
      </c>
      <c r="C1592" t="s">
        <v>51</v>
      </c>
      <c r="D1592" s="2" t="s">
        <f>=HYPERLINK("https://main.knesset.gov.il/APPS/legislation/main/bills/2229808", "הצעת חוק כלי הירייה (תיקון - הזכות להגנה עצמית והזכות לסייע בהגנה על המדינה), התשפ""ה-2025 ")</f>
        <v>3450</v>
      </c>
      <c r="E1592" t="s">
        <v>3450</v>
      </c>
      <c r="F1592" t="s">
        <v>3451</v>
      </c>
      <c r="G1592" t="s">
        <v>14</v>
      </c>
      <c r="H1592">
             </c>
      <c r="I1592" t="s">
        <v>14</v>
      </c>
      <c r="J1592" t="s">
        <v>242</v>
      </c>
      <c r="K1592" t="s">
        <v>14</v>
      </c>
      <c r="L1592" t="s">
        <v>20</v>
      </c>
      <c r="M1592" t="s">
        <v>3445</v>
      </c>
      <c r="N1592" t="s">
        <v>14</v>
      </c>
    </row>
    <row r="1593" x14ac:dyDescent="0.25">
      <c r="A1593" t="n">
        <v>25</v>
      </c>
      <c r="B1593" t="s">
        <v>14</v>
      </c>
      <c r="C1593" t="s">
        <v>51</v>
      </c>
      <c r="D1593" s="2" t="s">
        <f>=HYPERLINK("https://main.knesset.gov.il/APPS/legislation/main/bills/2231563", "הצעת חוק שירות המדינה (מינויים) (תיקון - מינוי נציב שירות המדינה), התשפ""ה-2025 ")</f>
        <v>3452</v>
      </c>
      <c r="E1593" t="s">
        <v>3452</v>
      </c>
      <c r="F1593" t="s">
        <v>3453</v>
      </c>
      <c r="G1593" t="s">
        <v>14</v>
      </c>
      <c r="H1593">
             </c>
      <c r="I1593" t="s">
        <v>14</v>
      </c>
      <c r="J1593" t="s">
        <v>242</v>
      </c>
      <c r="K1593" t="s">
        <v>14</v>
      </c>
      <c r="L1593" t="s">
        <v>20</v>
      </c>
      <c r="M1593" t="s">
        <v>3445</v>
      </c>
      <c r="N1593" t="s">
        <v>14</v>
      </c>
    </row>
    <row r="1594" x14ac:dyDescent="0.25">
      <c r="A1594" t="n">
        <v>25</v>
      </c>
      <c r="B1594" t="s">
        <v>14</v>
      </c>
      <c r="C1594" t="s">
        <v>51</v>
      </c>
      <c r="D1594" s="2" t="s">
        <f>=HYPERLINK("https://main.knesset.gov.il/APPS/legislation/main/bills/2224367", "הצעת חוק שירות המדינה (מינויים) (תיקון - הרחבת היקף המכרזים), התשפ""ה-2025")</f>
        <v>3454</v>
      </c>
      <c r="E1594" t="s">
        <v>3454</v>
      </c>
      <c r="F1594" t="s">
        <v>3455</v>
      </c>
      <c r="G1594" t="s">
        <v>14</v>
      </c>
      <c r="H1594">
             </c>
      <c r="I1594" t="s">
        <v>14</v>
      </c>
      <c r="J1594" t="s">
        <v>242</v>
      </c>
      <c r="K1594" t="s">
        <v>14</v>
      </c>
      <c r="L1594" t="s">
        <v>20</v>
      </c>
      <c r="M1594" t="s">
        <v>3445</v>
      </c>
      <c r="N1594" t="s">
        <v>14</v>
      </c>
    </row>
    <row r="1595" x14ac:dyDescent="0.25">
      <c r="A1595" t="n">
        <v>25</v>
      </c>
      <c r="B1595" t="s">
        <v>14</v>
      </c>
      <c r="C1595" t="s">
        <v>51</v>
      </c>
      <c r="D1595" s="2" t="s">
        <f>=HYPERLINK("https://main.knesset.gov.il/APPS/legislation/main/bills/2230960", "הצעת חוק פיצויים לבעלי זכות במקרקעין מועברים, התשפ""ה-2025")</f>
        <v>3456</v>
      </c>
      <c r="E1595" t="s">
        <v>3456</v>
      </c>
      <c r="F1595" t="s">
        <v>3457</v>
      </c>
      <c r="G1595" t="s">
        <v>14</v>
      </c>
      <c r="H1595">
             </c>
      <c r="I1595" t="s">
        <v>14</v>
      </c>
      <c r="J1595" t="s">
        <v>242</v>
      </c>
      <c r="K1595" t="s">
        <v>14</v>
      </c>
      <c r="L1595" t="s">
        <v>20</v>
      </c>
      <c r="M1595" t="s">
        <v>3445</v>
      </c>
      <c r="N1595" t="s">
        <v>14</v>
      </c>
    </row>
    <row r="1596" x14ac:dyDescent="0.25">
      <c r="A1596" t="n">
        <v>25</v>
      </c>
      <c r="B1596" t="s">
        <v>14</v>
      </c>
      <c r="C1596" t="s">
        <v>51</v>
      </c>
      <c r="D1596" s="2" t="s">
        <f>=HYPERLINK("https://main.knesset.gov.il/APPS/legislation/main/bills/2229095", "הצעת חוק הכשרות המשפטית והאפוטרופסות (תיקון - שלילת אפוטרופסות בעקבות הרשעה בעבירת אלימות חמורה), התשפ""ה-2025 ")</f>
        <v>3458</v>
      </c>
      <c r="E1596" t="s">
        <v>3458</v>
      </c>
      <c r="F1596" t="s">
        <v>3459</v>
      </c>
      <c r="G1596" t="s">
        <v>14</v>
      </c>
      <c r="H1596">
             </c>
      <c r="I1596" t="s">
        <v>14</v>
      </c>
      <c r="J1596" t="s">
        <v>242</v>
      </c>
      <c r="K1596" t="s">
        <v>14</v>
      </c>
      <c r="L1596" t="s">
        <v>20</v>
      </c>
      <c r="M1596" t="s">
        <v>3445</v>
      </c>
      <c r="N1596" t="s">
        <v>14</v>
      </c>
    </row>
    <row r="1597" x14ac:dyDescent="0.25">
      <c r="A1597" t="n">
        <v>25</v>
      </c>
      <c r="B1597" t="s">
        <v>14</v>
      </c>
      <c r="C1597" t="s">
        <v>51</v>
      </c>
      <c r="D1597" s="2" t="s">
        <f>=HYPERLINK("https://main.knesset.gov.il/APPS/legislation/main/bills/2231612", "הצעת חוק ועדות חקירה (תיקון - אירועי חובה להקמת ועדת חקירה ממלכתית), התשפ""ה-2025")</f>
        <v>3179</v>
      </c>
      <c r="E1597" t="s">
        <v>3179</v>
      </c>
      <c r="F1597" t="s">
        <v>3460</v>
      </c>
      <c r="G1597" t="s">
        <v>14</v>
      </c>
      <c r="H1597">
             </c>
      <c r="I1597" t="s">
        <v>14</v>
      </c>
      <c r="J1597" t="s">
        <v>242</v>
      </c>
      <c r="K1597" t="s">
        <v>14</v>
      </c>
      <c r="L1597" t="s">
        <v>20</v>
      </c>
      <c r="M1597" t="s">
        <v>3445</v>
      </c>
      <c r="N1597" t="s">
        <v>14</v>
      </c>
    </row>
    <row r="1598" x14ac:dyDescent="0.25">
      <c r="A1598" t="n">
        <v>25</v>
      </c>
      <c r="B1598" t="s">
        <v>14</v>
      </c>
      <c r="C1598" t="s">
        <v>51</v>
      </c>
      <c r="D1598" s="2" t="s">
        <f>=HYPERLINK("https://main.knesset.gov.il/APPS/legislation/main/bills/2231072", "הצעת חוק המאבק בטרור (תיקון - עבירת הצתה), התשפ""ה-2025")</f>
        <v>3461</v>
      </c>
      <c r="E1598" t="s">
        <v>3461</v>
      </c>
      <c r="F1598" t="s">
        <v>3462</v>
      </c>
      <c r="G1598" t="s">
        <v>14</v>
      </c>
      <c r="H1598">
             </c>
      <c r="I1598" t="s">
        <v>14</v>
      </c>
      <c r="J1598" t="s">
        <v>242</v>
      </c>
      <c r="K1598" t="s">
        <v>14</v>
      </c>
      <c r="L1598" t="s">
        <v>20</v>
      </c>
      <c r="M1598" t="s">
        <v>3445</v>
      </c>
      <c r="N1598" t="s">
        <v>14</v>
      </c>
    </row>
    <row r="1599" x14ac:dyDescent="0.25">
      <c r="A1599" t="n">
        <v>25</v>
      </c>
      <c r="B1599" t="s">
        <v>14</v>
      </c>
      <c r="C1599" t="s">
        <v>51</v>
      </c>
      <c r="D1599" s="2" t="s">
        <f>=HYPERLINK("https://main.knesset.gov.il/APPS/legislation/main/bills/2231160", "הצעת חוק להגנת חיית הבר (תיקון - חילוט כלי ציד), התשפ""ה-2025")</f>
        <v>205</v>
      </c>
      <c r="E1599" t="s">
        <v>205</v>
      </c>
      <c r="F1599" t="s">
        <v>3463</v>
      </c>
      <c r="G1599" t="s">
        <v>14</v>
      </c>
      <c r="H1599">
             </c>
      <c r="I1599" t="s">
        <v>14</v>
      </c>
      <c r="J1599" t="s">
        <v>242</v>
      </c>
      <c r="K1599" t="s">
        <v>14</v>
      </c>
      <c r="L1599" t="s">
        <v>20</v>
      </c>
      <c r="M1599" t="s">
        <v>3445</v>
      </c>
      <c r="N1599" t="s">
        <v>14</v>
      </c>
    </row>
    <row r="1600" x14ac:dyDescent="0.25">
      <c r="A1600" t="n">
        <v>25</v>
      </c>
      <c r="B1600" t="s">
        <v>14</v>
      </c>
      <c r="C1600" t="s">
        <v>51</v>
      </c>
      <c r="D1600" s="2" t="s">
        <f>=HYPERLINK("https://main.knesset.gov.il/APPS/legislation/main/bills/2230963", "הצעת חוק סדר הדין הפלילי (תיקון - חקירת עיתונאים), התשפ""ה-2025")</f>
        <v>3464</v>
      </c>
      <c r="E1600" t="s">
        <v>3464</v>
      </c>
      <c r="F1600" t="s">
        <v>3465</v>
      </c>
      <c r="G1600" t="s">
        <v>14</v>
      </c>
      <c r="H1600">
             </c>
      <c r="I1600" t="s">
        <v>14</v>
      </c>
      <c r="J1600" t="s">
        <v>242</v>
      </c>
      <c r="K1600" t="s">
        <v>14</v>
      </c>
      <c r="L1600" t="s">
        <v>20</v>
      </c>
      <c r="M1600" t="s">
        <v>3445</v>
      </c>
      <c r="N1600" t="s">
        <v>14</v>
      </c>
    </row>
    <row r="1601" x14ac:dyDescent="0.25">
      <c r="A1601" t="n">
        <v>25</v>
      </c>
      <c r="B1601" t="s">
        <v>14</v>
      </c>
      <c r="C1601" t="s">
        <v>51</v>
      </c>
      <c r="D1601" s="2" t="s">
        <f>=HYPERLINK("https://main.knesset.gov.il/APPS/legislation/main/bills/2228403", "הצעת חוק חניה לנכים (תיקון - תגי נכה), התשפ""ה-2025")</f>
        <v>3466</v>
      </c>
      <c r="E1601" t="s">
        <v>3466</v>
      </c>
      <c r="F1601" t="s">
        <v>3467</v>
      </c>
      <c r="G1601" t="s">
        <v>14</v>
      </c>
      <c r="H1601">
             </c>
      <c r="I1601" t="s">
        <v>14</v>
      </c>
      <c r="J1601" t="s">
        <v>202</v>
      </c>
      <c r="K1601" t="s">
        <v>14</v>
      </c>
      <c r="L1601" t="s">
        <v>20</v>
      </c>
      <c r="M1601" t="s">
        <v>3445</v>
      </c>
      <c r="N1601" t="s">
        <v>14</v>
      </c>
    </row>
    <row r="1602" x14ac:dyDescent="0.25">
      <c r="A1602" t="n">
        <v>25</v>
      </c>
      <c r="B1602" t="s">
        <v>14</v>
      </c>
      <c r="C1602" t="s">
        <v>51</v>
      </c>
      <c r="D1602" s="2" t="s">
        <f>=HYPERLINK("https://main.knesset.gov.il/APPS/legislation/main/bills/2229631", "הצעת חוק לתיקון פקודת הרופאים (אי-הכרה בלימודי רפואה שנערכו במדינות עוינות או ברשות הפלסטינית), התשפ""ה-2025")</f>
        <v>3468</v>
      </c>
      <c r="E1602" t="s">
        <v>3468</v>
      </c>
      <c r="F1602" t="s">
        <v>3469</v>
      </c>
      <c r="G1602" t="s">
        <v>14</v>
      </c>
      <c r="H1602">
             </c>
      <c r="I1602" t="s">
        <v>14</v>
      </c>
      <c r="J1602" t="s">
        <v>242</v>
      </c>
      <c r="K1602" t="s">
        <v>14</v>
      </c>
      <c r="L1602" t="s">
        <v>20</v>
      </c>
      <c r="M1602" t="s">
        <v>3445</v>
      </c>
      <c r="N1602" t="s">
        <v>14</v>
      </c>
    </row>
    <row r="1603" x14ac:dyDescent="0.25">
      <c r="A1603" t="n">
        <v>25</v>
      </c>
      <c r="B1603" t="s">
        <v>14</v>
      </c>
      <c r="C1603" t="s">
        <v>51</v>
      </c>
      <c r="D1603" s="2" t="s">
        <f>=HYPERLINK("https://main.knesset.gov.il/APPS/legislation/main/bills/2231190", "הצעת חוק קבלת ילד של משרת מילואים למעון יום והשתתפות המדינה בעלות שכר הלימוד בו, התשפ""ה-2025")</f>
        <v>2015</v>
      </c>
      <c r="E1603" t="s">
        <v>2015</v>
      </c>
      <c r="F1603" t="s">
        <v>3470</v>
      </c>
      <c r="G1603" t="s">
        <v>14</v>
      </c>
      <c r="H1603">
             </c>
      <c r="I1603" t="s">
        <v>14</v>
      </c>
      <c r="J1603" t="s">
        <v>242</v>
      </c>
      <c r="K1603" t="s">
        <v>14</v>
      </c>
      <c r="L1603" t="s">
        <v>20</v>
      </c>
      <c r="M1603" t="s">
        <v>3445</v>
      </c>
      <c r="N1603" t="s">
        <v>14</v>
      </c>
    </row>
    <row r="1604" x14ac:dyDescent="0.25">
      <c r="A1604" t="n">
        <v>25</v>
      </c>
      <c r="B1604" t="s">
        <v>14</v>
      </c>
      <c r="C1604" t="s">
        <v>51</v>
      </c>
      <c r="D1604" s="2" t="s">
        <f>=HYPERLINK("https://main.knesset.gov.il/APPS/legislation/main/bills/2231169", "הצעת חוק הרשויות המקומיות (פטור חיילים, נפגעי מלחמה ושוטרים מארנונה) (תיקון - הנחה בארנונה לחייל מילואים פעיל), התשפ""ה-2025")</f>
        <v>3471</v>
      </c>
      <c r="E1604" t="s">
        <v>3471</v>
      </c>
      <c r="F1604" t="s">
        <v>3472</v>
      </c>
      <c r="G1604" t="s">
        <v>14</v>
      </c>
      <c r="H1604">
             </c>
      <c r="I1604" t="s">
        <v>14</v>
      </c>
      <c r="J1604" t="s">
        <v>242</v>
      </c>
      <c r="K1604" t="s">
        <v>14</v>
      </c>
      <c r="L1604" t="s">
        <v>20</v>
      </c>
      <c r="M1604" t="s">
        <v>3445</v>
      </c>
      <c r="N1604" t="s">
        <v>14</v>
      </c>
    </row>
    <row r="1605" x14ac:dyDescent="0.25">
      <c r="A1605" t="n">
        <v>25</v>
      </c>
      <c r="B1605" t="s">
        <v>14</v>
      </c>
      <c r="C1605" t="s">
        <v>51</v>
      </c>
      <c r="D1605" s="2" t="s">
        <f>=HYPERLINK("https://main.knesset.gov.il/APPS/legislation/main/bills/2231557", "הצעת חוק שוויון זכויות לאנשים עם מוגבלות (תיקון - הגנה על חולים במחלה ממארת בזמן הטיפולים וההחלמה), התשפ""ה-2025")</f>
        <v>3473</v>
      </c>
      <c r="E1605" t="s">
        <v>3473</v>
      </c>
      <c r="F1605" t="s">
        <v>3474</v>
      </c>
      <c r="G1605" t="s">
        <v>14</v>
      </c>
      <c r="H1605">
             </c>
      <c r="I1605" t="s">
        <v>14</v>
      </c>
      <c r="J1605" t="s">
        <v>242</v>
      </c>
      <c r="K1605" t="s">
        <v>14</v>
      </c>
      <c r="L1605" t="s">
        <v>20</v>
      </c>
      <c r="M1605" t="s">
        <v>3445</v>
      </c>
      <c r="N1605" t="s">
        <v>14</v>
      </c>
    </row>
    <row r="1606" x14ac:dyDescent="0.25">
      <c r="A1606" t="n">
        <v>25</v>
      </c>
      <c r="B1606" t="s">
        <v>14</v>
      </c>
      <c r="C1606" t="s">
        <v>51</v>
      </c>
      <c r="D1606" s="2" t="s">
        <f>=HYPERLINK("https://main.knesset.gov.il/APPS/legislation/main/bills/2231394", "הצעת חוק-יסוד: זכויות בהליך פלילי")</f>
        <v>2610</v>
      </c>
      <c r="E1606" t="s">
        <v>2610</v>
      </c>
      <c r="F1606" t="s">
        <v>3475</v>
      </c>
      <c r="G1606" t="s">
        <v>14</v>
      </c>
      <c r="H1606">
             </c>
      <c r="I1606" t="s">
        <v>14</v>
      </c>
      <c r="J1606" t="s">
        <v>202</v>
      </c>
      <c r="K1606" t="s">
        <v>14</v>
      </c>
      <c r="L1606" t="s">
        <v>20</v>
      </c>
      <c r="M1606" t="s">
        <v>3445</v>
      </c>
      <c r="N1606" t="s">
        <v>14</v>
      </c>
    </row>
    <row r="1607" x14ac:dyDescent="0.25">
      <c r="A1607" t="n">
        <v>25</v>
      </c>
      <c r="B1607" t="s">
        <v>14</v>
      </c>
      <c r="C1607" t="s">
        <v>51</v>
      </c>
      <c r="D1607" s="2" t="s">
        <f>=HYPERLINK("https://main.knesset.gov.il/APPS/legislation/main/bills/2227851", "הצעת חוק רישוי שירותים ומקצועות בענף הרכב (תיקון - הוראות לעניין ייבוא רכב מסוג מעונוע), התשפ""ה-2025")</f>
        <v>3476</v>
      </c>
      <c r="E1607" t="s">
        <v>3476</v>
      </c>
      <c r="F1607" t="s">
        <v>3477</v>
      </c>
      <c r="G1607" t="s">
        <v>14</v>
      </c>
      <c r="H1607">
             </c>
      <c r="I1607" t="s">
        <v>14</v>
      </c>
      <c r="J1607" t="s">
        <v>242</v>
      </c>
      <c r="K1607" t="s">
        <v>14</v>
      </c>
      <c r="L1607" t="s">
        <v>20</v>
      </c>
      <c r="M1607" t="s">
        <v>3445</v>
      </c>
      <c r="N1607" t="s">
        <v>14</v>
      </c>
    </row>
    <row r="1608" x14ac:dyDescent="0.25">
      <c r="A1608" t="n">
        <v>25</v>
      </c>
      <c r="B1608" t="s">
        <v>14</v>
      </c>
      <c r="C1608" t="s">
        <v>51</v>
      </c>
      <c r="D1608" s="2" t="s">
        <f>=HYPERLINK("https://main.knesset.gov.il/APPS/legislation/main/bills/2231490", "הצעת חוק חובת שליחת בקשת תשלום טרם עיקול ותפיסה של נכסים המוחזקים בידי צד שלישי (תיקוני חקיקה), התשפ""ה-2025")</f>
        <v>3334</v>
      </c>
      <c r="E1608" t="s">
        <v>3334</v>
      </c>
      <c r="F1608" t="s">
        <v>3478</v>
      </c>
      <c r="G1608" t="s">
        <v>14</v>
      </c>
      <c r="H1608">
             </c>
      <c r="I1608" t="s">
        <v>14</v>
      </c>
      <c r="J1608" t="s">
        <v>242</v>
      </c>
      <c r="K1608" t="s">
        <v>14</v>
      </c>
      <c r="L1608" t="s">
        <v>20</v>
      </c>
      <c r="M1608" t="s">
        <v>3445</v>
      </c>
      <c r="N1608" t="s">
        <v>14</v>
      </c>
    </row>
    <row r="1609" x14ac:dyDescent="0.25">
      <c r="A1609" t="n">
        <v>25</v>
      </c>
      <c r="B1609" t="s">
        <v>14</v>
      </c>
      <c r="C1609" t="s">
        <v>51</v>
      </c>
      <c r="D1609" s="2" t="s">
        <f>=HYPERLINK("https://main.knesset.gov.il/APPS/legislation/main/bills/2231553", "הצעת חוק איסור הפליית משרתים בשירות הביטחוני, הלאומי והאזרחי, התשפ""ה-2025")</f>
        <v>3479</v>
      </c>
      <c r="E1609" t="s">
        <v>3479</v>
      </c>
      <c r="F1609" t="s">
        <v>3480</v>
      </c>
      <c r="G1609" t="s">
        <v>14</v>
      </c>
      <c r="H1609">
             </c>
      <c r="I1609" t="s">
        <v>14</v>
      </c>
      <c r="J1609" t="s">
        <v>242</v>
      </c>
      <c r="K1609" t="s">
        <v>14</v>
      </c>
      <c r="L1609" t="s">
        <v>20</v>
      </c>
      <c r="M1609" t="s">
        <v>3445</v>
      </c>
      <c r="N1609" t="s">
        <v>14</v>
      </c>
    </row>
    <row r="1610" x14ac:dyDescent="0.25">
      <c r="A1610" t="n">
        <v>25</v>
      </c>
      <c r="B1610" t="s">
        <v>14</v>
      </c>
      <c r="C1610" t="s">
        <v>51</v>
      </c>
      <c r="D1610" s="2" t="s">
        <f>=HYPERLINK("https://main.knesset.gov.il/APPS/legislation/main/bills/2231554", "הצעת חוק לתיקון פקודת התעבורה (איסור שימוש ברכב שהועמד באופן המפריע לתנועה), התשפ""ה-2025")</f>
        <v>3481</v>
      </c>
      <c r="E1610" t="s">
        <v>3481</v>
      </c>
      <c r="F1610" t="s">
        <v>3482</v>
      </c>
      <c r="G1610" t="s">
        <v>14</v>
      </c>
      <c r="H1610">
             </c>
      <c r="I1610" t="s">
        <v>14</v>
      </c>
      <c r="J1610" t="s">
        <v>242</v>
      </c>
      <c r="K1610" t="s">
        <v>14</v>
      </c>
      <c r="L1610" t="s">
        <v>20</v>
      </c>
      <c r="M1610" t="s">
        <v>3445</v>
      </c>
      <c r="N1610" t="s">
        <v>14</v>
      </c>
    </row>
    <row r="1611" x14ac:dyDescent="0.25">
      <c r="A1611" t="n">
        <v>25</v>
      </c>
      <c r="B1611" t="s">
        <v>14</v>
      </c>
      <c r="C1611" t="s">
        <v>51</v>
      </c>
      <c r="D1611" s="2" t="s">
        <f>=HYPERLINK("https://main.knesset.gov.il/APPS/legislation/main/bills/2231555", "הצעת חוק הביטוח הלאומי (תיקון - קביעת אחוזי נכות ללקויי שמיעה - דו-צידי וחד-צידי), התשפ""ה-2025")</f>
        <v>3483</v>
      </c>
      <c r="E1611" t="s">
        <v>3483</v>
      </c>
      <c r="F1611" t="s">
        <v>3484</v>
      </c>
      <c r="G1611" t="s">
        <v>14</v>
      </c>
      <c r="H1611">
             </c>
      <c r="I1611" t="s">
        <v>14</v>
      </c>
      <c r="J1611" t="s">
        <v>242</v>
      </c>
      <c r="K1611" t="s">
        <v>14</v>
      </c>
      <c r="L1611" t="s">
        <v>20</v>
      </c>
      <c r="M1611" t="s">
        <v>3445</v>
      </c>
      <c r="N1611" t="s">
        <v>14</v>
      </c>
    </row>
    <row r="1612" x14ac:dyDescent="0.25">
      <c r="A1612" t="n">
        <v>25</v>
      </c>
      <c r="B1612" t="s">
        <v>14</v>
      </c>
      <c r="C1612" t="s">
        <v>51</v>
      </c>
      <c r="D1612" s="2" t="s">
        <f>=HYPERLINK("https://main.knesset.gov.il/APPS/legislation/main/bills/2231483", "הצעת חוק האזרחים הוותיקים (תיקון - לחצן מצוקה לקשיש), התשפ""ה-2025")</f>
        <v>3485</v>
      </c>
      <c r="E1612" t="s">
        <v>3485</v>
      </c>
      <c r="F1612" t="s">
        <v>3486</v>
      </c>
      <c r="G1612" t="s">
        <v>14</v>
      </c>
      <c r="H1612">
             </c>
      <c r="I1612" t="s">
        <v>14</v>
      </c>
      <c r="J1612" t="s">
        <v>242</v>
      </c>
      <c r="K1612" t="s">
        <v>14</v>
      </c>
      <c r="L1612" t="s">
        <v>20</v>
      </c>
      <c r="M1612" t="s">
        <v>3445</v>
      </c>
      <c r="N1612" t="s">
        <v>14</v>
      </c>
    </row>
    <row r="1613" x14ac:dyDescent="0.25">
      <c r="A1613" t="n">
        <v>25</v>
      </c>
      <c r="B1613" t="s">
        <v>14</v>
      </c>
      <c r="C1613" t="s">
        <v>51</v>
      </c>
      <c r="D1613" s="2" t="s">
        <f>=HYPERLINK("https://main.knesset.gov.il/APPS/legislation/main/bills/2230228", "הצעת חוק הנכים (תגמולים ושיקום) (תיקון - חבלה שאינה חבלת שירות בזמן מלחמה), התשפ""ה-2025")</f>
        <v>3487</v>
      </c>
      <c r="E1613" t="s">
        <v>3487</v>
      </c>
      <c r="F1613" t="s">
        <v>3488</v>
      </c>
      <c r="G1613" t="s">
        <v>14</v>
      </c>
      <c r="H1613">
             </c>
      <c r="I1613" t="s">
        <v>14</v>
      </c>
      <c r="J1613" t="s">
        <v>202</v>
      </c>
      <c r="K1613" t="s">
        <v>14</v>
      </c>
      <c r="L1613" t="s">
        <v>20</v>
      </c>
      <c r="M1613" t="s">
        <v>3489</v>
      </c>
      <c r="N1613" t="s">
        <v>14</v>
      </c>
    </row>
    <row r="1614" x14ac:dyDescent="0.25">
      <c r="A1614" t="n">
        <v>25</v>
      </c>
      <c r="B1614" t="s">
        <v>14</v>
      </c>
      <c r="C1614" t="s">
        <v>51</v>
      </c>
      <c r="D1614" s="2" t="s">
        <f>=HYPERLINK("https://main.knesset.gov.il/APPS/legislation/main/bills/2229715", "הצעת חוק זכויות החולה (תיקון - מניעת טיפול רפואי למחבלים במערכת הבריאות הציבורית), התשפ""ה-2025")</f>
        <v>3322</v>
      </c>
      <c r="E1614" t="s">
        <v>3322</v>
      </c>
      <c r="F1614" t="s">
        <v>3490</v>
      </c>
      <c r="G1614" t="s">
        <v>14</v>
      </c>
      <c r="H1614">
             </c>
      <c r="I1614" t="s">
        <v>14</v>
      </c>
      <c r="J1614" t="s">
        <v>193</v>
      </c>
      <c r="K1614" t="s">
        <v>14</v>
      </c>
      <c r="L1614" t="s">
        <v>20</v>
      </c>
      <c r="M1614" t="s">
        <v>3489</v>
      </c>
      <c r="N1614" t="s">
        <v>14</v>
      </c>
    </row>
    <row r="1615" x14ac:dyDescent="0.25">
      <c r="A1615" t="n">
        <v>25</v>
      </c>
      <c r="B1615" t="s">
        <v>14</v>
      </c>
      <c r="C1615" t="s">
        <v>51</v>
      </c>
      <c r="D1615" s="2" t="s">
        <f>=HYPERLINK("https://main.knesset.gov.il/APPS/legislation/main/bills/2227719", "הצעת חוק לתיקון פקודת מס הכנסה (ניכוי בגין הוצאות טיפול בילדים), התשפ""ה-2025")</f>
        <v>3491</v>
      </c>
      <c r="E1615" t="s">
        <v>3491</v>
      </c>
      <c r="F1615" t="s">
        <v>3492</v>
      </c>
      <c r="G1615" t="s">
        <v>14</v>
      </c>
      <c r="H1615">
             </c>
      <c r="I1615" t="s">
        <v>14</v>
      </c>
      <c r="J1615" t="s">
        <v>193</v>
      </c>
      <c r="K1615" t="s">
        <v>14</v>
      </c>
      <c r="L1615" t="s">
        <v>20</v>
      </c>
      <c r="M1615" t="s">
        <v>3489</v>
      </c>
      <c r="N1615" t="s">
        <v>14</v>
      </c>
    </row>
    <row r="1616" x14ac:dyDescent="0.25">
      <c r="A1616" t="n">
        <v>25</v>
      </c>
      <c r="B1616" t="s">
        <v>14</v>
      </c>
      <c r="C1616" t="s">
        <v>51</v>
      </c>
      <c r="D1616" s="2" t="s">
        <f>=HYPERLINK("https://main.knesset.gov.il/APPS/legislation/main/bills/2226940", "הצעת חוק שירות המילואים (תיקון - שיקום נפשי וטיפול זוגי) (הוראת שעה), התשפ""ה-2025")</f>
        <v>3493</v>
      </c>
      <c r="E1616" t="s">
        <v>3493</v>
      </c>
      <c r="F1616" t="s">
        <v>3494</v>
      </c>
      <c r="G1616" t="s">
        <v>14</v>
      </c>
      <c r="H1616">
             </c>
      <c r="I1616" t="s">
        <v>14</v>
      </c>
      <c r="J1616" t="s">
        <v>193</v>
      </c>
      <c r="K1616" t="s">
        <v>14</v>
      </c>
      <c r="L1616" t="s">
        <v>20</v>
      </c>
      <c r="M1616" t="s">
        <v>3489</v>
      </c>
      <c r="N1616" t="s">
        <v>14</v>
      </c>
    </row>
    <row r="1617" x14ac:dyDescent="0.25">
      <c r="A1617" t="n">
        <v>25</v>
      </c>
      <c r="B1617" t="s">
        <v>14</v>
      </c>
      <c r="C1617" t="s">
        <v>51</v>
      </c>
      <c r="D1617" s="2" t="s">
        <f>=HYPERLINK("https://main.knesset.gov.il/APPS/legislation/main/bills/2205642", "הצעת חוק שירותי אבטחה, התשפ""ג-2023")</f>
        <v>3495</v>
      </c>
      <c r="E1617" t="s">
        <v>3495</v>
      </c>
      <c r="F1617" t="s">
        <v>3496</v>
      </c>
      <c r="G1617" t="s">
        <v>14</v>
      </c>
      <c r="H1617">
             </c>
      <c r="I1617" t="s">
        <v>14</v>
      </c>
      <c r="J1617" t="s">
        <v>193</v>
      </c>
      <c r="K1617" t="s">
        <v>14</v>
      </c>
      <c r="L1617" t="s">
        <v>20</v>
      </c>
      <c r="M1617" t="s">
        <v>3489</v>
      </c>
      <c r="N1617" t="s">
        <v>14</v>
      </c>
    </row>
    <row r="1618" x14ac:dyDescent="0.25">
      <c r="A1618" t="n">
        <v>25</v>
      </c>
      <c r="B1618" t="s">
        <v>14</v>
      </c>
      <c r="C1618" t="s">
        <v>51</v>
      </c>
      <c r="D1618" s="2" t="s">
        <f>=HYPERLINK("https://main.knesset.gov.il/APPS/legislation/main/bills/2201555", "הצעת חוק שירות המדינה (מינויים) (תיקון - חובת פרסום שאלון לאיתור חשש לניגוד עניינים), התשפ""ג-2023")</f>
        <v>3497</v>
      </c>
      <c r="E1618" t="s">
        <v>3497</v>
      </c>
      <c r="F1618" t="s">
        <v>3498</v>
      </c>
      <c r="G1618" t="s">
        <v>14</v>
      </c>
      <c r="H1618">
             </c>
      <c r="I1618" t="s">
        <v>14</v>
      </c>
      <c r="J1618" t="s">
        <v>193</v>
      </c>
      <c r="K1618" t="s">
        <v>14</v>
      </c>
      <c r="L1618" t="s">
        <v>20</v>
      </c>
      <c r="M1618" t="s">
        <v>3489</v>
      </c>
      <c r="N1618" t="s">
        <v>14</v>
      </c>
    </row>
    <row r="1619" x14ac:dyDescent="0.25">
      <c r="A1619" t="n">
        <v>25</v>
      </c>
      <c r="B1619" t="s">
        <v>14</v>
      </c>
      <c r="C1619" t="s">
        <v>51</v>
      </c>
      <c r="D1619" s="2" t="s">
        <f>=HYPERLINK("https://main.knesset.gov.il/APPS/legislation/main/bills/2218999", "הצעת חוק חובת הצגה של נתוני צפייה לצופה, התשפ""ד-2024")</f>
        <v>3499</v>
      </c>
      <c r="E1619" t="s">
        <v>3499</v>
      </c>
      <c r="F1619" t="s">
        <v>3500</v>
      </c>
      <c r="G1619" t="s">
        <v>14</v>
      </c>
      <c r="H1619">
             </c>
      <c r="I1619" t="s">
        <v>14</v>
      </c>
      <c r="J1619" t="s">
        <v>152</v>
      </c>
      <c r="K1619" t="s">
        <v>84</v>
      </c>
      <c r="L1619" t="s">
        <v>20</v>
      </c>
      <c r="M1619" t="s">
        <v>3501</v>
      </c>
      <c r="N1619" t="s">
        <v>14</v>
      </c>
    </row>
    <row r="1620" x14ac:dyDescent="0.25">
      <c r="A1620" t="n">
        <v>25</v>
      </c>
      <c r="B1620" t="s">
        <v>14</v>
      </c>
      <c r="C1620" t="s">
        <v>15</v>
      </c>
      <c r="D1620" s="2" t="s">
        <f>=HYPERLINK("https://main.knesset.gov.il/APPS/legislation/main/bills/2195286", "הצעת חוק הפטנטים (תיקון מס' 14) (הגברת התחרותיות), התשפ""ב-2022")</f>
        <v>3502</v>
      </c>
      <c r="E1620" t="s">
        <v>3502</v>
      </c>
      <c r="F1620" t="s">
        <v>14</v>
      </c>
      <c r="G1620" t="s">
        <v>3503</v>
      </c>
      <c r="H1620">
             </c>
      <c r="I1620" t="s">
        <v>3504</v>
      </c>
      <c r="J1620" t="s">
        <v>38</v>
      </c>
      <c r="K1620" t="s">
        <v>27</v>
      </c>
      <c r="L1620" t="s">
        <v>20</v>
      </c>
      <c r="M1620" t="s">
        <v>3501</v>
      </c>
      <c r="N1620" t="s">
        <v>14</v>
      </c>
    </row>
    <row r="1621" x14ac:dyDescent="0.25">
      <c r="A1621" t="n">
        <v>25</v>
      </c>
      <c r="B1621" t="s">
        <v>14</v>
      </c>
      <c r="C1621" t="s">
        <v>51</v>
      </c>
      <c r="D1621" s="2" t="s">
        <f>=HYPERLINK("https://main.knesset.gov.il/APPS/legislation/main/bills/2228431", "הצעת חוק להנחלת מורשתו של הרבי מלובביץ' ושל שושלת תנועת חב""ד, התשפ""ה-2025")</f>
        <v>3505</v>
      </c>
      <c r="E1621" t="s">
        <v>3505</v>
      </c>
      <c r="F1621" t="s">
        <v>3506</v>
      </c>
      <c r="G1621" t="s">
        <v>14</v>
      </c>
      <c r="H1621">
             </c>
      <c r="I1621" t="s">
        <v>14</v>
      </c>
      <c r="J1621" t="s">
        <v>152</v>
      </c>
      <c r="K1621" t="s">
        <v>79</v>
      </c>
      <c r="L1621" t="s">
        <v>20</v>
      </c>
      <c r="M1621" t="s">
        <v>3501</v>
      </c>
      <c r="N1621" t="s">
        <v>14</v>
      </c>
    </row>
    <row r="1622" x14ac:dyDescent="0.25">
      <c r="A1622" t="n">
        <v>25</v>
      </c>
      <c r="B1622" t="s">
        <v>14</v>
      </c>
      <c r="C1622" t="s">
        <v>51</v>
      </c>
      <c r="D1622" s="2" t="s">
        <f>=HYPERLINK("https://main.knesset.gov.il/APPS/legislation/main/bills/2222052", "חוק הבנקאות (שירות ללקוח) (תיקון מס' 38), התשפ""ה–2025")</f>
        <v>3507</v>
      </c>
      <c r="E1622" t="s">
        <v>3507</v>
      </c>
      <c r="F1622" t="s">
        <v>3508</v>
      </c>
      <c r="G1622" t="s">
        <v>3509</v>
      </c>
      <c r="H1622" t="n">
        <v>3413</v>
      </c>
      <c r="I1622" t="s">
        <v>14</v>
      </c>
      <c r="J1622" t="s">
        <v>18</v>
      </c>
      <c r="K1622" t="s">
        <v>84</v>
      </c>
      <c r="L1622" t="s">
        <v>20</v>
      </c>
      <c r="M1622" t="s">
        <v>3501</v>
      </c>
      <c r="N1622" t="s">
        <v>3510</v>
      </c>
    </row>
    <row r="1623" x14ac:dyDescent="0.25">
      <c r="A1623" t="n">
        <v>25</v>
      </c>
      <c r="B1623" t="s">
        <v>14</v>
      </c>
      <c r="C1623" t="s">
        <v>20</v>
      </c>
      <c r="D1623" s="2" t="s">
        <f>=HYPERLINK("https://main.knesset.gov.il/APPS/legislation/main/bills/2220949", "חוק הממשלה (תיקון מס' 14), התשפ''ה–2025")</f>
        <v>3511</v>
      </c>
      <c r="E1623" t="s">
        <v>3511</v>
      </c>
      <c r="F1623" t="s">
        <v>14</v>
      </c>
      <c r="G1623" t="s">
        <v>3512</v>
      </c>
      <c r="H1623" t="n">
        <v>3412</v>
      </c>
      <c r="I1623" t="s">
        <v>14</v>
      </c>
      <c r="J1623" t="s">
        <v>18</v>
      </c>
      <c r="K1623" t="s">
        <v>27</v>
      </c>
      <c r="L1623" t="s">
        <v>20</v>
      </c>
      <c r="M1623" t="s">
        <v>3513</v>
      </c>
      <c r="N1623" t="s">
        <v>3514</v>
      </c>
    </row>
    <row r="1624" x14ac:dyDescent="0.25">
      <c r="A1624" t="n">
        <v>25</v>
      </c>
      <c r="B1624" t="s">
        <v>14</v>
      </c>
      <c r="C1624" t="s">
        <v>20</v>
      </c>
      <c r="D1624" s="2" t="s">
        <f>=HYPERLINK("https://main.knesset.gov.il/APPS/legislation/main/bills/2223298", "חוק-יסוד: הממשלה (תיקון מס' 13)")</f>
        <v>3515</v>
      </c>
      <c r="E1624" t="s">
        <v>3515</v>
      </c>
      <c r="F1624" t="s">
        <v>14</v>
      </c>
      <c r="G1624" t="s">
        <v>3516</v>
      </c>
      <c r="H1624" t="n">
        <v>3411</v>
      </c>
      <c r="I1624" t="s">
        <v>14</v>
      </c>
      <c r="J1624" t="s">
        <v>18</v>
      </c>
      <c r="K1624" t="s">
        <v>27</v>
      </c>
      <c r="L1624" t="s">
        <v>20</v>
      </c>
      <c r="M1624" t="s">
        <v>3513</v>
      </c>
      <c r="N1624" t="s">
        <v>3517</v>
      </c>
    </row>
    <row r="1625" x14ac:dyDescent="0.25">
      <c r="A1625" t="n">
        <v>25</v>
      </c>
      <c r="B1625" t="s">
        <v>14</v>
      </c>
      <c r="C1625" t="s">
        <v>51</v>
      </c>
      <c r="D1625" s="2" t="s">
        <f>=HYPERLINK("https://main.knesset.gov.il/APPS/legislation/main/bills/2230659", "הצעת חוק לשכת עורכי הדין (תיקון - מתן ציון מגן לעולים חדשים ולעורכי דין זרים בבחינות ההתמחות), התשפ""ה-2025")</f>
        <v>3518</v>
      </c>
      <c r="E1625" t="s">
        <v>3518</v>
      </c>
      <c r="F1625" t="s">
        <v>3519</v>
      </c>
      <c r="G1625" t="s">
        <v>14</v>
      </c>
      <c r="H1625">
             </c>
      <c r="I1625" t="s">
        <v>14</v>
      </c>
      <c r="J1625" t="s">
        <v>242</v>
      </c>
      <c r="K1625" t="s">
        <v>14</v>
      </c>
      <c r="L1625" t="s">
        <v>20</v>
      </c>
      <c r="M1625" t="s">
        <v>3513</v>
      </c>
      <c r="N1625" t="s">
        <v>14</v>
      </c>
    </row>
    <row r="1626" x14ac:dyDescent="0.25">
      <c r="A1626" t="n">
        <v>25</v>
      </c>
      <c r="B1626" t="s">
        <v>14</v>
      </c>
      <c r="C1626" t="s">
        <v>51</v>
      </c>
      <c r="D1626" s="2" t="s">
        <f>=HYPERLINK("https://main.knesset.gov.il/APPS/legislation/main/bills/2230439", "הצעת חוק תכנון משק החלב (תיקון - קביעת מחירים וחישוב עלויות ייצור חלב), התשפ""ה-2025")</f>
        <v>3520</v>
      </c>
      <c r="E1626" t="s">
        <v>3520</v>
      </c>
      <c r="F1626" t="s">
        <v>3521</v>
      </c>
      <c r="G1626" t="s">
        <v>14</v>
      </c>
      <c r="H1626">
             </c>
      <c r="I1626" t="s">
        <v>14</v>
      </c>
      <c r="J1626" t="s">
        <v>242</v>
      </c>
      <c r="K1626" t="s">
        <v>14</v>
      </c>
      <c r="L1626" t="s">
        <v>20</v>
      </c>
      <c r="M1626" t="s">
        <v>3513</v>
      </c>
      <c r="N1626" t="s">
        <v>14</v>
      </c>
    </row>
    <row r="1627" x14ac:dyDescent="0.25">
      <c r="A1627" t="n">
        <v>25</v>
      </c>
      <c r="B1627" t="s">
        <v>14</v>
      </c>
      <c r="C1627" t="s">
        <v>51</v>
      </c>
      <c r="D1627" s="2" t="s">
        <f>=HYPERLINK("https://main.knesset.gov.il/APPS/legislation/main/bills/2230396", "הצעת חוק סיוע כלכלי לעידוד לומדי תורה וסטודנטים נזקקים (תיקון - קיום הוראות חוק שירות ביטחון כתנאי לסיוע), התשפ""ה-2025")</f>
        <v>2398</v>
      </c>
      <c r="E1627" t="s">
        <v>2398</v>
      </c>
      <c r="F1627" t="s">
        <v>3522</v>
      </c>
      <c r="G1627" t="s">
        <v>14</v>
      </c>
      <c r="H1627">
             </c>
      <c r="I1627" t="s">
        <v>14</v>
      </c>
      <c r="J1627" t="s">
        <v>242</v>
      </c>
      <c r="K1627" t="s">
        <v>14</v>
      </c>
      <c r="L1627" t="s">
        <v>20</v>
      </c>
      <c r="M1627" t="s">
        <v>3513</v>
      </c>
      <c r="N1627" t="s">
        <v>14</v>
      </c>
    </row>
    <row r="1628" x14ac:dyDescent="0.25">
      <c r="A1628" t="n">
        <v>25</v>
      </c>
      <c r="B1628" t="s">
        <v>14</v>
      </c>
      <c r="C1628" t="s">
        <v>51</v>
      </c>
      <c r="D1628" s="2" t="s">
        <f>=HYPERLINK("https://main.knesset.gov.il/APPS/legislation/main/bills/2225276", "הצעת חוק הפיקוח על מוצר ביטוח ארוך טווח, התשפ""ה-2025")</f>
        <v>3523</v>
      </c>
      <c r="E1628" t="s">
        <v>3523</v>
      </c>
      <c r="F1628" t="s">
        <v>3524</v>
      </c>
      <c r="G1628" t="s">
        <v>14</v>
      </c>
      <c r="H1628">
             </c>
      <c r="I1628" t="s">
        <v>14</v>
      </c>
      <c r="J1628" t="s">
        <v>242</v>
      </c>
      <c r="K1628" t="s">
        <v>14</v>
      </c>
      <c r="L1628" t="s">
        <v>20</v>
      </c>
      <c r="M1628" t="s">
        <v>3513</v>
      </c>
      <c r="N1628" t="s">
        <v>14</v>
      </c>
    </row>
    <row r="1629" x14ac:dyDescent="0.25">
      <c r="A1629" t="n">
        <v>25</v>
      </c>
      <c r="B1629" t="s">
        <v>14</v>
      </c>
      <c r="C1629" t="s">
        <v>51</v>
      </c>
      <c r="D1629" s="2" t="s">
        <f>=HYPERLINK("https://main.knesset.gov.il/APPS/legislation/main/bills/2229093", "הצעת חוק איסור הפליית משרתים בשירות הביטחוני, הלאומי והאזרחי, התשפ""ה-2025 ")</f>
        <v>3525</v>
      </c>
      <c r="E1629" t="s">
        <v>3525</v>
      </c>
      <c r="F1629" t="s">
        <v>3526</v>
      </c>
      <c r="G1629" t="s">
        <v>14</v>
      </c>
      <c r="H1629">
             </c>
      <c r="I1629" t="s">
        <v>14</v>
      </c>
      <c r="J1629" t="s">
        <v>242</v>
      </c>
      <c r="K1629" t="s">
        <v>14</v>
      </c>
      <c r="L1629" t="s">
        <v>20</v>
      </c>
      <c r="M1629" t="s">
        <v>3513</v>
      </c>
      <c r="N1629" t="s">
        <v>14</v>
      </c>
    </row>
    <row r="1630" x14ac:dyDescent="0.25">
      <c r="A1630" t="n">
        <v>25</v>
      </c>
      <c r="B1630" t="s">
        <v>14</v>
      </c>
      <c r="C1630" t="s">
        <v>51</v>
      </c>
      <c r="D1630" s="2" t="s">
        <f>=HYPERLINK("https://main.knesset.gov.il/APPS/legislation/main/bills/2231162", "הצעת חוק הממשלה (תיקון - בדיקת פוליגרף שנתית לבירור הדלפות מדיוני ועדת השרים לענייני ביטחון לאומי), התשפ""ה-2025")</f>
        <v>3527</v>
      </c>
      <c r="E1630" t="s">
        <v>3527</v>
      </c>
      <c r="F1630" t="s">
        <v>3528</v>
      </c>
      <c r="G1630" t="s">
        <v>14</v>
      </c>
      <c r="H1630">
             </c>
      <c r="I1630" t="s">
        <v>14</v>
      </c>
      <c r="J1630" t="s">
        <v>242</v>
      </c>
      <c r="K1630" t="s">
        <v>14</v>
      </c>
      <c r="L1630" t="s">
        <v>20</v>
      </c>
      <c r="M1630" t="s">
        <v>3513</v>
      </c>
      <c r="N1630" t="s">
        <v>14</v>
      </c>
    </row>
    <row r="1631" x14ac:dyDescent="0.25">
      <c r="A1631" t="n">
        <v>25</v>
      </c>
      <c r="B1631" t="s">
        <v>14</v>
      </c>
      <c r="C1631" t="s">
        <v>51</v>
      </c>
      <c r="D1631" s="2" t="s">
        <f>=HYPERLINK("https://main.knesset.gov.il/APPS/legislation/main/bills/2230386", "הצעת חוק לתיקון פקודת התעבורה (סמכות רשות מקומית בקביעת שפות תמרורים), התשפ""ה-2025")</f>
        <v>3529</v>
      </c>
      <c r="E1631" t="s">
        <v>3529</v>
      </c>
      <c r="F1631" t="s">
        <v>3530</v>
      </c>
      <c r="G1631" t="s">
        <v>14</v>
      </c>
      <c r="H1631">
             </c>
      <c r="I1631" t="s">
        <v>14</v>
      </c>
      <c r="J1631" t="s">
        <v>242</v>
      </c>
      <c r="K1631" t="s">
        <v>14</v>
      </c>
      <c r="L1631" t="s">
        <v>20</v>
      </c>
      <c r="M1631" t="s">
        <v>3513</v>
      </c>
      <c r="N1631" t="s">
        <v>14</v>
      </c>
    </row>
    <row r="1632" x14ac:dyDescent="0.25">
      <c r="A1632" t="n">
        <v>25</v>
      </c>
      <c r="B1632" t="s">
        <v>14</v>
      </c>
      <c r="C1632" t="s">
        <v>51</v>
      </c>
      <c r="D1632" s="2" t="s">
        <f>=HYPERLINK("https://main.knesset.gov.il/APPS/legislation/main/bills/2230337", "הצעת חוק לתיקון פקודת התעבורה (איסור שימוש ברכב שהועמד באופן המפריע לתנועה), התשפ""ה-2025")</f>
        <v>3481</v>
      </c>
      <c r="E1632" t="s">
        <v>3481</v>
      </c>
      <c r="F1632" t="s">
        <v>3531</v>
      </c>
      <c r="G1632" t="s">
        <v>14</v>
      </c>
      <c r="H1632">
             </c>
      <c r="I1632" t="s">
        <v>14</v>
      </c>
      <c r="J1632" t="s">
        <v>242</v>
      </c>
      <c r="K1632" t="s">
        <v>14</v>
      </c>
      <c r="L1632" t="s">
        <v>20</v>
      </c>
      <c r="M1632" t="s">
        <v>3513</v>
      </c>
      <c r="N1632" t="s">
        <v>14</v>
      </c>
    </row>
    <row r="1633" x14ac:dyDescent="0.25">
      <c r="A1633" t="n">
        <v>25</v>
      </c>
      <c r="B1633" t="s">
        <v>14</v>
      </c>
      <c r="C1633" t="s">
        <v>51</v>
      </c>
      <c r="D1633" s="2" t="s">
        <f>=HYPERLINK("https://main.knesset.gov.il/APPS/legislation/main/bills/2231036", "הצעת חוק איסור הלבנת הון (תיקון - איסור גביית דמי שמירה בלא רישיון), התשפ""ה-2025")</f>
        <v>3532</v>
      </c>
      <c r="E1633" t="s">
        <v>3532</v>
      </c>
      <c r="F1633" t="s">
        <v>3533</v>
      </c>
      <c r="G1633" t="s">
        <v>14</v>
      </c>
      <c r="H1633">
             </c>
      <c r="I1633" t="s">
        <v>14</v>
      </c>
      <c r="J1633" t="s">
        <v>242</v>
      </c>
      <c r="K1633" t="s">
        <v>14</v>
      </c>
      <c r="L1633" t="s">
        <v>20</v>
      </c>
      <c r="M1633" t="s">
        <v>3513</v>
      </c>
      <c r="N1633" t="s">
        <v>14</v>
      </c>
    </row>
    <row r="1634" x14ac:dyDescent="0.25">
      <c r="A1634" t="n">
        <v>25</v>
      </c>
      <c r="B1634" t="s">
        <v>14</v>
      </c>
      <c r="C1634" t="s">
        <v>51</v>
      </c>
      <c r="D1634" s="2" t="s">
        <f>=HYPERLINK("https://main.knesset.gov.il/APPS/legislation/main/bills/2230681", "הצעת חוק נטילה ושימוש בזרע של נפטר לשם הולדה, התשפ""ה-2025")</f>
        <v>3534</v>
      </c>
      <c r="E1634" t="s">
        <v>3534</v>
      </c>
      <c r="F1634" t="s">
        <v>3535</v>
      </c>
      <c r="G1634" t="s">
        <v>14</v>
      </c>
      <c r="H1634">
             </c>
      <c r="I1634" t="s">
        <v>14</v>
      </c>
      <c r="J1634" t="s">
        <v>242</v>
      </c>
      <c r="K1634" t="s">
        <v>14</v>
      </c>
      <c r="L1634" t="s">
        <v>20</v>
      </c>
      <c r="M1634" t="s">
        <v>3513</v>
      </c>
      <c r="N1634" t="s">
        <v>14</v>
      </c>
    </row>
    <row r="1635" x14ac:dyDescent="0.25">
      <c r="A1635" t="n">
        <v>25</v>
      </c>
      <c r="B1635" t="s">
        <v>14</v>
      </c>
      <c r="C1635" t="s">
        <v>51</v>
      </c>
      <c r="D1635" s="2" t="s">
        <f>=HYPERLINK("https://main.knesset.gov.il/APPS/legislation/main/bills/2230313", "הצעת חוק הכנסת (תיקון - התייצבות בפני ועדות הכנסת), התשפ""ה-2025")</f>
        <v>3536</v>
      </c>
      <c r="E1635" t="s">
        <v>3536</v>
      </c>
      <c r="F1635" t="s">
        <v>3537</v>
      </c>
      <c r="G1635" t="s">
        <v>14</v>
      </c>
      <c r="H1635">
             </c>
      <c r="I1635" t="s">
        <v>14</v>
      </c>
      <c r="J1635" t="s">
        <v>242</v>
      </c>
      <c r="K1635" t="s">
        <v>14</v>
      </c>
      <c r="L1635" t="s">
        <v>20</v>
      </c>
      <c r="M1635" t="s">
        <v>3513</v>
      </c>
      <c r="N1635" t="s">
        <v>14</v>
      </c>
    </row>
    <row r="1636" x14ac:dyDescent="0.25">
      <c r="A1636" t="n">
        <v>25</v>
      </c>
      <c r="B1636" t="s">
        <v>14</v>
      </c>
      <c r="C1636" t="s">
        <v>51</v>
      </c>
      <c r="D1636" s="2" t="s">
        <f>=HYPERLINK("https://main.knesset.gov.il/APPS/legislation/main/bills/2231223", "הצעת חוק הביטוח הלאומי (תיקון - קביעת אחוזי נכות ללקויי שמיעה - דו-צידי וחד-צידי), התשפ""ה-2025")</f>
        <v>3483</v>
      </c>
      <c r="E1636" t="s">
        <v>3483</v>
      </c>
      <c r="F1636" t="s">
        <v>3538</v>
      </c>
      <c r="G1636" t="s">
        <v>14</v>
      </c>
      <c r="H1636">
             </c>
      <c r="I1636" t="s">
        <v>14</v>
      </c>
      <c r="J1636" t="s">
        <v>242</v>
      </c>
      <c r="K1636" t="s">
        <v>14</v>
      </c>
      <c r="L1636" t="s">
        <v>20</v>
      </c>
      <c r="M1636" t="s">
        <v>3513</v>
      </c>
      <c r="N1636" t="s">
        <v>14</v>
      </c>
    </row>
    <row r="1637" x14ac:dyDescent="0.25">
      <c r="A1637" t="n">
        <v>25</v>
      </c>
      <c r="B1637" t="s">
        <v>14</v>
      </c>
      <c r="C1637" t="s">
        <v>51</v>
      </c>
      <c r="D1637" s="2" t="s">
        <f>=HYPERLINK("https://main.knesset.gov.il/APPS/legislation/main/bills/2231167", "הצעת חוק הרשויות המקומיות (זכויות וחובות של חברי מועצה), התשפ""ה-2025")</f>
        <v>3539</v>
      </c>
      <c r="E1637" t="s">
        <v>3539</v>
      </c>
      <c r="F1637" t="s">
        <v>3540</v>
      </c>
      <c r="G1637" t="s">
        <v>14</v>
      </c>
      <c r="H1637">
             </c>
      <c r="I1637" t="s">
        <v>14</v>
      </c>
      <c r="J1637" t="s">
        <v>242</v>
      </c>
      <c r="K1637" t="s">
        <v>14</v>
      </c>
      <c r="L1637" t="s">
        <v>20</v>
      </c>
      <c r="M1637" t="s">
        <v>3513</v>
      </c>
      <c r="N1637" t="s">
        <v>14</v>
      </c>
    </row>
    <row r="1638" x14ac:dyDescent="0.25">
      <c r="A1638" t="n">
        <v>25</v>
      </c>
      <c r="B1638" t="s">
        <v>14</v>
      </c>
      <c r="C1638" t="s">
        <v>51</v>
      </c>
      <c r="D1638" s="2" t="s">
        <f>=HYPERLINK("https://main.knesset.gov.il/APPS/legislation/main/bills/2209283", "הצעת חוק לתיקון פקודת העיריות (ייצוג הולם), התשפ""ה-2025")</f>
        <v>3541</v>
      </c>
      <c r="E1638" t="s">
        <v>3541</v>
      </c>
      <c r="F1638" t="s">
        <v>3542</v>
      </c>
      <c r="G1638" t="s">
        <v>14</v>
      </c>
      <c r="H1638">
             </c>
      <c r="I1638" t="s">
        <v>14</v>
      </c>
      <c r="J1638" t="s">
        <v>242</v>
      </c>
      <c r="K1638" t="s">
        <v>14</v>
      </c>
      <c r="L1638" t="s">
        <v>20</v>
      </c>
      <c r="M1638" t="s">
        <v>3513</v>
      </c>
      <c r="N1638" t="s">
        <v>14</v>
      </c>
    </row>
    <row r="1639" x14ac:dyDescent="0.25">
      <c r="A1639" t="n">
        <v>25</v>
      </c>
      <c r="B1639" t="s">
        <v>14</v>
      </c>
      <c r="C1639" t="s">
        <v>51</v>
      </c>
      <c r="D1639" s="2" t="s">
        <f>=HYPERLINK("https://main.knesset.gov.il/APPS/legislation/main/bills/2231073", "הצעת חוק העונשין (תיקון - עונש מינימום למצית נכס ציבורי) (הוראת שעה), התשפ""ה-2025")</f>
        <v>3543</v>
      </c>
      <c r="E1639" t="s">
        <v>3543</v>
      </c>
      <c r="F1639" t="s">
        <v>3544</v>
      </c>
      <c r="G1639" t="s">
        <v>14</v>
      </c>
      <c r="H1639">
             </c>
      <c r="I1639" t="s">
        <v>14</v>
      </c>
      <c r="J1639" t="s">
        <v>242</v>
      </c>
      <c r="K1639" t="s">
        <v>14</v>
      </c>
      <c r="L1639" t="s">
        <v>20</v>
      </c>
      <c r="M1639" t="s">
        <v>3513</v>
      </c>
      <c r="N1639" t="s">
        <v>14</v>
      </c>
    </row>
    <row r="1640" x14ac:dyDescent="0.25">
      <c r="A1640" t="n">
        <v>25</v>
      </c>
      <c r="B1640" t="s">
        <v>14</v>
      </c>
      <c r="C1640" t="s">
        <v>51</v>
      </c>
      <c r="D1640" s="2" t="s">
        <f>=HYPERLINK("https://main.knesset.gov.il/APPS/legislation/main/bills/2231037", "הצעת חוק-יסוד: הכנסת (תיקון - מניין חברי הכנסת במליאה)")</f>
        <v>3545</v>
      </c>
      <c r="E1640" t="s">
        <v>3545</v>
      </c>
      <c r="F1640" t="s">
        <v>3546</v>
      </c>
      <c r="G1640" t="s">
        <v>14</v>
      </c>
      <c r="H1640">
             </c>
      <c r="I1640" t="s">
        <v>14</v>
      </c>
      <c r="J1640" t="s">
        <v>242</v>
      </c>
      <c r="K1640" t="s">
        <v>14</v>
      </c>
      <c r="L1640" t="s">
        <v>20</v>
      </c>
      <c r="M1640" t="s">
        <v>3513</v>
      </c>
      <c r="N1640" t="s">
        <v>14</v>
      </c>
    </row>
    <row r="1641" x14ac:dyDescent="0.25">
      <c r="A1641" t="n">
        <v>25</v>
      </c>
      <c r="B1641" t="s">
        <v>14</v>
      </c>
      <c r="C1641" t="s">
        <v>51</v>
      </c>
      <c r="D1641" s="2" t="s">
        <f>=HYPERLINK("https://main.knesset.gov.il/APPS/legislation/main/bills/2230804", "הצעת חוק שוויון זכויות לאנשים עם מוגבלות (תיקון - הגנה על חולים במחלה ממארת בזמן הטיפולים וההחלמה), התשפ""ה-2025")</f>
        <v>3473</v>
      </c>
      <c r="E1641" t="s">
        <v>3473</v>
      </c>
      <c r="F1641" t="s">
        <v>3547</v>
      </c>
      <c r="G1641" t="s">
        <v>14</v>
      </c>
      <c r="H1641">
             </c>
      <c r="I1641" t="s">
        <v>14</v>
      </c>
      <c r="J1641" t="s">
        <v>242</v>
      </c>
      <c r="K1641" t="s">
        <v>14</v>
      </c>
      <c r="L1641" t="s">
        <v>20</v>
      </c>
      <c r="M1641" t="s">
        <v>3513</v>
      </c>
      <c r="N1641" t="s">
        <v>14</v>
      </c>
    </row>
    <row r="1642" x14ac:dyDescent="0.25">
      <c r="A1642" t="n">
        <v>25</v>
      </c>
      <c r="B1642" t="s">
        <v>14</v>
      </c>
      <c r="C1642" t="s">
        <v>15</v>
      </c>
      <c r="D1642" s="2" t="s">
        <f>=HYPERLINK("https://main.knesset.gov.il/APPS/legislation/main/bills/2231472", "הצעת חוק אכיפת פסקי חוץ (תיקון מס' 4) (יישום האמנה בדבר הכרה ואכיפה של פסקי חוץ בעניינים אזרחיים ומסחריים), התשפ""ה-2025")</f>
        <v>3548</v>
      </c>
      <c r="E1642" t="s">
        <v>3548</v>
      </c>
      <c r="F1642" t="s">
        <v>14</v>
      </c>
      <c r="G1642" t="s">
        <v>3549</v>
      </c>
      <c r="H1642">
             </c>
      <c r="I1642" t="s">
        <v>14</v>
      </c>
      <c r="J1642" t="s">
        <v>162</v>
      </c>
      <c r="K1642" t="s">
        <v>14</v>
      </c>
      <c r="L1642" t="s">
        <v>20</v>
      </c>
      <c r="M1642" t="s">
        <v>3513</v>
      </c>
      <c r="N1642" t="s">
        <v>14</v>
      </c>
    </row>
    <row r="1643" x14ac:dyDescent="0.25">
      <c r="A1643" t="n">
        <v>25</v>
      </c>
      <c r="B1643" t="s">
        <v>14</v>
      </c>
      <c r="C1643" t="s">
        <v>15</v>
      </c>
      <c r="D1643" s="2" t="s">
        <f>=HYPERLINK("https://main.knesset.gov.il/APPS/legislation/main/bills/2231473", "הצעת חוק שירות התעסוקה (תיקון מס' 23) (ביטול חובת רישוי ללשכה פרטית העוסקת בתיווך עבודה לעובד ישראלי), התשפ""ה-2025")</f>
        <v>3550</v>
      </c>
      <c r="E1643" t="s">
        <v>3550</v>
      </c>
      <c r="F1643" t="s">
        <v>14</v>
      </c>
      <c r="G1643" t="s">
        <v>3551</v>
      </c>
      <c r="H1643">
             </c>
      <c r="I1643" t="s">
        <v>14</v>
      </c>
      <c r="J1643" t="s">
        <v>162</v>
      </c>
      <c r="K1643" t="s">
        <v>14</v>
      </c>
      <c r="L1643" t="s">
        <v>20</v>
      </c>
      <c r="M1643" t="s">
        <v>3513</v>
      </c>
      <c r="N1643" t="s">
        <v>14</v>
      </c>
    </row>
    <row r="1644" x14ac:dyDescent="0.25">
      <c r="A1644" t="n">
        <v>25</v>
      </c>
      <c r="B1644" t="s">
        <v>14</v>
      </c>
      <c r="C1644" t="s">
        <v>15</v>
      </c>
      <c r="D1644" s="2" t="s">
        <f>=HYPERLINK("https://main.knesset.gov.il/APPS/legislation/main/bills/2208660", "הצעת חוק החברות (תיקון מס' 38), התשפ""ה-2025")</f>
        <v>3552</v>
      </c>
      <c r="E1644" t="s">
        <v>3552</v>
      </c>
      <c r="F1644" t="s">
        <v>14</v>
      </c>
      <c r="G1644" t="s">
        <v>3553</v>
      </c>
      <c r="H1644">
             </c>
      <c r="I1644" t="s">
        <v>14</v>
      </c>
      <c r="J1644" t="s">
        <v>232</v>
      </c>
      <c r="K1644" t="s">
        <v>27</v>
      </c>
      <c r="L1644" t="s">
        <v>20</v>
      </c>
      <c r="M1644" t="s">
        <v>3513</v>
      </c>
      <c r="N1644" t="s">
        <v>14</v>
      </c>
    </row>
    <row r="1645" x14ac:dyDescent="0.25">
      <c r="A1645" t="n">
        <v>25</v>
      </c>
      <c r="B1645" t="s">
        <v>14</v>
      </c>
      <c r="C1645" t="s">
        <v>15</v>
      </c>
      <c r="D1645" s="2" t="s">
        <f>=HYPERLINK("https://main.knesset.gov.il/APPS/legislation/main/bills/2202780", "הצעת חוק לתיקון פקודת התעבורה (מס' 138), התשפ""ה-2025")</f>
        <v>3554</v>
      </c>
      <c r="E1645" t="s">
        <v>3554</v>
      </c>
      <c r="F1645" t="s">
        <v>14</v>
      </c>
      <c r="G1645" t="s">
        <v>3555</v>
      </c>
      <c r="H1645">
             </c>
      <c r="I1645" t="s">
        <v>14</v>
      </c>
      <c r="J1645" t="s">
        <v>232</v>
      </c>
      <c r="K1645" t="s">
        <v>84</v>
      </c>
      <c r="L1645" t="s">
        <v>20</v>
      </c>
      <c r="M1645" t="s">
        <v>3513</v>
      </c>
      <c r="N1645" t="s">
        <v>14</v>
      </c>
    </row>
    <row r="1646" x14ac:dyDescent="0.25">
      <c r="A1646" t="n">
        <v>25</v>
      </c>
      <c r="B1646" t="s">
        <v>14</v>
      </c>
      <c r="C1646" t="s">
        <v>15</v>
      </c>
      <c r="D1646" s="2" t="s">
        <f>=HYPERLINK("https://main.knesset.gov.il/APPS/legislation/main/bills/2223547", "הצעת חוק לתיקון דיני הקניין הרוחני (מועד ערעור על החלטות הרשם), התשפ""ה–2025")</f>
        <v>3556</v>
      </c>
      <c r="E1646" t="s">
        <v>3556</v>
      </c>
      <c r="F1646" t="s">
        <v>14</v>
      </c>
      <c r="G1646" t="s">
        <v>3557</v>
      </c>
      <c r="H1646">
             </c>
      <c r="I1646" t="s">
        <v>14</v>
      </c>
      <c r="J1646" t="s">
        <v>180</v>
      </c>
      <c r="K1646" t="s">
        <v>84</v>
      </c>
      <c r="L1646" t="s">
        <v>20</v>
      </c>
      <c r="M1646" t="s">
        <v>3513</v>
      </c>
      <c r="N1646" t="s">
        <v>14</v>
      </c>
    </row>
    <row r="1647" x14ac:dyDescent="0.25">
      <c r="A1647" t="n">
        <v>25</v>
      </c>
      <c r="B1647" t="s">
        <v>14</v>
      </c>
      <c r="C1647" t="s">
        <v>51</v>
      </c>
      <c r="D1647" s="2" t="s">
        <f>=HYPERLINK("https://main.knesset.gov.il/APPS/legislation/main/bills/2227566", "הצעת חוק להקמת מוסד להשכלה גבוהה בעיר רהט, התשפ""ה-2025")</f>
        <v>3558</v>
      </c>
      <c r="E1647" t="s">
        <v>3558</v>
      </c>
      <c r="F1647" t="s">
        <v>3559</v>
      </c>
      <c r="G1647" t="s">
        <v>14</v>
      </c>
      <c r="H1647">
             </c>
      <c r="I1647" t="s">
        <v>14</v>
      </c>
      <c r="J1647" t="s">
        <v>202</v>
      </c>
      <c r="K1647" t="s">
        <v>14</v>
      </c>
      <c r="L1647" t="s">
        <v>20</v>
      </c>
      <c r="M1647" t="s">
        <v>3560</v>
      </c>
      <c r="N1647" t="s">
        <v>14</v>
      </c>
    </row>
    <row r="1648" x14ac:dyDescent="0.25">
      <c r="A1648" t="n">
        <v>25</v>
      </c>
      <c r="B1648" t="s">
        <v>14</v>
      </c>
      <c r="C1648" t="s">
        <v>51</v>
      </c>
      <c r="D1648" s="2" t="s">
        <f>=HYPERLINK("https://main.knesset.gov.il/APPS/legislation/main/bills/2226856", "הצעת חוק פיקוח הכנסת על העברת סיוע הומניטרי מכספי המדינה, התשפ""ה-2025")</f>
        <v>3561</v>
      </c>
      <c r="E1648" t="s">
        <v>3561</v>
      </c>
      <c r="F1648" t="s">
        <v>3562</v>
      </c>
      <c r="G1648" t="s">
        <v>14</v>
      </c>
      <c r="H1648">
             </c>
      <c r="I1648" t="s">
        <v>14</v>
      </c>
      <c r="J1648" t="s">
        <v>193</v>
      </c>
      <c r="K1648" t="s">
        <v>14</v>
      </c>
      <c r="L1648" t="s">
        <v>20</v>
      </c>
      <c r="M1648" t="s">
        <v>3560</v>
      </c>
      <c r="N1648" t="s">
        <v>14</v>
      </c>
    </row>
    <row r="1649" x14ac:dyDescent="0.25">
      <c r="A1649" t="n">
        <v>25</v>
      </c>
      <c r="B1649" t="s">
        <v>14</v>
      </c>
      <c r="C1649" t="s">
        <v>51</v>
      </c>
      <c r="D1649" s="2" t="s">
        <f>=HYPERLINK("https://main.knesset.gov.il/APPS/legislation/main/bills/2220450", "הצעת חוק משפחות חיילים שנספו במערכה (תגמולים ושיקום) (תיקון - תקופת הסתגלות כלכלית לאלמנה), התשפ""ד-2024")</f>
        <v>3563</v>
      </c>
      <c r="E1649" t="s">
        <v>3563</v>
      </c>
      <c r="F1649" t="s">
        <v>3564</v>
      </c>
      <c r="G1649" t="s">
        <v>14</v>
      </c>
      <c r="H1649">
             </c>
      <c r="I1649" t="s">
        <v>14</v>
      </c>
      <c r="J1649" t="s">
        <v>193</v>
      </c>
      <c r="K1649" t="s">
        <v>14</v>
      </c>
      <c r="L1649" t="s">
        <v>20</v>
      </c>
      <c r="M1649" t="s">
        <v>3560</v>
      </c>
      <c r="N1649" t="s">
        <v>14</v>
      </c>
    </row>
    <row r="1650" x14ac:dyDescent="0.25">
      <c r="A1650" t="n">
        <v>25</v>
      </c>
      <c r="B1650" t="s">
        <v>14</v>
      </c>
      <c r="C1650" t="s">
        <v>51</v>
      </c>
      <c r="D1650" s="2" t="s">
        <f>=HYPERLINK("https://main.knesset.gov.il/APPS/legislation/main/bills/2228260", "הצעת חוק לתיקון מונחים בחקיקה (יהודה והשומרון), התשפ""ה-2025")</f>
        <v>3565</v>
      </c>
      <c r="E1650" t="s">
        <v>3565</v>
      </c>
      <c r="F1650" t="s">
        <v>3566</v>
      </c>
      <c r="G1650" t="s">
        <v>14</v>
      </c>
      <c r="H1650">
             </c>
      <c r="I1650" t="s">
        <v>14</v>
      </c>
      <c r="J1650" t="s">
        <v>183</v>
      </c>
      <c r="K1650" t="s">
        <v>27</v>
      </c>
      <c r="L1650" t="s">
        <v>20</v>
      </c>
      <c r="M1650" t="s">
        <v>3567</v>
      </c>
      <c r="N1650" t="s">
        <v>14</v>
      </c>
    </row>
    <row r="1651" x14ac:dyDescent="0.25">
      <c r="A1651" t="n">
        <v>25</v>
      </c>
      <c r="B1651" t="s">
        <v>14</v>
      </c>
      <c r="C1651" t="s">
        <v>15</v>
      </c>
      <c r="D1651" s="2" t="s">
        <f>=HYPERLINK("https://main.knesset.gov.il/APPS/legislation/main/bills/2223555", "חוק חדלות פירעון ושיקום כלכלי (תיקון מס' 4 - הוראת שעה - נגיף הקורונה החדש) (תיקון מס' 3), התשפ""ה-2025")</f>
        <v>3568</v>
      </c>
      <c r="E1651" t="s">
        <v>3568</v>
      </c>
      <c r="F1651" t="s">
        <v>14</v>
      </c>
      <c r="G1651" t="s">
        <v>1529</v>
      </c>
      <c r="H1651" t="n">
        <v>3410</v>
      </c>
      <c r="I1651" t="s">
        <v>14</v>
      </c>
      <c r="J1651" t="s">
        <v>18</v>
      </c>
      <c r="K1651" t="s">
        <v>27</v>
      </c>
      <c r="L1651" t="s">
        <v>20</v>
      </c>
      <c r="M1651" t="s">
        <v>3567</v>
      </c>
      <c r="N1651" t="s">
        <v>3569</v>
      </c>
    </row>
    <row r="1652" x14ac:dyDescent="0.25">
      <c r="A1652" t="n">
        <v>25</v>
      </c>
      <c r="B1652" t="s">
        <v>14</v>
      </c>
      <c r="C1652" t="s">
        <v>51</v>
      </c>
      <c r="D1652" s="2" t="s">
        <f>=HYPERLINK("https://main.knesset.gov.il/APPS/legislation/main/bills/2228785", "הצעת חוק כלי הירייה (תיקון - הודעה בגין חשש לחיי אדם מצד המגיש בקשה להחזיק בכלי ירייה), התשפ""ה-2025")</f>
        <v>3570</v>
      </c>
      <c r="E1652" t="s">
        <v>3570</v>
      </c>
      <c r="F1652" t="s">
        <v>3571</v>
      </c>
      <c r="G1652" t="s">
        <v>14</v>
      </c>
      <c r="H1652">
             </c>
      <c r="I1652" t="s">
        <v>14</v>
      </c>
      <c r="J1652" t="s">
        <v>183</v>
      </c>
      <c r="K1652" t="s">
        <v>19</v>
      </c>
      <c r="L1652" t="s">
        <v>20</v>
      </c>
      <c r="M1652" t="s">
        <v>3572</v>
      </c>
      <c r="N1652" t="s">
        <v>14</v>
      </c>
    </row>
    <row r="1653" x14ac:dyDescent="0.25">
      <c r="A1653" t="n">
        <v>25</v>
      </c>
      <c r="B1653" t="s">
        <v>14</v>
      </c>
      <c r="C1653" t="s">
        <v>51</v>
      </c>
      <c r="D1653" s="2" t="s">
        <f>=HYPERLINK("https://main.knesset.gov.il/APPS/legislation/main/bills/2225707", "הצעת חוק כלי הירייה (תיקון - הודעה בגין חשש לחיי אדם מצד המגיש בקשה להחזיק בכלי ירייה), התשפ""ה-2025")</f>
        <v>3570</v>
      </c>
      <c r="E1653" t="s">
        <v>3570</v>
      </c>
      <c r="F1653" t="s">
        <v>3573</v>
      </c>
      <c r="G1653" t="s">
        <v>14</v>
      </c>
      <c r="H1653">
             </c>
      <c r="I1653" t="s">
        <v>14</v>
      </c>
      <c r="J1653" t="s">
        <v>183</v>
      </c>
      <c r="K1653" t="s">
        <v>19</v>
      </c>
      <c r="L1653" t="s">
        <v>20</v>
      </c>
      <c r="M1653" t="s">
        <v>3572</v>
      </c>
      <c r="N1653" t="s">
        <v>14</v>
      </c>
    </row>
    <row r="1654" x14ac:dyDescent="0.25">
      <c r="A1654" t="n">
        <v>25</v>
      </c>
      <c r="B1654" t="s">
        <v>14</v>
      </c>
      <c r="C1654" t="s">
        <v>51</v>
      </c>
      <c r="D1654" s="2" t="s">
        <f>=HYPERLINK("https://main.knesset.gov.il/APPS/legislation/main/bills/2230515", "הצעת חוק נציב תלונות הציבור על שופטים (תיקון - מינוי הנציב), התשפ""ה-2025")</f>
        <v>3574</v>
      </c>
      <c r="E1654" t="s">
        <v>3574</v>
      </c>
      <c r="F1654" t="s">
        <v>3575</v>
      </c>
      <c r="G1654" t="s">
        <v>14</v>
      </c>
      <c r="H1654">
             </c>
      <c r="I1654" t="s">
        <v>14</v>
      </c>
      <c r="J1654" t="s">
        <v>242</v>
      </c>
      <c r="K1654" t="s">
        <v>14</v>
      </c>
      <c r="L1654" t="s">
        <v>20</v>
      </c>
      <c r="M1654" t="s">
        <v>3572</v>
      </c>
      <c r="N1654" t="s">
        <v>14</v>
      </c>
    </row>
    <row r="1655" x14ac:dyDescent="0.25">
      <c r="A1655" t="n">
        <v>25</v>
      </c>
      <c r="B1655" t="s">
        <v>14</v>
      </c>
      <c r="C1655" t="s">
        <v>51</v>
      </c>
      <c r="D1655" s="2" t="s">
        <f>=HYPERLINK("https://main.knesset.gov.il/APPS/legislation/main/bills/2230518", "הצעת חוק המועצה להשכלה גבוהה (תיקון - הענקת תארים שלישיים בכלל המוסדות המוכרים), התשפ""ה-2025")</f>
        <v>3576</v>
      </c>
      <c r="E1655" t="s">
        <v>3576</v>
      </c>
      <c r="F1655" t="s">
        <v>3577</v>
      </c>
      <c r="G1655" t="s">
        <v>14</v>
      </c>
      <c r="H1655">
             </c>
      <c r="I1655" t="s">
        <v>14</v>
      </c>
      <c r="J1655" t="s">
        <v>242</v>
      </c>
      <c r="K1655" t="s">
        <v>14</v>
      </c>
      <c r="L1655" t="s">
        <v>20</v>
      </c>
      <c r="M1655" t="s">
        <v>3572</v>
      </c>
      <c r="N1655" t="s">
        <v>14</v>
      </c>
    </row>
    <row r="1656" x14ac:dyDescent="0.25">
      <c r="A1656" t="n">
        <v>25</v>
      </c>
      <c r="B1656" t="s">
        <v>14</v>
      </c>
      <c r="C1656" t="s">
        <v>51</v>
      </c>
      <c r="D1656" s="2" t="s">
        <f>=HYPERLINK("https://main.knesset.gov.il/APPS/legislation/main/bills/2228557", "הצעת חוק העונשין (תיקון - עונש מינימום וקנס על החזקת נשק בלתי חוקי), התשפ""ה-2025")</f>
        <v>3578</v>
      </c>
      <c r="E1656" t="s">
        <v>3578</v>
      </c>
      <c r="F1656" t="s">
        <v>3579</v>
      </c>
      <c r="G1656" t="s">
        <v>14</v>
      </c>
      <c r="H1656">
             </c>
      <c r="I1656" t="s">
        <v>14</v>
      </c>
      <c r="J1656" t="s">
        <v>242</v>
      </c>
      <c r="K1656" t="s">
        <v>14</v>
      </c>
      <c r="L1656" t="s">
        <v>20</v>
      </c>
      <c r="M1656" t="s">
        <v>3572</v>
      </c>
      <c r="N1656" t="s">
        <v>14</v>
      </c>
    </row>
    <row r="1657" x14ac:dyDescent="0.25">
      <c r="A1657" t="n">
        <v>25</v>
      </c>
      <c r="B1657" t="s">
        <v>14</v>
      </c>
      <c r="C1657" t="s">
        <v>51</v>
      </c>
      <c r="D1657" s="2" t="s">
        <f>=HYPERLINK("https://main.knesset.gov.il/APPS/legislation/main/bills/2222244", "הצעת חוק חובת שליחת בקשת תשלום טרם עיקול ותפיסה של נכסים המוחזקים בידי צד שלישי (תיקוני חקיקה), התשפ""ה-2025")</f>
        <v>3334</v>
      </c>
      <c r="E1657" t="s">
        <v>3334</v>
      </c>
      <c r="F1657" t="s">
        <v>3580</v>
      </c>
      <c r="G1657" t="s">
        <v>14</v>
      </c>
      <c r="H1657">
             </c>
      <c r="I1657" t="s">
        <v>14</v>
      </c>
      <c r="J1657" t="s">
        <v>242</v>
      </c>
      <c r="K1657" t="s">
        <v>14</v>
      </c>
      <c r="L1657" t="s">
        <v>20</v>
      </c>
      <c r="M1657" t="s">
        <v>3572</v>
      </c>
      <c r="N1657" t="s">
        <v>14</v>
      </c>
    </row>
    <row r="1658" x14ac:dyDescent="0.25">
      <c r="A1658" t="n">
        <v>25</v>
      </c>
      <c r="B1658" t="s">
        <v>14</v>
      </c>
      <c r="C1658" t="s">
        <v>51</v>
      </c>
      <c r="D1658" s="2" t="s">
        <f>=HYPERLINK("https://main.knesset.gov.il/APPS/legislation/main/bills/2230322", "הצעת חוק לשכת עורכי הדין (תיקון - תקופת ההתמחות), התשפ""ה-2025")</f>
        <v>3581</v>
      </c>
      <c r="E1658" t="s">
        <v>3581</v>
      </c>
      <c r="F1658" t="s">
        <v>3582</v>
      </c>
      <c r="G1658" t="s">
        <v>14</v>
      </c>
      <c r="H1658">
             </c>
      <c r="I1658" t="s">
        <v>14</v>
      </c>
      <c r="J1658" t="s">
        <v>242</v>
      </c>
      <c r="K1658" t="s">
        <v>14</v>
      </c>
      <c r="L1658" t="s">
        <v>20</v>
      </c>
      <c r="M1658" t="s">
        <v>3572</v>
      </c>
      <c r="N1658" t="s">
        <v>14</v>
      </c>
    </row>
    <row r="1659" x14ac:dyDescent="0.25">
      <c r="A1659" t="n">
        <v>25</v>
      </c>
      <c r="B1659" t="s">
        <v>14</v>
      </c>
      <c r="C1659" t="s">
        <v>51</v>
      </c>
      <c r="D1659" s="2" t="s">
        <f>=HYPERLINK("https://main.knesset.gov.il/APPS/legislation/main/bills/2230229", "הצעת חוק התכנון והבנייה (תיקון - ניוד זכויות), התשפ""ה-2025")</f>
        <v>3583</v>
      </c>
      <c r="E1659" t="s">
        <v>3583</v>
      </c>
      <c r="F1659" t="s">
        <v>3584</v>
      </c>
      <c r="G1659" t="s">
        <v>14</v>
      </c>
      <c r="H1659">
             </c>
      <c r="I1659" t="s">
        <v>14</v>
      </c>
      <c r="J1659" t="s">
        <v>242</v>
      </c>
      <c r="K1659" t="s">
        <v>14</v>
      </c>
      <c r="L1659" t="s">
        <v>20</v>
      </c>
      <c r="M1659" t="s">
        <v>3572</v>
      </c>
      <c r="N1659" t="s">
        <v>14</v>
      </c>
    </row>
    <row r="1660" x14ac:dyDescent="0.25">
      <c r="A1660" t="n">
        <v>25</v>
      </c>
      <c r="B1660" t="s">
        <v>14</v>
      </c>
      <c r="C1660" t="s">
        <v>51</v>
      </c>
      <c r="D1660" s="2" t="s">
        <f>=HYPERLINK("https://main.knesset.gov.il/APPS/legislation/main/bills/2230844", "הצעת חוק לתיקון פקודת הרוקחים (שפות העלון לצרכן), התשפ""ה-2025")</f>
        <v>3585</v>
      </c>
      <c r="E1660" t="s">
        <v>3585</v>
      </c>
      <c r="F1660" t="s">
        <v>3586</v>
      </c>
      <c r="G1660" t="s">
        <v>14</v>
      </c>
      <c r="H1660">
             </c>
      <c r="I1660" t="s">
        <v>14</v>
      </c>
      <c r="J1660" t="s">
        <v>242</v>
      </c>
      <c r="K1660" t="s">
        <v>14</v>
      </c>
      <c r="L1660" t="s">
        <v>20</v>
      </c>
      <c r="M1660" t="s">
        <v>3572</v>
      </c>
      <c r="N1660" t="s">
        <v>14</v>
      </c>
    </row>
    <row r="1661" x14ac:dyDescent="0.25">
      <c r="A1661" t="n">
        <v>25</v>
      </c>
      <c r="B1661" t="s">
        <v>14</v>
      </c>
      <c r="C1661" t="s">
        <v>51</v>
      </c>
      <c r="D1661" s="2" t="s">
        <f>=HYPERLINK("https://main.knesset.gov.il/APPS/legislation/main/bills/2221344", "הצעת חוק היער והאילנות, התשפ""ה-2025")</f>
        <v>3587</v>
      </c>
      <c r="E1661" t="s">
        <v>3587</v>
      </c>
      <c r="F1661" t="s">
        <v>3588</v>
      </c>
      <c r="G1661" t="s">
        <v>14</v>
      </c>
      <c r="H1661">
             </c>
      <c r="I1661" t="s">
        <v>14</v>
      </c>
      <c r="J1661" t="s">
        <v>242</v>
      </c>
      <c r="K1661" t="s">
        <v>14</v>
      </c>
      <c r="L1661" t="s">
        <v>20</v>
      </c>
      <c r="M1661" t="s">
        <v>3572</v>
      </c>
      <c r="N1661" t="s">
        <v>14</v>
      </c>
    </row>
    <row r="1662" x14ac:dyDescent="0.25">
      <c r="A1662" t="n">
        <v>25</v>
      </c>
      <c r="B1662" t="s">
        <v>14</v>
      </c>
      <c r="C1662" t="s">
        <v>51</v>
      </c>
      <c r="D1662" s="2" t="s">
        <f>=HYPERLINK("https://main.knesset.gov.il/APPS/legislation/main/bills/2230836", "הצעת חוק לתיקון פקודת המשטרה (הצבת מערכת צילום ביומטרית לצורך מניעת אלימות במגרשי הספורט) (הוראת שעה), התשפ""ה-2025")</f>
        <v>3386</v>
      </c>
      <c r="E1662" t="s">
        <v>3386</v>
      </c>
      <c r="F1662" t="s">
        <v>3589</v>
      </c>
      <c r="G1662" t="s">
        <v>14</v>
      </c>
      <c r="H1662">
             </c>
      <c r="I1662" t="s">
        <v>14</v>
      </c>
      <c r="J1662" t="s">
        <v>242</v>
      </c>
      <c r="K1662" t="s">
        <v>14</v>
      </c>
      <c r="L1662" t="s">
        <v>20</v>
      </c>
      <c r="M1662" t="s">
        <v>3572</v>
      </c>
      <c r="N1662" t="s">
        <v>14</v>
      </c>
    </row>
    <row r="1663" x14ac:dyDescent="0.25">
      <c r="A1663" t="n">
        <v>25</v>
      </c>
      <c r="B1663" t="s">
        <v>14</v>
      </c>
      <c r="C1663" t="s">
        <v>51</v>
      </c>
      <c r="D1663" s="2" t="s">
        <f>=HYPERLINK("https://main.knesset.gov.il/APPS/legislation/main/bills/2230834", "הצעת חוק שימוש בזרע של נפטר לשם הולדה, התשפ""ה-2025")</f>
        <v>2668</v>
      </c>
      <c r="E1663" t="s">
        <v>2668</v>
      </c>
      <c r="F1663" t="s">
        <v>3590</v>
      </c>
      <c r="G1663" t="s">
        <v>14</v>
      </c>
      <c r="H1663">
             </c>
      <c r="I1663" t="s">
        <v>14</v>
      </c>
      <c r="J1663" t="s">
        <v>242</v>
      </c>
      <c r="K1663" t="s">
        <v>14</v>
      </c>
      <c r="L1663" t="s">
        <v>20</v>
      </c>
      <c r="M1663" t="s">
        <v>3572</v>
      </c>
      <c r="N1663" t="s">
        <v>14</v>
      </c>
    </row>
    <row r="1664" x14ac:dyDescent="0.25">
      <c r="A1664" t="n">
        <v>25</v>
      </c>
      <c r="B1664" t="s">
        <v>14</v>
      </c>
      <c r="C1664" t="s">
        <v>51</v>
      </c>
      <c r="D1664" s="2" t="s">
        <f>=HYPERLINK("https://main.knesset.gov.il/APPS/legislation/main/bills/2230317", "הצעת חוק המכר (דירות) (הבטחת השקעות של רוכשי דירות) (תיקון - ליווי פיננסי על ידי נותני שירותי תשלום בעלי חשיבות יציבותית), התשפ""ה-2025")</f>
        <v>3591</v>
      </c>
      <c r="E1664" t="s">
        <v>3591</v>
      </c>
      <c r="F1664" t="s">
        <v>3592</v>
      </c>
      <c r="G1664" t="s">
        <v>14</v>
      </c>
      <c r="H1664">
             </c>
      <c r="I1664" t="s">
        <v>14</v>
      </c>
      <c r="J1664" t="s">
        <v>242</v>
      </c>
      <c r="K1664" t="s">
        <v>14</v>
      </c>
      <c r="L1664" t="s">
        <v>20</v>
      </c>
      <c r="M1664" t="s">
        <v>3572</v>
      </c>
      <c r="N1664" t="s">
        <v>14</v>
      </c>
    </row>
    <row r="1665" x14ac:dyDescent="0.25">
      <c r="A1665" t="n">
        <v>25</v>
      </c>
      <c r="B1665" t="s">
        <v>14</v>
      </c>
      <c r="C1665" t="s">
        <v>51</v>
      </c>
      <c r="D1665" s="2" t="s">
        <f>=HYPERLINK("https://main.knesset.gov.il/APPS/legislation/main/bills/2230486", "הצעת חוק המקרקעין (תיקון - בנייה או הרחבת מרחב מוגן לאדם עם מוגבלות), התשפ""ה-2025")</f>
        <v>3593</v>
      </c>
      <c r="E1665" t="s">
        <v>3593</v>
      </c>
      <c r="F1665" t="s">
        <v>3594</v>
      </c>
      <c r="G1665" t="s">
        <v>14</v>
      </c>
      <c r="H1665">
             </c>
      <c r="I1665" t="s">
        <v>14</v>
      </c>
      <c r="J1665" t="s">
        <v>242</v>
      </c>
      <c r="K1665" t="s">
        <v>14</v>
      </c>
      <c r="L1665" t="s">
        <v>20</v>
      </c>
      <c r="M1665" t="s">
        <v>3572</v>
      </c>
      <c r="N1665" t="s">
        <v>14</v>
      </c>
    </row>
    <row r="1666" x14ac:dyDescent="0.25">
      <c r="A1666" t="n">
        <v>25</v>
      </c>
      <c r="B1666" t="s">
        <v>14</v>
      </c>
      <c r="C1666" t="s">
        <v>51</v>
      </c>
      <c r="D1666" s="2" t="s">
        <f>=HYPERLINK("https://main.knesset.gov.il/APPS/legislation/main/bills/2230667", "הצעת חוק אוויר נקי (תיקון - איסור שימוש בתנורים המוסקים בדלק מוצק), התשפ""ה-2025")</f>
        <v>3595</v>
      </c>
      <c r="E1666" t="s">
        <v>3595</v>
      </c>
      <c r="F1666" t="s">
        <v>3596</v>
      </c>
      <c r="G1666" t="s">
        <v>14</v>
      </c>
      <c r="H1666">
             </c>
      <c r="I1666" t="s">
        <v>14</v>
      </c>
      <c r="J1666" t="s">
        <v>242</v>
      </c>
      <c r="K1666" t="s">
        <v>14</v>
      </c>
      <c r="L1666" t="s">
        <v>20</v>
      </c>
      <c r="M1666" t="s">
        <v>3572</v>
      </c>
      <c r="N1666" t="s">
        <v>14</v>
      </c>
    </row>
    <row r="1667" x14ac:dyDescent="0.25">
      <c r="A1667" t="n">
        <v>25</v>
      </c>
      <c r="B1667" t="s">
        <v>14</v>
      </c>
      <c r="C1667" t="s">
        <v>51</v>
      </c>
      <c r="D1667" s="2" t="s">
        <f>=HYPERLINK("https://main.knesset.gov.il/APPS/legislation/main/bills/2230790", "הצעת חוק עידוד עזיבה מרצון של תושבי חבל עזה, התשפ""ה-2025")</f>
        <v>3597</v>
      </c>
      <c r="E1667" t="s">
        <v>3597</v>
      </c>
      <c r="F1667" t="s">
        <v>3598</v>
      </c>
      <c r="G1667" t="s">
        <v>14</v>
      </c>
      <c r="H1667">
             </c>
      <c r="I1667" t="s">
        <v>14</v>
      </c>
      <c r="J1667" t="s">
        <v>242</v>
      </c>
      <c r="K1667" t="s">
        <v>14</v>
      </c>
      <c r="L1667" t="s">
        <v>20</v>
      </c>
      <c r="M1667" t="s">
        <v>3572</v>
      </c>
      <c r="N1667" t="s">
        <v>14</v>
      </c>
    </row>
    <row r="1668" x14ac:dyDescent="0.25">
      <c r="A1668" t="n">
        <v>25</v>
      </c>
      <c r="B1668" t="s">
        <v>14</v>
      </c>
      <c r="C1668" t="s">
        <v>51</v>
      </c>
      <c r="D1668" s="2" t="s">
        <f>=HYPERLINK("https://main.knesset.gov.il/APPS/legislation/main/bills/2230413", "הצעת חוק מדיניות שווה באכיפת החוק כלפי מפגינים, התשפ""ה-2025")</f>
        <v>3599</v>
      </c>
      <c r="E1668" t="s">
        <v>3599</v>
      </c>
      <c r="F1668" t="s">
        <v>3600</v>
      </c>
      <c r="G1668" t="s">
        <v>14</v>
      </c>
      <c r="H1668">
             </c>
      <c r="I1668" t="s">
        <v>14</v>
      </c>
      <c r="J1668" t="s">
        <v>242</v>
      </c>
      <c r="K1668" t="s">
        <v>14</v>
      </c>
      <c r="L1668" t="s">
        <v>20</v>
      </c>
      <c r="M1668" t="s">
        <v>3572</v>
      </c>
      <c r="N1668" t="s">
        <v>14</v>
      </c>
    </row>
    <row r="1669" x14ac:dyDescent="0.25">
      <c r="A1669" t="n">
        <v>25</v>
      </c>
      <c r="B1669" t="s">
        <v>14</v>
      </c>
      <c r="C1669" t="s">
        <v>51</v>
      </c>
      <c r="D1669" s="2" t="s">
        <f>=HYPERLINK("https://main.knesset.gov.il/APPS/legislation/main/bills/2225503", "הצעת חוק העונשין (תיקון - עבירת המרדה וקריאה לסרבנות), התשפ""ה-2025")</f>
        <v>3601</v>
      </c>
      <c r="E1669" t="s">
        <v>3601</v>
      </c>
      <c r="F1669" t="s">
        <v>3602</v>
      </c>
      <c r="G1669" t="s">
        <v>14</v>
      </c>
      <c r="H1669">
             </c>
      <c r="I1669" t="s">
        <v>14</v>
      </c>
      <c r="J1669" t="s">
        <v>242</v>
      </c>
      <c r="K1669" t="s">
        <v>14</v>
      </c>
      <c r="L1669" t="s">
        <v>20</v>
      </c>
      <c r="M1669" t="s">
        <v>3572</v>
      </c>
      <c r="N1669" t="s">
        <v>14</v>
      </c>
    </row>
    <row r="1670" x14ac:dyDescent="0.25">
      <c r="A1670" t="n">
        <v>25</v>
      </c>
      <c r="B1670" t="s">
        <v>14</v>
      </c>
      <c r="C1670" t="s">
        <v>51</v>
      </c>
      <c r="D1670" s="2" t="s">
        <f>=HYPERLINK("https://main.knesset.gov.il/APPS/legislation/main/bills/2230791", "הצעת חוק קביעת יום לציון הטבעת הספינה אלטלנה, התשפ""ה-2025")</f>
        <v>3603</v>
      </c>
      <c r="E1670" t="s">
        <v>3603</v>
      </c>
      <c r="F1670" t="s">
        <v>3604</v>
      </c>
      <c r="G1670" t="s">
        <v>14</v>
      </c>
      <c r="H1670">
             </c>
      <c r="I1670" t="s">
        <v>14</v>
      </c>
      <c r="J1670" t="s">
        <v>242</v>
      </c>
      <c r="K1670" t="s">
        <v>14</v>
      </c>
      <c r="L1670" t="s">
        <v>20</v>
      </c>
      <c r="M1670" t="s">
        <v>3572</v>
      </c>
      <c r="N1670" t="s">
        <v>14</v>
      </c>
    </row>
    <row r="1671" x14ac:dyDescent="0.25">
      <c r="A1671" t="n">
        <v>25</v>
      </c>
      <c r="B1671" t="s">
        <v>14</v>
      </c>
      <c r="C1671" t="s">
        <v>51</v>
      </c>
      <c r="D1671" s="2" t="s">
        <f>=HYPERLINK("https://main.knesset.gov.il/APPS/legislation/main/bills/2230611", "הצעת חוק הביטוח הלאומי (תיקון - הצמדת קצבת נכות מעבודה לשכר הממוצע במשק), התשפ""ה-2025")</f>
        <v>3398</v>
      </c>
      <c r="E1671" t="s">
        <v>3398</v>
      </c>
      <c r="F1671" t="s">
        <v>3605</v>
      </c>
      <c r="G1671" t="s">
        <v>14</v>
      </c>
      <c r="H1671">
             </c>
      <c r="I1671" t="s">
        <v>14</v>
      </c>
      <c r="J1671" t="s">
        <v>242</v>
      </c>
      <c r="K1671" t="s">
        <v>14</v>
      </c>
      <c r="L1671" t="s">
        <v>20</v>
      </c>
      <c r="M1671" t="s">
        <v>3572</v>
      </c>
      <c r="N1671" t="s">
        <v>14</v>
      </c>
    </row>
    <row r="1672" x14ac:dyDescent="0.25">
      <c r="A1672" t="n">
        <v>25</v>
      </c>
      <c r="B1672" t="s">
        <v>14</v>
      </c>
      <c r="C1672" t="s">
        <v>51</v>
      </c>
      <c r="D1672" s="2" t="s">
        <f>=HYPERLINK("https://main.knesset.gov.il/APPS/legislation/main/bills/2230668", "הצעת חוק שירותי תעופה (פיצוי וסיוע בשל ביטול טיסה או שינוי בתנאיה) (תיקון - הודעה לגבי ביטול טיסה או שינוי במועד טיסה), התשפ""ה-2025")</f>
        <v>3198</v>
      </c>
      <c r="E1672" t="s">
        <v>3198</v>
      </c>
      <c r="F1672" t="s">
        <v>3606</v>
      </c>
      <c r="G1672" t="s">
        <v>14</v>
      </c>
      <c r="H1672">
             </c>
      <c r="I1672" t="s">
        <v>14</v>
      </c>
      <c r="J1672" t="s">
        <v>242</v>
      </c>
      <c r="K1672" t="s">
        <v>14</v>
      </c>
      <c r="L1672" t="s">
        <v>20</v>
      </c>
      <c r="M1672" t="s">
        <v>3572</v>
      </c>
      <c r="N1672" t="s">
        <v>14</v>
      </c>
    </row>
    <row r="1673" x14ac:dyDescent="0.25">
      <c r="A1673" t="n">
        <v>25</v>
      </c>
      <c r="B1673" t="s">
        <v>14</v>
      </c>
      <c r="C1673" t="s">
        <v>51</v>
      </c>
      <c r="D1673" s="2" t="s">
        <f>=HYPERLINK("https://main.knesset.gov.il/APPS/legislation/main/bills/2230786", "הצעת חוק האזרחים הוותיקים (תיקון - לחצן מצוקה לקשיש), התשפ""ה-2025")</f>
        <v>3485</v>
      </c>
      <c r="E1673" t="s">
        <v>3485</v>
      </c>
      <c r="F1673" t="s">
        <v>3607</v>
      </c>
      <c r="G1673" t="s">
        <v>14</v>
      </c>
      <c r="H1673">
             </c>
      <c r="I1673" t="s">
        <v>14</v>
      </c>
      <c r="J1673" t="s">
        <v>242</v>
      </c>
      <c r="K1673" t="s">
        <v>14</v>
      </c>
      <c r="L1673" t="s">
        <v>20</v>
      </c>
      <c r="M1673" t="s">
        <v>3572</v>
      </c>
      <c r="N1673" t="s">
        <v>14</v>
      </c>
    </row>
    <row r="1674" x14ac:dyDescent="0.25">
      <c r="A1674" t="n">
        <v>25</v>
      </c>
      <c r="B1674" t="s">
        <v>14</v>
      </c>
      <c r="C1674" t="s">
        <v>51</v>
      </c>
      <c r="D1674" s="2" t="s">
        <f>=HYPERLINK("https://main.knesset.gov.il/APPS/legislation/main/bills/2230650", "הצעת חוק להגבלת השיווק של גז קצפות לצרכן, התשפ""ה-2025")</f>
        <v>3608</v>
      </c>
      <c r="E1674" t="s">
        <v>3608</v>
      </c>
      <c r="F1674" t="s">
        <v>3609</v>
      </c>
      <c r="G1674" t="s">
        <v>14</v>
      </c>
      <c r="H1674">
             </c>
      <c r="I1674" t="s">
        <v>14</v>
      </c>
      <c r="J1674" t="s">
        <v>242</v>
      </c>
      <c r="K1674" t="s">
        <v>14</v>
      </c>
      <c r="L1674" t="s">
        <v>20</v>
      </c>
      <c r="M1674" t="s">
        <v>3572</v>
      </c>
      <c r="N1674" t="s">
        <v>14</v>
      </c>
    </row>
    <row r="1675" x14ac:dyDescent="0.25">
      <c r="A1675" t="n">
        <v>25</v>
      </c>
      <c r="B1675" t="s">
        <v>14</v>
      </c>
      <c r="C1675" t="s">
        <v>51</v>
      </c>
      <c r="D1675" s="2" t="s">
        <f>=HYPERLINK("https://main.knesset.gov.il/APPS/legislation/main/bills/2230610", "הצעת חוק טיפול בחולי נפש (תיקון - קביעת מועד למתן חוות דעת פסיכיאטרית), התשפ""ה-2025")</f>
        <v>3610</v>
      </c>
      <c r="E1675" t="s">
        <v>3610</v>
      </c>
      <c r="F1675" t="s">
        <v>3611</v>
      </c>
      <c r="G1675" t="s">
        <v>14</v>
      </c>
      <c r="H1675">
             </c>
      <c r="I1675" t="s">
        <v>14</v>
      </c>
      <c r="J1675" t="s">
        <v>242</v>
      </c>
      <c r="K1675" t="s">
        <v>14</v>
      </c>
      <c r="L1675" t="s">
        <v>20</v>
      </c>
      <c r="M1675" t="s">
        <v>3572</v>
      </c>
      <c r="N1675" t="s">
        <v>14</v>
      </c>
    </row>
    <row r="1676" x14ac:dyDescent="0.25">
      <c r="A1676" t="n">
        <v>25</v>
      </c>
      <c r="B1676" t="s">
        <v>14</v>
      </c>
      <c r="C1676" t="s">
        <v>51</v>
      </c>
      <c r="D1676" s="2" t="s">
        <f>=HYPERLINK("https://main.knesset.gov.il/APPS/legislation/main/bills/2230609", "הצעת חוק שירות התעסוקה (תיקון - חיזוק הפיקוח הפרלמנטרי על שירות התעסוקה), התשפ""ה-2025 ")</f>
        <v>3612</v>
      </c>
      <c r="E1676" t="s">
        <v>3612</v>
      </c>
      <c r="F1676" t="s">
        <v>3613</v>
      </c>
      <c r="G1676" t="s">
        <v>14</v>
      </c>
      <c r="H1676">
             </c>
      <c r="I1676" t="s">
        <v>14</v>
      </c>
      <c r="J1676" t="s">
        <v>242</v>
      </c>
      <c r="K1676" t="s">
        <v>14</v>
      </c>
      <c r="L1676" t="s">
        <v>20</v>
      </c>
      <c r="M1676" t="s">
        <v>3572</v>
      </c>
      <c r="N1676" t="s">
        <v>14</v>
      </c>
    </row>
    <row r="1677" x14ac:dyDescent="0.25">
      <c r="A1677" t="n">
        <v>25</v>
      </c>
      <c r="B1677" t="s">
        <v>14</v>
      </c>
      <c r="C1677" t="s">
        <v>51</v>
      </c>
      <c r="D1677" s="2" t="s">
        <f>=HYPERLINK("https://main.knesset.gov.il/APPS/legislation/main/bills/2230607", "הצעת חוק הגנת הצרכן (תיקון - שינוי יעד של משלוח טובין), התשפ""ה-2025")</f>
        <v>3202</v>
      </c>
      <c r="E1677" t="s">
        <v>3202</v>
      </c>
      <c r="F1677" t="s">
        <v>3614</v>
      </c>
      <c r="G1677" t="s">
        <v>14</v>
      </c>
      <c r="H1677">
             </c>
      <c r="I1677" t="s">
        <v>14</v>
      </c>
      <c r="J1677" t="s">
        <v>202</v>
      </c>
      <c r="K1677" t="s">
        <v>14</v>
      </c>
      <c r="L1677" t="s">
        <v>20</v>
      </c>
      <c r="M1677" t="s">
        <v>3572</v>
      </c>
      <c r="N1677" t="s">
        <v>14</v>
      </c>
    </row>
    <row r="1678" x14ac:dyDescent="0.25">
      <c r="A1678" t="n">
        <v>25</v>
      </c>
      <c r="B1678" t="s">
        <v>14</v>
      </c>
      <c r="C1678" t="s">
        <v>51</v>
      </c>
      <c r="D1678" s="2" t="s">
        <f>=HYPERLINK("https://main.knesset.gov.il/APPS/legislation/main/bills/2230431", "הצעת חוק לתיקון פקודת התעבורה (גרימת נזק למצלמה), התשפ""ה-2025")</f>
        <v>3615</v>
      </c>
      <c r="E1678" t="s">
        <v>3615</v>
      </c>
      <c r="F1678" t="s">
        <v>3616</v>
      </c>
      <c r="G1678" t="s">
        <v>14</v>
      </c>
      <c r="H1678">
             </c>
      <c r="I1678" t="s">
        <v>14</v>
      </c>
      <c r="J1678" t="s">
        <v>242</v>
      </c>
      <c r="K1678" t="s">
        <v>14</v>
      </c>
      <c r="L1678" t="s">
        <v>20</v>
      </c>
      <c r="M1678" t="s">
        <v>3572</v>
      </c>
      <c r="N1678" t="s">
        <v>14</v>
      </c>
    </row>
    <row r="1679" x14ac:dyDescent="0.25">
      <c r="A1679" t="n">
        <v>25</v>
      </c>
      <c r="B1679" t="s">
        <v>14</v>
      </c>
      <c r="C1679" t="s">
        <v>51</v>
      </c>
      <c r="D1679" s="2" t="s">
        <f>=HYPERLINK("https://main.knesset.gov.il/APPS/legislation/main/bills/2230782", "הצעת חוק לתיקון פקודת מס הכנסה (דחיית הגשת דיווח שנתי לעסק שהוקם ברבעון האחרון של השנה), התשפ""ה-2025")</f>
        <v>3617</v>
      </c>
      <c r="E1679" t="s">
        <v>3617</v>
      </c>
      <c r="F1679" t="s">
        <v>3618</v>
      </c>
      <c r="G1679" t="s">
        <v>14</v>
      </c>
      <c r="H1679">
             </c>
      <c r="I1679" t="s">
        <v>14</v>
      </c>
      <c r="J1679" t="s">
        <v>242</v>
      </c>
      <c r="K1679" t="s">
        <v>14</v>
      </c>
      <c r="L1679" t="s">
        <v>20</v>
      </c>
      <c r="M1679" t="s">
        <v>3572</v>
      </c>
      <c r="N1679" t="s">
        <v>14</v>
      </c>
    </row>
    <row r="1680" x14ac:dyDescent="0.25">
      <c r="A1680" t="n">
        <v>25</v>
      </c>
      <c r="B1680" t="s">
        <v>14</v>
      </c>
      <c r="C1680" t="s">
        <v>51</v>
      </c>
      <c r="D1680" s="2" t="s">
        <f>=HYPERLINK("https://main.knesset.gov.il/APPS/legislation/main/bills/2230556", "הצעת חוק שחרור על-תנאי ממאסר (תיקון - המרת עונש מאסר עולם), התשפ""ה-2025")</f>
        <v>3619</v>
      </c>
      <c r="E1680" t="s">
        <v>3619</v>
      </c>
      <c r="F1680" t="s">
        <v>3620</v>
      </c>
      <c r="G1680" t="s">
        <v>14</v>
      </c>
      <c r="H1680">
             </c>
      <c r="I1680" t="s">
        <v>14</v>
      </c>
      <c r="J1680" t="s">
        <v>242</v>
      </c>
      <c r="K1680" t="s">
        <v>14</v>
      </c>
      <c r="L1680" t="s">
        <v>20</v>
      </c>
      <c r="M1680" t="s">
        <v>3572</v>
      </c>
      <c r="N1680" t="s">
        <v>14</v>
      </c>
    </row>
    <row r="1681" x14ac:dyDescent="0.25">
      <c r="A1681" t="n">
        <v>25</v>
      </c>
      <c r="B1681" t="s">
        <v>14</v>
      </c>
      <c r="C1681" t="s">
        <v>51</v>
      </c>
      <c r="D1681" s="2" t="s">
        <f>=HYPERLINK("https://main.knesset.gov.il/APPS/legislation/main/bills/2230608", "הצעת חוק ביטול הזכאות לנסיעה חינם בתחבורה ציבורית לחברי הכנסת ולחברי הכנסת לשעבר (תיקוני חקיקה), התשפ""ה-2025 ")</f>
        <v>3621</v>
      </c>
      <c r="E1681" t="s">
        <v>3621</v>
      </c>
      <c r="F1681" t="s">
        <v>3622</v>
      </c>
      <c r="G1681" t="s">
        <v>14</v>
      </c>
      <c r="H1681">
             </c>
      <c r="I1681" t="s">
        <v>14</v>
      </c>
      <c r="J1681" t="s">
        <v>242</v>
      </c>
      <c r="K1681" t="s">
        <v>14</v>
      </c>
      <c r="L1681" t="s">
        <v>20</v>
      </c>
      <c r="M1681" t="s">
        <v>3572</v>
      </c>
      <c r="N1681" t="s">
        <v>14</v>
      </c>
    </row>
    <row r="1682" x14ac:dyDescent="0.25">
      <c r="A1682" t="n">
        <v>25</v>
      </c>
      <c r="B1682" t="s">
        <v>14</v>
      </c>
      <c r="C1682" t="s">
        <v>51</v>
      </c>
      <c r="D1682" s="2" t="s">
        <f>=HYPERLINK("https://main.knesset.gov.il/APPS/legislation/main/bills/2230605", "הצעת חוק הליכי חקירה והעדה (התאמה לאנשים עם מוגבלות שכלית או נפשית) (תיקון - חקירה והעדה מותאמת למתמודדי נפש), התשפ""ה-2025")</f>
        <v>1953</v>
      </c>
      <c r="E1682" t="s">
        <v>1953</v>
      </c>
      <c r="F1682" t="s">
        <v>3623</v>
      </c>
      <c r="G1682" t="s">
        <v>14</v>
      </c>
      <c r="H1682">
             </c>
      <c r="I1682" t="s">
        <v>14</v>
      </c>
      <c r="J1682" t="s">
        <v>242</v>
      </c>
      <c r="K1682" t="s">
        <v>14</v>
      </c>
      <c r="L1682" t="s">
        <v>20</v>
      </c>
      <c r="M1682" t="s">
        <v>3572</v>
      </c>
      <c r="N1682" t="s">
        <v>14</v>
      </c>
    </row>
    <row r="1683" x14ac:dyDescent="0.25">
      <c r="A1683" t="n">
        <v>25</v>
      </c>
      <c r="B1683" t="s">
        <v>14</v>
      </c>
      <c r="C1683" t="s">
        <v>51</v>
      </c>
      <c r="D1683" s="2" t="s">
        <f>=HYPERLINK("https://main.knesset.gov.il/APPS/legislation/main/bills/2230603", "הצעת חוק-יסוד: הממשלה (תיקון - הגבלת כהונת ראש הממשלה לשתי תקופות כהונה רצופות)")</f>
        <v>1488</v>
      </c>
      <c r="E1683" t="s">
        <v>1488</v>
      </c>
      <c r="F1683" t="s">
        <v>3624</v>
      </c>
      <c r="G1683" t="s">
        <v>14</v>
      </c>
      <c r="H1683">
             </c>
      <c r="I1683" t="s">
        <v>14</v>
      </c>
      <c r="J1683" t="s">
        <v>202</v>
      </c>
      <c r="K1683" t="s">
        <v>14</v>
      </c>
      <c r="L1683" t="s">
        <v>20</v>
      </c>
      <c r="M1683" t="s">
        <v>3572</v>
      </c>
      <c r="N1683" t="s">
        <v>14</v>
      </c>
    </row>
    <row r="1684" x14ac:dyDescent="0.25">
      <c r="A1684" t="n">
        <v>25</v>
      </c>
      <c r="B1684" t="s">
        <v>14</v>
      </c>
      <c r="C1684" t="s">
        <v>51</v>
      </c>
      <c r="D1684" s="2" t="s">
        <f>=HYPERLINK("https://main.knesset.gov.il/APPS/legislation/main/bills/2226352", "הצעת חוק גירוש מסתננים תומכי המשטר במדינת אריתריאה ומסתננים שביצעו עבירות במדינת ישראל, התשפ""ה-2025")</f>
        <v>3625</v>
      </c>
      <c r="E1684" t="s">
        <v>3625</v>
      </c>
      <c r="F1684" t="s">
        <v>3626</v>
      </c>
      <c r="G1684" t="s">
        <v>14</v>
      </c>
      <c r="H1684">
             </c>
      <c r="I1684" t="s">
        <v>14</v>
      </c>
      <c r="J1684" t="s">
        <v>183</v>
      </c>
      <c r="K1684" t="s">
        <v>30</v>
      </c>
      <c r="L1684" t="s">
        <v>20</v>
      </c>
      <c r="M1684" t="s">
        <v>3627</v>
      </c>
      <c r="N1684" t="s">
        <v>14</v>
      </c>
    </row>
    <row r="1685" x14ac:dyDescent="0.25">
      <c r="A1685" t="n">
        <v>25</v>
      </c>
      <c r="B1685" t="s">
        <v>14</v>
      </c>
      <c r="C1685" t="s">
        <v>51</v>
      </c>
      <c r="D1685" s="2" t="s">
        <f>=HYPERLINK("https://main.knesset.gov.il/APPS/legislation/main/bills/2221997", "הצעת חוק גירוש מסתננים תומכי המשטר במדינת אריתריאה ומסתננים שביצעו עבירות במדינת ישראל, התשפ""ה-2024")</f>
        <v>3628</v>
      </c>
      <c r="E1685" t="s">
        <v>3628</v>
      </c>
      <c r="F1685" t="s">
        <v>3629</v>
      </c>
      <c r="G1685" t="s">
        <v>14</v>
      </c>
      <c r="H1685">
             </c>
      <c r="I1685" t="s">
        <v>14</v>
      </c>
      <c r="J1685" t="s">
        <v>183</v>
      </c>
      <c r="K1685" t="s">
        <v>30</v>
      </c>
      <c r="L1685" t="s">
        <v>20</v>
      </c>
      <c r="M1685" t="s">
        <v>3627</v>
      </c>
      <c r="N1685" t="s">
        <v>14</v>
      </c>
    </row>
    <row r="1686" x14ac:dyDescent="0.25">
      <c r="A1686" t="n">
        <v>25</v>
      </c>
      <c r="B1686" t="s">
        <v>14</v>
      </c>
      <c r="C1686" t="s">
        <v>51</v>
      </c>
      <c r="D1686" s="2" t="s">
        <f>=HYPERLINK("https://main.knesset.gov.il/APPS/legislation/main/bills/2213094", "הצעת חוק תובענות ייצוגיות (תיקון - פניה מוקדמת), התשפ""ד-2024")</f>
        <v>3630</v>
      </c>
      <c r="E1686" t="s">
        <v>3630</v>
      </c>
      <c r="F1686" t="s">
        <v>3631</v>
      </c>
      <c r="G1686" t="s">
        <v>14</v>
      </c>
      <c r="H1686">
             </c>
      <c r="I1686" t="s">
        <v>14</v>
      </c>
      <c r="J1686" t="s">
        <v>152</v>
      </c>
      <c r="K1686" t="s">
        <v>14</v>
      </c>
      <c r="L1686" t="s">
        <v>20</v>
      </c>
      <c r="M1686" t="s">
        <v>3632</v>
      </c>
      <c r="N1686" t="s">
        <v>14</v>
      </c>
    </row>
    <row r="1687" x14ac:dyDescent="0.25">
      <c r="A1687" t="n">
        <v>25</v>
      </c>
      <c r="B1687" t="s">
        <v>14</v>
      </c>
      <c r="C1687" t="s">
        <v>51</v>
      </c>
      <c r="D1687" s="2" t="s">
        <f>=HYPERLINK("https://main.knesset.gov.il/APPS/legislation/main/bills/2202485", "הצעת חוק תובענות ייצוגיות (תיקון - הגשת תובענה נגד גוף אשר פעילותו מחייבת רישיון), התשפ""ג-2023")</f>
        <v>3633</v>
      </c>
      <c r="E1687" t="s">
        <v>3633</v>
      </c>
      <c r="F1687" t="s">
        <v>3634</v>
      </c>
      <c r="G1687" t="s">
        <v>14</v>
      </c>
      <c r="H1687">
             </c>
      <c r="I1687" t="s">
        <v>14</v>
      </c>
      <c r="J1687" t="s">
        <v>152</v>
      </c>
      <c r="K1687" t="s">
        <v>14</v>
      </c>
      <c r="L1687" t="s">
        <v>20</v>
      </c>
      <c r="M1687" t="s">
        <v>3632</v>
      </c>
      <c r="N1687" t="s">
        <v>14</v>
      </c>
    </row>
    <row r="1688" x14ac:dyDescent="0.25">
      <c r="A1688" t="n">
        <v>25</v>
      </c>
      <c r="B1688" t="s">
        <v>14</v>
      </c>
      <c r="C1688" t="s">
        <v>15</v>
      </c>
      <c r="D1688" s="2" t="s">
        <f>=HYPERLINK("https://main.knesset.gov.il/APPS/legislation/main/bills/2221157", "הצעת חוק תובענות ייצוגיות (תיקון מס' 16), התשפ""ד-2024")</f>
        <v>3635</v>
      </c>
      <c r="E1688" t="s">
        <v>3635</v>
      </c>
      <c r="F1688" t="s">
        <v>14</v>
      </c>
      <c r="G1688" t="s">
        <v>3636</v>
      </c>
      <c r="H1688">
             </c>
      <c r="I1688" t="s">
        <v>14</v>
      </c>
      <c r="J1688" t="s">
        <v>38</v>
      </c>
      <c r="K1688" t="s">
        <v>14</v>
      </c>
      <c r="L1688" t="s">
        <v>20</v>
      </c>
      <c r="M1688" t="s">
        <v>3632</v>
      </c>
      <c r="N1688" t="s">
        <v>14</v>
      </c>
    </row>
    <row r="1689" x14ac:dyDescent="0.25">
      <c r="A1689" t="n">
        <v>25</v>
      </c>
      <c r="B1689" t="s">
        <v>14</v>
      </c>
      <c r="C1689" t="s">
        <v>15</v>
      </c>
      <c r="D1689" s="2" t="s">
        <f>=HYPERLINK("https://main.knesset.gov.il/APPS/legislation/main/bills/2227650", "חוק הפצת שידורים באמצעות תחנות שידור ספרתיות (תיקון מס' 7 – הוראת שעה) (תיקון), התשפ""ה-2025 ")</f>
        <v>3637</v>
      </c>
      <c r="E1689" t="s">
        <v>3637</v>
      </c>
      <c r="F1689" t="s">
        <v>14</v>
      </c>
      <c r="G1689" t="s">
        <v>3638</v>
      </c>
      <c r="H1689" t="n">
        <v>3400</v>
      </c>
      <c r="I1689" t="s">
        <v>14</v>
      </c>
      <c r="J1689" t="s">
        <v>18</v>
      </c>
      <c r="K1689" t="s">
        <v>84</v>
      </c>
      <c r="L1689" t="s">
        <v>20</v>
      </c>
      <c r="M1689" t="s">
        <v>3639</v>
      </c>
      <c r="N1689" t="s">
        <v>3640</v>
      </c>
    </row>
    <row r="1690" x14ac:dyDescent="0.25">
      <c r="A1690" t="n">
        <v>25</v>
      </c>
      <c r="B1690" t="s">
        <v>14</v>
      </c>
      <c r="C1690" t="s">
        <v>51</v>
      </c>
      <c r="D1690" s="2" t="s">
        <f>=HYPERLINK("https://main.knesset.gov.il/APPS/legislation/main/bills/2205557", "חוק הכשרות המשפטית והאפוטרופסות (תיקון מס' 22 והוראת שעה), התשפ""ה–2025")</f>
        <v>3641</v>
      </c>
      <c r="E1690" t="s">
        <v>3641</v>
      </c>
      <c r="F1690" t="s">
        <v>3642</v>
      </c>
      <c r="G1690" t="s">
        <v>3643</v>
      </c>
      <c r="H1690" t="n">
        <v>3391</v>
      </c>
      <c r="I1690" t="s">
        <v>14</v>
      </c>
      <c r="J1690" t="s">
        <v>18</v>
      </c>
      <c r="K1690" t="s">
        <v>27</v>
      </c>
      <c r="L1690" t="s">
        <v>20</v>
      </c>
      <c r="M1690" t="s">
        <v>3639</v>
      </c>
      <c r="N1690" t="s">
        <v>3644</v>
      </c>
    </row>
    <row r="1691" x14ac:dyDescent="0.25">
      <c r="A1691" t="n">
        <v>25</v>
      </c>
      <c r="B1691" t="s">
        <v>14</v>
      </c>
      <c r="C1691" t="s">
        <v>15</v>
      </c>
      <c r="D1691" s="2" t="s">
        <f>=HYPERLINK("https://main.knesset.gov.il/APPS/legislation/main/bills/2229397", "חוק הכללת אמצעי זיהוי ביומטריים ונתוני זיהוי ביומטריים במסמכי זיהוי ובמאגר מידע (תיקון מס' 7 - הוראת שעה), התשפ""ה-2025 ")</f>
        <v>3645</v>
      </c>
      <c r="E1691" t="s">
        <v>3645</v>
      </c>
      <c r="F1691" t="s">
        <v>14</v>
      </c>
      <c r="G1691" t="s">
        <v>3646</v>
      </c>
      <c r="H1691" t="n">
        <v>3390</v>
      </c>
      <c r="I1691" t="s">
        <v>14</v>
      </c>
      <c r="J1691" t="s">
        <v>18</v>
      </c>
      <c r="K1691" t="s">
        <v>14</v>
      </c>
      <c r="L1691" t="s">
        <v>20</v>
      </c>
      <c r="M1691" t="s">
        <v>3639</v>
      </c>
      <c r="N1691" t="s">
        <v>3647</v>
      </c>
    </row>
    <row r="1692" x14ac:dyDescent="0.25">
      <c r="A1692" t="n">
        <v>25</v>
      </c>
      <c r="B1692" t="s">
        <v>14</v>
      </c>
      <c r="C1692" t="s">
        <v>15</v>
      </c>
      <c r="D1692" s="2" t="s">
        <f>=HYPERLINK("https://main.knesset.gov.il/APPS/legislation/main/bills/2227201", "חוק התכנון והבנייה (תיקון מס' 160 והוראות שעה), התשפ""ה-2025")</f>
        <v>3648</v>
      </c>
      <c r="E1692" t="s">
        <v>3648</v>
      </c>
      <c r="F1692" t="s">
        <v>14</v>
      </c>
      <c r="G1692" t="s">
        <v>237</v>
      </c>
      <c r="H1692" t="n">
        <v>3408</v>
      </c>
      <c r="I1692" t="s">
        <v>14</v>
      </c>
      <c r="J1692" t="s">
        <v>18</v>
      </c>
      <c r="K1692" t="s">
        <v>30</v>
      </c>
      <c r="L1692" t="s">
        <v>20</v>
      </c>
      <c r="M1692" t="s">
        <v>3639</v>
      </c>
      <c r="N1692" t="s">
        <v>3649</v>
      </c>
    </row>
    <row r="1693" x14ac:dyDescent="0.25">
      <c r="A1693" t="n">
        <v>25</v>
      </c>
      <c r="B1693" t="s">
        <v>14</v>
      </c>
      <c r="C1693" t="s">
        <v>51</v>
      </c>
      <c r="D1693" s="2" t="s">
        <f>=HYPERLINK("https://main.knesset.gov.il/APPS/legislation/main/bills/2220995", "חוק העונשין (תיקון מס' 152), התשפ""ה–2025")</f>
        <v>3650</v>
      </c>
      <c r="E1693" t="s">
        <v>3650</v>
      </c>
      <c r="F1693" t="s">
        <v>3651</v>
      </c>
      <c r="G1693" t="s">
        <v>3652</v>
      </c>
      <c r="H1693" t="n">
        <v>3407</v>
      </c>
      <c r="I1693" t="s">
        <v>14</v>
      </c>
      <c r="J1693" t="s">
        <v>18</v>
      </c>
      <c r="K1693" t="s">
        <v>27</v>
      </c>
      <c r="L1693" t="s">
        <v>20</v>
      </c>
      <c r="M1693" t="s">
        <v>3639</v>
      </c>
      <c r="N1693" t="s">
        <v>3653</v>
      </c>
    </row>
    <row r="1694" x14ac:dyDescent="0.25">
      <c r="A1694" t="n">
        <v>25</v>
      </c>
      <c r="B1694" t="s">
        <v>14</v>
      </c>
      <c r="C1694" t="s">
        <v>51</v>
      </c>
      <c r="D1694" s="2" t="s">
        <f>=HYPERLINK("https://main.knesset.gov.il/APPS/legislation/main/bills/2195779", "חוק למניעת הפליה ברישוי מחמת מצב בריאותי (תיקוני חקיקה), התשפ""ה–2025")</f>
        <v>3654</v>
      </c>
      <c r="E1694" t="s">
        <v>3654</v>
      </c>
      <c r="F1694" t="s">
        <v>3655</v>
      </c>
      <c r="G1694" t="s">
        <v>3656</v>
      </c>
      <c r="H1694" t="n">
        <v>3406</v>
      </c>
      <c r="I1694" t="s">
        <v>14</v>
      </c>
      <c r="J1694" t="s">
        <v>18</v>
      </c>
      <c r="K1694" t="s">
        <v>361</v>
      </c>
      <c r="L1694" t="s">
        <v>20</v>
      </c>
      <c r="M1694" t="s">
        <v>3639</v>
      </c>
      <c r="N1694" t="s">
        <v>3657</v>
      </c>
    </row>
    <row r="1695" x14ac:dyDescent="0.25">
      <c r="A1695" t="n">
        <v>25</v>
      </c>
      <c r="B1695" t="s">
        <v>14</v>
      </c>
      <c r="C1695" t="s">
        <v>51</v>
      </c>
      <c r="D1695" s="2" t="s">
        <f>=HYPERLINK("https://main.knesset.gov.il/APPS/legislation/main/bills/2195679", "חוק הרשות הלאומית למאבק בעוני, התשפ""ה-2025")</f>
        <v>3658</v>
      </c>
      <c r="E1695" t="s">
        <v>3658</v>
      </c>
      <c r="F1695" t="s">
        <v>3659</v>
      </c>
      <c r="G1695" t="s">
        <v>3660</v>
      </c>
      <c r="H1695" t="n">
        <v>3405</v>
      </c>
      <c r="I1695" t="s">
        <v>14</v>
      </c>
      <c r="J1695" t="s">
        <v>18</v>
      </c>
      <c r="K1695" t="s">
        <v>46</v>
      </c>
      <c r="L1695" t="s">
        <v>20</v>
      </c>
      <c r="M1695" t="s">
        <v>3639</v>
      </c>
      <c r="N1695" t="s">
        <v>3661</v>
      </c>
    </row>
    <row r="1696" x14ac:dyDescent="0.25">
      <c r="A1696" t="n">
        <v>25</v>
      </c>
      <c r="B1696" t="s">
        <v>14</v>
      </c>
      <c r="C1696" t="s">
        <v>51</v>
      </c>
      <c r="D1696" s="2" t="s">
        <f>=HYPERLINK("https://main.knesset.gov.il/APPS/legislation/main/bills/2197166", "חוק הביטוח הלאומי (תיקון מס' 257), התשפ""ה–2025")</f>
        <v>3662</v>
      </c>
      <c r="E1696" t="s">
        <v>3662</v>
      </c>
      <c r="F1696" t="s">
        <v>3663</v>
      </c>
      <c r="G1696" t="s">
        <v>3664</v>
      </c>
      <c r="H1696" t="n">
        <v>3404</v>
      </c>
      <c r="I1696" t="s">
        <v>14</v>
      </c>
      <c r="J1696" t="s">
        <v>18</v>
      </c>
      <c r="K1696" t="s">
        <v>46</v>
      </c>
      <c r="L1696" t="s">
        <v>20</v>
      </c>
      <c r="M1696" t="s">
        <v>3639</v>
      </c>
      <c r="N1696" t="s">
        <v>3665</v>
      </c>
    </row>
    <row r="1697" x14ac:dyDescent="0.25">
      <c r="A1697" t="n">
        <v>25</v>
      </c>
      <c r="B1697" t="s">
        <v>14</v>
      </c>
      <c r="C1697" t="s">
        <v>51</v>
      </c>
      <c r="D1697" s="2" t="s">
        <f>=HYPERLINK("https://main.knesset.gov.il/APPS/legislation/main/bills/2215643", "חוק המים (תיקון מס' 31), התשפ""ה–2025")</f>
        <v>3666</v>
      </c>
      <c r="E1697" t="s">
        <v>3666</v>
      </c>
      <c r="F1697" t="s">
        <v>3667</v>
      </c>
      <c r="G1697" t="s">
        <v>3668</v>
      </c>
      <c r="H1697" t="n">
        <v>3403</v>
      </c>
      <c r="I1697" t="s">
        <v>14</v>
      </c>
      <c r="J1697" t="s">
        <v>18</v>
      </c>
      <c r="K1697" t="s">
        <v>84</v>
      </c>
      <c r="L1697" t="s">
        <v>20</v>
      </c>
      <c r="M1697" t="s">
        <v>3639</v>
      </c>
      <c r="N1697" t="s">
        <v>3669</v>
      </c>
    </row>
    <row r="1698" x14ac:dyDescent="0.25">
      <c r="A1698" t="n">
        <v>25</v>
      </c>
      <c r="B1698" t="s">
        <v>14</v>
      </c>
      <c r="C1698" t="s">
        <v>51</v>
      </c>
      <c r="D1698" s="2" t="s">
        <f>=HYPERLINK("https://main.knesset.gov.il/APPS/legislation/main/bills/2210645", "חוק הגנת הצרכן (תיקון מס' 72), התשפ""ה–2025")</f>
        <v>3670</v>
      </c>
      <c r="E1698" t="s">
        <v>3670</v>
      </c>
      <c r="F1698" t="s">
        <v>3671</v>
      </c>
      <c r="G1698" t="s">
        <v>3672</v>
      </c>
      <c r="H1698" t="n">
        <v>3402</v>
      </c>
      <c r="I1698" t="s">
        <v>14</v>
      </c>
      <c r="J1698" t="s">
        <v>18</v>
      </c>
      <c r="K1698" t="s">
        <v>84</v>
      </c>
      <c r="L1698" t="s">
        <v>20</v>
      </c>
      <c r="M1698" t="s">
        <v>3639</v>
      </c>
      <c r="N1698" t="s">
        <v>3673</v>
      </c>
    </row>
    <row r="1699" x14ac:dyDescent="0.25">
      <c r="A1699" t="n">
        <v>25</v>
      </c>
      <c r="B1699" t="s">
        <v>14</v>
      </c>
      <c r="C1699" t="s">
        <v>15</v>
      </c>
      <c r="D1699" s="2" t="s">
        <f>=HYPERLINK("https://main.knesset.gov.il/APPS/legislation/main/bills/2228456", "חוק להסדרת אירוע הילולת רבי שמעון בר יוחאי בהר מירון (הוראת שעה), התשפ""ה-2025 ")</f>
        <v>3674</v>
      </c>
      <c r="E1699" t="s">
        <v>3674</v>
      </c>
      <c r="F1699" t="s">
        <v>14</v>
      </c>
      <c r="G1699" t="s">
        <v>3675</v>
      </c>
      <c r="H1699" t="n">
        <v>3401</v>
      </c>
      <c r="I1699" t="s">
        <v>14</v>
      </c>
      <c r="J1699" t="s">
        <v>18</v>
      </c>
      <c r="K1699" t="s">
        <v>19</v>
      </c>
      <c r="L1699" t="s">
        <v>20</v>
      </c>
      <c r="M1699" t="s">
        <v>3639</v>
      </c>
      <c r="N1699" t="s">
        <v>3676</v>
      </c>
    </row>
    <row r="1700" x14ac:dyDescent="0.25">
      <c r="A1700" t="n">
        <v>25</v>
      </c>
      <c r="B1700" t="s">
        <v>14</v>
      </c>
      <c r="C1700" t="s">
        <v>51</v>
      </c>
      <c r="D1700" s="2" t="s">
        <f>=HYPERLINK("https://main.knesset.gov.il/APPS/legislation/main/bills/2211055", "חוק התקשורת (בזק ושידורים) (תיקון מס' 81), התשפ""ה–2025")</f>
        <v>3677</v>
      </c>
      <c r="E1700" t="s">
        <v>3677</v>
      </c>
      <c r="F1700" t="s">
        <v>3678</v>
      </c>
      <c r="G1700" t="s">
        <v>3679</v>
      </c>
      <c r="H1700" t="n">
        <v>3399</v>
      </c>
      <c r="I1700" t="s">
        <v>14</v>
      </c>
      <c r="J1700" t="s">
        <v>18</v>
      </c>
      <c r="K1700" t="s">
        <v>84</v>
      </c>
      <c r="L1700" t="s">
        <v>20</v>
      </c>
      <c r="M1700" t="s">
        <v>3639</v>
      </c>
      <c r="N1700" t="s">
        <v>3680</v>
      </c>
    </row>
    <row r="1701" x14ac:dyDescent="0.25">
      <c r="A1701" t="n">
        <v>25</v>
      </c>
      <c r="B1701" t="s">
        <v>14</v>
      </c>
      <c r="C1701" t="s">
        <v>51</v>
      </c>
      <c r="D1701" s="2" t="s">
        <f>=HYPERLINK("https://main.knesset.gov.il/APPS/legislation/main/bills/2199188", "חוק גיל פרישה (הורה שילדו נפטר) (הוראת שעה) (תיקון מס' 3), התשפ""ה–2025")</f>
        <v>3681</v>
      </c>
      <c r="E1701" t="s">
        <v>3681</v>
      </c>
      <c r="F1701" t="s">
        <v>3682</v>
      </c>
      <c r="G1701" t="s">
        <v>3683</v>
      </c>
      <c r="H1701" t="n">
        <v>3398</v>
      </c>
      <c r="I1701" t="s">
        <v>14</v>
      </c>
      <c r="J1701" t="s">
        <v>18</v>
      </c>
      <c r="K1701" t="s">
        <v>46</v>
      </c>
      <c r="L1701" t="s">
        <v>20</v>
      </c>
      <c r="M1701" t="s">
        <v>3639</v>
      </c>
      <c r="N1701" t="s">
        <v>3684</v>
      </c>
    </row>
    <row r="1702" x14ac:dyDescent="0.25">
      <c r="A1702" t="n">
        <v>25</v>
      </c>
      <c r="B1702" t="s">
        <v>14</v>
      </c>
      <c r="C1702" t="s">
        <v>51</v>
      </c>
      <c r="D1702" s="2" t="s">
        <f>=HYPERLINK("https://main.knesset.gov.il/APPS/legislation/main/bills/2209251", "חוק הספורט (תיקון מס' 18 והוראת שעה), התשפ""ה–2025")</f>
        <v>3685</v>
      </c>
      <c r="E1702" t="s">
        <v>3685</v>
      </c>
      <c r="F1702" t="s">
        <v>3686</v>
      </c>
      <c r="G1702" t="s">
        <v>3687</v>
      </c>
      <c r="H1702" t="n">
        <v>3397</v>
      </c>
      <c r="I1702" t="s">
        <v>14</v>
      </c>
      <c r="J1702" t="s">
        <v>18</v>
      </c>
      <c r="K1702" t="s">
        <v>79</v>
      </c>
      <c r="L1702" t="s">
        <v>20</v>
      </c>
      <c r="M1702" t="s">
        <v>3639</v>
      </c>
      <c r="N1702" t="s">
        <v>3688</v>
      </c>
    </row>
    <row r="1703" x14ac:dyDescent="0.25">
      <c r="A1703" t="n">
        <v>25</v>
      </c>
      <c r="B1703" t="s">
        <v>14</v>
      </c>
      <c r="C1703" t="s">
        <v>51</v>
      </c>
      <c r="D1703" s="2" t="s">
        <f>=HYPERLINK("https://main.knesset.gov.il/APPS/legislation/main/bills/2200242", "חוק הרשויות המקומיות (מימון בחירות) (תיקון מס' 19), התשפ""ה–2025")</f>
        <v>3689</v>
      </c>
      <c r="E1703" t="s">
        <v>3689</v>
      </c>
      <c r="F1703" t="s">
        <v>3690</v>
      </c>
      <c r="G1703" t="s">
        <v>3691</v>
      </c>
      <c r="H1703" t="n">
        <v>3396</v>
      </c>
      <c r="I1703" t="s">
        <v>14</v>
      </c>
      <c r="J1703" t="s">
        <v>18</v>
      </c>
      <c r="K1703" t="s">
        <v>30</v>
      </c>
      <c r="L1703" t="s">
        <v>20</v>
      </c>
      <c r="M1703" t="s">
        <v>3639</v>
      </c>
      <c r="N1703" t="s">
        <v>3692</v>
      </c>
    </row>
    <row r="1704" x14ac:dyDescent="0.25">
      <c r="A1704" t="n">
        <v>25</v>
      </c>
      <c r="B1704" t="s">
        <v>14</v>
      </c>
      <c r="C1704" t="s">
        <v>51</v>
      </c>
      <c r="D1704" s="2" t="s">
        <f>=HYPERLINK("https://main.knesset.gov.il/APPS/legislation/main/bills/2218716", "חוק להנצחת זכרו של מנחם בגין (תיקון מס' 4), התשפ""ה–2025")</f>
        <v>3693</v>
      </c>
      <c r="E1704" t="s">
        <v>3693</v>
      </c>
      <c r="F1704" t="s">
        <v>3694</v>
      </c>
      <c r="G1704" t="s">
        <v>3695</v>
      </c>
      <c r="H1704" t="n">
        <v>3395</v>
      </c>
      <c r="I1704" t="s">
        <v>14</v>
      </c>
      <c r="J1704" t="s">
        <v>18</v>
      </c>
      <c r="K1704" t="s">
        <v>79</v>
      </c>
      <c r="L1704" t="s">
        <v>20</v>
      </c>
      <c r="M1704" t="s">
        <v>3639</v>
      </c>
      <c r="N1704" t="s">
        <v>3696</v>
      </c>
    </row>
    <row r="1705" x14ac:dyDescent="0.25">
      <c r="A1705" t="n">
        <v>25</v>
      </c>
      <c r="B1705" t="s">
        <v>14</v>
      </c>
      <c r="C1705" t="s">
        <v>51</v>
      </c>
      <c r="D1705" s="2" t="s">
        <f>=HYPERLINK("https://main.knesset.gov.il/APPS/legislation/main/bills/2221190", "חוק הצבת מכשירי החייאה במקומות ציבוריים (תיקון מס' 3), התשפ""ה–2025")</f>
        <v>3697</v>
      </c>
      <c r="E1705" t="s">
        <v>3697</v>
      </c>
      <c r="F1705" t="s">
        <v>3698</v>
      </c>
      <c r="G1705" t="s">
        <v>3699</v>
      </c>
      <c r="H1705" t="n">
        <v>3394</v>
      </c>
      <c r="I1705" t="s">
        <v>14</v>
      </c>
      <c r="J1705" t="s">
        <v>18</v>
      </c>
      <c r="K1705" t="s">
        <v>361</v>
      </c>
      <c r="L1705" t="s">
        <v>20</v>
      </c>
      <c r="M1705" t="s">
        <v>3639</v>
      </c>
      <c r="N1705" t="s">
        <v>3700</v>
      </c>
    </row>
    <row r="1706" x14ac:dyDescent="0.25">
      <c r="A1706" t="n">
        <v>25</v>
      </c>
      <c r="B1706" t="s">
        <v>14</v>
      </c>
      <c r="C1706" t="s">
        <v>15</v>
      </c>
      <c r="D1706" s="2" t="s">
        <f>=HYPERLINK("https://main.knesset.gov.il/APPS/legislation/main/bills/2225520", "חוק שיקום נרחב לחבל התקומה כאזור מיקוד לאומי וסיוע ליישובים הסמוכים אליו, התשפ""ה–2025 ")</f>
        <v>3701</v>
      </c>
      <c r="E1706" t="s">
        <v>3701</v>
      </c>
      <c r="F1706" t="s">
        <v>14</v>
      </c>
      <c r="G1706" t="s">
        <v>3702</v>
      </c>
      <c r="H1706" t="n">
        <v>3393</v>
      </c>
      <c r="I1706" t="s">
        <v>14</v>
      </c>
      <c r="J1706" t="s">
        <v>18</v>
      </c>
      <c r="K1706" t="s">
        <v>84</v>
      </c>
      <c r="L1706" t="s">
        <v>20</v>
      </c>
      <c r="M1706" t="s">
        <v>3639</v>
      </c>
      <c r="N1706" t="s">
        <v>3703</v>
      </c>
    </row>
    <row r="1707" x14ac:dyDescent="0.25">
      <c r="A1707" t="n">
        <v>25</v>
      </c>
      <c r="B1707" t="s">
        <v>14</v>
      </c>
      <c r="C1707" t="s">
        <v>15</v>
      </c>
      <c r="D1707" s="2" t="s">
        <f>=HYPERLINK("https://main.knesset.gov.il/APPS/legislation/main/bills/2229396", "חוק תוספות לתגמולים ולהטבות לבני משפחה של חטופים ונעדרים (תיקוני חקיקה), התשפ""ה-2025")</f>
        <v>3704</v>
      </c>
      <c r="E1707" t="s">
        <v>3704</v>
      </c>
      <c r="F1707" t="s">
        <v>14</v>
      </c>
      <c r="G1707" t="s">
        <v>3705</v>
      </c>
      <c r="H1707" t="n">
        <v>3392</v>
      </c>
      <c r="I1707" t="s">
        <v>14</v>
      </c>
      <c r="J1707" t="s">
        <v>18</v>
      </c>
      <c r="K1707" t="s">
        <v>46</v>
      </c>
      <c r="L1707" t="s">
        <v>20</v>
      </c>
      <c r="M1707" t="s">
        <v>3639</v>
      </c>
      <c r="N1707" t="s">
        <v>3706</v>
      </c>
    </row>
    <row r="1708" x14ac:dyDescent="0.25">
      <c r="A1708" t="n">
        <v>25</v>
      </c>
      <c r="B1708" t="s">
        <v>14</v>
      </c>
      <c r="C1708" t="s">
        <v>15</v>
      </c>
      <c r="D1708" s="2" t="s">
        <f>=HYPERLINK("https://main.knesset.gov.il/APPS/legislation/main/bills/2229709", "חוק כליאתם של לוחמים בלתי חוקיים (תיקון מס' 4 והוראת שעה – חרבות ברזל) (תיקון מס' 4), התשפ""ה-2025 ")</f>
        <v>3707</v>
      </c>
      <c r="E1708" t="s">
        <v>3707</v>
      </c>
      <c r="F1708" t="s">
        <v>14</v>
      </c>
      <c r="G1708" t="s">
        <v>3708</v>
      </c>
      <c r="H1708" t="n">
        <v>3387</v>
      </c>
      <c r="I1708" t="s">
        <v>14</v>
      </c>
      <c r="J1708" t="s">
        <v>18</v>
      </c>
      <c r="K1708" t="s">
        <v>39</v>
      </c>
      <c r="L1708" t="s">
        <v>20</v>
      </c>
      <c r="M1708" t="s">
        <v>3639</v>
      </c>
      <c r="N1708" t="s">
        <v>3709</v>
      </c>
    </row>
    <row r="1709" x14ac:dyDescent="0.25">
      <c r="A1709" t="n">
        <v>25</v>
      </c>
      <c r="B1709" t="s">
        <v>14</v>
      </c>
      <c r="C1709" t="s">
        <v>15</v>
      </c>
      <c r="D1709" s="2" t="s">
        <f>=HYPERLINK("https://main.knesset.gov.il/APPS/legislation/main/bills/2228775", "חוק לייעול האכיפה והפיקוח העירוניים ברשויות המקומיות (הוראת שעה) (תיקון מס' 16), התשפ""ה–2025 ")</f>
        <v>3710</v>
      </c>
      <c r="E1709" t="s">
        <v>3710</v>
      </c>
      <c r="F1709" t="s">
        <v>14</v>
      </c>
      <c r="G1709" t="s">
        <v>2852</v>
      </c>
      <c r="H1709" t="n">
        <v>3386</v>
      </c>
      <c r="I1709" t="s">
        <v>14</v>
      </c>
      <c r="J1709" t="s">
        <v>18</v>
      </c>
      <c r="K1709" t="s">
        <v>19</v>
      </c>
      <c r="L1709" t="s">
        <v>20</v>
      </c>
      <c r="M1709" t="s">
        <v>3639</v>
      </c>
      <c r="N1709" t="s">
        <v>3711</v>
      </c>
    </row>
    <row r="1710" x14ac:dyDescent="0.25">
      <c r="A1710" t="n">
        <v>25</v>
      </c>
      <c r="B1710" t="s">
        <v>14</v>
      </c>
      <c r="C1710" t="s">
        <v>15</v>
      </c>
      <c r="D1710" s="2" t="s">
        <f>=HYPERLINK("https://main.knesset.gov.il/APPS/legislation/main/bills/2229712", "חוק התמודדות עם תקיפות סייבר חמורות במגזר השירותים הדיגיטליים ושירותי האחסון (הוראת שעה – חרבות ברזל) (תיקון מס' 2), התשפ""ה-2025 ")</f>
        <v>3712</v>
      </c>
      <c r="E1710" t="s">
        <v>3712</v>
      </c>
      <c r="F1710" t="s">
        <v>14</v>
      </c>
      <c r="G1710" t="s">
        <v>3713</v>
      </c>
      <c r="H1710" t="n">
        <v>3385</v>
      </c>
      <c r="I1710" t="s">
        <v>14</v>
      </c>
      <c r="J1710" t="s">
        <v>18</v>
      </c>
      <c r="K1710" t="s">
        <v>39</v>
      </c>
      <c r="L1710" t="s">
        <v>20</v>
      </c>
      <c r="M1710" t="s">
        <v>3639</v>
      </c>
      <c r="N1710" t="s">
        <v>3714</v>
      </c>
    </row>
    <row r="1711" x14ac:dyDescent="0.25">
      <c r="A1711" t="n">
        <v>25</v>
      </c>
      <c r="B1711" t="s">
        <v>14</v>
      </c>
      <c r="C1711" t="s">
        <v>51</v>
      </c>
      <c r="D1711" s="2" t="s">
        <f>=HYPERLINK("https://main.knesset.gov.il/APPS/legislation/main/bills/2230592", "הצעת חוק שימוש בזרע של נפטר לשם הולדה, התשפ""ה-2025")</f>
        <v>2668</v>
      </c>
      <c r="E1711" t="s">
        <v>2668</v>
      </c>
      <c r="F1711" t="s">
        <v>3715</v>
      </c>
      <c r="G1711" t="s">
        <v>14</v>
      </c>
      <c r="H1711">
             </c>
      <c r="I1711" t="s">
        <v>14</v>
      </c>
      <c r="J1711" t="s">
        <v>242</v>
      </c>
      <c r="K1711" t="s">
        <v>14</v>
      </c>
      <c r="L1711" t="s">
        <v>20</v>
      </c>
      <c r="M1711" t="s">
        <v>3639</v>
      </c>
      <c r="N1711" t="s">
        <v>14</v>
      </c>
    </row>
    <row r="1712" x14ac:dyDescent="0.25">
      <c r="A1712" t="n">
        <v>25</v>
      </c>
      <c r="B1712" t="s">
        <v>14</v>
      </c>
      <c r="C1712" t="s">
        <v>51</v>
      </c>
      <c r="D1712" s="2" t="s">
        <f>=HYPERLINK("https://main.knesset.gov.il/APPS/legislation/main/bills/2230578", "הצעת חוק-יסוד: לימוד תורה")</f>
        <v>486</v>
      </c>
      <c r="E1712" t="s">
        <v>486</v>
      </c>
      <c r="F1712" t="s">
        <v>3716</v>
      </c>
      <c r="G1712" t="s">
        <v>14</v>
      </c>
      <c r="H1712">
             </c>
      <c r="I1712" t="s">
        <v>14</v>
      </c>
      <c r="J1712" t="s">
        <v>242</v>
      </c>
      <c r="K1712" t="s">
        <v>14</v>
      </c>
      <c r="L1712" t="s">
        <v>20</v>
      </c>
      <c r="M1712" t="s">
        <v>3639</v>
      </c>
      <c r="N1712" t="s">
        <v>14</v>
      </c>
    </row>
    <row r="1713" x14ac:dyDescent="0.25">
      <c r="A1713" t="n">
        <v>25</v>
      </c>
      <c r="B1713" t="s">
        <v>14</v>
      </c>
      <c r="C1713" t="s">
        <v>51</v>
      </c>
      <c r="D1713" s="2" t="s">
        <f>=HYPERLINK("https://main.knesset.gov.il/APPS/legislation/main/bills/2208710", "הצעת חוק הגנת הצרכן (תיקון - ביטול עסקת מכר מרחוק של שירותי תיירות) (הוראת שעה), התשפ""ה-2025")</f>
        <v>3717</v>
      </c>
      <c r="E1713" t="s">
        <v>3717</v>
      </c>
      <c r="F1713" t="s">
        <v>3718</v>
      </c>
      <c r="G1713" t="s">
        <v>14</v>
      </c>
      <c r="H1713">
             </c>
      <c r="I1713" t="s">
        <v>14</v>
      </c>
      <c r="J1713" t="s">
        <v>242</v>
      </c>
      <c r="K1713" t="s">
        <v>14</v>
      </c>
      <c r="L1713" t="s">
        <v>20</v>
      </c>
      <c r="M1713" t="s">
        <v>3639</v>
      </c>
      <c r="N1713" t="s">
        <v>14</v>
      </c>
    </row>
    <row r="1714" x14ac:dyDescent="0.25">
      <c r="A1714" t="n">
        <v>25</v>
      </c>
      <c r="B1714" t="s">
        <v>14</v>
      </c>
      <c r="C1714" t="s">
        <v>51</v>
      </c>
      <c r="D1714" s="2" t="s">
        <f>=HYPERLINK("https://main.knesset.gov.il/APPS/legislation/main/bills/2222145", "הצעת חוק לתמיכה ועידוד שילובם של משרתי המילואים בחקלאות ובהתיישבות, התשפ""ה-2025")</f>
        <v>3719</v>
      </c>
      <c r="E1714" t="s">
        <v>3719</v>
      </c>
      <c r="F1714" t="s">
        <v>3720</v>
      </c>
      <c r="G1714" t="s">
        <v>14</v>
      </c>
      <c r="H1714">
             </c>
      <c r="I1714" t="s">
        <v>14</v>
      </c>
      <c r="J1714" t="s">
        <v>242</v>
      </c>
      <c r="K1714" t="s">
        <v>14</v>
      </c>
      <c r="L1714" t="s">
        <v>20</v>
      </c>
      <c r="M1714" t="s">
        <v>3639</v>
      </c>
      <c r="N1714" t="s">
        <v>14</v>
      </c>
    </row>
    <row r="1715" x14ac:dyDescent="0.25">
      <c r="A1715" t="n">
        <v>25</v>
      </c>
      <c r="B1715" t="s">
        <v>14</v>
      </c>
      <c r="C1715" t="s">
        <v>51</v>
      </c>
      <c r="D1715" s="2" t="s">
        <f>=HYPERLINK("https://main.knesset.gov.il/APPS/legislation/main/bills/2230442", "הצעת חוק החלת המשפט, השיפוט והמינהל בחבלי הארץ שבריבונות ישראל, התשפ""ה-2025")</f>
        <v>3721</v>
      </c>
      <c r="E1715" t="s">
        <v>3721</v>
      </c>
      <c r="F1715" t="s">
        <v>3722</v>
      </c>
      <c r="G1715" t="s">
        <v>14</v>
      </c>
      <c r="H1715">
             </c>
      <c r="I1715" t="s">
        <v>14</v>
      </c>
      <c r="J1715" t="s">
        <v>242</v>
      </c>
      <c r="K1715" t="s">
        <v>14</v>
      </c>
      <c r="L1715" t="s">
        <v>20</v>
      </c>
      <c r="M1715" t="s">
        <v>3639</v>
      </c>
      <c r="N1715" t="s">
        <v>14</v>
      </c>
    </row>
    <row r="1716" x14ac:dyDescent="0.25">
      <c r="A1716" t="n">
        <v>25</v>
      </c>
      <c r="B1716" t="s">
        <v>14</v>
      </c>
      <c r="C1716" t="s">
        <v>51</v>
      </c>
      <c r="D1716" s="2" t="s">
        <f>=HYPERLINK("https://main.knesset.gov.il/APPS/legislation/main/bills/2229959", "הצעת חוק האזרחות והכניסה לישראל (הוראת שעה) (תיקון - גילאים ומצב לחימה), התשפ״ה-2025")</f>
        <v>3723</v>
      </c>
      <c r="E1716" t="s">
        <v>3723</v>
      </c>
      <c r="F1716" t="s">
        <v>3724</v>
      </c>
      <c r="G1716" t="s">
        <v>14</v>
      </c>
      <c r="H1716">
             </c>
      <c r="I1716" t="s">
        <v>14</v>
      </c>
      <c r="J1716" t="s">
        <v>242</v>
      </c>
      <c r="K1716" t="s">
        <v>14</v>
      </c>
      <c r="L1716" t="s">
        <v>20</v>
      </c>
      <c r="M1716" t="s">
        <v>3639</v>
      </c>
      <c r="N1716" t="s">
        <v>14</v>
      </c>
    </row>
    <row r="1717" x14ac:dyDescent="0.25">
      <c r="A1717" t="n">
        <v>25</v>
      </c>
      <c r="B1717" t="s">
        <v>14</v>
      </c>
      <c r="C1717" t="s">
        <v>51</v>
      </c>
      <c r="D1717" s="2" t="s">
        <f>=HYPERLINK("https://main.knesset.gov.il/APPS/legislation/main/bills/2229894", "הצעת חוק הדיור המוגן (תיקון - תנאים לביצוע עבודות בנייה בבית הדיור המוגן), התשפ""ה-2025")</f>
        <v>3725</v>
      </c>
      <c r="E1717" t="s">
        <v>3725</v>
      </c>
      <c r="F1717" t="s">
        <v>3726</v>
      </c>
      <c r="G1717" t="s">
        <v>14</v>
      </c>
      <c r="H1717">
             </c>
      <c r="I1717" t="s">
        <v>14</v>
      </c>
      <c r="J1717" t="s">
        <v>242</v>
      </c>
      <c r="K1717" t="s">
        <v>14</v>
      </c>
      <c r="L1717" t="s">
        <v>20</v>
      </c>
      <c r="M1717" t="s">
        <v>3639</v>
      </c>
      <c r="N1717" t="s">
        <v>14</v>
      </c>
    </row>
    <row r="1718" x14ac:dyDescent="0.25">
      <c r="A1718" t="n">
        <v>25</v>
      </c>
      <c r="B1718" t="s">
        <v>14</v>
      </c>
      <c r="C1718" t="s">
        <v>51</v>
      </c>
      <c r="D1718" s="2" t="s">
        <f>=HYPERLINK("https://main.knesset.gov.il/APPS/legislation/main/bills/2228706", "הצעת חוק שידור חי של דיונים בבית המשפט העליון, התשפ”ה-2025")</f>
        <v>3727</v>
      </c>
      <c r="E1718" t="s">
        <v>3727</v>
      </c>
      <c r="F1718" t="s">
        <v>3728</v>
      </c>
      <c r="G1718" t="s">
        <v>14</v>
      </c>
      <c r="H1718">
             </c>
      <c r="I1718" t="s">
        <v>14</v>
      </c>
      <c r="J1718" t="s">
        <v>242</v>
      </c>
      <c r="K1718" t="s">
        <v>14</v>
      </c>
      <c r="L1718" t="s">
        <v>20</v>
      </c>
      <c r="M1718" t="s">
        <v>3639</v>
      </c>
      <c r="N1718" t="s">
        <v>14</v>
      </c>
    </row>
    <row r="1719" x14ac:dyDescent="0.25">
      <c r="A1719" t="n">
        <v>25</v>
      </c>
      <c r="B1719" t="s">
        <v>14</v>
      </c>
      <c r="C1719" t="s">
        <v>51</v>
      </c>
      <c r="D1719" s="2" t="s">
        <f>=HYPERLINK("https://main.knesset.gov.il/APPS/legislation/main/bills/2230227", "הצעת חוק העונשין (תיקון - הגנה על קטינים מפני עבירות מין), התשפ""ה-2025")</f>
        <v>3729</v>
      </c>
      <c r="E1719" t="s">
        <v>3729</v>
      </c>
      <c r="F1719" t="s">
        <v>3730</v>
      </c>
      <c r="G1719" t="s">
        <v>14</v>
      </c>
      <c r="H1719">
             </c>
      <c r="I1719" t="s">
        <v>14</v>
      </c>
      <c r="J1719" t="s">
        <v>242</v>
      </c>
      <c r="K1719" t="s">
        <v>14</v>
      </c>
      <c r="L1719" t="s">
        <v>20</v>
      </c>
      <c r="M1719" t="s">
        <v>3639</v>
      </c>
      <c r="N1719" t="s">
        <v>14</v>
      </c>
    </row>
    <row r="1720" x14ac:dyDescent="0.25">
      <c r="A1720" t="n">
        <v>25</v>
      </c>
      <c r="B1720" t="s">
        <v>14</v>
      </c>
      <c r="C1720" t="s">
        <v>51</v>
      </c>
      <c r="D1720" s="2" t="s">
        <f>=HYPERLINK("https://main.knesset.gov.il/APPS/legislation/main/bills/2229759", "הצעת חוק מסע עדות ומורשת הטבח והגבורה של אירועי 7 באוקטובר (הוראת שעה), התשפ""ה-2025")</f>
        <v>3731</v>
      </c>
      <c r="E1720" t="s">
        <v>3731</v>
      </c>
      <c r="F1720" t="s">
        <v>3732</v>
      </c>
      <c r="G1720" t="s">
        <v>14</v>
      </c>
      <c r="H1720">
             </c>
      <c r="I1720" t="s">
        <v>14</v>
      </c>
      <c r="J1720" t="s">
        <v>242</v>
      </c>
      <c r="K1720" t="s">
        <v>14</v>
      </c>
      <c r="L1720" t="s">
        <v>20</v>
      </c>
      <c r="M1720" t="s">
        <v>3639</v>
      </c>
      <c r="N1720" t="s">
        <v>14</v>
      </c>
    </row>
    <row r="1721" x14ac:dyDescent="0.25">
      <c r="A1721" t="n">
        <v>25</v>
      </c>
      <c r="B1721" t="s">
        <v>14</v>
      </c>
      <c r="C1721" t="s">
        <v>51</v>
      </c>
      <c r="D1721" s="2" t="s">
        <f>=HYPERLINK("https://main.knesset.gov.il/APPS/legislation/main/bills/2219103", "הצעת חוק שלילת תמיכות מגופי ספורט בשל קבלת תרומה מישות מדינית זרה תומכת טרור ואיסור פגיעה בכבוד סמלי המדינה באירוע ספורט (תיקוני חקיקה), התשפ""ה-2025")</f>
        <v>3733</v>
      </c>
      <c r="E1721" t="s">
        <v>3733</v>
      </c>
      <c r="F1721" t="s">
        <v>3734</v>
      </c>
      <c r="G1721" t="s">
        <v>14</v>
      </c>
      <c r="H1721">
             </c>
      <c r="I1721" t="s">
        <v>14</v>
      </c>
      <c r="J1721" t="s">
        <v>242</v>
      </c>
      <c r="K1721" t="s">
        <v>14</v>
      </c>
      <c r="L1721" t="s">
        <v>20</v>
      </c>
      <c r="M1721" t="s">
        <v>3639</v>
      </c>
      <c r="N1721" t="s">
        <v>14</v>
      </c>
    </row>
    <row r="1722" x14ac:dyDescent="0.25">
      <c r="A1722" t="n">
        <v>25</v>
      </c>
      <c r="B1722" t="s">
        <v>14</v>
      </c>
      <c r="C1722" t="s">
        <v>51</v>
      </c>
      <c r="D1722" s="2" t="s">
        <f>=HYPERLINK("https://main.knesset.gov.il/APPS/legislation/main/bills/2229582", "הצעת חוק הגנת הפרטיות (תיקון - הגדרת שירות בתי הסוהר כרשות ביטחון), התשפ""ה-2025")</f>
        <v>3735</v>
      </c>
      <c r="E1722" t="s">
        <v>3735</v>
      </c>
      <c r="F1722" t="s">
        <v>3736</v>
      </c>
      <c r="G1722" t="s">
        <v>14</v>
      </c>
      <c r="H1722">
             </c>
      <c r="I1722" t="s">
        <v>14</v>
      </c>
      <c r="J1722" t="s">
        <v>242</v>
      </c>
      <c r="K1722" t="s">
        <v>14</v>
      </c>
      <c r="L1722" t="s">
        <v>20</v>
      </c>
      <c r="M1722" t="s">
        <v>3639</v>
      </c>
      <c r="N1722" t="s">
        <v>14</v>
      </c>
    </row>
    <row r="1723" x14ac:dyDescent="0.25">
      <c r="A1723" t="n">
        <v>25</v>
      </c>
      <c r="B1723" t="s">
        <v>14</v>
      </c>
      <c r="C1723" t="s">
        <v>51</v>
      </c>
      <c r="D1723" s="2" t="s">
        <f>=HYPERLINK("https://main.knesset.gov.il/APPS/legislation/main/bills/2228779", "הצעת חוק תרומת עוברים, התשפ""ה-2025")</f>
        <v>3737</v>
      </c>
      <c r="E1723" t="s">
        <v>3737</v>
      </c>
      <c r="F1723" t="s">
        <v>3738</v>
      </c>
      <c r="G1723" t="s">
        <v>14</v>
      </c>
      <c r="H1723">
             </c>
      <c r="I1723" t="s">
        <v>14</v>
      </c>
      <c r="J1723" t="s">
        <v>242</v>
      </c>
      <c r="K1723" t="s">
        <v>14</v>
      </c>
      <c r="L1723" t="s">
        <v>20</v>
      </c>
      <c r="M1723" t="s">
        <v>3639</v>
      </c>
      <c r="N1723" t="s">
        <v>14</v>
      </c>
    </row>
    <row r="1724" x14ac:dyDescent="0.25">
      <c r="A1724" t="n">
        <v>25</v>
      </c>
      <c r="B1724" t="s">
        <v>14</v>
      </c>
      <c r="C1724" t="s">
        <v>51</v>
      </c>
      <c r="D1724" s="2" t="s">
        <f>=HYPERLINK("https://main.knesset.gov.il/APPS/legislation/main/bills/2230467", "הצעת חוק לתיקון פקודת מס הכנסה (מס נוסף על פנסיה תקציבית), התשפ""ה-2025")</f>
        <v>3739</v>
      </c>
      <c r="E1724" t="s">
        <v>3739</v>
      </c>
      <c r="F1724" t="s">
        <v>3740</v>
      </c>
      <c r="G1724" t="s">
        <v>14</v>
      </c>
      <c r="H1724">
             </c>
      <c r="I1724" t="s">
        <v>14</v>
      </c>
      <c r="J1724" t="s">
        <v>242</v>
      </c>
      <c r="K1724" t="s">
        <v>14</v>
      </c>
      <c r="L1724" t="s">
        <v>20</v>
      </c>
      <c r="M1724" t="s">
        <v>3639</v>
      </c>
      <c r="N1724" t="s">
        <v>14</v>
      </c>
    </row>
    <row r="1725" x14ac:dyDescent="0.25">
      <c r="A1725" t="n">
        <v>25</v>
      </c>
      <c r="B1725" t="s">
        <v>14</v>
      </c>
      <c r="C1725" t="s">
        <v>51</v>
      </c>
      <c r="D1725" s="2" t="s">
        <f>=HYPERLINK("https://main.knesset.gov.il/APPS/legislation/main/bills/2230224", "הצעת חוק סדר הדין הפלילי (תיקון - העברת הטיפול בהגשת כתבי אישום בעבירות גביית דמי חסות לתביעה המשטרתית), התשפ""ה-2025")</f>
        <v>3741</v>
      </c>
      <c r="E1725" t="s">
        <v>3741</v>
      </c>
      <c r="F1725" t="s">
        <v>3742</v>
      </c>
      <c r="G1725" t="s">
        <v>14</v>
      </c>
      <c r="H1725">
             </c>
      <c r="I1725" t="s">
        <v>14</v>
      </c>
      <c r="J1725" t="s">
        <v>242</v>
      </c>
      <c r="K1725" t="s">
        <v>14</v>
      </c>
      <c r="L1725" t="s">
        <v>20</v>
      </c>
      <c r="M1725" t="s">
        <v>3639</v>
      </c>
      <c r="N1725" t="s">
        <v>14</v>
      </c>
    </row>
    <row r="1726" x14ac:dyDescent="0.25">
      <c r="A1726" t="n">
        <v>25</v>
      </c>
      <c r="B1726" t="s">
        <v>14</v>
      </c>
      <c r="C1726" t="s">
        <v>51</v>
      </c>
      <c r="D1726" s="2" t="s">
        <f>=HYPERLINK("https://main.knesset.gov.il/APPS/legislation/main/bills/2229643", "הצעת חוק איסור הונאה בכשרות (תיקון - כשרות בלבד ובית אוכל הפתוח בשבת), התשפ""ה-2025")</f>
        <v>3743</v>
      </c>
      <c r="E1726" t="s">
        <v>3743</v>
      </c>
      <c r="F1726" t="s">
        <v>3744</v>
      </c>
      <c r="G1726" t="s">
        <v>14</v>
      </c>
      <c r="H1726">
             </c>
      <c r="I1726" t="s">
        <v>14</v>
      </c>
      <c r="J1726" t="s">
        <v>242</v>
      </c>
      <c r="K1726" t="s">
        <v>14</v>
      </c>
      <c r="L1726" t="s">
        <v>20</v>
      </c>
      <c r="M1726" t="s">
        <v>3639</v>
      </c>
      <c r="N1726" t="s">
        <v>14</v>
      </c>
    </row>
    <row r="1727" x14ac:dyDescent="0.25">
      <c r="A1727" t="n">
        <v>25</v>
      </c>
      <c r="B1727" t="s">
        <v>14</v>
      </c>
      <c r="C1727" t="s">
        <v>51</v>
      </c>
      <c r="D1727" s="2" t="s">
        <f>=HYPERLINK("https://main.knesset.gov.il/APPS/legislation/main/bills/2230425", "הצעת חוק החלת הריבונות של מדינת ישראל בחבלי יהודה והשומרון, התשפ""ה-2025")</f>
        <v>2408</v>
      </c>
      <c r="E1727" t="s">
        <v>2408</v>
      </c>
      <c r="F1727" t="s">
        <v>3745</v>
      </c>
      <c r="G1727" t="s">
        <v>14</v>
      </c>
      <c r="H1727">
             </c>
      <c r="I1727" t="s">
        <v>14</v>
      </c>
      <c r="J1727" t="s">
        <v>242</v>
      </c>
      <c r="K1727" t="s">
        <v>14</v>
      </c>
      <c r="L1727" t="s">
        <v>20</v>
      </c>
      <c r="M1727" t="s">
        <v>3639</v>
      </c>
      <c r="N1727" t="s">
        <v>14</v>
      </c>
    </row>
    <row r="1728" x14ac:dyDescent="0.25">
      <c r="A1728" t="n">
        <v>25</v>
      </c>
      <c r="B1728" t="s">
        <v>14</v>
      </c>
      <c r="C1728" t="s">
        <v>51</v>
      </c>
      <c r="D1728" s="2" t="s">
        <f>=HYPERLINK("https://main.knesset.gov.il/APPS/legislation/main/bills/2228398", "הצעת חוק תגמולים לנפגעי פשיעה חמורה, התשפ""ה-2025")</f>
        <v>3746</v>
      </c>
      <c r="E1728" t="s">
        <v>3746</v>
      </c>
      <c r="F1728" t="s">
        <v>3747</v>
      </c>
      <c r="G1728" t="s">
        <v>14</v>
      </c>
      <c r="H1728">
             </c>
      <c r="I1728" t="s">
        <v>14</v>
      </c>
      <c r="J1728" t="s">
        <v>242</v>
      </c>
      <c r="K1728" t="s">
        <v>14</v>
      </c>
      <c r="L1728" t="s">
        <v>20</v>
      </c>
      <c r="M1728" t="s">
        <v>3639</v>
      </c>
      <c r="N1728" t="s">
        <v>14</v>
      </c>
    </row>
    <row r="1729" x14ac:dyDescent="0.25">
      <c r="A1729" t="n">
        <v>25</v>
      </c>
      <c r="B1729" t="s">
        <v>14</v>
      </c>
      <c r="C1729" t="s">
        <v>51</v>
      </c>
      <c r="D1729" s="2" t="s">
        <f>=HYPERLINK("https://main.knesset.gov.il/APPS/legislation/main/bills/2230551", "הצעת חוק עיטור הפציעה הקרבית, התשפ""ה-2025")</f>
        <v>3748</v>
      </c>
      <c r="E1729" t="s">
        <v>3748</v>
      </c>
      <c r="F1729" t="s">
        <v>3749</v>
      </c>
      <c r="G1729" t="s">
        <v>14</v>
      </c>
      <c r="H1729">
             </c>
      <c r="I1729" t="s">
        <v>14</v>
      </c>
      <c r="J1729" t="s">
        <v>242</v>
      </c>
      <c r="K1729" t="s">
        <v>14</v>
      </c>
      <c r="L1729" t="s">
        <v>20</v>
      </c>
      <c r="M1729" t="s">
        <v>3639</v>
      </c>
      <c r="N1729" t="s">
        <v>14</v>
      </c>
    </row>
    <row r="1730" x14ac:dyDescent="0.25">
      <c r="A1730" t="n">
        <v>25</v>
      </c>
      <c r="B1730" t="s">
        <v>14</v>
      </c>
      <c r="C1730" t="s">
        <v>51</v>
      </c>
      <c r="D1730" s="2" t="s">
        <f>=HYPERLINK("https://main.knesset.gov.il/APPS/legislation/main/bills/2229687", "הצעת חוק עסקאות גופים ציבוריים (תיקון - פסילת ספקים בשל מעורבות בפשיעה מאורגנת), התשפ""ה-2025")</f>
        <v>3750</v>
      </c>
      <c r="E1730" t="s">
        <v>3750</v>
      </c>
      <c r="F1730" t="s">
        <v>3751</v>
      </c>
      <c r="G1730" t="s">
        <v>14</v>
      </c>
      <c r="H1730">
             </c>
      <c r="I1730" t="s">
        <v>14</v>
      </c>
      <c r="J1730" t="s">
        <v>242</v>
      </c>
      <c r="K1730" t="s">
        <v>14</v>
      </c>
      <c r="L1730" t="s">
        <v>20</v>
      </c>
      <c r="M1730" t="s">
        <v>3639</v>
      </c>
      <c r="N1730" t="s">
        <v>14</v>
      </c>
    </row>
    <row r="1731" x14ac:dyDescent="0.25">
      <c r="A1731" t="n">
        <v>25</v>
      </c>
      <c r="B1731" t="s">
        <v>14</v>
      </c>
      <c r="C1731" t="s">
        <v>51</v>
      </c>
      <c r="D1731" s="2" t="s">
        <f>=HYPERLINK("https://main.knesset.gov.il/APPS/legislation/main/bills/2230150", "הצעת חוק העונשין (תיקון - איסור ביזוי המת), התשפ""ה-2025")</f>
        <v>3752</v>
      </c>
      <c r="E1731" t="s">
        <v>3752</v>
      </c>
      <c r="F1731" t="s">
        <v>3753</v>
      </c>
      <c r="G1731" t="s">
        <v>14</v>
      </c>
      <c r="H1731">
             </c>
      <c r="I1731" t="s">
        <v>14</v>
      </c>
      <c r="J1731" t="s">
        <v>242</v>
      </c>
      <c r="K1731" t="s">
        <v>14</v>
      </c>
      <c r="L1731" t="s">
        <v>20</v>
      </c>
      <c r="M1731" t="s">
        <v>3639</v>
      </c>
      <c r="N1731" t="s">
        <v>14</v>
      </c>
    </row>
    <row r="1732" x14ac:dyDescent="0.25">
      <c r="A1732" t="n">
        <v>25</v>
      </c>
      <c r="B1732" t="s">
        <v>14</v>
      </c>
      <c r="C1732" t="s">
        <v>51</v>
      </c>
      <c r="D1732" s="2" t="s">
        <f>=HYPERLINK("https://main.knesset.gov.il/APPS/legislation/main/bills/2230554", "הצעת חוק הביטוח הלאומי (תיקון - תשלום דמי קבורה בעת קבורת נפטר שלא לפי מקום מושבו), התשפ""ה-2025")</f>
        <v>3754</v>
      </c>
      <c r="E1732" t="s">
        <v>3754</v>
      </c>
      <c r="F1732" t="s">
        <v>3755</v>
      </c>
      <c r="G1732" t="s">
        <v>14</v>
      </c>
      <c r="H1732">
             </c>
      <c r="I1732" t="s">
        <v>14</v>
      </c>
      <c r="J1732" t="s">
        <v>242</v>
      </c>
      <c r="K1732" t="s">
        <v>14</v>
      </c>
      <c r="L1732" t="s">
        <v>20</v>
      </c>
      <c r="M1732" t="s">
        <v>3639</v>
      </c>
      <c r="N1732" t="s">
        <v>14</v>
      </c>
    </row>
    <row r="1733" x14ac:dyDescent="0.25">
      <c r="A1733" t="n">
        <v>25</v>
      </c>
      <c r="B1733" t="s">
        <v>14</v>
      </c>
      <c r="C1733" t="s">
        <v>51</v>
      </c>
      <c r="D1733" s="2" t="s">
        <f>=HYPERLINK("https://main.knesset.gov.il/APPS/legislation/main/bills/2228879", "הצעת חוק הדואר (תיקון - אישור שימוש בשם בנק הדואר), התשפ""ה-2025")</f>
        <v>3756</v>
      </c>
      <c r="E1733" t="s">
        <v>3756</v>
      </c>
      <c r="F1733" t="s">
        <v>3757</v>
      </c>
      <c r="G1733" t="s">
        <v>14</v>
      </c>
      <c r="H1733">
             </c>
      <c r="I1733" t="s">
        <v>14</v>
      </c>
      <c r="J1733" t="s">
        <v>242</v>
      </c>
      <c r="K1733" t="s">
        <v>14</v>
      </c>
      <c r="L1733" t="s">
        <v>20</v>
      </c>
      <c r="M1733" t="s">
        <v>3639</v>
      </c>
      <c r="N1733" t="s">
        <v>14</v>
      </c>
    </row>
    <row r="1734" x14ac:dyDescent="0.25">
      <c r="A1734" t="n">
        <v>25</v>
      </c>
      <c r="B1734" t="s">
        <v>14</v>
      </c>
      <c r="C1734" t="s">
        <v>51</v>
      </c>
      <c r="D1734" s="2" t="s">
        <f>=HYPERLINK("https://main.knesset.gov.il/APPS/legislation/main/bills/2229743", "הצעת חוק קידום הביטחון התזונתי בישראל, התשפ""ה-2025 ")</f>
        <v>3758</v>
      </c>
      <c r="E1734" t="s">
        <v>3758</v>
      </c>
      <c r="F1734" t="s">
        <v>3759</v>
      </c>
      <c r="G1734" t="s">
        <v>14</v>
      </c>
      <c r="H1734">
             </c>
      <c r="I1734" t="s">
        <v>14</v>
      </c>
      <c r="J1734" t="s">
        <v>242</v>
      </c>
      <c r="K1734" t="s">
        <v>14</v>
      </c>
      <c r="L1734" t="s">
        <v>20</v>
      </c>
      <c r="M1734" t="s">
        <v>3639</v>
      </c>
      <c r="N1734" t="s">
        <v>14</v>
      </c>
    </row>
    <row r="1735" x14ac:dyDescent="0.25">
      <c r="A1735" t="n">
        <v>25</v>
      </c>
      <c r="B1735" t="s">
        <v>14</v>
      </c>
      <c r="C1735" t="s">
        <v>51</v>
      </c>
      <c r="D1735" s="2" t="s">
        <f>=HYPERLINK("https://main.knesset.gov.il/APPS/legislation/main/bills/2230356", "הצעת חוק השיפוט הצבאי (תיקון - בדיקה או חקירה לפני העמדה לדין בעת לחימה), התשפ""ה-2025")</f>
        <v>3760</v>
      </c>
      <c r="E1735" t="s">
        <v>3760</v>
      </c>
      <c r="F1735" t="s">
        <v>3761</v>
      </c>
      <c r="G1735" t="s">
        <v>14</v>
      </c>
      <c r="H1735">
             </c>
      <c r="I1735" t="s">
        <v>14</v>
      </c>
      <c r="J1735" t="s">
        <v>242</v>
      </c>
      <c r="K1735" t="s">
        <v>14</v>
      </c>
      <c r="L1735" t="s">
        <v>20</v>
      </c>
      <c r="M1735" t="s">
        <v>3639</v>
      </c>
      <c r="N1735" t="s">
        <v>14</v>
      </c>
    </row>
    <row r="1736" x14ac:dyDescent="0.25">
      <c r="A1736" t="n">
        <v>25</v>
      </c>
      <c r="B1736" t="s">
        <v>14</v>
      </c>
      <c r="C1736" t="s">
        <v>51</v>
      </c>
      <c r="D1736" s="2" t="s">
        <f>=HYPERLINK("https://main.knesset.gov.il/APPS/legislation/main/bills/2230044", "הצעת חוק הפסקת שידורי גלי צה""ל, התשפ""ה-2025 ")</f>
        <v>3762</v>
      </c>
      <c r="E1736" t="s">
        <v>3762</v>
      </c>
      <c r="F1736" t="s">
        <v>3763</v>
      </c>
      <c r="G1736" t="s">
        <v>14</v>
      </c>
      <c r="H1736">
             </c>
      <c r="I1736" t="s">
        <v>14</v>
      </c>
      <c r="J1736" t="s">
        <v>242</v>
      </c>
      <c r="K1736" t="s">
        <v>14</v>
      </c>
      <c r="L1736" t="s">
        <v>20</v>
      </c>
      <c r="M1736" t="s">
        <v>3639</v>
      </c>
      <c r="N1736" t="s">
        <v>14</v>
      </c>
    </row>
    <row r="1737" x14ac:dyDescent="0.25">
      <c r="A1737" t="n">
        <v>25</v>
      </c>
      <c r="B1737" t="s">
        <v>14</v>
      </c>
      <c r="C1737" t="s">
        <v>51</v>
      </c>
      <c r="D1737" s="2" t="s">
        <f>=HYPERLINK("https://main.knesset.gov.il/APPS/legislation/main/bills/2229738", "הצעת חוק התחרות הכלכלית (תיקון - שינוי דרך מינוי הממונה על התחרות וקביעת תקופת צינון), התשפ""ה-2025")</f>
        <v>3764</v>
      </c>
      <c r="E1737" t="s">
        <v>3764</v>
      </c>
      <c r="F1737" t="s">
        <v>3765</v>
      </c>
      <c r="G1737" t="s">
        <v>14</v>
      </c>
      <c r="H1737">
             </c>
      <c r="I1737" t="s">
        <v>14</v>
      </c>
      <c r="J1737" t="s">
        <v>242</v>
      </c>
      <c r="K1737" t="s">
        <v>14</v>
      </c>
      <c r="L1737" t="s">
        <v>20</v>
      </c>
      <c r="M1737" t="s">
        <v>3639</v>
      </c>
      <c r="N1737" t="s">
        <v>14</v>
      </c>
    </row>
    <row r="1738" x14ac:dyDescent="0.25">
      <c r="A1738" t="n">
        <v>25</v>
      </c>
      <c r="B1738" t="s">
        <v>14</v>
      </c>
      <c r="C1738" t="s">
        <v>51</v>
      </c>
      <c r="D1738" s="2" t="s">
        <f>=HYPERLINK("https://main.knesset.gov.il/APPS/legislation/main/bills/2230440", "הצעת חוק הליכי שפיטה וייצוג של נוער (תיקוני חקיקה), התשפ""ה-2025")</f>
        <v>1857</v>
      </c>
      <c r="E1738" t="s">
        <v>1857</v>
      </c>
      <c r="F1738" t="s">
        <v>3766</v>
      </c>
      <c r="G1738" t="s">
        <v>14</v>
      </c>
      <c r="H1738">
             </c>
      <c r="I1738" t="s">
        <v>14</v>
      </c>
      <c r="J1738" t="s">
        <v>242</v>
      </c>
      <c r="K1738" t="s">
        <v>14</v>
      </c>
      <c r="L1738" t="s">
        <v>20</v>
      </c>
      <c r="M1738" t="s">
        <v>3639</v>
      </c>
      <c r="N1738" t="s">
        <v>14</v>
      </c>
    </row>
    <row r="1739" x14ac:dyDescent="0.25">
      <c r="A1739" t="n">
        <v>25</v>
      </c>
      <c r="B1739" t="s">
        <v>14</v>
      </c>
      <c r="C1739" t="s">
        <v>51</v>
      </c>
      <c r="D1739" s="2" t="s">
        <f>=HYPERLINK("https://main.knesset.gov.il/APPS/legislation/main/bills/2228070", "הצעת חוק שירות המדינה (מינויים) (תיקון - הפסקת כהונת היועץ המשפטי לממשלה), התשפ""ה-2025")</f>
        <v>3767</v>
      </c>
      <c r="E1739" t="s">
        <v>3767</v>
      </c>
      <c r="F1739" t="s">
        <v>3768</v>
      </c>
      <c r="G1739" t="s">
        <v>14</v>
      </c>
      <c r="H1739">
             </c>
      <c r="I1739" t="s">
        <v>14</v>
      </c>
      <c r="J1739" t="s">
        <v>242</v>
      </c>
      <c r="K1739" t="s">
        <v>14</v>
      </c>
      <c r="L1739" t="s">
        <v>20</v>
      </c>
      <c r="M1739" t="s">
        <v>3639</v>
      </c>
      <c r="N1739" t="s">
        <v>14</v>
      </c>
    </row>
    <row r="1740" x14ac:dyDescent="0.25">
      <c r="A1740" t="n">
        <v>25</v>
      </c>
      <c r="B1740" t="s">
        <v>14</v>
      </c>
      <c r="C1740" t="s">
        <v>51</v>
      </c>
      <c r="D1740" s="2" t="s">
        <f>=HYPERLINK("https://main.knesset.gov.il/APPS/legislation/main/bills/2229421", "הצעת חוק פיצויים לבעלי עסקים נפגעי עבודות תשתית מתמשכות, התשפ""ה-2025")</f>
        <v>3769</v>
      </c>
      <c r="E1740" t="s">
        <v>3769</v>
      </c>
      <c r="F1740" t="s">
        <v>3770</v>
      </c>
      <c r="G1740" t="s">
        <v>14</v>
      </c>
      <c r="H1740">
             </c>
      <c r="I1740" t="s">
        <v>14</v>
      </c>
      <c r="J1740" t="s">
        <v>242</v>
      </c>
      <c r="K1740" t="s">
        <v>14</v>
      </c>
      <c r="L1740" t="s">
        <v>20</v>
      </c>
      <c r="M1740" t="s">
        <v>3639</v>
      </c>
      <c r="N1740" t="s">
        <v>14</v>
      </c>
    </row>
    <row r="1741" x14ac:dyDescent="0.25">
      <c r="A1741" t="n">
        <v>25</v>
      </c>
      <c r="B1741" t="s">
        <v>14</v>
      </c>
      <c r="C1741" t="s">
        <v>51</v>
      </c>
      <c r="D1741" s="2" t="s">
        <f>=HYPERLINK("https://main.knesset.gov.il/APPS/legislation/main/bills/2230446", "הצעת חוק חיפוש במקום שהוכרז כאזור מועד לפשיעה אלימה (תיקוני חקיקה), התשפ""ה-2025")</f>
        <v>3371</v>
      </c>
      <c r="E1741" t="s">
        <v>3371</v>
      </c>
      <c r="F1741" t="s">
        <v>3771</v>
      </c>
      <c r="G1741" t="s">
        <v>14</v>
      </c>
      <c r="H1741">
             </c>
      <c r="I1741" t="s">
        <v>14</v>
      </c>
      <c r="J1741" t="s">
        <v>242</v>
      </c>
      <c r="K1741" t="s">
        <v>14</v>
      </c>
      <c r="L1741" t="s">
        <v>20</v>
      </c>
      <c r="M1741" t="s">
        <v>3639</v>
      </c>
      <c r="N1741" t="s">
        <v>14</v>
      </c>
    </row>
    <row r="1742" x14ac:dyDescent="0.25">
      <c r="A1742" t="n">
        <v>25</v>
      </c>
      <c r="B1742" t="s">
        <v>14</v>
      </c>
      <c r="C1742" t="s">
        <v>51</v>
      </c>
      <c r="D1742" s="2" t="s">
        <f>=HYPERLINK("https://main.knesset.gov.il/APPS/legislation/main/bills/2226649", "הצעת חוק הסדרת הטיפול בחופי הכנרת (תיקון - הפרדת איגוד ערים כנרת מרשות ניקוז ונחלים כנרת), התשפ""ה-2025")</f>
        <v>3772</v>
      </c>
      <c r="E1742" t="s">
        <v>3772</v>
      </c>
      <c r="F1742" t="s">
        <v>3773</v>
      </c>
      <c r="G1742" t="s">
        <v>14</v>
      </c>
      <c r="H1742">
             </c>
      <c r="I1742" t="s">
        <v>14</v>
      </c>
      <c r="J1742" t="s">
        <v>242</v>
      </c>
      <c r="K1742" t="s">
        <v>14</v>
      </c>
      <c r="L1742" t="s">
        <v>20</v>
      </c>
      <c r="M1742" t="s">
        <v>3639</v>
      </c>
      <c r="N1742" t="s">
        <v>14</v>
      </c>
    </row>
    <row r="1743" x14ac:dyDescent="0.25">
      <c r="A1743" t="n">
        <v>25</v>
      </c>
      <c r="B1743" t="s">
        <v>14</v>
      </c>
      <c r="C1743" t="s">
        <v>51</v>
      </c>
      <c r="D1743" s="2" t="s">
        <f>=HYPERLINK("https://main.knesset.gov.il/APPS/legislation/main/bills/2230393", "הצעת חוק חדלות פירעון ושיקום כלכלי (תיקון - העלאת סף החובות לניהול הליך ברשות האכיפה והגבייה), התשפ""ה-2025")</f>
        <v>3774</v>
      </c>
      <c r="E1743" t="s">
        <v>3774</v>
      </c>
      <c r="F1743" t="s">
        <v>3775</v>
      </c>
      <c r="G1743" t="s">
        <v>14</v>
      </c>
      <c r="H1743">
             </c>
      <c r="I1743" t="s">
        <v>14</v>
      </c>
      <c r="J1743" t="s">
        <v>242</v>
      </c>
      <c r="K1743" t="s">
        <v>14</v>
      </c>
      <c r="L1743" t="s">
        <v>20</v>
      </c>
      <c r="M1743" t="s">
        <v>3639</v>
      </c>
      <c r="N1743" t="s">
        <v>14</v>
      </c>
    </row>
    <row r="1744" x14ac:dyDescent="0.25">
      <c r="A1744" t="n">
        <v>25</v>
      </c>
      <c r="B1744" t="s">
        <v>14</v>
      </c>
      <c r="C1744" t="s">
        <v>51</v>
      </c>
      <c r="D1744" s="2" t="s">
        <f>=HYPERLINK("https://main.knesset.gov.il/APPS/legislation/main/bills/2230156", "הצעת חוק משפחות חיילים שנספו במערכה (תגמולים ושיקום) (תיקון - הרחבת הסיוע של התערבות לרווחה רגשית), התשפ""ה-2025")</f>
        <v>3776</v>
      </c>
      <c r="E1744" t="s">
        <v>3776</v>
      </c>
      <c r="F1744" t="s">
        <v>3777</v>
      </c>
      <c r="G1744" t="s">
        <v>14</v>
      </c>
      <c r="H1744">
             </c>
      <c r="I1744" t="s">
        <v>14</v>
      </c>
      <c r="J1744" t="s">
        <v>242</v>
      </c>
      <c r="K1744" t="s">
        <v>14</v>
      </c>
      <c r="L1744" t="s">
        <v>20</v>
      </c>
      <c r="M1744" t="s">
        <v>3639</v>
      </c>
      <c r="N1744" t="s">
        <v>14</v>
      </c>
    </row>
    <row r="1745" x14ac:dyDescent="0.25">
      <c r="A1745" t="n">
        <v>25</v>
      </c>
      <c r="B1745" t="s">
        <v>14</v>
      </c>
      <c r="C1745" t="s">
        <v>51</v>
      </c>
      <c r="D1745" s="2" t="s">
        <f>=HYPERLINK("https://main.knesset.gov.il/APPS/legislation/main/bills/2230236", "הצעת חוק העונשין (תיקון - היזק בזדון לכלי עבודה), התשפ""ה-2025")</f>
        <v>3778</v>
      </c>
      <c r="E1745" t="s">
        <v>3778</v>
      </c>
      <c r="F1745" t="s">
        <v>3779</v>
      </c>
      <c r="G1745" t="s">
        <v>14</v>
      </c>
      <c r="H1745">
             </c>
      <c r="I1745" t="s">
        <v>14</v>
      </c>
      <c r="J1745" t="s">
        <v>242</v>
      </c>
      <c r="K1745" t="s">
        <v>14</v>
      </c>
      <c r="L1745" t="s">
        <v>20</v>
      </c>
      <c r="M1745" t="s">
        <v>3639</v>
      </c>
      <c r="N1745" t="s">
        <v>14</v>
      </c>
    </row>
    <row r="1746" x14ac:dyDescent="0.25">
      <c r="A1746" t="n">
        <v>25</v>
      </c>
      <c r="B1746" t="s">
        <v>14</v>
      </c>
      <c r="C1746" t="s">
        <v>51</v>
      </c>
      <c r="D1746" s="2" t="s">
        <f>=HYPERLINK("https://main.knesset.gov.il/APPS/legislation/main/bills/2229758", "הצעת חוק הממשלה (תיקון - דיווח על מצב רפואי של חבר ועדת השרים לענייני ביטחון לאומי), התשפ""ה-2025")</f>
        <v>3780</v>
      </c>
      <c r="E1746" t="s">
        <v>3780</v>
      </c>
      <c r="F1746" t="s">
        <v>3781</v>
      </c>
      <c r="G1746" t="s">
        <v>14</v>
      </c>
      <c r="H1746">
             </c>
      <c r="I1746" t="s">
        <v>14</v>
      </c>
      <c r="J1746" t="s">
        <v>242</v>
      </c>
      <c r="K1746" t="s">
        <v>14</v>
      </c>
      <c r="L1746" t="s">
        <v>20</v>
      </c>
      <c r="M1746" t="s">
        <v>3639</v>
      </c>
      <c r="N1746" t="s">
        <v>14</v>
      </c>
    </row>
    <row r="1747" x14ac:dyDescent="0.25">
      <c r="A1747" t="n">
        <v>25</v>
      </c>
      <c r="B1747" t="s">
        <v>14</v>
      </c>
      <c r="C1747" t="s">
        <v>51</v>
      </c>
      <c r="D1747" s="2" t="s">
        <f>=HYPERLINK("https://main.knesset.gov.il/APPS/legislation/main/bills/2229702", "הצעת חוק אוויר נקי (תיקון - איסור שימוש בתנורים המוסקים בדלק מוצק), התשפ""ה-2025")</f>
        <v>3595</v>
      </c>
      <c r="E1747" t="s">
        <v>3595</v>
      </c>
      <c r="F1747" t="s">
        <v>3782</v>
      </c>
      <c r="G1747" t="s">
        <v>14</v>
      </c>
      <c r="H1747">
             </c>
      <c r="I1747" t="s">
        <v>14</v>
      </c>
      <c r="J1747" t="s">
        <v>242</v>
      </c>
      <c r="K1747" t="s">
        <v>14</v>
      </c>
      <c r="L1747" t="s">
        <v>20</v>
      </c>
      <c r="M1747" t="s">
        <v>3639</v>
      </c>
      <c r="N1747" t="s">
        <v>14</v>
      </c>
    </row>
    <row r="1748" x14ac:dyDescent="0.25">
      <c r="A1748" t="n">
        <v>25</v>
      </c>
      <c r="B1748" t="s">
        <v>14</v>
      </c>
      <c r="C1748" t="s">
        <v>51</v>
      </c>
      <c r="D1748" s="2" t="s">
        <f>=HYPERLINK("https://main.knesset.gov.il/APPS/legislation/main/bills/2229608", "הצעת חוק שעות עבודה ומנוחה (תיקון - קיצור יום עבודה בחודש הרמדאן), התשפ""ה-2025")</f>
        <v>3783</v>
      </c>
      <c r="E1748" t="s">
        <v>3783</v>
      </c>
      <c r="F1748" t="s">
        <v>3784</v>
      </c>
      <c r="G1748" t="s">
        <v>14</v>
      </c>
      <c r="H1748">
             </c>
      <c r="I1748" t="s">
        <v>14</v>
      </c>
      <c r="J1748" t="s">
        <v>242</v>
      </c>
      <c r="K1748" t="s">
        <v>14</v>
      </c>
      <c r="L1748" t="s">
        <v>20</v>
      </c>
      <c r="M1748" t="s">
        <v>3639</v>
      </c>
      <c r="N1748" t="s">
        <v>14</v>
      </c>
    </row>
    <row r="1749" x14ac:dyDescent="0.25">
      <c r="A1749" t="n">
        <v>25</v>
      </c>
      <c r="B1749" t="s">
        <v>14</v>
      </c>
      <c r="C1749" t="s">
        <v>51</v>
      </c>
      <c r="D1749" s="2" t="s">
        <f>=HYPERLINK("https://main.knesset.gov.il/APPS/legislation/main/bills/2227410", "הצעת חוק לתיקון פקודת הרוקחים (רכישת תרופות על ידי קטין מגיל 15), התשפ""ה-2025")</f>
        <v>2956</v>
      </c>
      <c r="E1749" t="s">
        <v>2956</v>
      </c>
      <c r="F1749" t="s">
        <v>3785</v>
      </c>
      <c r="G1749" t="s">
        <v>14</v>
      </c>
      <c r="H1749">
             </c>
      <c r="I1749" t="s">
        <v>14</v>
      </c>
      <c r="J1749" t="s">
        <v>242</v>
      </c>
      <c r="K1749" t="s">
        <v>14</v>
      </c>
      <c r="L1749" t="s">
        <v>20</v>
      </c>
      <c r="M1749" t="s">
        <v>3639</v>
      </c>
      <c r="N1749" t="s">
        <v>14</v>
      </c>
    </row>
    <row r="1750" x14ac:dyDescent="0.25">
      <c r="A1750" t="n">
        <v>25</v>
      </c>
      <c r="B1750" t="s">
        <v>14</v>
      </c>
      <c r="C1750" t="s">
        <v>51</v>
      </c>
      <c r="D1750" s="2" t="s">
        <f>=HYPERLINK("https://main.knesset.gov.il/APPS/legislation/main/bills/2230023", "הצעת חוק נכי רדיפות הנאצים (תיקון - קביעת אחוזי נכות מינימליים), התשפ""ה-2025")</f>
        <v>3786</v>
      </c>
      <c r="E1750" t="s">
        <v>3786</v>
      </c>
      <c r="F1750" t="s">
        <v>3787</v>
      </c>
      <c r="G1750" t="s">
        <v>14</v>
      </c>
      <c r="H1750">
             </c>
      <c r="I1750" t="s">
        <v>14</v>
      </c>
      <c r="J1750" t="s">
        <v>242</v>
      </c>
      <c r="K1750" t="s">
        <v>14</v>
      </c>
      <c r="L1750" t="s">
        <v>20</v>
      </c>
      <c r="M1750" t="s">
        <v>3639</v>
      </c>
      <c r="N1750" t="s">
        <v>14</v>
      </c>
    </row>
    <row r="1751" x14ac:dyDescent="0.25">
      <c r="A1751" t="n">
        <v>25</v>
      </c>
      <c r="B1751" t="s">
        <v>14</v>
      </c>
      <c r="C1751" t="s">
        <v>51</v>
      </c>
      <c r="D1751" s="2" t="s">
        <f>=HYPERLINK("https://main.knesset.gov.il/APPS/legislation/main/bills/2229189", "הצעת חוק הביטוח הלאומי (תיקון - תשלום גמלת סיעוד לרווק או אלמן שהגיע לגיל 75), התשפ""ה-2025")</f>
        <v>3788</v>
      </c>
      <c r="E1751" t="s">
        <v>3788</v>
      </c>
      <c r="F1751" t="s">
        <v>3789</v>
      </c>
      <c r="G1751" t="s">
        <v>14</v>
      </c>
      <c r="H1751">
             </c>
      <c r="I1751" t="s">
        <v>14</v>
      </c>
      <c r="J1751" t="s">
        <v>242</v>
      </c>
      <c r="K1751" t="s">
        <v>14</v>
      </c>
      <c r="L1751" t="s">
        <v>20</v>
      </c>
      <c r="M1751" t="s">
        <v>3639</v>
      </c>
      <c r="N1751" t="s">
        <v>14</v>
      </c>
    </row>
    <row r="1752" x14ac:dyDescent="0.25">
      <c r="A1752" t="n">
        <v>25</v>
      </c>
      <c r="B1752" t="s">
        <v>14</v>
      </c>
      <c r="C1752" t="s">
        <v>51</v>
      </c>
      <c r="D1752" s="2" t="s">
        <f>=HYPERLINK("https://main.knesset.gov.il/APPS/legislation/main/bills/2229312", "הצעת חוק לימוד חובה (תיקון - חינוך חינם לגיל הרך), התשפ""ה-2025")</f>
        <v>3790</v>
      </c>
      <c r="E1752" t="s">
        <v>3790</v>
      </c>
      <c r="F1752" t="s">
        <v>3791</v>
      </c>
      <c r="G1752" t="s">
        <v>14</v>
      </c>
      <c r="H1752">
             </c>
      <c r="I1752" t="s">
        <v>14</v>
      </c>
      <c r="J1752" t="s">
        <v>242</v>
      </c>
      <c r="K1752" t="s">
        <v>14</v>
      </c>
      <c r="L1752" t="s">
        <v>20</v>
      </c>
      <c r="M1752" t="s">
        <v>3639</v>
      </c>
      <c r="N1752" t="s">
        <v>14</v>
      </c>
    </row>
    <row r="1753" x14ac:dyDescent="0.25">
      <c r="A1753" t="n">
        <v>25</v>
      </c>
      <c r="B1753" t="s">
        <v>14</v>
      </c>
      <c r="C1753" t="s">
        <v>51</v>
      </c>
      <c r="D1753" s="2" t="s">
        <f>=HYPERLINK("https://main.knesset.gov.il/APPS/legislation/main/bills/2229813", "הצעת חוק מס קנייה (טובין ושירותים) (תיקון - מס קצוב על טבק ומוצריו), התשפ""ה-2025")</f>
        <v>3792</v>
      </c>
      <c r="E1753" t="s">
        <v>3792</v>
      </c>
      <c r="F1753" t="s">
        <v>3793</v>
      </c>
      <c r="G1753" t="s">
        <v>14</v>
      </c>
      <c r="H1753">
             </c>
      <c r="I1753" t="s">
        <v>14</v>
      </c>
      <c r="J1753" t="s">
        <v>242</v>
      </c>
      <c r="K1753" t="s">
        <v>14</v>
      </c>
      <c r="L1753" t="s">
        <v>20</v>
      </c>
      <c r="M1753" t="s">
        <v>3639</v>
      </c>
      <c r="N1753" t="s">
        <v>14</v>
      </c>
    </row>
    <row r="1754" x14ac:dyDescent="0.25">
      <c r="A1754" t="n">
        <v>25</v>
      </c>
      <c r="B1754" t="s">
        <v>14</v>
      </c>
      <c r="C1754" t="s">
        <v>51</v>
      </c>
      <c r="D1754" s="2" t="s">
        <f>=HYPERLINK("https://main.knesset.gov.il/APPS/legislation/main/bills/2230423", "הצעת חוק הביטוח הלאומי (תיקון - עבודה בגן ילדים כעבודה מועדפת), התשפ""ה-2025")</f>
        <v>3794</v>
      </c>
      <c r="E1754" t="s">
        <v>3794</v>
      </c>
      <c r="F1754" t="s">
        <v>3795</v>
      </c>
      <c r="G1754" t="s">
        <v>14</v>
      </c>
      <c r="H1754">
             </c>
      <c r="I1754" t="s">
        <v>14</v>
      </c>
      <c r="J1754" t="s">
        <v>242</v>
      </c>
      <c r="K1754" t="s">
        <v>14</v>
      </c>
      <c r="L1754" t="s">
        <v>20</v>
      </c>
      <c r="M1754" t="s">
        <v>3639</v>
      </c>
      <c r="N1754" t="s">
        <v>14</v>
      </c>
    </row>
    <row r="1755" x14ac:dyDescent="0.25">
      <c r="A1755" t="n">
        <v>25</v>
      </c>
      <c r="B1755" t="s">
        <v>14</v>
      </c>
      <c r="C1755" t="s">
        <v>51</v>
      </c>
      <c r="D1755" s="2" t="s">
        <f>=HYPERLINK("https://main.knesset.gov.il/APPS/legislation/main/bills/2230436", "הצעת חוק לתיקון פקודת התעבורה (חובת הפעלת קווי תחבורה ציבורית ישירים לבתי חולים), התשפ""ה-2025")</f>
        <v>3796</v>
      </c>
      <c r="E1755" t="s">
        <v>3796</v>
      </c>
      <c r="F1755" t="s">
        <v>3797</v>
      </c>
      <c r="G1755" t="s">
        <v>14</v>
      </c>
      <c r="H1755">
             </c>
      <c r="I1755" t="s">
        <v>14</v>
      </c>
      <c r="J1755" t="s">
        <v>242</v>
      </c>
      <c r="K1755" t="s">
        <v>14</v>
      </c>
      <c r="L1755" t="s">
        <v>20</v>
      </c>
      <c r="M1755" t="s">
        <v>3639</v>
      </c>
      <c r="N1755" t="s">
        <v>14</v>
      </c>
    </row>
    <row r="1756" x14ac:dyDescent="0.25">
      <c r="A1756" t="n">
        <v>25</v>
      </c>
      <c r="B1756" t="s">
        <v>14</v>
      </c>
      <c r="C1756" t="s">
        <v>51</v>
      </c>
      <c r="D1756" s="2" t="s">
        <f>=HYPERLINK("https://main.knesset.gov.il/APPS/legislation/main/bills/2230300", "הצעת חוק העונשין (תיקון - עבירות זיוף עמוק), התשפ""ה-2025")</f>
        <v>3798</v>
      </c>
      <c r="E1756" t="s">
        <v>3798</v>
      </c>
      <c r="F1756" t="s">
        <v>3799</v>
      </c>
      <c r="G1756" t="s">
        <v>14</v>
      </c>
      <c r="H1756">
             </c>
      <c r="I1756" t="s">
        <v>14</v>
      </c>
      <c r="J1756" t="s">
        <v>242</v>
      </c>
      <c r="K1756" t="s">
        <v>14</v>
      </c>
      <c r="L1756" t="s">
        <v>20</v>
      </c>
      <c r="M1756" t="s">
        <v>3639</v>
      </c>
      <c r="N1756" t="s">
        <v>14</v>
      </c>
    </row>
    <row r="1757" x14ac:dyDescent="0.25">
      <c r="A1757" t="n">
        <v>25</v>
      </c>
      <c r="B1757" t="s">
        <v>14</v>
      </c>
      <c r="C1757" t="s">
        <v>51</v>
      </c>
      <c r="D1757" s="2" t="s">
        <f>=HYPERLINK("https://main.knesset.gov.il/APPS/legislation/main/bills/2229834", "הצעת חוק דמי מחלה (היעדרות בשל מחלת בן זוג) (תיקון - הרחבת הזכאויות), התשפ""ה-2025")</f>
        <v>3800</v>
      </c>
      <c r="E1757" t="s">
        <v>3800</v>
      </c>
      <c r="F1757" t="s">
        <v>3801</v>
      </c>
      <c r="G1757" t="s">
        <v>14</v>
      </c>
      <c r="H1757">
             </c>
      <c r="I1757" t="s">
        <v>14</v>
      </c>
      <c r="J1757" t="s">
        <v>242</v>
      </c>
      <c r="K1757" t="s">
        <v>14</v>
      </c>
      <c r="L1757" t="s">
        <v>20</v>
      </c>
      <c r="M1757" t="s">
        <v>3639</v>
      </c>
      <c r="N1757" t="s">
        <v>14</v>
      </c>
    </row>
    <row r="1758" x14ac:dyDescent="0.25">
      <c r="A1758" t="n">
        <v>25</v>
      </c>
      <c r="B1758" t="s">
        <v>14</v>
      </c>
      <c r="C1758" t="s">
        <v>51</v>
      </c>
      <c r="D1758" s="2" t="s">
        <f>=HYPERLINK("https://main.knesset.gov.il/APPS/legislation/main/bills/2221381", "הצעת חוק לתיקון פקודת הרוקחים (סימון אזהרה על שמן שיזוף), התשפ""ה-2025 ")</f>
        <v>3802</v>
      </c>
      <c r="E1758" t="s">
        <v>3802</v>
      </c>
      <c r="F1758" t="s">
        <v>3803</v>
      </c>
      <c r="G1758" t="s">
        <v>14</v>
      </c>
      <c r="H1758">
             </c>
      <c r="I1758" t="s">
        <v>14</v>
      </c>
      <c r="J1758" t="s">
        <v>242</v>
      </c>
      <c r="K1758" t="s">
        <v>14</v>
      </c>
      <c r="L1758" t="s">
        <v>20</v>
      </c>
      <c r="M1758" t="s">
        <v>3639</v>
      </c>
      <c r="N1758" t="s">
        <v>14</v>
      </c>
    </row>
    <row r="1759" x14ac:dyDescent="0.25">
      <c r="A1759" t="n">
        <v>25</v>
      </c>
      <c r="B1759" t="s">
        <v>14</v>
      </c>
      <c r="C1759" t="s">
        <v>51</v>
      </c>
      <c r="D1759" s="2" t="s">
        <f>=HYPERLINK("https://main.knesset.gov.il/APPS/legislation/main/bills/2229632", "הצעת חוק מרשם האוכלוסין (תיקון - הוספת צו הורות לרשימת מסירת העתקים של פסקי דין והצהרות), התשפ""ה-2025")</f>
        <v>3804</v>
      </c>
      <c r="E1759" t="s">
        <v>3804</v>
      </c>
      <c r="F1759" t="s">
        <v>3805</v>
      </c>
      <c r="G1759" t="s">
        <v>14</v>
      </c>
      <c r="H1759">
             </c>
      <c r="I1759" t="s">
        <v>14</v>
      </c>
      <c r="J1759" t="s">
        <v>242</v>
      </c>
      <c r="K1759" t="s">
        <v>14</v>
      </c>
      <c r="L1759" t="s">
        <v>20</v>
      </c>
      <c r="M1759" t="s">
        <v>3639</v>
      </c>
      <c r="N1759" t="s">
        <v>14</v>
      </c>
    </row>
    <row r="1760" x14ac:dyDescent="0.25">
      <c r="A1760" t="n">
        <v>25</v>
      </c>
      <c r="B1760" t="s">
        <v>14</v>
      </c>
      <c r="C1760" t="s">
        <v>51</v>
      </c>
      <c r="D1760" s="2" t="s">
        <f>=HYPERLINK("https://main.knesset.gov.il/APPS/legislation/main/bills/2229613", "הצעת חוק סיוע לתושבי הצפון שלא פונו מבתיהם (תיקוני חקיקה), התשפ""ה-2025")</f>
        <v>3806</v>
      </c>
      <c r="E1760" t="s">
        <v>3806</v>
      </c>
      <c r="F1760" t="s">
        <v>3807</v>
      </c>
      <c r="G1760" t="s">
        <v>14</v>
      </c>
      <c r="H1760">
             </c>
      <c r="I1760" t="s">
        <v>14</v>
      </c>
      <c r="J1760" t="s">
        <v>242</v>
      </c>
      <c r="K1760" t="s">
        <v>14</v>
      </c>
      <c r="L1760" t="s">
        <v>20</v>
      </c>
      <c r="M1760" t="s">
        <v>3639</v>
      </c>
      <c r="N1760" t="s">
        <v>14</v>
      </c>
    </row>
    <row r="1761" x14ac:dyDescent="0.25">
      <c r="A1761" t="n">
        <v>25</v>
      </c>
      <c r="B1761" t="s">
        <v>14</v>
      </c>
      <c r="C1761" t="s">
        <v>15</v>
      </c>
      <c r="D1761" s="2" t="s">
        <f>=HYPERLINK("https://main.knesset.gov.il/APPS/legislation/main/bills/2230633", "הצעת חוק לתיקון פקודת העיריות (מס' 159) (גמול והחזר הוצאות לחבר המועצה), התשפ""ה-2025 ")</f>
        <v>3808</v>
      </c>
      <c r="E1761" t="s">
        <v>3808</v>
      </c>
      <c r="F1761" t="s">
        <v>14</v>
      </c>
      <c r="G1761" t="s">
        <v>3809</v>
      </c>
      <c r="H1761">
             </c>
      <c r="I1761" t="s">
        <v>14</v>
      </c>
      <c r="J1761" t="s">
        <v>162</v>
      </c>
      <c r="K1761" t="s">
        <v>14</v>
      </c>
      <c r="L1761" t="s">
        <v>20</v>
      </c>
      <c r="M1761" t="s">
        <v>3639</v>
      </c>
      <c r="N1761" t="s">
        <v>14</v>
      </c>
    </row>
    <row r="1762" x14ac:dyDescent="0.25">
      <c r="A1762" t="n">
        <v>25</v>
      </c>
      <c r="B1762" t="s">
        <v>14</v>
      </c>
      <c r="C1762" t="s">
        <v>15</v>
      </c>
      <c r="D1762" s="2" t="s">
        <f>=HYPERLINK("https://main.knesset.gov.il/APPS/legislation/main/bills/2230634", "הצעת חוק התמודדות עם תופעת עבירות נשק (תיקוני חקיקה והוראת שעה), התשפ""ה-2025 ")</f>
        <v>3810</v>
      </c>
      <c r="E1762" t="s">
        <v>3810</v>
      </c>
      <c r="F1762" t="s">
        <v>14</v>
      </c>
      <c r="G1762" t="s">
        <v>3811</v>
      </c>
      <c r="H1762">
             </c>
      <c r="I1762" t="s">
        <v>14</v>
      </c>
      <c r="J1762" t="s">
        <v>162</v>
      </c>
      <c r="K1762" t="s">
        <v>14</v>
      </c>
      <c r="L1762" t="s">
        <v>20</v>
      </c>
      <c r="M1762" t="s">
        <v>3639</v>
      </c>
      <c r="N1762" t="s">
        <v>14</v>
      </c>
    </row>
    <row r="1763" x14ac:dyDescent="0.25">
      <c r="A1763" t="n">
        <v>25</v>
      </c>
      <c r="B1763" t="s">
        <v>14</v>
      </c>
      <c r="C1763" t="s">
        <v>20</v>
      </c>
      <c r="D1763" s="2" t="s">
        <f>=HYPERLINK("https://main.knesset.gov.il/APPS/legislation/main/bills/2201202", "חוק בתי המשפט (תיקון מס' 105), התשפ""ה-2025")</f>
        <v>3812</v>
      </c>
      <c r="E1763" t="s">
        <v>3812</v>
      </c>
      <c r="F1763" t="s">
        <v>14</v>
      </c>
      <c r="G1763" t="s">
        <v>3813</v>
      </c>
      <c r="H1763" t="n">
        <v>3389</v>
      </c>
      <c r="I1763" t="s">
        <v>14</v>
      </c>
      <c r="J1763" t="s">
        <v>18</v>
      </c>
      <c r="K1763" t="s">
        <v>27</v>
      </c>
      <c r="L1763" t="s">
        <v>20</v>
      </c>
      <c r="M1763" t="s">
        <v>3814</v>
      </c>
      <c r="N1763" t="s">
        <v>3815</v>
      </c>
    </row>
    <row r="1764" x14ac:dyDescent="0.25">
      <c r="A1764" t="n">
        <v>25</v>
      </c>
      <c r="B1764" t="s">
        <v>14</v>
      </c>
      <c r="C1764" t="s">
        <v>20</v>
      </c>
      <c r="D1764" s="2" t="s">
        <f>=HYPERLINK("https://main.knesset.gov.il/APPS/legislation/main/bills/2201200", "חוק-יסוד: השפיטה (תיקון מס' 4) ")</f>
        <v>3816</v>
      </c>
      <c r="E1764" t="s">
        <v>3816</v>
      </c>
      <c r="F1764" t="s">
        <v>14</v>
      </c>
      <c r="G1764" t="s">
        <v>3813</v>
      </c>
      <c r="H1764" t="n">
        <v>3388</v>
      </c>
      <c r="I1764" t="s">
        <v>14</v>
      </c>
      <c r="J1764" t="s">
        <v>18</v>
      </c>
      <c r="K1764" t="s">
        <v>27</v>
      </c>
      <c r="L1764" t="s">
        <v>20</v>
      </c>
      <c r="M1764" t="s">
        <v>3814</v>
      </c>
      <c r="N1764" t="s">
        <v>3817</v>
      </c>
    </row>
    <row r="1765" x14ac:dyDescent="0.25">
      <c r="A1765" t="n">
        <v>25</v>
      </c>
      <c r="B1765" t="s">
        <v>14</v>
      </c>
      <c r="C1765" t="s">
        <v>51</v>
      </c>
      <c r="D1765" s="2" t="s">
        <f>=HYPERLINK("https://main.knesset.gov.il/APPS/legislation/main/bills/2223362", "הצעת חוק הקמת שדה תעופה בנבטים (הוראות מיוחדות), התשפ""ה–2025")</f>
        <v>3818</v>
      </c>
      <c r="E1765" t="s">
        <v>3818</v>
      </c>
      <c r="F1765" t="s">
        <v>3819</v>
      </c>
      <c r="G1765" t="s">
        <v>3820</v>
      </c>
      <c r="H1765">
             </c>
      <c r="I1765" t="s">
        <v>166</v>
      </c>
      <c r="J1765" t="s">
        <v>180</v>
      </c>
      <c r="K1765" t="s">
        <v>84</v>
      </c>
      <c r="L1765" t="s">
        <v>20</v>
      </c>
      <c r="M1765" t="s">
        <v>3814</v>
      </c>
      <c r="N1765" t="s">
        <v>14</v>
      </c>
    </row>
    <row r="1766" x14ac:dyDescent="0.25">
      <c r="A1766" t="n">
        <v>25</v>
      </c>
      <c r="B1766" t="s">
        <v>14</v>
      </c>
      <c r="C1766" t="s">
        <v>51</v>
      </c>
      <c r="D1766" s="2" t="s">
        <f>=HYPERLINK("https://main.knesset.gov.il/APPS/legislation/main/bills/2207030", "הצעת חוק הרשויות המקומיות (ניהול סיכונים תאגידי), התשפ""ג-2023 ")</f>
        <v>3821</v>
      </c>
      <c r="E1766" t="s">
        <v>3821</v>
      </c>
      <c r="F1766" t="s">
        <v>3822</v>
      </c>
      <c r="G1766" t="s">
        <v>14</v>
      </c>
      <c r="H1766">
             </c>
      <c r="I1766" t="s">
        <v>14</v>
      </c>
      <c r="J1766" t="s">
        <v>152</v>
      </c>
      <c r="K1766" t="s">
        <v>30</v>
      </c>
      <c r="L1766" t="s">
        <v>20</v>
      </c>
      <c r="M1766" t="s">
        <v>3823</v>
      </c>
      <c r="N1766" t="s">
        <v>14</v>
      </c>
    </row>
    <row r="1767" x14ac:dyDescent="0.25">
      <c r="A1767" t="n">
        <v>25</v>
      </c>
      <c r="B1767" t="s">
        <v>14</v>
      </c>
      <c r="C1767" t="s">
        <v>15</v>
      </c>
      <c r="D1767" s="2" t="s">
        <f>=HYPERLINK("https://main.knesset.gov.il/APPS/legislation/main/bills/2224903", "חוק התקציב לשנת הכספים 2025, התשפ""ה-2025 ")</f>
        <v>3824</v>
      </c>
      <c r="E1767" t="s">
        <v>3824</v>
      </c>
      <c r="F1767" t="s">
        <v>14</v>
      </c>
      <c r="G1767" t="s">
        <v>3825</v>
      </c>
      <c r="H1767" t="n">
        <v>3409</v>
      </c>
      <c r="I1767" t="s">
        <v>14</v>
      </c>
      <c r="J1767" t="s">
        <v>18</v>
      </c>
      <c r="K1767" t="s">
        <v>24</v>
      </c>
      <c r="L1767" t="s">
        <v>20</v>
      </c>
      <c r="M1767" t="s">
        <v>3826</v>
      </c>
      <c r="N1767" t="s">
        <v>3827</v>
      </c>
    </row>
    <row r="1768" x14ac:dyDescent="0.25">
      <c r="A1768" t="n">
        <v>25</v>
      </c>
      <c r="B1768" t="s">
        <v>14</v>
      </c>
      <c r="C1768" t="s">
        <v>51</v>
      </c>
      <c r="D1768" s="2" t="s">
        <f>=HYPERLINK("https://main.knesset.gov.il/APPS/legislation/main/bills/2230152", "הצעת חוק הביטוח הלאומי (תיקון - הצמדת קצבת נכות מעבודה לשכר הממוצע במשק), התשפ""ה-2025")</f>
        <v>3398</v>
      </c>
      <c r="E1768" t="s">
        <v>3398</v>
      </c>
      <c r="F1768" t="s">
        <v>3828</v>
      </c>
      <c r="G1768" t="s">
        <v>14</v>
      </c>
      <c r="H1768">
             </c>
      <c r="I1768" t="s">
        <v>14</v>
      </c>
      <c r="J1768" t="s">
        <v>242</v>
      </c>
      <c r="K1768" t="s">
        <v>14</v>
      </c>
      <c r="L1768" t="s">
        <v>20</v>
      </c>
      <c r="M1768" t="s">
        <v>3826</v>
      </c>
      <c r="N1768" t="s">
        <v>14</v>
      </c>
    </row>
    <row r="1769" x14ac:dyDescent="0.25">
      <c r="A1769" t="n">
        <v>25</v>
      </c>
      <c r="B1769" t="s">
        <v>14</v>
      </c>
      <c r="C1769" t="s">
        <v>51</v>
      </c>
      <c r="D1769" s="2" t="s">
        <f>=HYPERLINK("https://main.knesset.gov.il/APPS/legislation/main/bills/2230265", "הצעת חוק תשלומים לפדויי שבי ולחטופים ששוחררו (תיקון - הרחבת הזכאויות לחטופים ששוחררו), התשפ""ה-2025")</f>
        <v>3829</v>
      </c>
      <c r="E1769" t="s">
        <v>3829</v>
      </c>
      <c r="F1769" t="s">
        <v>3830</v>
      </c>
      <c r="G1769" t="s">
        <v>14</v>
      </c>
      <c r="H1769">
             </c>
      <c r="I1769" t="s">
        <v>14</v>
      </c>
      <c r="J1769" t="s">
        <v>242</v>
      </c>
      <c r="K1769" t="s">
        <v>14</v>
      </c>
      <c r="L1769" t="s">
        <v>20</v>
      </c>
      <c r="M1769" t="s">
        <v>3826</v>
      </c>
      <c r="N1769" t="s">
        <v>14</v>
      </c>
    </row>
    <row r="1770" x14ac:dyDescent="0.25">
      <c r="A1770" t="n">
        <v>25</v>
      </c>
      <c r="B1770" t="s">
        <v>14</v>
      </c>
      <c r="C1770" t="s">
        <v>51</v>
      </c>
      <c r="D1770" s="2" t="s">
        <f>=HYPERLINK("https://main.knesset.gov.il/APPS/legislation/main/bills/2224785", "הצעת חוק חיוב ספק תכנים בהשקעה בהפקות מקומיות, התשפ""ה-2025")</f>
        <v>3831</v>
      </c>
      <c r="E1770" t="s">
        <v>3831</v>
      </c>
      <c r="F1770" t="s">
        <v>3832</v>
      </c>
      <c r="G1770" t="s">
        <v>14</v>
      </c>
      <c r="H1770">
             </c>
      <c r="I1770" t="s">
        <v>14</v>
      </c>
      <c r="J1770" t="s">
        <v>242</v>
      </c>
      <c r="K1770" t="s">
        <v>14</v>
      </c>
      <c r="L1770" t="s">
        <v>20</v>
      </c>
      <c r="M1770" t="s">
        <v>3826</v>
      </c>
      <c r="N1770" t="s">
        <v>14</v>
      </c>
    </row>
    <row r="1771" x14ac:dyDescent="0.25">
      <c r="A1771" t="n">
        <v>25</v>
      </c>
      <c r="B1771" t="s">
        <v>14</v>
      </c>
      <c r="C1771" t="s">
        <v>51</v>
      </c>
      <c r="D1771" s="2" t="s">
        <f>=HYPERLINK("https://main.knesset.gov.il/APPS/legislation/main/bills/2230159", "הצעת חוק הרשות הלאומית למאבק בסמים ובשימוש לרעה באלכוהול, התשפ""ה-2025")</f>
        <v>1776</v>
      </c>
      <c r="E1771" t="s">
        <v>1776</v>
      </c>
      <c r="F1771" t="s">
        <v>3833</v>
      </c>
      <c r="G1771" t="s">
        <v>14</v>
      </c>
      <c r="H1771">
             </c>
      <c r="I1771" t="s">
        <v>14</v>
      </c>
      <c r="J1771" t="s">
        <v>242</v>
      </c>
      <c r="K1771" t="s">
        <v>14</v>
      </c>
      <c r="L1771" t="s">
        <v>20</v>
      </c>
      <c r="M1771" t="s">
        <v>3826</v>
      </c>
      <c r="N1771" t="s">
        <v>14</v>
      </c>
    </row>
    <row r="1772" x14ac:dyDescent="0.25">
      <c r="A1772" t="n">
        <v>25</v>
      </c>
      <c r="B1772" t="s">
        <v>14</v>
      </c>
      <c r="C1772" t="s">
        <v>51</v>
      </c>
      <c r="D1772" s="2" t="s">
        <f>=HYPERLINK("https://main.knesset.gov.il/APPS/legislation/main/bills/2229454", "הצעת חוק מדיניות שווה באכיפת החוק כלפי מפגינים, התשפ""ה-2025")</f>
        <v>3599</v>
      </c>
      <c r="E1772" t="s">
        <v>3599</v>
      </c>
      <c r="F1772" t="s">
        <v>3834</v>
      </c>
      <c r="G1772" t="s">
        <v>14</v>
      </c>
      <c r="H1772">
             </c>
      <c r="I1772" t="s">
        <v>14</v>
      </c>
      <c r="J1772" t="s">
        <v>242</v>
      </c>
      <c r="K1772" t="s">
        <v>14</v>
      </c>
      <c r="L1772" t="s">
        <v>20</v>
      </c>
      <c r="M1772" t="s">
        <v>3826</v>
      </c>
      <c r="N1772" t="s">
        <v>14</v>
      </c>
    </row>
    <row r="1773" x14ac:dyDescent="0.25">
      <c r="A1773" t="n">
        <v>25</v>
      </c>
      <c r="B1773" t="s">
        <v>14</v>
      </c>
      <c r="C1773" t="s">
        <v>51</v>
      </c>
      <c r="D1773" s="2" t="s">
        <f>=HYPERLINK("https://main.knesset.gov.il/APPS/legislation/main/bills/2229646", "הצעת חוק למאבק באלימות משטרתית (תיקוני חקיקה), התשפ""ה-2025")</f>
        <v>3835</v>
      </c>
      <c r="E1773" t="s">
        <v>3835</v>
      </c>
      <c r="F1773" t="s">
        <v>3836</v>
      </c>
      <c r="G1773" t="s">
        <v>14</v>
      </c>
      <c r="H1773">
             </c>
      <c r="I1773" t="s">
        <v>14</v>
      </c>
      <c r="J1773" t="s">
        <v>242</v>
      </c>
      <c r="K1773" t="s">
        <v>14</v>
      </c>
      <c r="L1773" t="s">
        <v>20</v>
      </c>
      <c r="M1773" t="s">
        <v>3826</v>
      </c>
      <c r="N1773" t="s">
        <v>14</v>
      </c>
    </row>
    <row r="1774" x14ac:dyDescent="0.25">
      <c r="A1774" t="n">
        <v>25</v>
      </c>
      <c r="B1774" t="s">
        <v>14</v>
      </c>
      <c r="C1774" t="s">
        <v>51</v>
      </c>
      <c r="D1774" s="2" t="s">
        <f>=HYPERLINK("https://main.knesset.gov.il/APPS/legislation/main/bills/2229785", "הצעת חוק השיפוט הצבאי (תיקון - דיווח לכנסת על תלונות בגין הטרדות מיניות בצבא הגנה לישראל ועל אופן הטיפול בהן), התשפ""ה-2025")</f>
        <v>3837</v>
      </c>
      <c r="E1774" t="s">
        <v>3837</v>
      </c>
      <c r="F1774" t="s">
        <v>3838</v>
      </c>
      <c r="G1774" t="s">
        <v>14</v>
      </c>
      <c r="H1774">
             </c>
      <c r="I1774" t="s">
        <v>14</v>
      </c>
      <c r="J1774" t="s">
        <v>242</v>
      </c>
      <c r="K1774" t="s">
        <v>14</v>
      </c>
      <c r="L1774" t="s">
        <v>20</v>
      </c>
      <c r="M1774" t="s">
        <v>3826</v>
      </c>
      <c r="N1774" t="s">
        <v>14</v>
      </c>
    </row>
    <row r="1775" x14ac:dyDescent="0.25">
      <c r="A1775" t="n">
        <v>25</v>
      </c>
      <c r="B1775" t="s">
        <v>14</v>
      </c>
      <c r="C1775" t="s">
        <v>51</v>
      </c>
      <c r="D1775" s="2" t="s">
        <f>=HYPERLINK("https://main.knesset.gov.il/APPS/legislation/main/bills/2229279", "הצעת חוק לידה שקטה (תיקוני חקיקה), התשפ""ה-2025")</f>
        <v>3839</v>
      </c>
      <c r="E1775" t="s">
        <v>3839</v>
      </c>
      <c r="F1775" t="s">
        <v>3840</v>
      </c>
      <c r="G1775" t="s">
        <v>14</v>
      </c>
      <c r="H1775">
             </c>
      <c r="I1775" t="s">
        <v>14</v>
      </c>
      <c r="J1775" t="s">
        <v>242</v>
      </c>
      <c r="K1775" t="s">
        <v>14</v>
      </c>
      <c r="L1775" t="s">
        <v>20</v>
      </c>
      <c r="M1775" t="s">
        <v>3826</v>
      </c>
      <c r="N1775" t="s">
        <v>14</v>
      </c>
    </row>
    <row r="1776" x14ac:dyDescent="0.25">
      <c r="A1776" t="n">
        <v>25</v>
      </c>
      <c r="B1776" t="s">
        <v>14</v>
      </c>
      <c r="C1776" t="s">
        <v>51</v>
      </c>
      <c r="D1776" s="2" t="s">
        <f>=HYPERLINK("https://main.knesset.gov.il/APPS/legislation/main/bills/2228801", "הצעת חוק לתיקון פקודת המשטרה (הצבת מערכת צילום ביומטרית לצורך מניעת אלימות במגרשי הספורט) (הוראת שעה), התשפ""ה-2025")</f>
        <v>3386</v>
      </c>
      <c r="E1776" t="s">
        <v>3386</v>
      </c>
      <c r="F1776" t="s">
        <v>3841</v>
      </c>
      <c r="G1776" t="s">
        <v>14</v>
      </c>
      <c r="H1776">
             </c>
      <c r="I1776" t="s">
        <v>14</v>
      </c>
      <c r="J1776" t="s">
        <v>242</v>
      </c>
      <c r="K1776" t="s">
        <v>14</v>
      </c>
      <c r="L1776" t="s">
        <v>20</v>
      </c>
      <c r="M1776" t="s">
        <v>3826</v>
      </c>
      <c r="N1776" t="s">
        <v>14</v>
      </c>
    </row>
    <row r="1777" x14ac:dyDescent="0.25">
      <c r="A1777" t="n">
        <v>25</v>
      </c>
      <c r="B1777" t="s">
        <v>14</v>
      </c>
      <c r="C1777" t="s">
        <v>51</v>
      </c>
      <c r="D1777" s="2" t="s">
        <f>=HYPERLINK("https://main.knesset.gov.il/APPS/legislation/main/bills/2229996", "הצעת חוק לתיקון פקודת מס הכנסה (קרן השתלמות לחקלאי שומר שמיטה), התשפ""ה-2025")</f>
        <v>3842</v>
      </c>
      <c r="E1777" t="s">
        <v>3842</v>
      </c>
      <c r="F1777" t="s">
        <v>3843</v>
      </c>
      <c r="G1777" t="s">
        <v>14</v>
      </c>
      <c r="H1777">
             </c>
      <c r="I1777" t="s">
        <v>14</v>
      </c>
      <c r="J1777" t="s">
        <v>242</v>
      </c>
      <c r="K1777" t="s">
        <v>14</v>
      </c>
      <c r="L1777" t="s">
        <v>20</v>
      </c>
      <c r="M1777" t="s">
        <v>3826</v>
      </c>
      <c r="N1777" t="s">
        <v>14</v>
      </c>
    </row>
    <row r="1778" x14ac:dyDescent="0.25">
      <c r="A1778" t="n">
        <v>25</v>
      </c>
      <c r="B1778" t="s">
        <v>14</v>
      </c>
      <c r="C1778" t="s">
        <v>51</v>
      </c>
      <c r="D1778" s="2" t="s">
        <f>=HYPERLINK("https://main.knesset.gov.il/APPS/legislation/main/bills/2229829", "הצעת חוק הפיקוח על שירותים פיננסיים (קופות גמל) (תיקון - הוראות לשמירת זכויות פנסיוניות למשרתי מילואים), התשפ""ה-2025")</f>
        <v>3844</v>
      </c>
      <c r="E1778" t="s">
        <v>3844</v>
      </c>
      <c r="F1778" t="s">
        <v>3845</v>
      </c>
      <c r="G1778" t="s">
        <v>14</v>
      </c>
      <c r="H1778">
             </c>
      <c r="I1778" t="s">
        <v>14</v>
      </c>
      <c r="J1778" t="s">
        <v>242</v>
      </c>
      <c r="K1778" t="s">
        <v>14</v>
      </c>
      <c r="L1778" t="s">
        <v>20</v>
      </c>
      <c r="M1778" t="s">
        <v>3826</v>
      </c>
      <c r="N1778" t="s">
        <v>14</v>
      </c>
    </row>
    <row r="1779" x14ac:dyDescent="0.25">
      <c r="A1779" t="n">
        <v>25</v>
      </c>
      <c r="B1779" t="s">
        <v>14</v>
      </c>
      <c r="C1779" t="s">
        <v>51</v>
      </c>
      <c r="D1779" s="2" t="s">
        <f>=HYPERLINK("https://main.knesset.gov.il/APPS/legislation/main/bills/2230155", "הצעת חוק הבנקאות (שירות ללקוח) (תיקון - הפצת כרטיסי אשראי של כלל חברות כרטיסי האשראי), התשפ""ה-2025")</f>
        <v>3846</v>
      </c>
      <c r="E1779" t="s">
        <v>3846</v>
      </c>
      <c r="F1779" t="s">
        <v>3847</v>
      </c>
      <c r="G1779" t="s">
        <v>14</v>
      </c>
      <c r="H1779">
             </c>
      <c r="I1779" t="s">
        <v>14</v>
      </c>
      <c r="J1779" t="s">
        <v>242</v>
      </c>
      <c r="K1779" t="s">
        <v>14</v>
      </c>
      <c r="L1779" t="s">
        <v>20</v>
      </c>
      <c r="M1779" t="s">
        <v>3826</v>
      </c>
      <c r="N1779" t="s">
        <v>14</v>
      </c>
    </row>
    <row r="1780" x14ac:dyDescent="0.25">
      <c r="A1780" t="n">
        <v>25</v>
      </c>
      <c r="B1780" t="s">
        <v>14</v>
      </c>
      <c r="C1780" t="s">
        <v>51</v>
      </c>
      <c r="D1780" s="2" t="s">
        <f>=HYPERLINK("https://main.knesset.gov.il/APPS/legislation/main/bills/2228410", "הצעת חוק הצבת מכשירי החייאה במקומות ציבוריים (תיקון - חובת הצבת מכשיר החייאה בבניין רב-קומות), התשפ""ה-2025")</f>
        <v>3848</v>
      </c>
      <c r="E1780" t="s">
        <v>3848</v>
      </c>
      <c r="F1780" t="s">
        <v>3849</v>
      </c>
      <c r="G1780" t="s">
        <v>14</v>
      </c>
      <c r="H1780">
             </c>
      <c r="I1780" t="s">
        <v>14</v>
      </c>
      <c r="J1780" t="s">
        <v>242</v>
      </c>
      <c r="K1780" t="s">
        <v>14</v>
      </c>
      <c r="L1780" t="s">
        <v>20</v>
      </c>
      <c r="M1780" t="s">
        <v>3826</v>
      </c>
      <c r="N1780" t="s">
        <v>14</v>
      </c>
    </row>
    <row r="1781" x14ac:dyDescent="0.25">
      <c r="A1781" t="n">
        <v>25</v>
      </c>
      <c r="B1781" t="s">
        <v>14</v>
      </c>
      <c r="C1781" t="s">
        <v>51</v>
      </c>
      <c r="D1781" s="2" t="s">
        <f>=HYPERLINK("https://main.knesset.gov.il/APPS/legislation/main/bills/2230238", "הצעת חוק לתיקון פקודת התעבורה (חובת הפעלת קווי תחבורה ציבורית ישירים לבתי חולים), התשפ""ה-2025")</f>
        <v>3796</v>
      </c>
      <c r="E1781" t="s">
        <v>3796</v>
      </c>
      <c r="F1781" t="s">
        <v>3850</v>
      </c>
      <c r="G1781" t="s">
        <v>14</v>
      </c>
      <c r="H1781">
             </c>
      <c r="I1781" t="s">
        <v>14</v>
      </c>
      <c r="J1781" t="s">
        <v>242</v>
      </c>
      <c r="K1781" t="s">
        <v>14</v>
      </c>
      <c r="L1781" t="s">
        <v>20</v>
      </c>
      <c r="M1781" t="s">
        <v>3826</v>
      </c>
      <c r="N1781" t="s">
        <v>14</v>
      </c>
    </row>
    <row r="1782" x14ac:dyDescent="0.25">
      <c r="A1782" t="n">
        <v>25</v>
      </c>
      <c r="B1782" t="s">
        <v>14</v>
      </c>
      <c r="C1782" t="s">
        <v>51</v>
      </c>
      <c r="D1782" s="2" t="s">
        <f>=HYPERLINK("https://main.knesset.gov.il/APPS/legislation/main/bills/2229447", "הצעת חוק האזרחות (תיקון - אזרחות למי שנולד במדינת אויב), התשפ""ה-2025")</f>
        <v>3851</v>
      </c>
      <c r="E1782" t="s">
        <v>3851</v>
      </c>
      <c r="F1782" t="s">
        <v>3852</v>
      </c>
      <c r="G1782" t="s">
        <v>14</v>
      </c>
      <c r="H1782">
             </c>
      <c r="I1782" t="s">
        <v>14</v>
      </c>
      <c r="J1782" t="s">
        <v>242</v>
      </c>
      <c r="K1782" t="s">
        <v>14</v>
      </c>
      <c r="L1782" t="s">
        <v>20</v>
      </c>
      <c r="M1782" t="s">
        <v>3826</v>
      </c>
      <c r="N1782" t="s">
        <v>14</v>
      </c>
    </row>
    <row r="1783" x14ac:dyDescent="0.25">
      <c r="A1783" t="n">
        <v>25</v>
      </c>
      <c r="B1783" t="s">
        <v>14</v>
      </c>
      <c r="C1783" t="s">
        <v>51</v>
      </c>
      <c r="D1783" s="2" t="s">
        <f>=HYPERLINK("https://main.knesset.gov.il/APPS/legislation/main/bills/2229111", "הצעת חוק האזרחות (תיקון - אי-מתן אזרחות לילדו של אדם שנכנס לישראל שלא כדין), התשפ""ה-2025")</f>
        <v>3853</v>
      </c>
      <c r="E1783" t="s">
        <v>3853</v>
      </c>
      <c r="F1783" t="s">
        <v>3854</v>
      </c>
      <c r="G1783" t="s">
        <v>14</v>
      </c>
      <c r="H1783">
             </c>
      <c r="I1783" t="s">
        <v>14</v>
      </c>
      <c r="J1783" t="s">
        <v>242</v>
      </c>
      <c r="K1783" t="s">
        <v>14</v>
      </c>
      <c r="L1783" t="s">
        <v>20</v>
      </c>
      <c r="M1783" t="s">
        <v>3826</v>
      </c>
      <c r="N1783" t="s">
        <v>14</v>
      </c>
    </row>
    <row r="1784" x14ac:dyDescent="0.25">
      <c r="A1784" t="n">
        <v>25</v>
      </c>
      <c r="B1784" t="s">
        <v>14</v>
      </c>
      <c r="C1784" t="s">
        <v>51</v>
      </c>
      <c r="D1784" s="2" t="s">
        <f>=HYPERLINK("https://main.knesset.gov.il/APPS/legislation/main/bills/2229983", "הצעת חוק החברות (תיקון - מכסות ייצוג לנשים בדירקטוריונים של חברות ציבוריות), התשפ""ה-2025")</f>
        <v>3855</v>
      </c>
      <c r="E1784" t="s">
        <v>3855</v>
      </c>
      <c r="F1784" t="s">
        <v>3856</v>
      </c>
      <c r="G1784" t="s">
        <v>14</v>
      </c>
      <c r="H1784">
             </c>
      <c r="I1784" t="s">
        <v>14</v>
      </c>
      <c r="J1784" t="s">
        <v>242</v>
      </c>
      <c r="K1784" t="s">
        <v>14</v>
      </c>
      <c r="L1784" t="s">
        <v>20</v>
      </c>
      <c r="M1784" t="s">
        <v>3826</v>
      </c>
      <c r="N1784" t="s">
        <v>14</v>
      </c>
    </row>
    <row r="1785" x14ac:dyDescent="0.25">
      <c r="A1785" t="n">
        <v>25</v>
      </c>
      <c r="B1785" t="s">
        <v>14</v>
      </c>
      <c r="C1785" t="s">
        <v>51</v>
      </c>
      <c r="D1785" s="2" t="s">
        <f>=HYPERLINK("https://main.knesset.gov.il/APPS/legislation/main/bills/2229995", "הצעת חוק פיצוי נפגעי אסון טבע (פיצוי בשל נזקים לתשתיות לחקלאות) (תיקון - פיצוי בשל אסונות מעשה ידי אדם), התשפ""ה-2025")</f>
        <v>3857</v>
      </c>
      <c r="E1785" t="s">
        <v>3857</v>
      </c>
      <c r="F1785" t="s">
        <v>3858</v>
      </c>
      <c r="G1785" t="s">
        <v>14</v>
      </c>
      <c r="H1785">
             </c>
      <c r="I1785" t="s">
        <v>14</v>
      </c>
      <c r="J1785" t="s">
        <v>242</v>
      </c>
      <c r="K1785" t="s">
        <v>14</v>
      </c>
      <c r="L1785" t="s">
        <v>20</v>
      </c>
      <c r="M1785" t="s">
        <v>3826</v>
      </c>
      <c r="N1785" t="s">
        <v>14</v>
      </c>
    </row>
    <row r="1786" x14ac:dyDescent="0.25">
      <c r="A1786" t="n">
        <v>25</v>
      </c>
      <c r="B1786" t="s">
        <v>14</v>
      </c>
      <c r="C1786" t="s">
        <v>51</v>
      </c>
      <c r="D1786" s="2" t="s">
        <f>=HYPERLINK("https://main.knesset.gov.il/APPS/legislation/main/bills/2229236", "הצעת חוק זכויות התלמיד (תיקון - חופש דת ופולחן דתי לתלמידים במוסדות חינוך), התשפ""ה-2025 ")</f>
        <v>3859</v>
      </c>
      <c r="E1786" t="s">
        <v>3859</v>
      </c>
      <c r="F1786" t="s">
        <v>3860</v>
      </c>
      <c r="G1786" t="s">
        <v>14</v>
      </c>
      <c r="H1786">
             </c>
      <c r="I1786" t="s">
        <v>14</v>
      </c>
      <c r="J1786" t="s">
        <v>242</v>
      </c>
      <c r="K1786" t="s">
        <v>14</v>
      </c>
      <c r="L1786" t="s">
        <v>20</v>
      </c>
      <c r="M1786" t="s">
        <v>3826</v>
      </c>
      <c r="N1786" t="s">
        <v>14</v>
      </c>
    </row>
    <row r="1787" x14ac:dyDescent="0.25">
      <c r="A1787" t="n">
        <v>24</v>
      </c>
      <c r="B1787" t="s">
        <v>14</v>
      </c>
      <c r="C1787" t="s">
        <v>15</v>
      </c>
      <c r="D1787" s="2" t="s">
        <f>=HYPERLINK("https://main.knesset.gov.il/APPS/legislation/main/bills/2195285", "הצעת חוק ההוצאה לפועל (תיקון מס' 73) (תחליף המצאת התראה וזכות להתגונן בתביעה על סכום קצוב), התשפ""ב-2022")</f>
        <v>3861</v>
      </c>
      <c r="E1787" t="s">
        <v>3861</v>
      </c>
      <c r="F1787" t="s">
        <v>14</v>
      </c>
      <c r="G1787" t="s">
        <v>3862</v>
      </c>
      <c r="H1787">
             </c>
      <c r="I1787" t="s">
        <v>14</v>
      </c>
      <c r="J1787" t="s">
        <v>3863</v>
      </c>
      <c r="K1787" t="s">
        <v>14</v>
      </c>
      <c r="L1787" t="s">
        <v>20</v>
      </c>
      <c r="M1787" t="s">
        <v>3826</v>
      </c>
      <c r="N1787" t="s">
        <v>14</v>
      </c>
    </row>
    <row r="1788" x14ac:dyDescent="0.25">
      <c r="A1788" t="n">
        <v>25</v>
      </c>
      <c r="B1788" t="s">
        <v>14</v>
      </c>
      <c r="C1788" t="s">
        <v>51</v>
      </c>
      <c r="D1788" s="2" t="s">
        <f>=HYPERLINK("https://main.knesset.gov.il/APPS/legislation/main/bills/2222430", "הצעת חוק תגמול למשרתים בשירות צבאי או אזרחי באקדמיה, התשפ""ה-2024")</f>
        <v>1146</v>
      </c>
      <c r="E1788" t="s">
        <v>1146</v>
      </c>
      <c r="F1788" t="s">
        <v>1147</v>
      </c>
      <c r="G1788" t="s">
        <v>14</v>
      </c>
      <c r="H1788">
             </c>
      <c r="I1788" t="s">
        <v>14</v>
      </c>
      <c r="J1788" t="s">
        <v>152</v>
      </c>
      <c r="K1788" t="s">
        <v>79</v>
      </c>
      <c r="L1788" t="s">
        <v>20</v>
      </c>
      <c r="M1788" t="s">
        <v>3864</v>
      </c>
      <c r="N1788" t="s">
        <v>14</v>
      </c>
    </row>
    <row r="1789" x14ac:dyDescent="0.25">
      <c r="A1789" t="n">
        <v>25</v>
      </c>
      <c r="B1789" t="s">
        <v>14</v>
      </c>
      <c r="C1789" t="s">
        <v>51</v>
      </c>
      <c r="D1789" s="2" t="s">
        <f>=HYPERLINK("https://main.knesset.gov.il/APPS/legislation/main/bills/2225748", "פטור מאגרה בכניסה לאתרים מתוך הצעת חוק למתן הטבות למשרתים במילואים, התשפ""ה-2024")</f>
        <v>3865</v>
      </c>
      <c r="E1789" t="s">
        <v>3865</v>
      </c>
      <c r="F1789" t="s">
        <v>1787</v>
      </c>
      <c r="G1789" t="s">
        <v>14</v>
      </c>
      <c r="H1789">
             </c>
      <c r="I1789" t="s">
        <v>14</v>
      </c>
      <c r="J1789" t="s">
        <v>152</v>
      </c>
      <c r="K1789" t="s">
        <v>79</v>
      </c>
      <c r="L1789" t="s">
        <v>20</v>
      </c>
      <c r="M1789" t="s">
        <v>3864</v>
      </c>
      <c r="N1789" t="s">
        <v>14</v>
      </c>
    </row>
    <row r="1790" x14ac:dyDescent="0.25">
      <c r="A1790" t="n">
        <v>25</v>
      </c>
      <c r="B1790" t="s">
        <v>14</v>
      </c>
      <c r="C1790" t="s">
        <v>51</v>
      </c>
      <c r="D1790" s="2" t="s">
        <f>=HYPERLINK("https://main.knesset.gov.il/APPS/legislation/main/bills/2225740", "סבסוד קייטנות מתוך הצעת חוק למתן הטבות למשרתים במילואים, התשפ""ה-2024")</f>
        <v>3866</v>
      </c>
      <c r="E1790" t="s">
        <v>3866</v>
      </c>
      <c r="F1790" t="s">
        <v>1787</v>
      </c>
      <c r="G1790" t="s">
        <v>14</v>
      </c>
      <c r="H1790">
             </c>
      <c r="I1790" t="s">
        <v>14</v>
      </c>
      <c r="J1790" t="s">
        <v>152</v>
      </c>
      <c r="K1790" t="s">
        <v>79</v>
      </c>
      <c r="L1790" t="s">
        <v>20</v>
      </c>
      <c r="M1790" t="s">
        <v>3864</v>
      </c>
      <c r="N1790" t="s">
        <v>14</v>
      </c>
    </row>
    <row r="1791" x14ac:dyDescent="0.25">
      <c r="A1791" t="n">
        <v>25</v>
      </c>
      <c r="B1791" t="s">
        <v>14</v>
      </c>
      <c r="C1791" t="s">
        <v>51</v>
      </c>
      <c r="D1791" s="2" t="s">
        <f>=HYPERLINK("https://main.knesset.gov.il/APPS/legislation/main/bills/2225756", "דיור סטודנטים מתוך הצעת חוק למתן הטבות למשרתים במילואים, התשפ""ה-2024")</f>
        <v>3867</v>
      </c>
      <c r="E1791" t="s">
        <v>3867</v>
      </c>
      <c r="F1791" t="s">
        <v>1787</v>
      </c>
      <c r="G1791" t="s">
        <v>14</v>
      </c>
      <c r="H1791">
             </c>
      <c r="I1791" t="s">
        <v>14</v>
      </c>
      <c r="J1791" t="s">
        <v>152</v>
      </c>
      <c r="K1791" t="s">
        <v>79</v>
      </c>
      <c r="L1791" t="s">
        <v>20</v>
      </c>
      <c r="M1791" t="s">
        <v>3864</v>
      </c>
      <c r="N1791" t="s">
        <v>14</v>
      </c>
    </row>
    <row r="1792" x14ac:dyDescent="0.25">
      <c r="A1792" t="n">
        <v>25</v>
      </c>
      <c r="B1792" t="s">
        <v>14</v>
      </c>
      <c r="C1792" t="s">
        <v>15</v>
      </c>
      <c r="D1792" s="2" t="s">
        <f>=HYPERLINK("https://main.knesset.gov.il/APPS/legislation/main/bills/2225484", "הצעת חוק התכנון והבנייה (תיקון מס' 160), התשפ""ה-2024 ")</f>
        <v>3868</v>
      </c>
      <c r="E1792" t="s">
        <v>3868</v>
      </c>
      <c r="F1792" t="s">
        <v>14</v>
      </c>
      <c r="G1792" t="s">
        <v>3869</v>
      </c>
      <c r="H1792">
             </c>
      <c r="I1792" t="s">
        <v>14</v>
      </c>
      <c r="J1792" t="s">
        <v>183</v>
      </c>
      <c r="K1792" t="s">
        <v>30</v>
      </c>
      <c r="L1792" t="s">
        <v>20</v>
      </c>
      <c r="M1792" t="s">
        <v>3864</v>
      </c>
      <c r="N1792" t="s">
        <v>14</v>
      </c>
    </row>
    <row r="1793" x14ac:dyDescent="0.25">
      <c r="A1793" t="n">
        <v>25</v>
      </c>
      <c r="B1793" t="s">
        <v>14</v>
      </c>
      <c r="C1793" t="s">
        <v>15</v>
      </c>
      <c r="D1793" s="2" t="s">
        <f>=HYPERLINK("https://main.knesset.gov.il/APPS/legislation/main/bills/2227202", "סעיף 21(1)(א) (היתר לפי תכנית ללא תשריט) מתוך הצעת חוק התוכנית הכלכלית (תיקוני חקיקה ליישום המדיניות הכלכלית לשנת התקציב 2025), התשפ""ה-2024 [פוצל לפי סעיף 84(ב) לתקנון] ")</f>
        <v>3870</v>
      </c>
      <c r="E1793" t="s">
        <v>3870</v>
      </c>
      <c r="F1793" t="s">
        <v>14</v>
      </c>
      <c r="G1793" t="s">
        <v>237</v>
      </c>
      <c r="H1793">
             </c>
      <c r="I1793" t="s">
        <v>14</v>
      </c>
      <c r="J1793" t="s">
        <v>183</v>
      </c>
      <c r="K1793" t="s">
        <v>30</v>
      </c>
      <c r="L1793" t="s">
        <v>20</v>
      </c>
      <c r="M1793" t="s">
        <v>3864</v>
      </c>
      <c r="N1793" t="s">
        <v>14</v>
      </c>
    </row>
    <row r="1794" x14ac:dyDescent="0.25">
      <c r="A1794" t="n">
        <v>25</v>
      </c>
      <c r="B1794" t="s">
        <v>14</v>
      </c>
      <c r="C1794" t="s">
        <v>15</v>
      </c>
      <c r="D1794" s="2" t="s">
        <f>=HYPERLINK("https://main.knesset.gov.il/APPS/legislation/main/bills/2227204", "סעיף 21(1)(ב), (5) ו-(6) (הרחבת האפשרות להעביר היתרים לרשויות רישוי ארציות) מתוך הצעת חוק התוכנית הכלכלית (תיקוני חקיקה ליישום המדיניות הכלכלית לשנת התקציב 2025), התשפ""ה-2024 [פוצל לפי סעיף 84(ב) לתקנון]")</f>
        <v>3871</v>
      </c>
      <c r="E1794" t="s">
        <v>3871</v>
      </c>
      <c r="F1794" t="s">
        <v>14</v>
      </c>
      <c r="G1794" t="s">
        <v>237</v>
      </c>
      <c r="H1794">
             </c>
      <c r="I1794" t="s">
        <v>14</v>
      </c>
      <c r="J1794" t="s">
        <v>183</v>
      </c>
      <c r="K1794" t="s">
        <v>30</v>
      </c>
      <c r="L1794" t="s">
        <v>20</v>
      </c>
      <c r="M1794" t="s">
        <v>3864</v>
      </c>
      <c r="N1794" t="s">
        <v>14</v>
      </c>
    </row>
    <row r="1795" x14ac:dyDescent="0.25">
      <c r="A1795" t="n">
        <v>25</v>
      </c>
      <c r="B1795" t="s">
        <v>14</v>
      </c>
      <c r="C1795" t="s">
        <v>15</v>
      </c>
      <c r="D1795" s="2" t="s">
        <f>=HYPERLINK("https://main.knesset.gov.il/APPS/legislation/main/bills/2227205", "סעיפים 21(2), (4) ו-22 (הסמכת רשות רישוי ארצית בשטחים גליליים) מתוך הצעת חוק התוכנית הכלכלית (תיקוני חקיקה ליישום המדיניות הכלכלית לשנת התקציב 2025), התשפ""ה-2024 [פוצל לפי סעיף 84(ב) לתקנון] ")</f>
        <v>3872</v>
      </c>
      <c r="E1795" t="s">
        <v>3872</v>
      </c>
      <c r="F1795" t="s">
        <v>14</v>
      </c>
      <c r="G1795" t="s">
        <v>237</v>
      </c>
      <c r="H1795">
             </c>
      <c r="I1795" t="s">
        <v>14</v>
      </c>
      <c r="J1795" t="s">
        <v>183</v>
      </c>
      <c r="K1795" t="s">
        <v>30</v>
      </c>
      <c r="L1795" t="s">
        <v>20</v>
      </c>
      <c r="M1795" t="s">
        <v>3864</v>
      </c>
      <c r="N1795" t="s">
        <v>14</v>
      </c>
    </row>
    <row r="1796" x14ac:dyDescent="0.25">
      <c r="A1796" t="n">
        <v>25</v>
      </c>
      <c r="B1796" t="s">
        <v>14</v>
      </c>
      <c r="C1796" t="s">
        <v>15</v>
      </c>
      <c r="D1796" s="2" t="s">
        <f>=HYPERLINK("https://main.knesset.gov.il/APPS/legislation/main/bills/2227210", "סעיף 24 (הארכת פטור מהיטל השבחה למתקנים פוטו-וולטאים) מתוך הצעת חוק התוכנית הכלכלית (תיקוני חקיקה ליישום המדיניות הכלכלית לשנת התקציב 2025), התשפ""ה-2024 [פוצל לפי סעיף 84(ב) לתקנון] ")</f>
        <v>3873</v>
      </c>
      <c r="E1796" t="s">
        <v>3873</v>
      </c>
      <c r="F1796" t="s">
        <v>14</v>
      </c>
      <c r="G1796" t="s">
        <v>237</v>
      </c>
      <c r="H1796">
             </c>
      <c r="I1796" t="s">
        <v>14</v>
      </c>
      <c r="J1796" t="s">
        <v>183</v>
      </c>
      <c r="K1796" t="s">
        <v>30</v>
      </c>
      <c r="L1796" t="s">
        <v>20</v>
      </c>
      <c r="M1796" t="s">
        <v>3864</v>
      </c>
      <c r="N1796" t="s">
        <v>14</v>
      </c>
    </row>
    <row r="1797" x14ac:dyDescent="0.25">
      <c r="A1797" t="n">
        <v>25</v>
      </c>
      <c r="B1797" t="s">
        <v>14</v>
      </c>
      <c r="C1797" t="s">
        <v>15</v>
      </c>
      <c r="D1797" s="2" t="s">
        <f>=HYPERLINK("https://main.knesset.gov.il/APPS/legislation/main/bills/2227297", "הצעת חוק התכנון והבנייה (תיקון מס' 161), התשפ""ה-2025 ")</f>
        <v>3874</v>
      </c>
      <c r="E1797" t="s">
        <v>3874</v>
      </c>
      <c r="F1797" t="s">
        <v>14</v>
      </c>
      <c r="G1797" t="s">
        <v>3875</v>
      </c>
      <c r="H1797">
             </c>
      <c r="I1797" t="s">
        <v>14</v>
      </c>
      <c r="J1797" t="s">
        <v>183</v>
      </c>
      <c r="K1797" t="s">
        <v>30</v>
      </c>
      <c r="L1797" t="s">
        <v>20</v>
      </c>
      <c r="M1797" t="s">
        <v>3864</v>
      </c>
      <c r="N1797" t="s">
        <v>14</v>
      </c>
    </row>
    <row r="1798" x14ac:dyDescent="0.25">
      <c r="A1798" t="n">
        <v>25</v>
      </c>
      <c r="B1798" t="s">
        <v>14</v>
      </c>
      <c r="C1798" t="s">
        <v>51</v>
      </c>
      <c r="D1798" s="2" t="s">
        <f>=HYPERLINK("https://main.knesset.gov.il/APPS/legislation/main/bills/2226269", "הצעת חוק הקמת שדה תעופה בנבטים, התשפ""ה-2025")</f>
        <v>3876</v>
      </c>
      <c r="E1798" t="s">
        <v>3876</v>
      </c>
      <c r="F1798" t="s">
        <v>3877</v>
      </c>
      <c r="G1798" t="s">
        <v>14</v>
      </c>
      <c r="H1798">
             </c>
      <c r="I1798" t="s">
        <v>14</v>
      </c>
      <c r="J1798" t="s">
        <v>183</v>
      </c>
      <c r="K1798" t="s">
        <v>84</v>
      </c>
      <c r="L1798" t="s">
        <v>20</v>
      </c>
      <c r="M1798" t="s">
        <v>3864</v>
      </c>
      <c r="N1798" t="s">
        <v>14</v>
      </c>
    </row>
    <row r="1799" x14ac:dyDescent="0.25">
      <c r="A1799" t="n">
        <v>25</v>
      </c>
      <c r="B1799" t="s">
        <v>14</v>
      </c>
      <c r="C1799" t="s">
        <v>51</v>
      </c>
      <c r="D1799" s="2" t="s">
        <f>=HYPERLINK("https://main.knesset.gov.il/APPS/legislation/main/bills/2203915", "הצעת חוק עבודת נשים (תיקון - הארכת תקופת הלידה וההורות להורי פעוט עם מוגבלות מורכבת), התשפ""ג-2023")</f>
        <v>3878</v>
      </c>
      <c r="E1799" t="s">
        <v>3878</v>
      </c>
      <c r="F1799" t="s">
        <v>3879</v>
      </c>
      <c r="G1799" t="s">
        <v>14</v>
      </c>
      <c r="H1799">
             </c>
      <c r="I1799" t="s">
        <v>14</v>
      </c>
      <c r="J1799" t="s">
        <v>183</v>
      </c>
      <c r="K1799" t="s">
        <v>46</v>
      </c>
      <c r="L1799" t="s">
        <v>20</v>
      </c>
      <c r="M1799" t="s">
        <v>3880</v>
      </c>
      <c r="N1799" t="s">
        <v>14</v>
      </c>
    </row>
    <row r="1800" x14ac:dyDescent="0.25">
      <c r="A1800" t="n">
        <v>25</v>
      </c>
      <c r="B1800" t="s">
        <v>14</v>
      </c>
      <c r="C1800" t="s">
        <v>51</v>
      </c>
      <c r="D1800" s="2" t="s">
        <f>=HYPERLINK("https://main.knesset.gov.il/APPS/legislation/main/bills/2202827", "הצעת חוק עבודת נשים (תיקון - הארכת תקופת הלידה וההורות להורי פעוט עם מוגבלות מורכבת), התשפ""ג-2023")</f>
        <v>3878</v>
      </c>
      <c r="E1800" t="s">
        <v>3878</v>
      </c>
      <c r="F1800" t="s">
        <v>3881</v>
      </c>
      <c r="G1800" t="s">
        <v>14</v>
      </c>
      <c r="H1800">
             </c>
      <c r="I1800" t="s">
        <v>14</v>
      </c>
      <c r="J1800" t="s">
        <v>183</v>
      </c>
      <c r="K1800" t="s">
        <v>46</v>
      </c>
      <c r="L1800" t="s">
        <v>20</v>
      </c>
      <c r="M1800" t="s">
        <v>3880</v>
      </c>
      <c r="N1800" t="s">
        <v>14</v>
      </c>
    </row>
    <row r="1801" x14ac:dyDescent="0.25">
      <c r="A1801" t="n">
        <v>25</v>
      </c>
      <c r="B1801" t="s">
        <v>14</v>
      </c>
      <c r="C1801" t="s">
        <v>15</v>
      </c>
      <c r="D1801" s="2" t="s">
        <f>=HYPERLINK("https://main.knesset.gov.il/APPS/legislation/main/bills/2227232", "חוק התחשבנות בין בתי חולים לקופות חולים (בריאות הנפש), התשפ""ה-2025")</f>
        <v>3882</v>
      </c>
      <c r="E1801" t="s">
        <v>3882</v>
      </c>
      <c r="F1801" t="s">
        <v>14</v>
      </c>
      <c r="G1801" t="s">
        <v>237</v>
      </c>
      <c r="H1801" t="n">
        <v>3383</v>
      </c>
      <c r="I1801" t="s">
        <v>14</v>
      </c>
      <c r="J1801" t="s">
        <v>18</v>
      </c>
      <c r="K1801" t="s">
        <v>361</v>
      </c>
      <c r="L1801" t="s">
        <v>20</v>
      </c>
      <c r="M1801" t="s">
        <v>3880</v>
      </c>
      <c r="N1801" t="s">
        <v>3883</v>
      </c>
    </row>
    <row r="1802" x14ac:dyDescent="0.25">
      <c r="A1802" t="n">
        <v>25</v>
      </c>
      <c r="B1802" t="s">
        <v>14</v>
      </c>
      <c r="C1802" t="s">
        <v>15</v>
      </c>
      <c r="D1802" s="2" t="s">
        <f>=HYPERLINK("https://main.knesset.gov.il/APPS/legislation/main/bills/2224907", "חוק מסגרות תקציב המדינה (הוראות מיוחדות לשנת 2025) (תיקוני חקיקה), התשפ""ה-2025")</f>
        <v>3884</v>
      </c>
      <c r="E1802" t="s">
        <v>3884</v>
      </c>
      <c r="F1802" t="s">
        <v>14</v>
      </c>
      <c r="G1802" t="s">
        <v>237</v>
      </c>
      <c r="H1802" t="n">
        <v>3381</v>
      </c>
      <c r="I1802" t="s">
        <v>14</v>
      </c>
      <c r="J1802" t="s">
        <v>18</v>
      </c>
      <c r="K1802" t="s">
        <v>24</v>
      </c>
      <c r="L1802" t="s">
        <v>20</v>
      </c>
      <c r="M1802" t="s">
        <v>3880</v>
      </c>
      <c r="N1802" t="s">
        <v>3885</v>
      </c>
    </row>
    <row r="1803" x14ac:dyDescent="0.25">
      <c r="A1803" t="n">
        <v>25</v>
      </c>
      <c r="B1803" t="s">
        <v>14</v>
      </c>
      <c r="C1803" t="s">
        <v>51</v>
      </c>
      <c r="D1803" s="2" t="s">
        <f>=HYPERLINK("https://main.knesset.gov.il/APPS/legislation/main/bills/2229115", "הצעת חוק הכניסה לישראל (תיקון - החמרת ענישה בעבירה של כניסה בלתי חוקית), התשפ""ה-2025 ")</f>
        <v>3886</v>
      </c>
      <c r="E1803" t="s">
        <v>3886</v>
      </c>
      <c r="F1803" t="s">
        <v>3887</v>
      </c>
      <c r="G1803" t="s">
        <v>14</v>
      </c>
      <c r="H1803">
             </c>
      <c r="I1803" t="s">
        <v>14</v>
      </c>
      <c r="J1803" t="s">
        <v>152</v>
      </c>
      <c r="K1803" t="s">
        <v>19</v>
      </c>
      <c r="L1803" t="s">
        <v>20</v>
      </c>
      <c r="M1803" t="s">
        <v>3880</v>
      </c>
      <c r="N1803" t="s">
        <v>14</v>
      </c>
    </row>
    <row r="1804" x14ac:dyDescent="0.25">
      <c r="A1804" t="n">
        <v>25</v>
      </c>
      <c r="B1804" t="s">
        <v>14</v>
      </c>
      <c r="C1804" t="s">
        <v>51</v>
      </c>
      <c r="D1804" s="2" t="s">
        <f>=HYPERLINK("https://main.knesset.gov.il/APPS/legislation/main/bills/2228757", "הצעת חוק להקפאת כספים ששילמה הרשות הפלסטינית בזיקה לטרור מהכספים המועברים אליה מממשלת ישראל (תיקון - קיזוז כספים בגין פיצוי על נזקי גניבת רכבים), התשפ""ה-2025 ")</f>
        <v>3888</v>
      </c>
      <c r="E1804" t="s">
        <v>3888</v>
      </c>
      <c r="F1804" t="s">
        <v>3889</v>
      </c>
      <c r="G1804" t="s">
        <v>14</v>
      </c>
      <c r="H1804">
             </c>
      <c r="I1804" t="s">
        <v>14</v>
      </c>
      <c r="J1804" t="s">
        <v>152</v>
      </c>
      <c r="K1804" t="s">
        <v>39</v>
      </c>
      <c r="L1804" t="s">
        <v>20</v>
      </c>
      <c r="M1804" t="s">
        <v>3880</v>
      </c>
      <c r="N1804" t="s">
        <v>14</v>
      </c>
    </row>
    <row r="1805" x14ac:dyDescent="0.25">
      <c r="A1805" t="n">
        <v>25</v>
      </c>
      <c r="B1805" t="s">
        <v>14</v>
      </c>
      <c r="C1805" t="s">
        <v>51</v>
      </c>
      <c r="D1805" s="2" t="s">
        <f>=HYPERLINK("https://main.knesset.gov.il/APPS/legislation/main/bills/2226667", "הצעת חוק ועדות חקירה (תיקון - אירועי חובה להקמת ועדת חקירה ממלכתית), התשפ""ה-2025")</f>
        <v>3179</v>
      </c>
      <c r="E1805" t="s">
        <v>3179</v>
      </c>
      <c r="F1805" t="s">
        <v>3890</v>
      </c>
      <c r="G1805" t="s">
        <v>14</v>
      </c>
      <c r="H1805">
             </c>
      <c r="I1805" t="s">
        <v>14</v>
      </c>
      <c r="J1805" t="s">
        <v>193</v>
      </c>
      <c r="K1805" t="s">
        <v>14</v>
      </c>
      <c r="L1805" t="s">
        <v>20</v>
      </c>
      <c r="M1805" t="s">
        <v>3880</v>
      </c>
      <c r="N1805" t="s">
        <v>14</v>
      </c>
    </row>
    <row r="1806" x14ac:dyDescent="0.25">
      <c r="A1806" t="n">
        <v>25</v>
      </c>
      <c r="B1806" t="s">
        <v>14</v>
      </c>
      <c r="C1806" t="s">
        <v>51</v>
      </c>
      <c r="D1806" s="2" t="s">
        <f>=HYPERLINK("https://main.knesset.gov.il/APPS/legislation/main/bills/2226314", "הצעת חוק העונשין (תיקון - עבירות זיוף עמוק), התשפ""ה-2025")</f>
        <v>3798</v>
      </c>
      <c r="E1806" t="s">
        <v>3798</v>
      </c>
      <c r="F1806" t="s">
        <v>3891</v>
      </c>
      <c r="G1806" t="s">
        <v>14</v>
      </c>
      <c r="H1806">
             </c>
      <c r="I1806" t="s">
        <v>14</v>
      </c>
      <c r="J1806" t="s">
        <v>193</v>
      </c>
      <c r="K1806" t="s">
        <v>14</v>
      </c>
      <c r="L1806" t="s">
        <v>20</v>
      </c>
      <c r="M1806" t="s">
        <v>3880</v>
      </c>
      <c r="N1806" t="s">
        <v>14</v>
      </c>
    </row>
    <row r="1807" x14ac:dyDescent="0.25">
      <c r="A1807" t="n">
        <v>25</v>
      </c>
      <c r="B1807" t="s">
        <v>14</v>
      </c>
      <c r="C1807" t="s">
        <v>51</v>
      </c>
      <c r="D1807" s="2" t="s">
        <f>=HYPERLINK("https://main.knesset.gov.il/APPS/legislation/main/bills/2225729", "הצעת חוק יום בריאות הלב, התשפ""ה-2025")</f>
        <v>3892</v>
      </c>
      <c r="E1807" t="s">
        <v>3892</v>
      </c>
      <c r="F1807" t="s">
        <v>3893</v>
      </c>
      <c r="G1807" t="s">
        <v>14</v>
      </c>
      <c r="H1807">
             </c>
      <c r="I1807" t="s">
        <v>14</v>
      </c>
      <c r="J1807" t="s">
        <v>152</v>
      </c>
      <c r="K1807" t="s">
        <v>79</v>
      </c>
      <c r="L1807" t="s">
        <v>20</v>
      </c>
      <c r="M1807" t="s">
        <v>3880</v>
      </c>
      <c r="N1807" t="s">
        <v>14</v>
      </c>
    </row>
    <row r="1808" x14ac:dyDescent="0.25">
      <c r="A1808" t="n">
        <v>25</v>
      </c>
      <c r="B1808" t="s">
        <v>14</v>
      </c>
      <c r="C1808" t="s">
        <v>51</v>
      </c>
      <c r="D1808" s="2" t="s">
        <f>=HYPERLINK("https://main.knesset.gov.il/APPS/legislation/main/bills/2224574", "הצעת חוק להקפאת כספים ששילמה הרשות הפלסטינית בזיקה לטרור מהכספים המועברים אליה מממשלת ישראל (תיקון - קיזוז כספים בגין פיצוי על נזקי גניבת רכבים), התשפ""ה-2024 ")</f>
        <v>3894</v>
      </c>
      <c r="E1808" t="s">
        <v>3894</v>
      </c>
      <c r="F1808" t="s">
        <v>3895</v>
      </c>
      <c r="G1808" t="s">
        <v>14</v>
      </c>
      <c r="H1808">
             </c>
      <c r="I1808" t="s">
        <v>14</v>
      </c>
      <c r="J1808" t="s">
        <v>152</v>
      </c>
      <c r="K1808" t="s">
        <v>39</v>
      </c>
      <c r="L1808" t="s">
        <v>20</v>
      </c>
      <c r="M1808" t="s">
        <v>3880</v>
      </c>
      <c r="N1808" t="s">
        <v>14</v>
      </c>
    </row>
    <row r="1809" x14ac:dyDescent="0.25">
      <c r="A1809" t="n">
        <v>25</v>
      </c>
      <c r="B1809" t="s">
        <v>14</v>
      </c>
      <c r="C1809" t="s">
        <v>51</v>
      </c>
      <c r="D1809" s="2" t="s">
        <f>=HYPERLINK("https://main.knesset.gov.il/APPS/legislation/main/bills/2223239", "הצעת חוק הריסת בתי מחבלים, התשפ""ה-2024")</f>
        <v>3896</v>
      </c>
      <c r="E1809" t="s">
        <v>3896</v>
      </c>
      <c r="F1809" t="s">
        <v>3897</v>
      </c>
      <c r="G1809" t="s">
        <v>14</v>
      </c>
      <c r="H1809">
             </c>
      <c r="I1809" t="s">
        <v>14</v>
      </c>
      <c r="J1809" t="s">
        <v>152</v>
      </c>
      <c r="K1809" t="s">
        <v>39</v>
      </c>
      <c r="L1809" t="s">
        <v>20</v>
      </c>
      <c r="M1809" t="s">
        <v>3880</v>
      </c>
      <c r="N1809" t="s">
        <v>14</v>
      </c>
    </row>
    <row r="1810" x14ac:dyDescent="0.25">
      <c r="A1810" t="n">
        <v>25</v>
      </c>
      <c r="B1810" t="s">
        <v>14</v>
      </c>
      <c r="C1810" t="s">
        <v>51</v>
      </c>
      <c r="D1810" s="2" t="s">
        <f>=HYPERLINK("https://main.knesset.gov.il/APPS/legislation/main/bills/2220281", "הצעת חוק החברות (תיקון - מכסות ייצוג לנשים בדירקטוריונים של חברות ציבוריות), התשפ""ד-2024")</f>
        <v>3898</v>
      </c>
      <c r="E1810" t="s">
        <v>3898</v>
      </c>
      <c r="F1810" t="s">
        <v>3899</v>
      </c>
      <c r="G1810" t="s">
        <v>14</v>
      </c>
      <c r="H1810">
             </c>
      <c r="I1810" t="s">
        <v>14</v>
      </c>
      <c r="J1810" t="s">
        <v>193</v>
      </c>
      <c r="K1810" t="s">
        <v>14</v>
      </c>
      <c r="L1810" t="s">
        <v>20</v>
      </c>
      <c r="M1810" t="s">
        <v>3880</v>
      </c>
      <c r="N1810" t="s">
        <v>14</v>
      </c>
    </row>
    <row r="1811" x14ac:dyDescent="0.25">
      <c r="A1811" t="n">
        <v>25</v>
      </c>
      <c r="B1811" t="s">
        <v>14</v>
      </c>
      <c r="C1811" t="s">
        <v>51</v>
      </c>
      <c r="D1811" s="2" t="s">
        <f>=HYPERLINK("https://main.knesset.gov.il/APPS/legislation/main/bills/2210668", "הצעת חוק חינוך מיוחד (תיקון - שילוב בתנועות נוער), התשפ""ד-2024")</f>
        <v>3900</v>
      </c>
      <c r="E1811" t="s">
        <v>3900</v>
      </c>
      <c r="F1811" t="s">
        <v>3901</v>
      </c>
      <c r="G1811" t="s">
        <v>14</v>
      </c>
      <c r="H1811">
             </c>
      <c r="I1811" t="s">
        <v>14</v>
      </c>
      <c r="J1811" t="s">
        <v>202</v>
      </c>
      <c r="K1811" t="s">
        <v>14</v>
      </c>
      <c r="L1811" t="s">
        <v>20</v>
      </c>
      <c r="M1811" t="s">
        <v>3880</v>
      </c>
      <c r="N1811" t="s">
        <v>14</v>
      </c>
    </row>
    <row r="1812" x14ac:dyDescent="0.25">
      <c r="A1812" t="n">
        <v>25</v>
      </c>
      <c r="B1812" t="s">
        <v>14</v>
      </c>
      <c r="C1812" t="s">
        <v>51</v>
      </c>
      <c r="D1812" s="2" t="s">
        <f>=HYPERLINK("https://main.knesset.gov.il/APPS/legislation/main/bills/2212895", "הצעת חוק משפחות חיילים שנספו במערכה (תגמולים ושיקום) (תיקון - זכויות הסתגלות לאחים שכולים), התשפ""ד-2024")</f>
        <v>3902</v>
      </c>
      <c r="E1812" t="s">
        <v>3902</v>
      </c>
      <c r="F1812" t="s">
        <v>3903</v>
      </c>
      <c r="G1812" t="s">
        <v>14</v>
      </c>
      <c r="H1812">
             </c>
      <c r="I1812" t="s">
        <v>14</v>
      </c>
      <c r="J1812" t="s">
        <v>193</v>
      </c>
      <c r="K1812" t="s">
        <v>14</v>
      </c>
      <c r="L1812" t="s">
        <v>20</v>
      </c>
      <c r="M1812" t="s">
        <v>3880</v>
      </c>
      <c r="N1812" t="s">
        <v>14</v>
      </c>
    </row>
    <row r="1813" x14ac:dyDescent="0.25">
      <c r="A1813" t="n">
        <v>25</v>
      </c>
      <c r="B1813" t="s">
        <v>14</v>
      </c>
      <c r="C1813" t="s">
        <v>51</v>
      </c>
      <c r="D1813" s="2" t="s">
        <f>=HYPERLINK("https://main.knesset.gov.il/APPS/legislation/main/bills/2197673", "הצעת חוק המועצה להשכלה גבוהה (תיקון - פטור משכר לימוד לסטודנטים מתחת לקו העוני), התשפ""ג-2022")</f>
        <v>3904</v>
      </c>
      <c r="E1813" t="s">
        <v>3904</v>
      </c>
      <c r="F1813" t="s">
        <v>3905</v>
      </c>
      <c r="G1813" t="s">
        <v>14</v>
      </c>
      <c r="H1813">
             </c>
      <c r="I1813" t="s">
        <v>14</v>
      </c>
      <c r="J1813" t="s">
        <v>193</v>
      </c>
      <c r="K1813" t="s">
        <v>14</v>
      </c>
      <c r="L1813" t="s">
        <v>20</v>
      </c>
      <c r="M1813" t="s">
        <v>3880</v>
      </c>
      <c r="N1813" t="s">
        <v>14</v>
      </c>
    </row>
    <row r="1814" x14ac:dyDescent="0.25">
      <c r="A1814" t="n">
        <v>25</v>
      </c>
      <c r="B1814" t="s">
        <v>14</v>
      </c>
      <c r="C1814" t="s">
        <v>15</v>
      </c>
      <c r="D1814" s="2" t="s">
        <f>=HYPERLINK("https://main.knesset.gov.il/APPS/legislation/main/bills/2227228", "פרק ח' (השתתפותם של העובדים ובעלי תפקיד בשירות הציבורי, בצעדים לייצוב המצב הפיסקלי במדינה במהלך השנים 2025 ו-2026 (הוראת שעה) מתוך הצעת חוק ההתייעלות הכלכלית (תיקוני חקיקה להשגת יעדי התקציב לשנת התקציב 2025), התשפ""ה-2024 ")</f>
        <v>3906</v>
      </c>
      <c r="E1814" t="s">
        <v>3906</v>
      </c>
      <c r="F1814" t="s">
        <v>14</v>
      </c>
      <c r="G1814" t="s">
        <v>237</v>
      </c>
      <c r="H1814">
             </c>
      <c r="I1814" t="s">
        <v>14</v>
      </c>
      <c r="J1814" t="s">
        <v>183</v>
      </c>
      <c r="K1814" t="s">
        <v>42</v>
      </c>
      <c r="L1814" t="s">
        <v>20</v>
      </c>
      <c r="M1814" t="s">
        <v>3907</v>
      </c>
      <c r="N1814" t="s">
        <v>14</v>
      </c>
    </row>
    <row r="1815" x14ac:dyDescent="0.25">
      <c r="A1815" t="n">
        <v>25</v>
      </c>
      <c r="B1815" t="s">
        <v>14</v>
      </c>
      <c r="C1815" t="s">
        <v>15</v>
      </c>
      <c r="D1815" s="2" t="s">
        <f>=HYPERLINK("https://main.knesset.gov.il/APPS/legislation/main/bills/2227225", "סעיף 21 (חוק שירות המדינה (גמלאות)) מתוך הצעת חוק ההתייעלות הכלכלית (תיקוני חקיקה להשגת יעדי התקציב לשנת התקציב 2025), התשפ""ה-2024 [פרק ו']")</f>
        <v>3908</v>
      </c>
      <c r="E1815" t="s">
        <v>3908</v>
      </c>
      <c r="F1815" t="s">
        <v>14</v>
      </c>
      <c r="G1815" t="s">
        <v>237</v>
      </c>
      <c r="H1815">
             </c>
      <c r="I1815" t="s">
        <v>14</v>
      </c>
      <c r="J1815" t="s">
        <v>183</v>
      </c>
      <c r="K1815" t="s">
        <v>42</v>
      </c>
      <c r="L1815" t="s">
        <v>20</v>
      </c>
      <c r="M1815" t="s">
        <v>3907</v>
      </c>
      <c r="N1815" t="s">
        <v>14</v>
      </c>
    </row>
    <row r="1816" x14ac:dyDescent="0.25">
      <c r="A1816" t="n">
        <v>25</v>
      </c>
      <c r="B1816" t="s">
        <v>14</v>
      </c>
      <c r="C1816" t="s">
        <v>15</v>
      </c>
      <c r="D1816" s="2" t="s">
        <f>=HYPERLINK("https://main.knesset.gov.il/APPS/legislation/main/bills/2227226", "סעיף 22 (חוק שירות הקבע בצה""ל (גמלאות)) מתוך הצעת חוק ההתייעלות הכלכלית (תיקוני חקיקה להשגת יעדי התקציב לשנת התקציב 2025), התשפ""ה-2024 [פרק ו']")</f>
        <v>3909</v>
      </c>
      <c r="E1816" t="s">
        <v>3909</v>
      </c>
      <c r="F1816" t="s">
        <v>14</v>
      </c>
      <c r="G1816" t="s">
        <v>237</v>
      </c>
      <c r="H1816">
             </c>
      <c r="I1816" t="s">
        <v>14</v>
      </c>
      <c r="J1816" t="s">
        <v>183</v>
      </c>
      <c r="K1816" t="s">
        <v>42</v>
      </c>
      <c r="L1816" t="s">
        <v>20</v>
      </c>
      <c r="M1816" t="s">
        <v>3907</v>
      </c>
      <c r="N1816" t="s">
        <v>14</v>
      </c>
    </row>
    <row r="1817" x14ac:dyDescent="0.25">
      <c r="A1817" t="n">
        <v>25</v>
      </c>
      <c r="B1817" t="s">
        <v>14</v>
      </c>
      <c r="C1817" t="s">
        <v>51</v>
      </c>
      <c r="D1817" s="2" t="s">
        <f>=HYPERLINK("https://main.knesset.gov.il/APPS/legislation/main/bills/2222966", "הצעת חוק איסור הפליה ברישוי מחמת מצב בריאותי (תיקוני חקיקה), התשפ""ה-2024")</f>
        <v>3910</v>
      </c>
      <c r="E1817" t="s">
        <v>3910</v>
      </c>
      <c r="F1817" t="s">
        <v>3911</v>
      </c>
      <c r="G1817" t="s">
        <v>14</v>
      </c>
      <c r="H1817">
             </c>
      <c r="I1817" t="s">
        <v>14</v>
      </c>
      <c r="J1817" t="s">
        <v>183</v>
      </c>
      <c r="K1817" t="s">
        <v>361</v>
      </c>
      <c r="L1817" t="s">
        <v>20</v>
      </c>
      <c r="M1817" t="s">
        <v>3907</v>
      </c>
      <c r="N1817" t="s">
        <v>14</v>
      </c>
    </row>
    <row r="1818" x14ac:dyDescent="0.25">
      <c r="A1818" t="n">
        <v>25</v>
      </c>
      <c r="B1818" t="s">
        <v>14</v>
      </c>
      <c r="C1818" t="s">
        <v>51</v>
      </c>
      <c r="D1818" s="2" t="s">
        <f>=HYPERLINK("https://main.knesset.gov.il/APPS/legislation/main/bills/2212657", "הצעת חוק הדחת נציג ציבור התומך במאבק מזוין נגד מדינת ישראל (תיקוני חקיקה), התשפ""ד-2024")</f>
        <v>3912</v>
      </c>
      <c r="E1818" t="s">
        <v>3912</v>
      </c>
      <c r="F1818" t="s">
        <v>3913</v>
      </c>
      <c r="G1818" t="s">
        <v>14</v>
      </c>
      <c r="H1818">
             </c>
      <c r="I1818" t="s">
        <v>14</v>
      </c>
      <c r="J1818" t="s">
        <v>183</v>
      </c>
      <c r="K1818" t="s">
        <v>30</v>
      </c>
      <c r="L1818" t="s">
        <v>20</v>
      </c>
      <c r="M1818" t="s">
        <v>3907</v>
      </c>
      <c r="N1818" t="s">
        <v>14</v>
      </c>
    </row>
    <row r="1819" x14ac:dyDescent="0.25">
      <c r="A1819" t="n">
        <v>25</v>
      </c>
      <c r="B1819" t="s">
        <v>14</v>
      </c>
      <c r="C1819" t="s">
        <v>51</v>
      </c>
      <c r="D1819" s="2" t="s">
        <f>=HYPERLINK("https://main.knesset.gov.il/APPS/legislation/main/bills/2211426", "הצעת חוק הרשויות המקומיות (בחירות) (תיקון - מניעת השתתפות של מועמד או של רשימת מועמדים בבחירות), התשפ""ד-2023")</f>
        <v>3914</v>
      </c>
      <c r="E1819" t="s">
        <v>3914</v>
      </c>
      <c r="F1819" t="s">
        <v>3915</v>
      </c>
      <c r="G1819" t="s">
        <v>14</v>
      </c>
      <c r="H1819">
             </c>
      <c r="I1819" t="s">
        <v>14</v>
      </c>
      <c r="J1819" t="s">
        <v>183</v>
      </c>
      <c r="K1819" t="s">
        <v>30</v>
      </c>
      <c r="L1819" t="s">
        <v>20</v>
      </c>
      <c r="M1819" t="s">
        <v>3907</v>
      </c>
      <c r="N1819" t="s">
        <v>14</v>
      </c>
    </row>
    <row r="1820" x14ac:dyDescent="0.25">
      <c r="A1820" t="n">
        <v>25</v>
      </c>
      <c r="B1820" t="s">
        <v>14</v>
      </c>
      <c r="C1820" t="s">
        <v>51</v>
      </c>
      <c r="D1820" s="2" t="s">
        <f>=HYPERLINK("https://main.knesset.gov.il/APPS/legislation/main/bills/2207085", "הצעת חוק בתי המשפט (תיקון - תקופת צינון למינוי שופט שכיהן כפרקליט), התשפ""ג- 2023")</f>
        <v>3916</v>
      </c>
      <c r="E1820" t="s">
        <v>3916</v>
      </c>
      <c r="F1820" t="s">
        <v>3917</v>
      </c>
      <c r="G1820" t="s">
        <v>14</v>
      </c>
      <c r="H1820">
             </c>
      <c r="I1820" t="s">
        <v>14</v>
      </c>
      <c r="J1820" t="s">
        <v>152</v>
      </c>
      <c r="K1820" t="s">
        <v>27</v>
      </c>
      <c r="L1820" t="s">
        <v>20</v>
      </c>
      <c r="M1820" t="s">
        <v>3907</v>
      </c>
      <c r="N1820" t="s">
        <v>14</v>
      </c>
    </row>
    <row r="1821" x14ac:dyDescent="0.25">
      <c r="A1821" t="n">
        <v>25</v>
      </c>
      <c r="B1821" t="s">
        <v>14</v>
      </c>
      <c r="C1821" t="s">
        <v>15</v>
      </c>
      <c r="D1821" s="2" t="s">
        <f>=HYPERLINK("https://main.knesset.gov.il/APPS/legislation/main/bills/2227220", "סעיף 8(1)-(3), (5), (7)-(9), 9(2), 10(1) ו-14 (הוצאות שלא מותרות בניכוי והגבלת תשלומים במזומן) מתוך הצעת חוק ההתייעלות הכלכלית (תיקוני חקיקה להשגת יעדי התקציב לשנת התקציב 2025), התשפ""ה-2024 ")</f>
        <v>3918</v>
      </c>
      <c r="E1821" t="s">
        <v>3918</v>
      </c>
      <c r="F1821" t="s">
        <v>14</v>
      </c>
      <c r="G1821" t="s">
        <v>237</v>
      </c>
      <c r="H1821">
             </c>
      <c r="I1821" t="s">
        <v>14</v>
      </c>
      <c r="J1821" t="s">
        <v>183</v>
      </c>
      <c r="K1821" t="s">
        <v>42</v>
      </c>
      <c r="L1821" t="s">
        <v>20</v>
      </c>
      <c r="M1821" t="s">
        <v>3907</v>
      </c>
      <c r="N1821" t="s">
        <v>14</v>
      </c>
    </row>
    <row r="1822" x14ac:dyDescent="0.25">
      <c r="A1822" t="n">
        <v>25</v>
      </c>
      <c r="B1822" t="s">
        <v>14</v>
      </c>
      <c r="C1822" t="s">
        <v>15</v>
      </c>
      <c r="D1822" s="2" t="s">
        <f>=HYPERLINK("https://main.knesset.gov.il/APPS/legislation/main/bills/2228291", "סעיפים 11 ו-13 (שינוי מודל החשבוניות הפיקטיביות) מתוך הצעת חוק ההתייעלות הכלכלית (תיקוני חקיקה להשגת יעדי התקציב לשנת התקציב 2025), התשפ""ה-2024 ")</f>
        <v>3919</v>
      </c>
      <c r="E1822" t="s">
        <v>3919</v>
      </c>
      <c r="F1822" t="s">
        <v>14</v>
      </c>
      <c r="G1822" t="s">
        <v>237</v>
      </c>
      <c r="H1822">
             </c>
      <c r="I1822" t="s">
        <v>14</v>
      </c>
      <c r="J1822" t="s">
        <v>183</v>
      </c>
      <c r="K1822" t="s">
        <v>42</v>
      </c>
      <c r="L1822" t="s">
        <v>20</v>
      </c>
      <c r="M1822" t="s">
        <v>3907</v>
      </c>
      <c r="N1822" t="s">
        <v>14</v>
      </c>
    </row>
    <row r="1823" x14ac:dyDescent="0.25">
      <c r="A1823" t="n">
        <v>25</v>
      </c>
      <c r="B1823" t="s">
        <v>14</v>
      </c>
      <c r="C1823" t="s">
        <v>51</v>
      </c>
      <c r="D1823" s="2" t="s">
        <f>=HYPERLINK("https://main.knesset.gov.il/APPS/legislation/main/bills/2229056", "הצעת חוק איסור צריכת זנות (תיקון - עיגון כהוראת קבע), התשפ""ה-2025")</f>
        <v>3920</v>
      </c>
      <c r="E1823" t="s">
        <v>3920</v>
      </c>
      <c r="F1823" t="s">
        <v>3921</v>
      </c>
      <c r="G1823" t="s">
        <v>14</v>
      </c>
      <c r="H1823">
             </c>
      <c r="I1823" t="s">
        <v>14</v>
      </c>
      <c r="J1823" t="s">
        <v>242</v>
      </c>
      <c r="K1823" t="s">
        <v>14</v>
      </c>
      <c r="L1823" t="s">
        <v>20</v>
      </c>
      <c r="M1823" t="s">
        <v>3907</v>
      </c>
      <c r="N1823" t="s">
        <v>14</v>
      </c>
    </row>
    <row r="1824" x14ac:dyDescent="0.25">
      <c r="A1824" t="n">
        <v>25</v>
      </c>
      <c r="B1824" t="s">
        <v>14</v>
      </c>
      <c r="C1824" t="s">
        <v>51</v>
      </c>
      <c r="D1824" s="2" t="s">
        <f>=HYPERLINK("https://main.knesset.gov.il/APPS/legislation/main/bills/2229355", "הצעת חוק לתיקון פקודת המשטרה (מערכת צילום ביומטרית), התשפ""ה-2025")</f>
        <v>3922</v>
      </c>
      <c r="E1824" t="s">
        <v>3922</v>
      </c>
      <c r="F1824" t="s">
        <v>3923</v>
      </c>
      <c r="G1824" t="s">
        <v>14</v>
      </c>
      <c r="H1824">
             </c>
      <c r="I1824" t="s">
        <v>14</v>
      </c>
      <c r="J1824" t="s">
        <v>242</v>
      </c>
      <c r="K1824" t="s">
        <v>14</v>
      </c>
      <c r="L1824" t="s">
        <v>20</v>
      </c>
      <c r="M1824" t="s">
        <v>3907</v>
      </c>
      <c r="N1824" t="s">
        <v>14</v>
      </c>
    </row>
    <row r="1825" x14ac:dyDescent="0.25">
      <c r="A1825" t="n">
        <v>25</v>
      </c>
      <c r="B1825" t="s">
        <v>14</v>
      </c>
      <c r="C1825" t="s">
        <v>51</v>
      </c>
      <c r="D1825" s="2" t="s">
        <f>=HYPERLINK("https://main.knesset.gov.il/APPS/legislation/main/bills/2228528", "הצעת חוק עקרונות לפדיון שבויים ונעדרים, התשפ""ה-2025")</f>
        <v>3924</v>
      </c>
      <c r="E1825" t="s">
        <v>3924</v>
      </c>
      <c r="F1825" t="s">
        <v>3925</v>
      </c>
      <c r="G1825" t="s">
        <v>14</v>
      </c>
      <c r="H1825">
             </c>
      <c r="I1825" t="s">
        <v>14</v>
      </c>
      <c r="J1825" t="s">
        <v>242</v>
      </c>
      <c r="K1825" t="s">
        <v>14</v>
      </c>
      <c r="L1825" t="s">
        <v>20</v>
      </c>
      <c r="M1825" t="s">
        <v>3907</v>
      </c>
      <c r="N1825" t="s">
        <v>14</v>
      </c>
    </row>
    <row r="1826" x14ac:dyDescent="0.25">
      <c r="A1826" t="n">
        <v>25</v>
      </c>
      <c r="B1826" t="s">
        <v>14</v>
      </c>
      <c r="C1826" t="s">
        <v>51</v>
      </c>
      <c r="D1826" s="2" t="s">
        <f>=HYPERLINK("https://main.knesset.gov.il/APPS/legislation/main/bills/2228236", "הצעת חוק בתי המשפט (תיקון - בוררות חובה בתובענה כספית), התשפ""ה-2025")</f>
        <v>3926</v>
      </c>
      <c r="E1826" t="s">
        <v>3926</v>
      </c>
      <c r="F1826" t="s">
        <v>3927</v>
      </c>
      <c r="G1826" t="s">
        <v>14</v>
      </c>
      <c r="H1826">
             </c>
      <c r="I1826" t="s">
        <v>14</v>
      </c>
      <c r="J1826" t="s">
        <v>242</v>
      </c>
      <c r="K1826" t="s">
        <v>14</v>
      </c>
      <c r="L1826" t="s">
        <v>20</v>
      </c>
      <c r="M1826" t="s">
        <v>3907</v>
      </c>
      <c r="N1826" t="s">
        <v>14</v>
      </c>
    </row>
    <row r="1827" x14ac:dyDescent="0.25">
      <c r="A1827" t="n">
        <v>25</v>
      </c>
      <c r="B1827" t="s">
        <v>14</v>
      </c>
      <c r="C1827" t="s">
        <v>51</v>
      </c>
      <c r="D1827" s="2" t="s">
        <f>=HYPERLINK("https://main.knesset.gov.il/APPS/legislation/main/bills/2228790", "הצעת חוק המאבק בסנקציות נגד מדינת ישראל, התשפ""ה-2025")</f>
        <v>3928</v>
      </c>
      <c r="E1827" t="s">
        <v>3928</v>
      </c>
      <c r="F1827" t="s">
        <v>3929</v>
      </c>
      <c r="G1827" t="s">
        <v>14</v>
      </c>
      <c r="H1827">
             </c>
      <c r="I1827" t="s">
        <v>14</v>
      </c>
      <c r="J1827" t="s">
        <v>242</v>
      </c>
      <c r="K1827" t="s">
        <v>14</v>
      </c>
      <c r="L1827" t="s">
        <v>20</v>
      </c>
      <c r="M1827" t="s">
        <v>3907</v>
      </c>
      <c r="N1827" t="s">
        <v>14</v>
      </c>
    </row>
    <row r="1828" x14ac:dyDescent="0.25">
      <c r="A1828" t="n">
        <v>25</v>
      </c>
      <c r="B1828" t="s">
        <v>14</v>
      </c>
      <c r="C1828" t="s">
        <v>51</v>
      </c>
      <c r="D1828" s="2" t="s">
        <f>=HYPERLINK("https://main.knesset.gov.il/APPS/legislation/main/bills/2228927", "הצעת חוק איסור מתן היתרי עבודה לתושבי הרשות הפלסטינית, התשפ""ה-2025")</f>
        <v>3930</v>
      </c>
      <c r="E1828" t="s">
        <v>3930</v>
      </c>
      <c r="F1828" t="s">
        <v>3931</v>
      </c>
      <c r="G1828" t="s">
        <v>14</v>
      </c>
      <c r="H1828">
             </c>
      <c r="I1828" t="s">
        <v>14</v>
      </c>
      <c r="J1828" t="s">
        <v>242</v>
      </c>
      <c r="K1828" t="s">
        <v>14</v>
      </c>
      <c r="L1828" t="s">
        <v>20</v>
      </c>
      <c r="M1828" t="s">
        <v>3907</v>
      </c>
      <c r="N1828" t="s">
        <v>14</v>
      </c>
    </row>
    <row r="1829" x14ac:dyDescent="0.25">
      <c r="A1829" t="n">
        <v>25</v>
      </c>
      <c r="B1829" t="s">
        <v>14</v>
      </c>
      <c r="C1829" t="s">
        <v>51</v>
      </c>
      <c r="D1829" s="2" t="s">
        <f>=HYPERLINK("https://main.knesset.gov.il/APPS/legislation/main/bills/2228945", "הצעת חוק לביטול הסכם אוסלו, הסכם חברון והסכם ואי, התשפ""ה-2025")</f>
        <v>3932</v>
      </c>
      <c r="E1829" t="s">
        <v>3932</v>
      </c>
      <c r="F1829" t="s">
        <v>3933</v>
      </c>
      <c r="G1829" t="s">
        <v>14</v>
      </c>
      <c r="H1829">
             </c>
      <c r="I1829" t="s">
        <v>14</v>
      </c>
      <c r="J1829" t="s">
        <v>242</v>
      </c>
      <c r="K1829" t="s">
        <v>14</v>
      </c>
      <c r="L1829" t="s">
        <v>20</v>
      </c>
      <c r="M1829" t="s">
        <v>3907</v>
      </c>
      <c r="N1829" t="s">
        <v>14</v>
      </c>
    </row>
    <row r="1830" x14ac:dyDescent="0.25">
      <c r="A1830" t="n">
        <v>25</v>
      </c>
      <c r="B1830" t="s">
        <v>14</v>
      </c>
      <c r="C1830" t="s">
        <v>51</v>
      </c>
      <c r="D1830" s="2" t="s">
        <f>=HYPERLINK("https://main.knesset.gov.il/APPS/legislation/main/bills/2228234", "הצעת חוק להגברת האכיפה של דיני העבודה (תיקון - עיצום כספי בשל אי-הסדרת ביטוח רפואי לעובד זר), התשפ""ה-2025")</f>
        <v>3400</v>
      </c>
      <c r="E1830" t="s">
        <v>3400</v>
      </c>
      <c r="F1830" t="s">
        <v>3934</v>
      </c>
      <c r="G1830" t="s">
        <v>14</v>
      </c>
      <c r="H1830">
             </c>
      <c r="I1830" t="s">
        <v>14</v>
      </c>
      <c r="J1830" t="s">
        <v>242</v>
      </c>
      <c r="K1830" t="s">
        <v>14</v>
      </c>
      <c r="L1830" t="s">
        <v>20</v>
      </c>
      <c r="M1830" t="s">
        <v>3907</v>
      </c>
      <c r="N1830" t="s">
        <v>14</v>
      </c>
    </row>
    <row r="1831" x14ac:dyDescent="0.25">
      <c r="A1831" t="n">
        <v>25</v>
      </c>
      <c r="B1831" t="s">
        <v>14</v>
      </c>
      <c r="C1831" t="s">
        <v>51</v>
      </c>
      <c r="D1831" s="2" t="s">
        <f>=HYPERLINK("https://main.knesset.gov.il/APPS/legislation/main/bills/2229611", "הצעת חוק הביטוח הלאומי (תיקון - עבודה בחינוך וסיוע להוראה או בטיפול בילדים כעבודה מועדפת), התשפ""ה-2025")</f>
        <v>3935</v>
      </c>
      <c r="E1831" t="s">
        <v>3935</v>
      </c>
      <c r="F1831" t="s">
        <v>3936</v>
      </c>
      <c r="G1831" t="s">
        <v>14</v>
      </c>
      <c r="H1831">
             </c>
      <c r="I1831" t="s">
        <v>14</v>
      </c>
      <c r="J1831" t="s">
        <v>242</v>
      </c>
      <c r="K1831" t="s">
        <v>14</v>
      </c>
      <c r="L1831" t="s">
        <v>20</v>
      </c>
      <c r="M1831" t="s">
        <v>3907</v>
      </c>
      <c r="N1831" t="s">
        <v>14</v>
      </c>
    </row>
    <row r="1832" x14ac:dyDescent="0.25">
      <c r="A1832" t="n">
        <v>25</v>
      </c>
      <c r="B1832" t="s">
        <v>14</v>
      </c>
      <c r="C1832" t="s">
        <v>51</v>
      </c>
      <c r="D1832" s="2" t="s">
        <f>=HYPERLINK("https://main.knesset.gov.il/APPS/legislation/main/bills/2229516", "הצעת חוק לתיקון מונחים בחקיקה (בית רפואה), התשפ""ה-2025")</f>
        <v>3937</v>
      </c>
      <c r="E1832" t="s">
        <v>3937</v>
      </c>
      <c r="F1832" t="s">
        <v>3938</v>
      </c>
      <c r="G1832" t="s">
        <v>14</v>
      </c>
      <c r="H1832">
             </c>
      <c r="I1832" t="s">
        <v>14</v>
      </c>
      <c r="J1832" t="s">
        <v>242</v>
      </c>
      <c r="K1832" t="s">
        <v>14</v>
      </c>
      <c r="L1832" t="s">
        <v>20</v>
      </c>
      <c r="M1832" t="s">
        <v>3907</v>
      </c>
      <c r="N1832" t="s">
        <v>14</v>
      </c>
    </row>
    <row r="1833" x14ac:dyDescent="0.25">
      <c r="A1833" t="n">
        <v>25</v>
      </c>
      <c r="B1833" t="s">
        <v>14</v>
      </c>
      <c r="C1833" t="s">
        <v>51</v>
      </c>
      <c r="D1833" s="2" t="s">
        <f>=HYPERLINK("https://main.knesset.gov.il/APPS/legislation/main/bills/2229805", "הצעת חוק הסדרת השימוש בקנאביס למטרות רפואיות, התשפ""ה-2025")</f>
        <v>2808</v>
      </c>
      <c r="E1833" t="s">
        <v>2808</v>
      </c>
      <c r="F1833" t="s">
        <v>3939</v>
      </c>
      <c r="G1833" t="s">
        <v>14</v>
      </c>
      <c r="H1833">
             </c>
      <c r="I1833" t="s">
        <v>14</v>
      </c>
      <c r="J1833" t="s">
        <v>242</v>
      </c>
      <c r="K1833" t="s">
        <v>14</v>
      </c>
      <c r="L1833" t="s">
        <v>20</v>
      </c>
      <c r="M1833" t="s">
        <v>3907</v>
      </c>
      <c r="N1833" t="s">
        <v>14</v>
      </c>
    </row>
    <row r="1834" x14ac:dyDescent="0.25">
      <c r="A1834" t="n">
        <v>25</v>
      </c>
      <c r="B1834" t="s">
        <v>14</v>
      </c>
      <c r="C1834" t="s">
        <v>51</v>
      </c>
      <c r="D1834" s="2" t="s">
        <f>=HYPERLINK("https://main.knesset.gov.il/APPS/legislation/main/bills/2228412", "הצעת חוק החלת הריבונות של מדינת ישראל בחבלי יהודה והשומרון, התשפ""ה-2025")</f>
        <v>2408</v>
      </c>
      <c r="E1834" t="s">
        <v>2408</v>
      </c>
      <c r="F1834" t="s">
        <v>3940</v>
      </c>
      <c r="G1834" t="s">
        <v>14</v>
      </c>
      <c r="H1834">
             </c>
      <c r="I1834" t="s">
        <v>14</v>
      </c>
      <c r="J1834" t="s">
        <v>242</v>
      </c>
      <c r="K1834" t="s">
        <v>14</v>
      </c>
      <c r="L1834" t="s">
        <v>20</v>
      </c>
      <c r="M1834" t="s">
        <v>3907</v>
      </c>
      <c r="N1834" t="s">
        <v>14</v>
      </c>
    </row>
    <row r="1835" x14ac:dyDescent="0.25">
      <c r="A1835" t="n">
        <v>25</v>
      </c>
      <c r="B1835" t="s">
        <v>14</v>
      </c>
      <c r="C1835" t="s">
        <v>51</v>
      </c>
      <c r="D1835" s="2" t="s">
        <f>=HYPERLINK("https://main.knesset.gov.il/APPS/legislation/main/bills/2229797", "הצעת חוק משפחות חיילים שנספו במערכה (תגמולים ושיקום) (תיקון - שלילת הכרה כבן משפחה), התשפ""ה-2025")</f>
        <v>3941</v>
      </c>
      <c r="E1835" t="s">
        <v>3941</v>
      </c>
      <c r="F1835" t="s">
        <v>3942</v>
      </c>
      <c r="G1835" t="s">
        <v>14</v>
      </c>
      <c r="H1835">
             </c>
      <c r="I1835" t="s">
        <v>14</v>
      </c>
      <c r="J1835" t="s">
        <v>242</v>
      </c>
      <c r="K1835" t="s">
        <v>14</v>
      </c>
      <c r="L1835" t="s">
        <v>20</v>
      </c>
      <c r="M1835" t="s">
        <v>3907</v>
      </c>
      <c r="N1835" t="s">
        <v>14</v>
      </c>
    </row>
    <row r="1836" x14ac:dyDescent="0.25">
      <c r="A1836" t="n">
        <v>25</v>
      </c>
      <c r="B1836" t="s">
        <v>14</v>
      </c>
      <c r="C1836" t="s">
        <v>51</v>
      </c>
      <c r="D1836" s="2" t="s">
        <f>=HYPERLINK("https://main.knesset.gov.il/APPS/legislation/main/bills/2229796", "הצעת חוק טיפול בחולי נפש (תיקון - קביעת מועד למתן חוות דעת פסיכיאטרית), התשפ""ה-2025")</f>
        <v>3610</v>
      </c>
      <c r="E1836" t="s">
        <v>3610</v>
      </c>
      <c r="F1836" t="s">
        <v>3943</v>
      </c>
      <c r="G1836" t="s">
        <v>14</v>
      </c>
      <c r="H1836">
             </c>
      <c r="I1836" t="s">
        <v>14</v>
      </c>
      <c r="J1836" t="s">
        <v>242</v>
      </c>
      <c r="K1836" t="s">
        <v>14</v>
      </c>
      <c r="L1836" t="s">
        <v>20</v>
      </c>
      <c r="M1836" t="s">
        <v>3907</v>
      </c>
      <c r="N1836" t="s">
        <v>14</v>
      </c>
    </row>
    <row r="1837" x14ac:dyDescent="0.25">
      <c r="A1837" t="n">
        <v>25</v>
      </c>
      <c r="B1837" t="s">
        <v>14</v>
      </c>
      <c r="C1837" t="s">
        <v>51</v>
      </c>
      <c r="D1837" s="2" t="s">
        <f>=HYPERLINK("https://main.knesset.gov.il/APPS/legislation/main/bills/2229801", "הצעת חוק שירות הקבע בצבא הגנה לישראל (גמלאות) (תיקון - קצבאות שאירים - תיקונים שונים), התשפ""ה-2025")</f>
        <v>1701</v>
      </c>
      <c r="E1837" t="s">
        <v>1701</v>
      </c>
      <c r="F1837" t="s">
        <v>3944</v>
      </c>
      <c r="G1837" t="s">
        <v>14</v>
      </c>
      <c r="H1837">
             </c>
      <c r="I1837" t="s">
        <v>14</v>
      </c>
      <c r="J1837" t="s">
        <v>242</v>
      </c>
      <c r="K1837" t="s">
        <v>14</v>
      </c>
      <c r="L1837" t="s">
        <v>20</v>
      </c>
      <c r="M1837" t="s">
        <v>3907</v>
      </c>
      <c r="N1837" t="s">
        <v>14</v>
      </c>
    </row>
    <row r="1838" x14ac:dyDescent="0.25">
      <c r="A1838" t="n">
        <v>25</v>
      </c>
      <c r="B1838" t="s">
        <v>14</v>
      </c>
      <c r="C1838" t="s">
        <v>51</v>
      </c>
      <c r="D1838" s="2" t="s">
        <f>=HYPERLINK("https://main.knesset.gov.il/APPS/legislation/main/bills/2229794", "הצעת חוק הגנת הצרכן (תיקון - איסור הפעלת השפעה בלתי הוגנת במצב חירום), התשפ""ה-2025")</f>
        <v>3945</v>
      </c>
      <c r="E1838" t="s">
        <v>3945</v>
      </c>
      <c r="F1838" t="s">
        <v>3946</v>
      </c>
      <c r="G1838" t="s">
        <v>14</v>
      </c>
      <c r="H1838">
             </c>
      <c r="I1838" t="s">
        <v>14</v>
      </c>
      <c r="J1838" t="s">
        <v>242</v>
      </c>
      <c r="K1838" t="s">
        <v>14</v>
      </c>
      <c r="L1838" t="s">
        <v>20</v>
      </c>
      <c r="M1838" t="s">
        <v>3907</v>
      </c>
      <c r="N1838" t="s">
        <v>14</v>
      </c>
    </row>
    <row r="1839" x14ac:dyDescent="0.25">
      <c r="A1839" t="n">
        <v>25</v>
      </c>
      <c r="B1839" t="s">
        <v>14</v>
      </c>
      <c r="C1839" t="s">
        <v>51</v>
      </c>
      <c r="D1839" s="2" t="s">
        <f>=HYPERLINK("https://main.knesset.gov.il/APPS/legislation/main/bills/2221940", "הצעת חוק לקביעת התאמות לעניין זכויות סוציאליות של עובדים זרים, התשפ""ה-2025")</f>
        <v>3947</v>
      </c>
      <c r="E1839" t="s">
        <v>3947</v>
      </c>
      <c r="F1839" t="s">
        <v>3948</v>
      </c>
      <c r="G1839" t="s">
        <v>14</v>
      </c>
      <c r="H1839">
             </c>
      <c r="I1839" t="s">
        <v>14</v>
      </c>
      <c r="J1839" t="s">
        <v>242</v>
      </c>
      <c r="K1839" t="s">
        <v>14</v>
      </c>
      <c r="L1839" t="s">
        <v>20</v>
      </c>
      <c r="M1839" t="s">
        <v>3907</v>
      </c>
      <c r="N1839" t="s">
        <v>14</v>
      </c>
    </row>
    <row r="1840" x14ac:dyDescent="0.25">
      <c r="A1840" t="n">
        <v>25</v>
      </c>
      <c r="B1840" t="s">
        <v>14</v>
      </c>
      <c r="C1840" t="s">
        <v>51</v>
      </c>
      <c r="D1840" s="2" t="s">
        <f>=HYPERLINK("https://main.knesset.gov.il/APPS/legislation/main/bills/2228967", "הצעת חוק-יסוד: הממשלה (תיקון - הגבלת מספר שרים וסגני שרים)")</f>
        <v>3314</v>
      </c>
      <c r="E1840" t="s">
        <v>3314</v>
      </c>
      <c r="F1840" t="s">
        <v>3949</v>
      </c>
      <c r="G1840" t="s">
        <v>14</v>
      </c>
      <c r="H1840">
             </c>
      <c r="I1840" t="s">
        <v>14</v>
      </c>
      <c r="J1840" t="s">
        <v>242</v>
      </c>
      <c r="K1840" t="s">
        <v>14</v>
      </c>
      <c r="L1840" t="s">
        <v>20</v>
      </c>
      <c r="M1840" t="s">
        <v>3907</v>
      </c>
      <c r="N1840" t="s">
        <v>14</v>
      </c>
    </row>
    <row r="1841" x14ac:dyDescent="0.25">
      <c r="A1841" t="n">
        <v>25</v>
      </c>
      <c r="B1841" t="s">
        <v>14</v>
      </c>
      <c r="C1841" t="s">
        <v>51</v>
      </c>
      <c r="D1841" s="2" t="s">
        <f>=HYPERLINK("https://main.knesset.gov.il/APPS/legislation/main/bills/2227751", "הצעת חוק לסבסוד תרכובת מזון לתינוקות, התשפ""ה-2025")</f>
        <v>3950</v>
      </c>
      <c r="E1841" t="s">
        <v>3950</v>
      </c>
      <c r="F1841" t="s">
        <v>3951</v>
      </c>
      <c r="G1841" t="s">
        <v>14</v>
      </c>
      <c r="H1841">
             </c>
      <c r="I1841" t="s">
        <v>14</v>
      </c>
      <c r="J1841" t="s">
        <v>242</v>
      </c>
      <c r="K1841" t="s">
        <v>14</v>
      </c>
      <c r="L1841" t="s">
        <v>20</v>
      </c>
      <c r="M1841" t="s">
        <v>3907</v>
      </c>
      <c r="N1841" t="s">
        <v>14</v>
      </c>
    </row>
    <row r="1842" x14ac:dyDescent="0.25">
      <c r="A1842" t="n">
        <v>25</v>
      </c>
      <c r="B1842" t="s">
        <v>14</v>
      </c>
      <c r="C1842" t="s">
        <v>51</v>
      </c>
      <c r="D1842" s="2" t="s">
        <f>=HYPERLINK("https://main.knesset.gov.il/APPS/legislation/main/bills/2229803", "הצעת חוק חדלות פירעון ושיקום כלכלי (תיקון - העלאת סף החובות לניהול הליך ברשות האכיפה והגבייה), התשפ""ה-2025")</f>
        <v>3774</v>
      </c>
      <c r="E1842" t="s">
        <v>3774</v>
      </c>
      <c r="F1842" t="s">
        <v>3952</v>
      </c>
      <c r="G1842" t="s">
        <v>14</v>
      </c>
      <c r="H1842">
             </c>
      <c r="I1842" t="s">
        <v>14</v>
      </c>
      <c r="J1842" t="s">
        <v>242</v>
      </c>
      <c r="K1842" t="s">
        <v>14</v>
      </c>
      <c r="L1842" t="s">
        <v>20</v>
      </c>
      <c r="M1842" t="s">
        <v>3907</v>
      </c>
      <c r="N1842" t="s">
        <v>14</v>
      </c>
    </row>
    <row r="1843" x14ac:dyDescent="0.25">
      <c r="A1843" t="n">
        <v>25</v>
      </c>
      <c r="B1843" t="s">
        <v>14</v>
      </c>
      <c r="C1843" t="s">
        <v>51</v>
      </c>
      <c r="D1843" s="2" t="s">
        <f>=HYPERLINK("https://main.knesset.gov.il/APPS/legislation/main/bills/2229791", "הצעת חוק החברות (תיקון - מכסות ייצוג לנשים בדירקטוריונים של חברות ציבוריות), התשפ""ה-2025")</f>
        <v>3855</v>
      </c>
      <c r="E1843" t="s">
        <v>3855</v>
      </c>
      <c r="F1843" t="s">
        <v>3953</v>
      </c>
      <c r="G1843" t="s">
        <v>14</v>
      </c>
      <c r="H1843">
             </c>
      <c r="I1843" t="s">
        <v>14</v>
      </c>
      <c r="J1843" t="s">
        <v>242</v>
      </c>
      <c r="K1843" t="s">
        <v>14</v>
      </c>
      <c r="L1843" t="s">
        <v>20</v>
      </c>
      <c r="M1843" t="s">
        <v>3907</v>
      </c>
      <c r="N1843" t="s">
        <v>14</v>
      </c>
    </row>
    <row r="1844" x14ac:dyDescent="0.25">
      <c r="A1844" t="n">
        <v>25</v>
      </c>
      <c r="B1844" t="s">
        <v>14</v>
      </c>
      <c r="C1844" t="s">
        <v>51</v>
      </c>
      <c r="D1844" s="2" t="s">
        <f>=HYPERLINK("https://main.knesset.gov.il/APPS/legislation/main/bills/2228336", "הצעת חוק איסור פרסומת ומכירת משקאות אנרגיה לקטינים, התשפ""ה-2025")</f>
        <v>3954</v>
      </c>
      <c r="E1844" t="s">
        <v>3954</v>
      </c>
      <c r="F1844" t="s">
        <v>3955</v>
      </c>
      <c r="G1844" t="s">
        <v>14</v>
      </c>
      <c r="H1844">
             </c>
      <c r="I1844" t="s">
        <v>14</v>
      </c>
      <c r="J1844" t="s">
        <v>202</v>
      </c>
      <c r="K1844" t="s">
        <v>14</v>
      </c>
      <c r="L1844" t="s">
        <v>20</v>
      </c>
      <c r="M1844" t="s">
        <v>3907</v>
      </c>
      <c r="N1844" t="s">
        <v>14</v>
      </c>
    </row>
    <row r="1845" x14ac:dyDescent="0.25">
      <c r="A1845" t="n">
        <v>25</v>
      </c>
      <c r="B1845" t="s">
        <v>14</v>
      </c>
      <c r="C1845" t="s">
        <v>51</v>
      </c>
      <c r="D1845" s="2" t="s">
        <f>=HYPERLINK("https://main.knesset.gov.il/APPS/legislation/main/bills/2227327", "הצעת חוק הבנקאות (שירות ללקוח) (תיקון - הפצת כרטיסי אשראי של כלל חברות כרטיסי האשראי), התשפ""ה-2025")</f>
        <v>3846</v>
      </c>
      <c r="E1845" t="s">
        <v>3846</v>
      </c>
      <c r="F1845" t="s">
        <v>3956</v>
      </c>
      <c r="G1845" t="s">
        <v>14</v>
      </c>
      <c r="H1845">
             </c>
      <c r="I1845" t="s">
        <v>14</v>
      </c>
      <c r="J1845" t="s">
        <v>242</v>
      </c>
      <c r="K1845" t="s">
        <v>14</v>
      </c>
      <c r="L1845" t="s">
        <v>20</v>
      </c>
      <c r="M1845" t="s">
        <v>3907</v>
      </c>
      <c r="N1845" t="s">
        <v>14</v>
      </c>
    </row>
    <row r="1846" x14ac:dyDescent="0.25">
      <c r="A1846" t="n">
        <v>25</v>
      </c>
      <c r="B1846" t="s">
        <v>14</v>
      </c>
      <c r="C1846" t="s">
        <v>51</v>
      </c>
      <c r="D1846" s="2" t="s">
        <f>=HYPERLINK("https://main.knesset.gov.il/APPS/legislation/main/bills/2228523", "הצעת חוק הביטוח הלאומי (תיקון - הצמדת קצבת נכות מעבודה לשכר הממוצע במשק), התשפ""ה-2025")</f>
        <v>3398</v>
      </c>
      <c r="E1846" t="s">
        <v>3398</v>
      </c>
      <c r="F1846" t="s">
        <v>3957</v>
      </c>
      <c r="G1846" t="s">
        <v>14</v>
      </c>
      <c r="H1846">
             </c>
      <c r="I1846" t="s">
        <v>14</v>
      </c>
      <c r="J1846" t="s">
        <v>242</v>
      </c>
      <c r="K1846" t="s">
        <v>14</v>
      </c>
      <c r="L1846" t="s">
        <v>20</v>
      </c>
      <c r="M1846" t="s">
        <v>3907</v>
      </c>
      <c r="N1846" t="s">
        <v>14</v>
      </c>
    </row>
    <row r="1847" x14ac:dyDescent="0.25">
      <c r="A1847" t="n">
        <v>25</v>
      </c>
      <c r="B1847" t="s">
        <v>14</v>
      </c>
      <c r="C1847" t="s">
        <v>15</v>
      </c>
      <c r="D1847" s="2" t="s">
        <f>=HYPERLINK("https://main.knesset.gov.il/APPS/legislation/main/bills/2227222", "פרק ב' (ביטוח לאומי) מתוך הצעת חוק ההתייעלות הכלכלית (תיקוני חקיקה להשגת יעדי התקציב לשנת התקציב 2025), התשפ""ה-2024 ")</f>
        <v>3958</v>
      </c>
      <c r="E1847" t="s">
        <v>3958</v>
      </c>
      <c r="F1847" t="s">
        <v>14</v>
      </c>
      <c r="G1847" t="s">
        <v>237</v>
      </c>
      <c r="H1847">
             </c>
      <c r="I1847" t="s">
        <v>14</v>
      </c>
      <c r="J1847" t="s">
        <v>183</v>
      </c>
      <c r="K1847" t="s">
        <v>42</v>
      </c>
      <c r="L1847" t="s">
        <v>20</v>
      </c>
      <c r="M1847" t="s">
        <v>3959</v>
      </c>
      <c r="N1847" t="s">
        <v>14</v>
      </c>
    </row>
    <row r="1848" x14ac:dyDescent="0.25">
      <c r="A1848" t="n">
        <v>25</v>
      </c>
      <c r="B1848" t="s">
        <v>14</v>
      </c>
      <c r="C1848" t="s">
        <v>15</v>
      </c>
      <c r="D1848" s="2" t="s">
        <f>=HYPERLINK("https://main.knesset.gov.il/APPS/legislation/main/bills/2227221", "סעיף 16 (דיגיטציה של חשבוניות מס) מתוך הצעת חוק ההתייעלות הכלכלית (תיקוני חקיקה להשגת יעדי התקציב לשנת התקציב 2025), התשפ""ה-2024 ")</f>
        <v>3960</v>
      </c>
      <c r="E1848" t="s">
        <v>3960</v>
      </c>
      <c r="F1848" t="s">
        <v>14</v>
      </c>
      <c r="G1848" t="s">
        <v>237</v>
      </c>
      <c r="H1848">
             </c>
      <c r="I1848" t="s">
        <v>14</v>
      </c>
      <c r="J1848" t="s">
        <v>183</v>
      </c>
      <c r="K1848" t="s">
        <v>42</v>
      </c>
      <c r="L1848" t="s">
        <v>20</v>
      </c>
      <c r="M1848" t="s">
        <v>3959</v>
      </c>
      <c r="N1848" t="s">
        <v>14</v>
      </c>
    </row>
    <row r="1849" x14ac:dyDescent="0.25">
      <c r="A1849" t="n">
        <v>25</v>
      </c>
      <c r="B1849" t="s">
        <v>14</v>
      </c>
      <c r="C1849" t="s">
        <v>15</v>
      </c>
      <c r="D1849" s="2" t="s">
        <f>=HYPERLINK("https://main.knesset.gov.il/APPS/legislation/main/bills/2227219", "סעיפים 7-6 (שינוי מבנה ומיזוג) מתוך הצעת חוק ההתייעלות הכלכלית (תיקוני חקיקה להשגת יעדי התקציב לשנת התקציב 2025), התשפ""ה-2024 ")</f>
        <v>3961</v>
      </c>
      <c r="E1849" t="s">
        <v>3961</v>
      </c>
      <c r="F1849" t="s">
        <v>14</v>
      </c>
      <c r="G1849" t="s">
        <v>237</v>
      </c>
      <c r="H1849">
             </c>
      <c r="I1849" t="s">
        <v>14</v>
      </c>
      <c r="J1849" t="s">
        <v>183</v>
      </c>
      <c r="K1849" t="s">
        <v>42</v>
      </c>
      <c r="L1849" t="s">
        <v>20</v>
      </c>
      <c r="M1849" t="s">
        <v>3959</v>
      </c>
      <c r="N1849" t="s">
        <v>14</v>
      </c>
    </row>
    <row r="1850" x14ac:dyDescent="0.25">
      <c r="A1850" t="n">
        <v>25</v>
      </c>
      <c r="B1850" t="s">
        <v>14</v>
      </c>
      <c r="C1850" t="s">
        <v>15</v>
      </c>
      <c r="D1850" s="2" t="s">
        <f>=HYPERLINK("https://main.knesset.gov.il/APPS/legislation/main/bills/2228290", "סעיף 10(2) (הרחבת חובת הגשת דיווח מפורט) מתוך הצעת חוק ההתייעלות הכלכלית (תיקוני חקיקה להשגת יעדי התקציב לשנת התקציב 2025), התשפ""ה-2024 ")</f>
        <v>3962</v>
      </c>
      <c r="E1850" t="s">
        <v>3962</v>
      </c>
      <c r="F1850" t="s">
        <v>14</v>
      </c>
      <c r="G1850" t="s">
        <v>237</v>
      </c>
      <c r="H1850">
             </c>
      <c r="I1850" t="s">
        <v>14</v>
      </c>
      <c r="J1850" t="s">
        <v>183</v>
      </c>
      <c r="K1850" t="s">
        <v>42</v>
      </c>
      <c r="L1850" t="s">
        <v>20</v>
      </c>
      <c r="M1850" t="s">
        <v>3959</v>
      </c>
      <c r="N1850" t="s">
        <v>14</v>
      </c>
    </row>
    <row r="1851" x14ac:dyDescent="0.25">
      <c r="A1851" t="n">
        <v>25</v>
      </c>
      <c r="B1851" t="s">
        <v>14</v>
      </c>
      <c r="C1851" t="s">
        <v>51</v>
      </c>
      <c r="D1851" s="2" t="s">
        <f>=HYPERLINK("https://main.knesset.gov.il/APPS/legislation/main/bills/2198097", "חוק להסדרת מגורים בשטחי מרעה, התשפ""ה–2025")</f>
        <v>3963</v>
      </c>
      <c r="E1851" t="s">
        <v>3963</v>
      </c>
      <c r="F1851" t="s">
        <v>3964</v>
      </c>
      <c r="G1851" t="s">
        <v>3965</v>
      </c>
      <c r="H1851" t="n">
        <v>3380</v>
      </c>
      <c r="I1851" t="s">
        <v>14</v>
      </c>
      <c r="J1851" t="s">
        <v>18</v>
      </c>
      <c r="K1851" t="s">
        <v>30</v>
      </c>
      <c r="L1851" t="s">
        <v>20</v>
      </c>
      <c r="M1851" t="s">
        <v>3966</v>
      </c>
      <c r="N1851" t="s">
        <v>3967</v>
      </c>
    </row>
    <row r="1852" x14ac:dyDescent="0.25">
      <c r="A1852" t="n">
        <v>25</v>
      </c>
      <c r="B1852" t="s">
        <v>14</v>
      </c>
      <c r="C1852" t="s">
        <v>51</v>
      </c>
      <c r="D1852" s="2" t="s">
        <f>=HYPERLINK("https://main.knesset.gov.il/APPS/legislation/main/bills/2227682", "הצעת חוק משק החשמל (תיקון - טעינת רכב חשמלי באמצעות יישומון תשלום אחוד), התשפ""ה-2025")</f>
        <v>3968</v>
      </c>
      <c r="E1852" t="s">
        <v>3968</v>
      </c>
      <c r="F1852" t="s">
        <v>3969</v>
      </c>
      <c r="G1852" t="s">
        <v>14</v>
      </c>
      <c r="H1852">
             </c>
      <c r="I1852" t="s">
        <v>14</v>
      </c>
      <c r="J1852" t="s">
        <v>152</v>
      </c>
      <c r="K1852" t="s">
        <v>84</v>
      </c>
      <c r="L1852" t="s">
        <v>20</v>
      </c>
      <c r="M1852" t="s">
        <v>3966</v>
      </c>
      <c r="N1852" t="s">
        <v>14</v>
      </c>
    </row>
    <row r="1853" x14ac:dyDescent="0.25">
      <c r="A1853" t="n">
        <v>25</v>
      </c>
      <c r="B1853" t="s">
        <v>14</v>
      </c>
      <c r="C1853" t="s">
        <v>51</v>
      </c>
      <c r="D1853" s="2" t="s">
        <f>=HYPERLINK("https://main.knesset.gov.il/APPS/legislation/main/bills/2227371", "הצעת חוק מיסוי מקרקעין (שבח ורכישה) (תיקון - שווי רכישה), התשפ""ה-2025")</f>
        <v>3970</v>
      </c>
      <c r="E1853" t="s">
        <v>3970</v>
      </c>
      <c r="F1853" t="s">
        <v>3971</v>
      </c>
      <c r="G1853" t="s">
        <v>14</v>
      </c>
      <c r="H1853">
             </c>
      <c r="I1853" t="s">
        <v>14</v>
      </c>
      <c r="J1853" t="s">
        <v>152</v>
      </c>
      <c r="K1853" t="s">
        <v>24</v>
      </c>
      <c r="L1853" t="s">
        <v>20</v>
      </c>
      <c r="M1853" t="s">
        <v>3966</v>
      </c>
      <c r="N1853" t="s">
        <v>14</v>
      </c>
    </row>
    <row r="1854" x14ac:dyDescent="0.25">
      <c r="A1854" t="n">
        <v>25</v>
      </c>
      <c r="B1854" t="s">
        <v>14</v>
      </c>
      <c r="C1854" t="s">
        <v>51</v>
      </c>
      <c r="D1854" s="2" t="s">
        <f>=HYPERLINK("https://main.knesset.gov.il/APPS/legislation/main/bills/2226673", "הצעת חוק-יסוד: הכנסת (תיקון - התניית הצבעה בשירות צבאי או לאומי)")</f>
        <v>2228</v>
      </c>
      <c r="E1854" t="s">
        <v>2228</v>
      </c>
      <c r="F1854" t="s">
        <v>3972</v>
      </c>
      <c r="G1854" t="s">
        <v>14</v>
      </c>
      <c r="H1854">
             </c>
      <c r="I1854" t="s">
        <v>14</v>
      </c>
      <c r="J1854" t="s">
        <v>193</v>
      </c>
      <c r="K1854" t="s">
        <v>14</v>
      </c>
      <c r="L1854" t="s">
        <v>20</v>
      </c>
      <c r="M1854" t="s">
        <v>3966</v>
      </c>
      <c r="N1854" t="s">
        <v>14</v>
      </c>
    </row>
    <row r="1855" x14ac:dyDescent="0.25">
      <c r="A1855" t="n">
        <v>25</v>
      </c>
      <c r="B1855" t="s">
        <v>14</v>
      </c>
      <c r="C1855" t="s">
        <v>51</v>
      </c>
      <c r="D1855" s="2" t="s">
        <f>=HYPERLINK("https://main.knesset.gov.il/APPS/legislation/main/bills/2226689", "הצעת חוק משק החשמל (תיקון - טעינת רכב חשמלי באמצעות יישומון תשלום אחוד), התשפ""ה-2025")</f>
        <v>3968</v>
      </c>
      <c r="E1855" t="s">
        <v>3968</v>
      </c>
      <c r="F1855" t="s">
        <v>3973</v>
      </c>
      <c r="G1855" t="s">
        <v>14</v>
      </c>
      <c r="H1855">
             </c>
      <c r="I1855" t="s">
        <v>14</v>
      </c>
      <c r="J1855" t="s">
        <v>152</v>
      </c>
      <c r="K1855" t="s">
        <v>84</v>
      </c>
      <c r="L1855" t="s">
        <v>20</v>
      </c>
      <c r="M1855" t="s">
        <v>3966</v>
      </c>
      <c r="N1855" t="s">
        <v>14</v>
      </c>
    </row>
    <row r="1856" x14ac:dyDescent="0.25">
      <c r="A1856" t="n">
        <v>25</v>
      </c>
      <c r="B1856" t="s">
        <v>14</v>
      </c>
      <c r="C1856" t="s">
        <v>51</v>
      </c>
      <c r="D1856" s="2" t="s">
        <f>=HYPERLINK("https://main.knesset.gov.il/APPS/legislation/main/bills/2223948", "הצעת חוק משק החשמל (תיקון - טעינת רכב חשמלי באמצעות יישומון תשלום אחוד), התשפ""ה-2025")</f>
        <v>3968</v>
      </c>
      <c r="E1856" t="s">
        <v>3968</v>
      </c>
      <c r="F1856" t="s">
        <v>3974</v>
      </c>
      <c r="G1856" t="s">
        <v>14</v>
      </c>
      <c r="H1856">
             </c>
      <c r="I1856" t="s">
        <v>14</v>
      </c>
      <c r="J1856" t="s">
        <v>152</v>
      </c>
      <c r="K1856" t="s">
        <v>84</v>
      </c>
      <c r="L1856" t="s">
        <v>20</v>
      </c>
      <c r="M1856" t="s">
        <v>3966</v>
      </c>
      <c r="N1856" t="s">
        <v>14</v>
      </c>
    </row>
    <row r="1857" x14ac:dyDescent="0.25">
      <c r="A1857" t="n">
        <v>25</v>
      </c>
      <c r="B1857" t="s">
        <v>14</v>
      </c>
      <c r="C1857" t="s">
        <v>51</v>
      </c>
      <c r="D1857" s="2" t="s">
        <f>=HYPERLINK("https://main.knesset.gov.il/APPS/legislation/main/bills/2209707", "הצעת חוק מיסוי מקרקעין (שבח ורכישה) (תיקון - שווי רכישה), התשפ""ה-2024")</f>
        <v>3975</v>
      </c>
      <c r="E1857" t="s">
        <v>3975</v>
      </c>
      <c r="F1857" t="s">
        <v>3976</v>
      </c>
      <c r="G1857" t="s">
        <v>14</v>
      </c>
      <c r="H1857">
             </c>
      <c r="I1857" t="s">
        <v>14</v>
      </c>
      <c r="J1857" t="s">
        <v>152</v>
      </c>
      <c r="K1857" t="s">
        <v>24</v>
      </c>
      <c r="L1857" t="s">
        <v>20</v>
      </c>
      <c r="M1857" t="s">
        <v>3966</v>
      </c>
      <c r="N1857" t="s">
        <v>14</v>
      </c>
    </row>
    <row r="1858" x14ac:dyDescent="0.25">
      <c r="A1858" t="n">
        <v>25</v>
      </c>
      <c r="B1858" t="s">
        <v>14</v>
      </c>
      <c r="C1858" t="s">
        <v>51</v>
      </c>
      <c r="D1858" s="2" t="s">
        <f>=HYPERLINK("https://main.knesset.gov.il/APPS/legislation/main/bills/2224126", "הצעת חוק השתתפות המדינה בעלות שכר הלימוד במעון יום למשרתי מילואים, התשפ""ה-2024")</f>
        <v>3977</v>
      </c>
      <c r="E1858" t="s">
        <v>3977</v>
      </c>
      <c r="F1858" t="s">
        <v>3978</v>
      </c>
      <c r="G1858" t="s">
        <v>14</v>
      </c>
      <c r="H1858">
             </c>
      <c r="I1858" t="s">
        <v>14</v>
      </c>
      <c r="J1858" t="s">
        <v>193</v>
      </c>
      <c r="K1858" t="s">
        <v>14</v>
      </c>
      <c r="L1858" t="s">
        <v>20</v>
      </c>
      <c r="M1858" t="s">
        <v>3966</v>
      </c>
      <c r="N1858" t="s">
        <v>14</v>
      </c>
    </row>
    <row r="1859" x14ac:dyDescent="0.25">
      <c r="A1859" t="n">
        <v>25</v>
      </c>
      <c r="B1859" t="s">
        <v>14</v>
      </c>
      <c r="C1859" t="s">
        <v>51</v>
      </c>
      <c r="D1859" s="2" t="s">
        <f>=HYPERLINK("https://main.knesset.gov.il/APPS/legislation/main/bills/2220190", "הצעת חוק למניעת חרם חברתי בבתי ספר, התשפ""ד-2024")</f>
        <v>3979</v>
      </c>
      <c r="E1859" t="s">
        <v>3979</v>
      </c>
      <c r="F1859" t="s">
        <v>3980</v>
      </c>
      <c r="G1859" t="s">
        <v>14</v>
      </c>
      <c r="H1859">
             </c>
      <c r="I1859" t="s">
        <v>14</v>
      </c>
      <c r="J1859" t="s">
        <v>152</v>
      </c>
      <c r="K1859" t="s">
        <v>79</v>
      </c>
      <c r="L1859" t="s">
        <v>20</v>
      </c>
      <c r="M1859" t="s">
        <v>3966</v>
      </c>
      <c r="N1859" t="s">
        <v>14</v>
      </c>
    </row>
    <row r="1860" x14ac:dyDescent="0.25">
      <c r="A1860" t="n">
        <v>25</v>
      </c>
      <c r="B1860" t="s">
        <v>14</v>
      </c>
      <c r="C1860" t="s">
        <v>51</v>
      </c>
      <c r="D1860" s="2" t="s">
        <f>=HYPERLINK("https://main.knesset.gov.il/APPS/legislation/main/bills/2220083", "הצעת חוק למניעת חרם חברתי בבתי ספר, התשפ""ד-2024 ")</f>
        <v>3981</v>
      </c>
      <c r="E1860" t="s">
        <v>3981</v>
      </c>
      <c r="F1860" t="s">
        <v>3982</v>
      </c>
      <c r="G1860" t="s">
        <v>14</v>
      </c>
      <c r="H1860">
             </c>
      <c r="I1860" t="s">
        <v>14</v>
      </c>
      <c r="J1860" t="s">
        <v>152</v>
      </c>
      <c r="K1860" t="s">
        <v>79</v>
      </c>
      <c r="L1860" t="s">
        <v>20</v>
      </c>
      <c r="M1860" t="s">
        <v>3966</v>
      </c>
      <c r="N1860" t="s">
        <v>14</v>
      </c>
    </row>
    <row r="1861" x14ac:dyDescent="0.25">
      <c r="A1861" t="n">
        <v>25</v>
      </c>
      <c r="B1861" t="s">
        <v>14</v>
      </c>
      <c r="C1861" t="s">
        <v>51</v>
      </c>
      <c r="D1861" s="2" t="s">
        <f>=HYPERLINK("https://main.knesset.gov.il/APPS/legislation/main/bills/2217123", "הצעת חוק למניעת חרם חברתי בבתי ספר, התשפ""ד-2024")</f>
        <v>3979</v>
      </c>
      <c r="E1861" t="s">
        <v>3979</v>
      </c>
      <c r="F1861" t="s">
        <v>3983</v>
      </c>
      <c r="G1861" t="s">
        <v>14</v>
      </c>
      <c r="H1861">
             </c>
      <c r="I1861" t="s">
        <v>14</v>
      </c>
      <c r="J1861" t="s">
        <v>152</v>
      </c>
      <c r="K1861" t="s">
        <v>79</v>
      </c>
      <c r="L1861" t="s">
        <v>20</v>
      </c>
      <c r="M1861" t="s">
        <v>3966</v>
      </c>
      <c r="N1861" t="s">
        <v>14</v>
      </c>
    </row>
    <row r="1862" x14ac:dyDescent="0.25">
      <c r="A1862" t="n">
        <v>25</v>
      </c>
      <c r="B1862" t="s">
        <v>14</v>
      </c>
      <c r="C1862" t="s">
        <v>51</v>
      </c>
      <c r="D1862" s="2" t="s">
        <f>=HYPERLINK("https://main.knesset.gov.il/APPS/legislation/main/bills/2207077", "הצעת חוק העונשין (תיקון - קביעת עונש מינימום לעבירות יידוי אבנים), התשפ""ג-2023")</f>
        <v>3984</v>
      </c>
      <c r="E1862" t="s">
        <v>3984</v>
      </c>
      <c r="F1862" t="s">
        <v>3985</v>
      </c>
      <c r="G1862" t="s">
        <v>14</v>
      </c>
      <c r="H1862">
             </c>
      <c r="I1862" t="s">
        <v>14</v>
      </c>
      <c r="J1862" t="s">
        <v>152</v>
      </c>
      <c r="K1862" t="s">
        <v>27</v>
      </c>
      <c r="L1862" t="s">
        <v>20</v>
      </c>
      <c r="M1862" t="s">
        <v>3966</v>
      </c>
      <c r="N1862" t="s">
        <v>14</v>
      </c>
    </row>
    <row r="1863" x14ac:dyDescent="0.25">
      <c r="A1863" t="n">
        <v>25</v>
      </c>
      <c r="B1863" t="s">
        <v>14</v>
      </c>
      <c r="C1863" t="s">
        <v>51</v>
      </c>
      <c r="D1863" s="2" t="s">
        <f>=HYPERLINK("https://main.knesset.gov.il/APPS/legislation/main/bills/2204871", "הצעת חוק העונשין (תיקון - קביעת עונש מינימום לעבירות יידוי אבנים), התשפ""ג-2023")</f>
        <v>3984</v>
      </c>
      <c r="E1863" t="s">
        <v>3984</v>
      </c>
      <c r="F1863" t="s">
        <v>3986</v>
      </c>
      <c r="G1863" t="s">
        <v>14</v>
      </c>
      <c r="H1863">
             </c>
      <c r="I1863" t="s">
        <v>14</v>
      </c>
      <c r="J1863" t="s">
        <v>152</v>
      </c>
      <c r="K1863" t="s">
        <v>27</v>
      </c>
      <c r="L1863" t="s">
        <v>20</v>
      </c>
      <c r="M1863" t="s">
        <v>3966</v>
      </c>
      <c r="N1863" t="s">
        <v>14</v>
      </c>
    </row>
    <row r="1864" x14ac:dyDescent="0.25">
      <c r="A1864" t="n">
        <v>25</v>
      </c>
      <c r="B1864" t="s">
        <v>14</v>
      </c>
      <c r="C1864" t="s">
        <v>51</v>
      </c>
      <c r="D1864" s="2" t="s">
        <f>=HYPERLINK("https://main.knesset.gov.il/APPS/legislation/main/bills/2200287", "הצעת חוק העונשין (תיקון - קביעת עונש מינימום לעבירות יידוי אבנים), התשפ""ג-2023")</f>
        <v>3984</v>
      </c>
      <c r="E1864" t="s">
        <v>3984</v>
      </c>
      <c r="F1864" t="s">
        <v>3987</v>
      </c>
      <c r="G1864" t="s">
        <v>14</v>
      </c>
      <c r="H1864">
             </c>
      <c r="I1864" t="s">
        <v>14</v>
      </c>
      <c r="J1864" t="s">
        <v>152</v>
      </c>
      <c r="K1864" t="s">
        <v>27</v>
      </c>
      <c r="L1864" t="s">
        <v>20</v>
      </c>
      <c r="M1864" t="s">
        <v>3966</v>
      </c>
      <c r="N1864" t="s">
        <v>14</v>
      </c>
    </row>
    <row r="1865" x14ac:dyDescent="0.25">
      <c r="A1865" t="n">
        <v>25</v>
      </c>
      <c r="B1865" t="s">
        <v>14</v>
      </c>
      <c r="C1865" t="s">
        <v>51</v>
      </c>
      <c r="D1865" s="2" t="s">
        <f>=HYPERLINK("https://main.knesset.gov.il/APPS/legislation/main/bills/2226840", "הצעת חוק כלי הירייה (תיקון - הודעה בגין חשש לחיי אדם מצד המגיש בקשה להחזיק בכלי ירייה), התשפ""ה-2025")</f>
        <v>3570</v>
      </c>
      <c r="E1865" t="s">
        <v>3570</v>
      </c>
      <c r="F1865" t="s">
        <v>3988</v>
      </c>
      <c r="G1865" t="s">
        <v>14</v>
      </c>
      <c r="H1865">
             </c>
      <c r="I1865" t="s">
        <v>14</v>
      </c>
      <c r="J1865" t="s">
        <v>183</v>
      </c>
      <c r="K1865" t="s">
        <v>19</v>
      </c>
      <c r="L1865" t="s">
        <v>20</v>
      </c>
      <c r="M1865" t="s">
        <v>3989</v>
      </c>
      <c r="N1865" t="s">
        <v>14</v>
      </c>
    </row>
    <row r="1866" x14ac:dyDescent="0.25">
      <c r="A1866" t="n">
        <v>25</v>
      </c>
      <c r="B1866" t="s">
        <v>14</v>
      </c>
      <c r="C1866" t="s">
        <v>51</v>
      </c>
      <c r="D1866" s="2" t="s">
        <f>=HYPERLINK("https://main.knesset.gov.il/APPS/legislation/main/bills/2223561", "הצעת חוק חסינות חברי הכנסת, זכויותיהם וחובותיהם (תיקון -אישור הכנסת לפתיחה בהליך פלילי או אזרחי), התשפ""ה-2024")</f>
        <v>3990</v>
      </c>
      <c r="E1866" t="s">
        <v>3990</v>
      </c>
      <c r="F1866" t="s">
        <v>3991</v>
      </c>
      <c r="G1866" t="s">
        <v>14</v>
      </c>
      <c r="H1866">
             </c>
      <c r="I1866" t="s">
        <v>14</v>
      </c>
      <c r="J1866" t="s">
        <v>152</v>
      </c>
      <c r="K1866" t="s">
        <v>42</v>
      </c>
      <c r="L1866" t="s">
        <v>20</v>
      </c>
      <c r="M1866" t="s">
        <v>3989</v>
      </c>
      <c r="N1866" t="s">
        <v>14</v>
      </c>
    </row>
    <row r="1867" x14ac:dyDescent="0.25">
      <c r="A1867" t="n">
        <v>25</v>
      </c>
      <c r="B1867" t="s">
        <v>14</v>
      </c>
      <c r="C1867" t="s">
        <v>51</v>
      </c>
      <c r="D1867" s="2" t="s">
        <f>=HYPERLINK("https://main.knesset.gov.il/APPS/legislation/main/bills/2200841", "הצעת חוק הגנת הצרכן (תיקון - איסור התניית תשלום בכרטיס אשראי בסכום רכישה מזערי), התשפ""ג-2023")</f>
        <v>3992</v>
      </c>
      <c r="E1867" t="s">
        <v>3992</v>
      </c>
      <c r="F1867" t="s">
        <v>3993</v>
      </c>
      <c r="G1867" t="s">
        <v>14</v>
      </c>
      <c r="H1867">
             </c>
      <c r="I1867" t="s">
        <v>14</v>
      </c>
      <c r="J1867" t="s">
        <v>183</v>
      </c>
      <c r="K1867" t="s">
        <v>84</v>
      </c>
      <c r="L1867" t="s">
        <v>20</v>
      </c>
      <c r="M1867" t="s">
        <v>3989</v>
      </c>
      <c r="N1867" t="s">
        <v>14</v>
      </c>
    </row>
    <row r="1868" x14ac:dyDescent="0.25">
      <c r="A1868" t="n">
        <v>25</v>
      </c>
      <c r="B1868" t="s">
        <v>14</v>
      </c>
      <c r="C1868" t="s">
        <v>51</v>
      </c>
      <c r="D1868" s="2" t="s">
        <f>=HYPERLINK("https://main.knesset.gov.il/APPS/legislation/main/bills/2212785", "הצעת חוק התכנון והבנייה (תיקון - היטלי השבחה במיתקני אגירת אנרגיה), התשפ""ד-2024 ")</f>
        <v>3994</v>
      </c>
      <c r="E1868" t="s">
        <v>3994</v>
      </c>
      <c r="F1868" t="s">
        <v>3995</v>
      </c>
      <c r="G1868" t="s">
        <v>14</v>
      </c>
      <c r="H1868">
             </c>
      <c r="I1868" t="s">
        <v>14</v>
      </c>
      <c r="J1868" t="s">
        <v>183</v>
      </c>
      <c r="K1868" t="s">
        <v>30</v>
      </c>
      <c r="L1868" t="s">
        <v>20</v>
      </c>
      <c r="M1868" t="s">
        <v>3996</v>
      </c>
      <c r="N1868" t="s">
        <v>14</v>
      </c>
    </row>
    <row r="1869" x14ac:dyDescent="0.25">
      <c r="A1869" t="n">
        <v>25</v>
      </c>
      <c r="B1869" t="s">
        <v>14</v>
      </c>
      <c r="C1869" t="s">
        <v>51</v>
      </c>
      <c r="D1869" s="2" t="s">
        <f>=HYPERLINK("https://main.knesset.gov.il/APPS/legislation/main/bills/2225769", "הצעת חוק דחיית תשלומי מס לעסק חדש (תיקוני חקיקה), התשפ""ה-2025")</f>
        <v>2914</v>
      </c>
      <c r="E1869" t="s">
        <v>2914</v>
      </c>
      <c r="F1869" t="s">
        <v>3997</v>
      </c>
      <c r="G1869" t="s">
        <v>14</v>
      </c>
      <c r="H1869">
             </c>
      <c r="I1869" t="s">
        <v>14</v>
      </c>
      <c r="J1869" t="s">
        <v>242</v>
      </c>
      <c r="K1869" t="s">
        <v>14</v>
      </c>
      <c r="L1869" t="s">
        <v>20</v>
      </c>
      <c r="M1869" t="s">
        <v>3996</v>
      </c>
      <c r="N1869" t="s">
        <v>14</v>
      </c>
    </row>
    <row r="1870" x14ac:dyDescent="0.25">
      <c r="A1870" t="n">
        <v>25</v>
      </c>
      <c r="B1870" t="s">
        <v>14</v>
      </c>
      <c r="C1870" t="s">
        <v>51</v>
      </c>
      <c r="D1870" s="2" t="s">
        <f>=HYPERLINK("https://main.knesset.gov.il/APPS/legislation/main/bills/2228030", "הצעת חוק העונשין (תיקון - הוספת עבירת יחסי מין אסורים בין מטפל בריאותי למטופל), התשפ""ה-2025")</f>
        <v>3998</v>
      </c>
      <c r="E1870" t="s">
        <v>3998</v>
      </c>
      <c r="F1870" t="s">
        <v>3999</v>
      </c>
      <c r="G1870" t="s">
        <v>14</v>
      </c>
      <c r="H1870">
             </c>
      <c r="I1870" t="s">
        <v>14</v>
      </c>
      <c r="J1870" t="s">
        <v>242</v>
      </c>
      <c r="K1870" t="s">
        <v>14</v>
      </c>
      <c r="L1870" t="s">
        <v>20</v>
      </c>
      <c r="M1870" t="s">
        <v>3996</v>
      </c>
      <c r="N1870" t="s">
        <v>14</v>
      </c>
    </row>
    <row r="1871" x14ac:dyDescent="0.25">
      <c r="A1871" t="n">
        <v>25</v>
      </c>
      <c r="B1871" t="s">
        <v>14</v>
      </c>
      <c r="C1871" t="s">
        <v>51</v>
      </c>
      <c r="D1871" s="2" t="s">
        <f>=HYPERLINK("https://main.knesset.gov.il/APPS/legislation/main/bills/2228918", "הצעת חוק רואי חשבון (תיקון - מתן רישיון רואה חשבון לעורך דין שהוא יועץ מס), התשפ""ה-2025")</f>
        <v>4000</v>
      </c>
      <c r="E1871" t="s">
        <v>4000</v>
      </c>
      <c r="F1871" t="s">
        <v>4001</v>
      </c>
      <c r="G1871" t="s">
        <v>14</v>
      </c>
      <c r="H1871">
             </c>
      <c r="I1871" t="s">
        <v>14</v>
      </c>
      <c r="J1871" t="s">
        <v>242</v>
      </c>
      <c r="K1871" t="s">
        <v>14</v>
      </c>
      <c r="L1871" t="s">
        <v>20</v>
      </c>
      <c r="M1871" t="s">
        <v>3996</v>
      </c>
      <c r="N1871" t="s">
        <v>14</v>
      </c>
    </row>
    <row r="1872" x14ac:dyDescent="0.25">
      <c r="A1872" t="n">
        <v>25</v>
      </c>
      <c r="B1872" t="s">
        <v>14</v>
      </c>
      <c r="C1872" t="s">
        <v>51</v>
      </c>
      <c r="D1872" s="2" t="s">
        <f>=HYPERLINK("https://main.knesset.gov.il/APPS/legislation/main/bills/2228962", "הצעת חוק שיפוט בתי דין רבניים (נישואין וגירושין) (תיקון - סמכות כריכת מזונות ילדים), התשפ""ה-2025")</f>
        <v>4002</v>
      </c>
      <c r="E1872" t="s">
        <v>4002</v>
      </c>
      <c r="F1872" t="s">
        <v>4003</v>
      </c>
      <c r="G1872" t="s">
        <v>14</v>
      </c>
      <c r="H1872">
             </c>
      <c r="I1872" t="s">
        <v>14</v>
      </c>
      <c r="J1872" t="s">
        <v>242</v>
      </c>
      <c r="K1872" t="s">
        <v>14</v>
      </c>
      <c r="L1872" t="s">
        <v>20</v>
      </c>
      <c r="M1872" t="s">
        <v>3996</v>
      </c>
      <c r="N1872" t="s">
        <v>14</v>
      </c>
    </row>
    <row r="1873" x14ac:dyDescent="0.25">
      <c r="A1873" t="n">
        <v>25</v>
      </c>
      <c r="B1873" t="s">
        <v>14</v>
      </c>
      <c r="C1873" t="s">
        <v>51</v>
      </c>
      <c r="D1873" s="2" t="s">
        <f>=HYPERLINK("https://main.knesset.gov.il/APPS/legislation/main/bills/2229512", "הצעת חוק התכנון והבנייה (תיקון - הקלה לבניין קיים), התשפ""ה-2025 ")</f>
        <v>4004</v>
      </c>
      <c r="E1873" t="s">
        <v>4004</v>
      </c>
      <c r="F1873" t="s">
        <v>4005</v>
      </c>
      <c r="G1873" t="s">
        <v>14</v>
      </c>
      <c r="H1873">
             </c>
      <c r="I1873" t="s">
        <v>14</v>
      </c>
      <c r="J1873" t="s">
        <v>242</v>
      </c>
      <c r="K1873" t="s">
        <v>14</v>
      </c>
      <c r="L1873" t="s">
        <v>20</v>
      </c>
      <c r="M1873" t="s">
        <v>3996</v>
      </c>
      <c r="N1873" t="s">
        <v>14</v>
      </c>
    </row>
    <row r="1874" x14ac:dyDescent="0.25">
      <c r="A1874" t="n">
        <v>25</v>
      </c>
      <c r="B1874" t="s">
        <v>14</v>
      </c>
      <c r="C1874" t="s">
        <v>51</v>
      </c>
      <c r="D1874" s="2" t="s">
        <f>=HYPERLINK("https://main.knesset.gov.il/APPS/legislation/main/bills/2228983", "הצעת חוק הכניסה לישראל (תיקון - החמרת הענישה על הסעת שוהים בלתי חוקיים), התשפ""ה-2025")</f>
        <v>4006</v>
      </c>
      <c r="E1874" t="s">
        <v>4006</v>
      </c>
      <c r="F1874" t="s">
        <v>4007</v>
      </c>
      <c r="G1874" t="s">
        <v>14</v>
      </c>
      <c r="H1874">
             </c>
      <c r="I1874" t="s">
        <v>14</v>
      </c>
      <c r="J1874" t="s">
        <v>242</v>
      </c>
      <c r="K1874" t="s">
        <v>14</v>
      </c>
      <c r="L1874" t="s">
        <v>20</v>
      </c>
      <c r="M1874" t="s">
        <v>3996</v>
      </c>
      <c r="N1874" t="s">
        <v>14</v>
      </c>
    </row>
    <row r="1875" x14ac:dyDescent="0.25">
      <c r="A1875" t="n">
        <v>25</v>
      </c>
      <c r="B1875" t="s">
        <v>14</v>
      </c>
      <c r="C1875" t="s">
        <v>51</v>
      </c>
      <c r="D1875" s="2" t="s">
        <f>=HYPERLINK("https://main.knesset.gov.il/APPS/legislation/main/bills/2228544", "הצעת חוק החלת החוק הישראלי על כל היישובים היהודיים בשטחי יהודה והשומרון, התשפ""ה-2025")</f>
        <v>4008</v>
      </c>
      <c r="E1875" t="s">
        <v>4008</v>
      </c>
      <c r="F1875" t="s">
        <v>4009</v>
      </c>
      <c r="G1875" t="s">
        <v>14</v>
      </c>
      <c r="H1875">
             </c>
      <c r="I1875" t="s">
        <v>14</v>
      </c>
      <c r="J1875" t="s">
        <v>242</v>
      </c>
      <c r="K1875" t="s">
        <v>14</v>
      </c>
      <c r="L1875" t="s">
        <v>20</v>
      </c>
      <c r="M1875" t="s">
        <v>3996</v>
      </c>
      <c r="N1875" t="s">
        <v>14</v>
      </c>
    </row>
    <row r="1876" x14ac:dyDescent="0.25">
      <c r="A1876" t="n">
        <v>25</v>
      </c>
      <c r="B1876" t="s">
        <v>14</v>
      </c>
      <c r="C1876" t="s">
        <v>51</v>
      </c>
      <c r="D1876" s="2" t="s">
        <f>=HYPERLINK("https://main.knesset.gov.il/APPS/legislation/main/bills/2228549", "הצעת חוק חסינות לחיילי צה""ל באירועים מבצעיים, התשפ""ה-2025")</f>
        <v>4010</v>
      </c>
      <c r="E1876" t="s">
        <v>4010</v>
      </c>
      <c r="F1876" t="s">
        <v>4011</v>
      </c>
      <c r="G1876" t="s">
        <v>14</v>
      </c>
      <c r="H1876">
             </c>
      <c r="I1876" t="s">
        <v>14</v>
      </c>
      <c r="J1876" t="s">
        <v>242</v>
      </c>
      <c r="K1876" t="s">
        <v>14</v>
      </c>
      <c r="L1876" t="s">
        <v>20</v>
      </c>
      <c r="M1876" t="s">
        <v>3996</v>
      </c>
      <c r="N1876" t="s">
        <v>14</v>
      </c>
    </row>
    <row r="1877" x14ac:dyDescent="0.25">
      <c r="A1877" t="n">
        <v>25</v>
      </c>
      <c r="B1877" t="s">
        <v>14</v>
      </c>
      <c r="C1877" t="s">
        <v>51</v>
      </c>
      <c r="D1877" s="2" t="s">
        <f>=HYPERLINK("https://main.knesset.gov.il/APPS/legislation/main/bills/2229202", "הצעת חוק לתיקון פקודת התעבורה (ביטול חובת קביעת אזורי חניה), התשפ""ה-2025")</f>
        <v>4012</v>
      </c>
      <c r="E1877" t="s">
        <v>4012</v>
      </c>
      <c r="F1877" t="s">
        <v>4013</v>
      </c>
      <c r="G1877" t="s">
        <v>14</v>
      </c>
      <c r="H1877">
             </c>
      <c r="I1877" t="s">
        <v>14</v>
      </c>
      <c r="J1877" t="s">
        <v>242</v>
      </c>
      <c r="K1877" t="s">
        <v>14</v>
      </c>
      <c r="L1877" t="s">
        <v>20</v>
      </c>
      <c r="M1877" t="s">
        <v>3996</v>
      </c>
      <c r="N1877" t="s">
        <v>14</v>
      </c>
    </row>
    <row r="1878" x14ac:dyDescent="0.25">
      <c r="A1878" t="n">
        <v>25</v>
      </c>
      <c r="B1878" t="s">
        <v>14</v>
      </c>
      <c r="C1878" t="s">
        <v>51</v>
      </c>
      <c r="D1878" s="2" t="s">
        <f>=HYPERLINK("https://main.knesset.gov.il/APPS/legislation/main/bills/2227397", "הצעת חוק שירות התעסוקה (תיקון - חיזוק הפיקוח הפרלמנטרי על שירות התעסוקה), התשפ""ה-2025 ")</f>
        <v>3612</v>
      </c>
      <c r="E1878" t="s">
        <v>3612</v>
      </c>
      <c r="F1878" t="s">
        <v>4014</v>
      </c>
      <c r="G1878" t="s">
        <v>14</v>
      </c>
      <c r="H1878">
             </c>
      <c r="I1878" t="s">
        <v>14</v>
      </c>
      <c r="J1878" t="s">
        <v>242</v>
      </c>
      <c r="K1878" t="s">
        <v>14</v>
      </c>
      <c r="L1878" t="s">
        <v>20</v>
      </c>
      <c r="M1878" t="s">
        <v>3996</v>
      </c>
      <c r="N1878" t="s">
        <v>14</v>
      </c>
    </row>
    <row r="1879" x14ac:dyDescent="0.25">
      <c r="A1879" t="n">
        <v>25</v>
      </c>
      <c r="B1879" t="s">
        <v>14</v>
      </c>
      <c r="C1879" t="s">
        <v>51</v>
      </c>
      <c r="D1879" s="2" t="s">
        <f>=HYPERLINK("https://main.knesset.gov.il/APPS/legislation/main/bills/2229156", "הצעת חוק חובת פרסום שמותיהם של אסירים ביטחוניים ששוחררו ממאסר, התשפ""ה-2025")</f>
        <v>2838</v>
      </c>
      <c r="E1879" t="s">
        <v>2838</v>
      </c>
      <c r="F1879" t="s">
        <v>4015</v>
      </c>
      <c r="G1879" t="s">
        <v>14</v>
      </c>
      <c r="H1879">
             </c>
      <c r="I1879" t="s">
        <v>14</v>
      </c>
      <c r="J1879" t="s">
        <v>242</v>
      </c>
      <c r="K1879" t="s">
        <v>14</v>
      </c>
      <c r="L1879" t="s">
        <v>20</v>
      </c>
      <c r="M1879" t="s">
        <v>3996</v>
      </c>
      <c r="N1879" t="s">
        <v>14</v>
      </c>
    </row>
    <row r="1880" x14ac:dyDescent="0.25">
      <c r="A1880" t="n">
        <v>25</v>
      </c>
      <c r="B1880" t="s">
        <v>14</v>
      </c>
      <c r="C1880" t="s">
        <v>51</v>
      </c>
      <c r="D1880" s="2" t="s">
        <f>=HYPERLINK("https://main.knesset.gov.il/APPS/legislation/main/bills/2229108", "הצעת חוק כליאת אסירים ביטחוניים, התשפ""ה-2025")</f>
        <v>4016</v>
      </c>
      <c r="E1880" t="s">
        <v>4016</v>
      </c>
      <c r="F1880" t="s">
        <v>4017</v>
      </c>
      <c r="G1880" t="s">
        <v>14</v>
      </c>
      <c r="H1880">
             </c>
      <c r="I1880" t="s">
        <v>14</v>
      </c>
      <c r="J1880" t="s">
        <v>242</v>
      </c>
      <c r="K1880" t="s">
        <v>14</v>
      </c>
      <c r="L1880" t="s">
        <v>20</v>
      </c>
      <c r="M1880" t="s">
        <v>3996</v>
      </c>
      <c r="N1880" t="s">
        <v>14</v>
      </c>
    </row>
    <row r="1881" x14ac:dyDescent="0.25">
      <c r="A1881" t="n">
        <v>25</v>
      </c>
      <c r="B1881" t="s">
        <v>14</v>
      </c>
      <c r="C1881" t="s">
        <v>51</v>
      </c>
      <c r="D1881" s="2" t="s">
        <f>=HYPERLINK("https://main.knesset.gov.il/APPS/legislation/main/bills/2228032", "הצעת חוק איסור העסקת מחבלים משוחררים בשטחי מדינת ישראל, התשפ""ה-2025")</f>
        <v>4018</v>
      </c>
      <c r="E1881" t="s">
        <v>4018</v>
      </c>
      <c r="F1881" t="s">
        <v>4019</v>
      </c>
      <c r="G1881" t="s">
        <v>14</v>
      </c>
      <c r="H1881">
             </c>
      <c r="I1881" t="s">
        <v>14</v>
      </c>
      <c r="J1881" t="s">
        <v>242</v>
      </c>
      <c r="K1881" t="s">
        <v>14</v>
      </c>
      <c r="L1881" t="s">
        <v>20</v>
      </c>
      <c r="M1881" t="s">
        <v>3996</v>
      </c>
      <c r="N1881" t="s">
        <v>14</v>
      </c>
    </row>
    <row r="1882" x14ac:dyDescent="0.25">
      <c r="A1882" t="n">
        <v>25</v>
      </c>
      <c r="B1882" t="s">
        <v>14</v>
      </c>
      <c r="C1882" t="s">
        <v>51</v>
      </c>
      <c r="D1882" s="2" t="s">
        <f>=HYPERLINK("https://main.knesset.gov.il/APPS/legislation/main/bills/2229183", "הצעת חוק הכרזה על ארגון ""אדוני השממה"" כארגון טרור, התשפ""ה-2025")</f>
        <v>4020</v>
      </c>
      <c r="E1882" t="s">
        <v>4020</v>
      </c>
      <c r="F1882" t="s">
        <v>4021</v>
      </c>
      <c r="G1882" t="s">
        <v>14</v>
      </c>
      <c r="H1882">
             </c>
      <c r="I1882" t="s">
        <v>14</v>
      </c>
      <c r="J1882" t="s">
        <v>242</v>
      </c>
      <c r="K1882" t="s">
        <v>14</v>
      </c>
      <c r="L1882" t="s">
        <v>20</v>
      </c>
      <c r="M1882" t="s">
        <v>3996</v>
      </c>
      <c r="N1882" t="s">
        <v>14</v>
      </c>
    </row>
    <row r="1883" x14ac:dyDescent="0.25">
      <c r="A1883" t="n">
        <v>25</v>
      </c>
      <c r="B1883" t="s">
        <v>14</v>
      </c>
      <c r="C1883" t="s">
        <v>51</v>
      </c>
      <c r="D1883" s="2" t="s">
        <f>=HYPERLINK("https://main.knesset.gov.il/APPS/legislation/main/bills/2228882", "הצעת חוק מניעת פגיעת גוף שידורים זר בביטחון המדינה (הוראת שעה - חרבות ברזל) (תיקון - ביטול החוק), התשפ""ה-2025")</f>
        <v>4022</v>
      </c>
      <c r="E1883" t="s">
        <v>4022</v>
      </c>
      <c r="F1883" t="s">
        <v>4023</v>
      </c>
      <c r="G1883" t="s">
        <v>14</v>
      </c>
      <c r="H1883">
             </c>
      <c r="I1883" t="s">
        <v>14</v>
      </c>
      <c r="J1883" t="s">
        <v>242</v>
      </c>
      <c r="K1883" t="s">
        <v>14</v>
      </c>
      <c r="L1883" t="s">
        <v>20</v>
      </c>
      <c r="M1883" t="s">
        <v>3996</v>
      </c>
      <c r="N1883" t="s">
        <v>14</v>
      </c>
    </row>
    <row r="1884" x14ac:dyDescent="0.25">
      <c r="A1884" t="n">
        <v>25</v>
      </c>
      <c r="B1884" t="s">
        <v>14</v>
      </c>
      <c r="C1884" t="s">
        <v>51</v>
      </c>
      <c r="D1884" s="2" t="s">
        <f>=HYPERLINK("https://main.knesset.gov.il/APPS/legislation/main/bills/2227521", "הצעת חוק סימון פרסומות המכילות תוכן שנוצר או נערך באמצעות בינה מלאכותית (תיקוני חקיקה), התשפ""ה-2025")</f>
        <v>4024</v>
      </c>
      <c r="E1884" t="s">
        <v>4024</v>
      </c>
      <c r="F1884" t="s">
        <v>4025</v>
      </c>
      <c r="G1884" t="s">
        <v>14</v>
      </c>
      <c r="H1884">
             </c>
      <c r="I1884" t="s">
        <v>14</v>
      </c>
      <c r="J1884" t="s">
        <v>242</v>
      </c>
      <c r="K1884" t="s">
        <v>14</v>
      </c>
      <c r="L1884" t="s">
        <v>20</v>
      </c>
      <c r="M1884" t="s">
        <v>3996</v>
      </c>
      <c r="N1884" t="s">
        <v>14</v>
      </c>
    </row>
    <row r="1885" x14ac:dyDescent="0.25">
      <c r="A1885" t="n">
        <v>25</v>
      </c>
      <c r="B1885" t="s">
        <v>14</v>
      </c>
      <c r="C1885" t="s">
        <v>51</v>
      </c>
      <c r="D1885" s="2" t="s">
        <f>=HYPERLINK("https://main.knesset.gov.il/APPS/legislation/main/bills/2228827", "הצעת חוק סמכויות להתמודדות עם כלי טיס בלתי מאויש, התשפ""ה-2025")</f>
        <v>4026</v>
      </c>
      <c r="E1885" t="s">
        <v>4026</v>
      </c>
      <c r="F1885" t="s">
        <v>4027</v>
      </c>
      <c r="G1885" t="s">
        <v>14</v>
      </c>
      <c r="H1885">
             </c>
      <c r="I1885" t="s">
        <v>14</v>
      </c>
      <c r="J1885" t="s">
        <v>242</v>
      </c>
      <c r="K1885" t="s">
        <v>14</v>
      </c>
      <c r="L1885" t="s">
        <v>20</v>
      </c>
      <c r="M1885" t="s">
        <v>3996</v>
      </c>
      <c r="N1885" t="s">
        <v>14</v>
      </c>
    </row>
    <row r="1886" x14ac:dyDescent="0.25">
      <c r="A1886" t="n">
        <v>25</v>
      </c>
      <c r="B1886" t="s">
        <v>14</v>
      </c>
      <c r="C1886" t="s">
        <v>51</v>
      </c>
      <c r="D1886" s="2" t="s">
        <f>=HYPERLINK("https://main.knesset.gov.il/APPS/legislation/main/bills/2227544", "הצעת חוק לתיקון פקודת העיריות (השתתפות עובדים במשרות אמון במכרזים פומביים לקבלת עובדים), התשפ""ה-2025")</f>
        <v>4028</v>
      </c>
      <c r="E1886" t="s">
        <v>4028</v>
      </c>
      <c r="F1886" t="s">
        <v>4029</v>
      </c>
      <c r="G1886" t="s">
        <v>14</v>
      </c>
      <c r="H1886">
             </c>
      <c r="I1886" t="s">
        <v>14</v>
      </c>
      <c r="J1886" t="s">
        <v>242</v>
      </c>
      <c r="K1886" t="s">
        <v>14</v>
      </c>
      <c r="L1886" t="s">
        <v>20</v>
      </c>
      <c r="M1886" t="s">
        <v>3996</v>
      </c>
      <c r="N1886" t="s">
        <v>14</v>
      </c>
    </row>
    <row r="1887" x14ac:dyDescent="0.25">
      <c r="A1887" t="n">
        <v>25</v>
      </c>
      <c r="B1887" t="s">
        <v>14</v>
      </c>
      <c r="C1887" t="s">
        <v>51</v>
      </c>
      <c r="D1887" s="2" t="s">
        <f>=HYPERLINK("https://main.knesset.gov.il/APPS/legislation/main/bills/2227317", "הצעת חוק זכויות הסטודנט (תיקון - זכויות לסטודנטים הלומדים בחוץ לארץ), התשפ""ה-2025")</f>
        <v>4030</v>
      </c>
      <c r="E1887" t="s">
        <v>4030</v>
      </c>
      <c r="F1887" t="s">
        <v>4031</v>
      </c>
      <c r="G1887" t="s">
        <v>14</v>
      </c>
      <c r="H1887">
             </c>
      <c r="I1887" t="s">
        <v>14</v>
      </c>
      <c r="J1887" t="s">
        <v>242</v>
      </c>
      <c r="K1887" t="s">
        <v>14</v>
      </c>
      <c r="L1887" t="s">
        <v>20</v>
      </c>
      <c r="M1887" t="s">
        <v>3996</v>
      </c>
      <c r="N1887" t="s">
        <v>14</v>
      </c>
    </row>
    <row r="1888" x14ac:dyDescent="0.25">
      <c r="A1888" t="n">
        <v>25</v>
      </c>
      <c r="B1888" t="s">
        <v>14</v>
      </c>
      <c r="C1888" t="s">
        <v>51</v>
      </c>
      <c r="D1888" s="2" t="s">
        <f>=HYPERLINK("https://main.knesset.gov.il/APPS/legislation/main/bills/2228428", "הצעת חוק איסור פרסומת ומכירת משקאות אנרגיה לקטינים, התשפ""ה-2025")</f>
        <v>3954</v>
      </c>
      <c r="E1888" t="s">
        <v>3954</v>
      </c>
      <c r="F1888" t="s">
        <v>4032</v>
      </c>
      <c r="G1888" t="s">
        <v>14</v>
      </c>
      <c r="H1888">
             </c>
      <c r="I1888" t="s">
        <v>14</v>
      </c>
      <c r="J1888" t="s">
        <v>242</v>
      </c>
      <c r="K1888" t="s">
        <v>14</v>
      </c>
      <c r="L1888" t="s">
        <v>20</v>
      </c>
      <c r="M1888" t="s">
        <v>3996</v>
      </c>
      <c r="N1888" t="s">
        <v>14</v>
      </c>
    </row>
    <row r="1889" x14ac:dyDescent="0.25">
      <c r="A1889" t="n">
        <v>25</v>
      </c>
      <c r="B1889" t="s">
        <v>14</v>
      </c>
      <c r="C1889" t="s">
        <v>51</v>
      </c>
      <c r="D1889" s="2" t="s">
        <f>=HYPERLINK("https://main.knesset.gov.il/APPS/legislation/main/bills/2228723", "הצעת חוק ציונות כערך מנחה בפעולות הממשלה, התשפ""ה-2025")</f>
        <v>4033</v>
      </c>
      <c r="E1889" t="s">
        <v>4033</v>
      </c>
      <c r="F1889" t="s">
        <v>4034</v>
      </c>
      <c r="G1889" t="s">
        <v>14</v>
      </c>
      <c r="H1889">
             </c>
      <c r="I1889" t="s">
        <v>14</v>
      </c>
      <c r="J1889" t="s">
        <v>242</v>
      </c>
      <c r="K1889" t="s">
        <v>14</v>
      </c>
      <c r="L1889" t="s">
        <v>20</v>
      </c>
      <c r="M1889" t="s">
        <v>3996</v>
      </c>
      <c r="N1889" t="s">
        <v>14</v>
      </c>
    </row>
    <row r="1890" x14ac:dyDescent="0.25">
      <c r="A1890" t="n">
        <v>25</v>
      </c>
      <c r="B1890" t="s">
        <v>14</v>
      </c>
      <c r="C1890" t="s">
        <v>51</v>
      </c>
      <c r="D1890" s="2" t="s">
        <f>=HYPERLINK("https://main.knesset.gov.il/APPS/legislation/main/bills/2227342", "הצעת חוק הגנת הצרכן (תיקון - חובת הצגת מספרי טלפון של מוקדי סיוע לצרכן בכניסה לרשתות שיווק מזון וחנויות), התשפ""ה-2025")</f>
        <v>4035</v>
      </c>
      <c r="E1890" t="s">
        <v>4035</v>
      </c>
      <c r="F1890" t="s">
        <v>4036</v>
      </c>
      <c r="G1890" t="s">
        <v>14</v>
      </c>
      <c r="H1890">
             </c>
      <c r="I1890" t="s">
        <v>14</v>
      </c>
      <c r="J1890" t="s">
        <v>242</v>
      </c>
      <c r="K1890" t="s">
        <v>14</v>
      </c>
      <c r="L1890" t="s">
        <v>20</v>
      </c>
      <c r="M1890" t="s">
        <v>3996</v>
      </c>
      <c r="N1890" t="s">
        <v>14</v>
      </c>
    </row>
    <row r="1891" x14ac:dyDescent="0.25">
      <c r="A1891" t="n">
        <v>25</v>
      </c>
      <c r="B1891" t="s">
        <v>14</v>
      </c>
      <c r="C1891" t="s">
        <v>51</v>
      </c>
      <c r="D1891" s="2" t="s">
        <f>=HYPERLINK("https://main.knesset.gov.il/APPS/legislation/main/bills/2228601", "הצעת חוק מס להפחתת גודש התנועה באזור גוש דן (תיקון - פטור ממס לתושבי יישובים סמוכים לאזור גוש דן), התשפ""ה-2025")</f>
        <v>4037</v>
      </c>
      <c r="E1891" t="s">
        <v>4037</v>
      </c>
      <c r="F1891" t="s">
        <v>4038</v>
      </c>
      <c r="G1891" t="s">
        <v>14</v>
      </c>
      <c r="H1891">
             </c>
      <c r="I1891" t="s">
        <v>14</v>
      </c>
      <c r="J1891" t="s">
        <v>242</v>
      </c>
      <c r="K1891" t="s">
        <v>14</v>
      </c>
      <c r="L1891" t="s">
        <v>20</v>
      </c>
      <c r="M1891" t="s">
        <v>3996</v>
      </c>
      <c r="N1891" t="s">
        <v>14</v>
      </c>
    </row>
    <row r="1892" x14ac:dyDescent="0.25">
      <c r="A1892" t="n">
        <v>25</v>
      </c>
      <c r="B1892" t="s">
        <v>14</v>
      </c>
      <c r="C1892" t="s">
        <v>51</v>
      </c>
      <c r="D1892" s="2" t="s">
        <f>=HYPERLINK("https://main.knesset.gov.il/APPS/legislation/main/bills/2228546", "הצעת חוק המרכז למורשת יהדות תוניסיה וג'רבה, התשפ""ה-2025")</f>
        <v>4039</v>
      </c>
      <c r="E1892" t="s">
        <v>4039</v>
      </c>
      <c r="F1892" t="s">
        <v>4040</v>
      </c>
      <c r="G1892" t="s">
        <v>14</v>
      </c>
      <c r="H1892">
             </c>
      <c r="I1892" t="s">
        <v>14</v>
      </c>
      <c r="J1892" t="s">
        <v>242</v>
      </c>
      <c r="K1892" t="s">
        <v>14</v>
      </c>
      <c r="L1892" t="s">
        <v>20</v>
      </c>
      <c r="M1892" t="s">
        <v>3996</v>
      </c>
      <c r="N1892" t="s">
        <v>14</v>
      </c>
    </row>
    <row r="1893" x14ac:dyDescent="0.25">
      <c r="A1893" t="n">
        <v>25</v>
      </c>
      <c r="B1893" t="s">
        <v>14</v>
      </c>
      <c r="C1893" t="s">
        <v>51</v>
      </c>
      <c r="D1893" s="2" t="s">
        <f>=HYPERLINK("https://main.knesset.gov.il/APPS/legislation/main/bills/2229247", "הצעת חוק הסיוע המשפטי (תיקון - סיוע משפטי למטופל סיעודי), התשפ""ה-2025")</f>
        <v>4041</v>
      </c>
      <c r="E1893" t="s">
        <v>4041</v>
      </c>
      <c r="F1893" t="s">
        <v>4042</v>
      </c>
      <c r="G1893" t="s">
        <v>14</v>
      </c>
      <c r="H1893">
             </c>
      <c r="I1893" t="s">
        <v>14</v>
      </c>
      <c r="J1893" t="s">
        <v>242</v>
      </c>
      <c r="K1893" t="s">
        <v>14</v>
      </c>
      <c r="L1893" t="s">
        <v>20</v>
      </c>
      <c r="M1893" t="s">
        <v>3996</v>
      </c>
      <c r="N1893" t="s">
        <v>14</v>
      </c>
    </row>
    <row r="1894" x14ac:dyDescent="0.25">
      <c r="A1894" t="n">
        <v>25</v>
      </c>
      <c r="B1894" t="s">
        <v>14</v>
      </c>
      <c r="C1894" t="s">
        <v>51</v>
      </c>
      <c r="D1894" s="2" t="s">
        <f>=HYPERLINK("https://main.knesset.gov.il/APPS/legislation/main/bills/2227461", "הצעת חוק הביטוח הלאומי (תיקון - ביטול שלילת קצבת שאירים מאלמנות שנישאו שנית), התשפ""ה-2025")</f>
        <v>4043</v>
      </c>
      <c r="E1894" t="s">
        <v>4043</v>
      </c>
      <c r="F1894" t="s">
        <v>4044</v>
      </c>
      <c r="G1894" t="s">
        <v>14</v>
      </c>
      <c r="H1894">
             </c>
      <c r="I1894" t="s">
        <v>14</v>
      </c>
      <c r="J1894" t="s">
        <v>242</v>
      </c>
      <c r="K1894" t="s">
        <v>14</v>
      </c>
      <c r="L1894" t="s">
        <v>20</v>
      </c>
      <c r="M1894" t="s">
        <v>3996</v>
      </c>
      <c r="N1894" t="s">
        <v>14</v>
      </c>
    </row>
    <row r="1895" x14ac:dyDescent="0.25">
      <c r="A1895" t="n">
        <v>25</v>
      </c>
      <c r="B1895" t="s">
        <v>14</v>
      </c>
      <c r="C1895" t="s">
        <v>15</v>
      </c>
      <c r="D1895" s="2" t="s">
        <f>=HYPERLINK("https://main.knesset.gov.il/APPS/legislation/main/bills/2229711", "הצעת חוק לתיקון פקודת התעבורה (מס' 139) (רישיון להפעלת מונית חשמלית), התשפ""ה-2025 ")</f>
        <v>4045</v>
      </c>
      <c r="E1895" t="s">
        <v>4045</v>
      </c>
      <c r="F1895" t="s">
        <v>14</v>
      </c>
      <c r="G1895" t="s">
        <v>4046</v>
      </c>
      <c r="H1895">
             </c>
      <c r="I1895" t="s">
        <v>14</v>
      </c>
      <c r="J1895" t="s">
        <v>162</v>
      </c>
      <c r="K1895" t="s">
        <v>14</v>
      </c>
      <c r="L1895" t="s">
        <v>20</v>
      </c>
      <c r="M1895" t="s">
        <v>3996</v>
      </c>
      <c r="N1895" t="s">
        <v>14</v>
      </c>
    </row>
    <row r="1896" x14ac:dyDescent="0.25">
      <c r="A1896" t="n">
        <v>25</v>
      </c>
      <c r="B1896" t="s">
        <v>14</v>
      </c>
      <c r="C1896" t="s">
        <v>15</v>
      </c>
      <c r="D1896" s="2" t="s">
        <f>=HYPERLINK("https://main.knesset.gov.il/APPS/legislation/main/bills/2227190", "פרק ז' (חברות ממשלתיות) מתוך הצעת חוק התוכנית הכלכלית (תיקוני חקיקה ליישום המדיניות הכלכלית לשנת התקציב 2025), התשפ""ה-2024 ")</f>
        <v>4047</v>
      </c>
      <c r="E1896" t="s">
        <v>4047</v>
      </c>
      <c r="F1896" t="s">
        <v>14</v>
      </c>
      <c r="G1896" t="s">
        <v>237</v>
      </c>
      <c r="H1896">
             </c>
      <c r="I1896" t="s">
        <v>14</v>
      </c>
      <c r="J1896" t="s">
        <v>183</v>
      </c>
      <c r="K1896" t="s">
        <v>42</v>
      </c>
      <c r="L1896" t="s">
        <v>20</v>
      </c>
      <c r="M1896" t="s">
        <v>4048</v>
      </c>
      <c r="N1896" t="s">
        <v>14</v>
      </c>
    </row>
    <row r="1897" x14ac:dyDescent="0.25">
      <c r="A1897" t="n">
        <v>25</v>
      </c>
      <c r="B1897" t="s">
        <v>14</v>
      </c>
      <c r="C1897" t="s">
        <v>15</v>
      </c>
      <c r="D1897" s="2" t="s">
        <f>=HYPERLINK("https://main.knesset.gov.il/APPS/legislation/main/bills/2227227", "פרק ז' (הקפאה והפחתה של דמי הבראה בשנת 2025) מתוך הצעת חוק ההתייעלות הכלכלית (תיקוני חקיקה להשגת יעדי התקציב לשנת התקציב 2025), התשפ""ה-2024 ")</f>
        <v>4049</v>
      </c>
      <c r="E1897" t="s">
        <v>4049</v>
      </c>
      <c r="F1897" t="s">
        <v>14</v>
      </c>
      <c r="G1897" t="s">
        <v>237</v>
      </c>
      <c r="H1897">
             </c>
      <c r="I1897" t="s">
        <v>14</v>
      </c>
      <c r="J1897" t="s">
        <v>183</v>
      </c>
      <c r="K1897" t="s">
        <v>42</v>
      </c>
      <c r="L1897" t="s">
        <v>20</v>
      </c>
      <c r="M1897" t="s">
        <v>4050</v>
      </c>
      <c r="N1897" t="s">
        <v>14</v>
      </c>
    </row>
    <row r="1898" x14ac:dyDescent="0.25">
      <c r="A1898" t="n">
        <v>25</v>
      </c>
      <c r="B1898" t="s">
        <v>14</v>
      </c>
      <c r="C1898" t="s">
        <v>15</v>
      </c>
      <c r="D1898" s="2" t="s">
        <f>=HYPERLINK("https://main.knesset.gov.il/APPS/legislation/main/bills/2227191", "פרק ד' (תשתיות וביוב) מתוך הצעת חוק התוכנית הכלכלית (תיקוני חקיקה ליישום המדיניות הכלכלית לשנת התקציב 2025), התשפ""ה-2024 ")</f>
        <v>4051</v>
      </c>
      <c r="E1898" t="s">
        <v>4051</v>
      </c>
      <c r="F1898" t="s">
        <v>14</v>
      </c>
      <c r="G1898" t="s">
        <v>237</v>
      </c>
      <c r="H1898">
             </c>
      <c r="I1898" t="s">
        <v>14</v>
      </c>
      <c r="J1898" t="s">
        <v>183</v>
      </c>
      <c r="K1898" t="s">
        <v>42</v>
      </c>
      <c r="L1898" t="s">
        <v>20</v>
      </c>
      <c r="M1898" t="s">
        <v>4052</v>
      </c>
      <c r="N1898" t="s">
        <v>14</v>
      </c>
    </row>
    <row r="1899" x14ac:dyDescent="0.25">
      <c r="A1899" t="n">
        <v>25</v>
      </c>
      <c r="B1899" t="s">
        <v>14</v>
      </c>
      <c r="C1899" t="s">
        <v>51</v>
      </c>
      <c r="D1899" s="2" t="s">
        <f>=HYPERLINK("https://main.knesset.gov.il/APPS/legislation/main/bills/2220329", "חוק הביטוח הלאומי (תיקון מס' 255), התשפ""ה–2025")</f>
        <v>4053</v>
      </c>
      <c r="E1899" t="s">
        <v>4053</v>
      </c>
      <c r="F1899" t="s">
        <v>4054</v>
      </c>
      <c r="G1899" t="s">
        <v>4055</v>
      </c>
      <c r="H1899" t="n">
        <v>3378</v>
      </c>
      <c r="I1899" t="s">
        <v>14</v>
      </c>
      <c r="J1899" t="s">
        <v>18</v>
      </c>
      <c r="K1899" t="s">
        <v>46</v>
      </c>
      <c r="L1899" t="s">
        <v>20</v>
      </c>
      <c r="M1899" t="s">
        <v>4052</v>
      </c>
      <c r="N1899" t="s">
        <v>4056</v>
      </c>
    </row>
    <row r="1900" x14ac:dyDescent="0.25">
      <c r="A1900" t="n">
        <v>25</v>
      </c>
      <c r="B1900" t="s">
        <v>14</v>
      </c>
      <c r="C1900" t="s">
        <v>51</v>
      </c>
      <c r="D1900" s="2" t="s">
        <f>=HYPERLINK("https://main.knesset.gov.il/APPS/legislation/main/bills/2218605", "הצעת חוק מעבר צה""ל דרומה (הוראת שעה - העדפת שירותים מהנגב), התשפ""ד-2024")</f>
        <v>4057</v>
      </c>
      <c r="E1900" t="s">
        <v>4057</v>
      </c>
      <c r="F1900" t="s">
        <v>4058</v>
      </c>
      <c r="G1900" t="s">
        <v>14</v>
      </c>
      <c r="H1900">
             </c>
      <c r="I1900" t="s">
        <v>14</v>
      </c>
      <c r="J1900" t="s">
        <v>202</v>
      </c>
      <c r="K1900" t="s">
        <v>14</v>
      </c>
      <c r="L1900" t="s">
        <v>20</v>
      </c>
      <c r="M1900" t="s">
        <v>4052</v>
      </c>
      <c r="N1900" t="s">
        <v>14</v>
      </c>
    </row>
    <row r="1901" x14ac:dyDescent="0.25">
      <c r="A1901" t="n">
        <v>25</v>
      </c>
      <c r="B1901" t="s">
        <v>14</v>
      </c>
      <c r="C1901" t="s">
        <v>51</v>
      </c>
      <c r="D1901" s="2" t="s">
        <f>=HYPERLINK("https://main.knesset.gov.il/APPS/legislation/main/bills/2209019", "הצעת חוק זכויות החולה (תיקון - טיפול בזמן סביר), התשפ""ג-2023")</f>
        <v>4059</v>
      </c>
      <c r="E1901" t="s">
        <v>4059</v>
      </c>
      <c r="F1901" t="s">
        <v>4060</v>
      </c>
      <c r="G1901" t="s">
        <v>14</v>
      </c>
      <c r="H1901">
             </c>
      <c r="I1901" t="s">
        <v>14</v>
      </c>
      <c r="J1901" t="s">
        <v>193</v>
      </c>
      <c r="K1901" t="s">
        <v>14</v>
      </c>
      <c r="L1901" t="s">
        <v>20</v>
      </c>
      <c r="M1901" t="s">
        <v>4052</v>
      </c>
      <c r="N1901" t="s">
        <v>14</v>
      </c>
    </row>
    <row r="1902" x14ac:dyDescent="0.25">
      <c r="A1902" t="n">
        <v>25</v>
      </c>
      <c r="B1902" t="s">
        <v>14</v>
      </c>
      <c r="C1902" t="s">
        <v>51</v>
      </c>
      <c r="D1902" s="2" t="s">
        <f>=HYPERLINK("https://main.knesset.gov.il/APPS/legislation/main/bills/2201481", "הצעת חוק סדר הדין הפלילי (סמכויות אכיפה – מעצרים) (תיקון מס' 23 – הוראת שעה) (החמרת תנאי שחרור בערובה של חשוד בעבירות חמורות), התשפ""ד–2024")</f>
        <v>4061</v>
      </c>
      <c r="E1902" t="s">
        <v>4061</v>
      </c>
      <c r="F1902" t="s">
        <v>4062</v>
      </c>
      <c r="G1902" t="s">
        <v>4063</v>
      </c>
      <c r="H1902">
             </c>
      <c r="I1902" t="s">
        <v>14</v>
      </c>
      <c r="J1902" t="s">
        <v>38</v>
      </c>
      <c r="K1902" t="s">
        <v>19</v>
      </c>
      <c r="L1902" t="s">
        <v>20</v>
      </c>
      <c r="M1902" t="s">
        <v>4064</v>
      </c>
      <c r="N1902" t="s">
        <v>14</v>
      </c>
    </row>
    <row r="1903" x14ac:dyDescent="0.25">
      <c r="A1903" t="n">
        <v>25</v>
      </c>
      <c r="B1903" t="s">
        <v>14</v>
      </c>
      <c r="C1903" t="s">
        <v>51</v>
      </c>
      <c r="D1903" s="2" t="s">
        <f>=HYPERLINK("https://main.knesset.gov.il/APPS/legislation/main/bills/2223377", "הצעת חוק מניעת העסקת עובד הוראה בעל תואר אקדמי מהרשות הפלסטינית (תיקוני חקיקה), התשפ""ה-2024")</f>
        <v>4065</v>
      </c>
      <c r="E1903" t="s">
        <v>4065</v>
      </c>
      <c r="F1903" t="s">
        <v>4066</v>
      </c>
      <c r="G1903" t="s">
        <v>14</v>
      </c>
      <c r="H1903">
             </c>
      <c r="I1903" t="s">
        <v>14</v>
      </c>
      <c r="J1903" t="s">
        <v>183</v>
      </c>
      <c r="K1903" t="s">
        <v>79</v>
      </c>
      <c r="L1903" t="s">
        <v>20</v>
      </c>
      <c r="M1903" t="s">
        <v>4064</v>
      </c>
      <c r="N1903" t="s">
        <v>14</v>
      </c>
    </row>
    <row r="1904" x14ac:dyDescent="0.25">
      <c r="A1904" t="n">
        <v>25</v>
      </c>
      <c r="B1904" t="s">
        <v>14</v>
      </c>
      <c r="C1904" t="s">
        <v>15</v>
      </c>
      <c r="D1904" s="2" t="s">
        <f>=HYPERLINK("https://main.knesset.gov.il/APPS/legislation/main/bills/2227223", "סעיף 17 (חוק גמלאות לנושאי משרה ברשויות השלטון) מתוך הצעת חוק ההתייעלות הכלכלית (תיקוני חקיקה להשגת יעדי התקציב לשנת התקציב 2025), התשפ""ה-2024 [פרק ד']")</f>
        <v>4067</v>
      </c>
      <c r="E1904" t="s">
        <v>4067</v>
      </c>
      <c r="F1904" t="s">
        <v>14</v>
      </c>
      <c r="G1904" t="s">
        <v>237</v>
      </c>
      <c r="H1904">
             </c>
      <c r="I1904" t="s">
        <v>14</v>
      </c>
      <c r="J1904" t="s">
        <v>183</v>
      </c>
      <c r="K1904" t="s">
        <v>42</v>
      </c>
      <c r="L1904" t="s">
        <v>20</v>
      </c>
      <c r="M1904" t="s">
        <v>4064</v>
      </c>
      <c r="N1904" t="s">
        <v>14</v>
      </c>
    </row>
    <row r="1905" x14ac:dyDescent="0.25">
      <c r="A1905" t="n">
        <v>25</v>
      </c>
      <c r="B1905" t="s">
        <v>14</v>
      </c>
      <c r="C1905" t="s">
        <v>15</v>
      </c>
      <c r="D1905" s="2" t="s">
        <f>=HYPERLINK("https://main.knesset.gov.il/APPS/legislation/main/bills/2227224", "סעיף 18 (גמלאות לראש הרשות וסגניו) מתוך הצעת חוק ההתייעלות הכלכלית (תיקוני חקיקה להשגת יעדי התקציב לשנת התקציב 2025), התשפ""ה-2024 [פרק ד']")</f>
        <v>4068</v>
      </c>
      <c r="E1905" t="s">
        <v>4068</v>
      </c>
      <c r="F1905" t="s">
        <v>14</v>
      </c>
      <c r="G1905" t="s">
        <v>237</v>
      </c>
      <c r="H1905">
             </c>
      <c r="I1905" t="s">
        <v>14</v>
      </c>
      <c r="J1905" t="s">
        <v>183</v>
      </c>
      <c r="K1905" t="s">
        <v>42</v>
      </c>
      <c r="L1905" t="s">
        <v>20</v>
      </c>
      <c r="M1905" t="s">
        <v>4064</v>
      </c>
      <c r="N1905" t="s">
        <v>14</v>
      </c>
    </row>
    <row r="1906" x14ac:dyDescent="0.25">
      <c r="A1906" t="n">
        <v>25</v>
      </c>
      <c r="B1906" t="s">
        <v>14</v>
      </c>
      <c r="C1906" t="s">
        <v>51</v>
      </c>
      <c r="D1906" s="2" t="s">
        <f>=HYPERLINK("https://main.knesset.gov.il/APPS/legislation/main/bills/2210261", "הצעת חוק הרשות הלאומית למאבק בעוני, התשפ""ד-2023")</f>
        <v>4069</v>
      </c>
      <c r="E1906" t="s">
        <v>4069</v>
      </c>
      <c r="F1906" t="s">
        <v>4070</v>
      </c>
      <c r="G1906" t="s">
        <v>14</v>
      </c>
      <c r="H1906">
             </c>
      <c r="I1906" t="s">
        <v>14</v>
      </c>
      <c r="J1906" t="s">
        <v>183</v>
      </c>
      <c r="K1906" t="s">
        <v>46</v>
      </c>
      <c r="L1906" t="s">
        <v>20</v>
      </c>
      <c r="M1906" t="s">
        <v>4071</v>
      </c>
      <c r="N1906" t="s">
        <v>14</v>
      </c>
    </row>
    <row r="1907" x14ac:dyDescent="0.25">
      <c r="A1907" t="n">
        <v>25</v>
      </c>
      <c r="B1907" t="s">
        <v>14</v>
      </c>
      <c r="C1907" t="s">
        <v>51</v>
      </c>
      <c r="D1907" s="2" t="s">
        <f>=HYPERLINK("https://main.knesset.gov.il/APPS/legislation/main/bills/2225178", "הצעת חוק הקמת שדה תעופה בנבטים, התשפ""ה-2024")</f>
        <v>4072</v>
      </c>
      <c r="E1907" t="s">
        <v>4072</v>
      </c>
      <c r="F1907" t="s">
        <v>4073</v>
      </c>
      <c r="G1907" t="s">
        <v>14</v>
      </c>
      <c r="H1907">
             </c>
      <c r="I1907" t="s">
        <v>14</v>
      </c>
      <c r="J1907" t="s">
        <v>183</v>
      </c>
      <c r="K1907" t="s">
        <v>84</v>
      </c>
      <c r="L1907" t="s">
        <v>20</v>
      </c>
      <c r="M1907" t="s">
        <v>4071</v>
      </c>
      <c r="N1907" t="s">
        <v>14</v>
      </c>
    </row>
    <row r="1908" x14ac:dyDescent="0.25">
      <c r="A1908" t="n">
        <v>25</v>
      </c>
      <c r="B1908" t="s">
        <v>14</v>
      </c>
      <c r="C1908" t="s">
        <v>51</v>
      </c>
      <c r="D1908" s="2" t="s">
        <f>=HYPERLINK("https://main.knesset.gov.il/APPS/legislation/main/bills/2219438", "חוק נציב תלונות הציבור על שופטים (תיקון מס' 6), התשפ""ה–2025")</f>
        <v>4074</v>
      </c>
      <c r="E1908" t="s">
        <v>4074</v>
      </c>
      <c r="F1908" t="s">
        <v>4075</v>
      </c>
      <c r="G1908" t="s">
        <v>4076</v>
      </c>
      <c r="H1908" t="n">
        <v>3377</v>
      </c>
      <c r="I1908" t="s">
        <v>14</v>
      </c>
      <c r="J1908" t="s">
        <v>18</v>
      </c>
      <c r="K1908" t="s">
        <v>27</v>
      </c>
      <c r="L1908" t="s">
        <v>20</v>
      </c>
      <c r="M1908" t="s">
        <v>4071</v>
      </c>
      <c r="N1908" t="s">
        <v>4077</v>
      </c>
    </row>
    <row r="1909" x14ac:dyDescent="0.25">
      <c r="A1909" t="n">
        <v>25</v>
      </c>
      <c r="B1909" t="s">
        <v>14</v>
      </c>
      <c r="C1909" t="s">
        <v>51</v>
      </c>
      <c r="D1909" s="2" t="s">
        <f>=HYPERLINK("https://main.knesset.gov.il/APPS/legislation/main/bills/2229307", "הצעת חוק הסדרת השימוש בקנאביס למטרות רפואיות, התשפ""ה-2025")</f>
        <v>2808</v>
      </c>
      <c r="E1909" t="s">
        <v>2808</v>
      </c>
      <c r="F1909" t="s">
        <v>4078</v>
      </c>
      <c r="G1909" t="s">
        <v>14</v>
      </c>
      <c r="H1909">
             </c>
      <c r="I1909" t="s">
        <v>14</v>
      </c>
      <c r="J1909" t="s">
        <v>202</v>
      </c>
      <c r="K1909" t="s">
        <v>14</v>
      </c>
      <c r="L1909" t="s">
        <v>20</v>
      </c>
      <c r="M1909" t="s">
        <v>4071</v>
      </c>
      <c r="N1909" t="s">
        <v>14</v>
      </c>
    </row>
    <row r="1910" x14ac:dyDescent="0.25">
      <c r="A1910" t="n">
        <v>25</v>
      </c>
      <c r="B1910" t="s">
        <v>14</v>
      </c>
      <c r="C1910" t="s">
        <v>51</v>
      </c>
      <c r="D1910" s="2" t="s">
        <f>=HYPERLINK("https://main.knesset.gov.il/APPS/legislation/main/bills/2227528", "הצעת חוק אסדרת חברות שמירה ושירותי אבטחה, התשפ""ה-2025")</f>
        <v>4079</v>
      </c>
      <c r="E1910" t="s">
        <v>4079</v>
      </c>
      <c r="F1910" t="s">
        <v>4080</v>
      </c>
      <c r="G1910" t="s">
        <v>14</v>
      </c>
      <c r="H1910">
             </c>
      <c r="I1910" t="s">
        <v>14</v>
      </c>
      <c r="J1910" t="s">
        <v>242</v>
      </c>
      <c r="K1910" t="s">
        <v>14</v>
      </c>
      <c r="L1910" t="s">
        <v>20</v>
      </c>
      <c r="M1910" t="s">
        <v>4071</v>
      </c>
      <c r="N1910" t="s">
        <v>14</v>
      </c>
    </row>
    <row r="1911" x14ac:dyDescent="0.25">
      <c r="A1911" t="n">
        <v>25</v>
      </c>
      <c r="B1911" t="s">
        <v>14</v>
      </c>
      <c r="C1911" t="s">
        <v>51</v>
      </c>
      <c r="D1911" s="2" t="s">
        <f>=HYPERLINK("https://main.knesset.gov.il/APPS/legislation/main/bills/2218872", "הצעת חוק מחיקת רישומים בגין התקהלות אסורה, התשפ""ה-2025")</f>
        <v>2906</v>
      </c>
      <c r="E1911" t="s">
        <v>2906</v>
      </c>
      <c r="F1911" t="s">
        <v>4081</v>
      </c>
      <c r="G1911" t="s">
        <v>14</v>
      </c>
      <c r="H1911">
             </c>
      <c r="I1911" t="s">
        <v>14</v>
      </c>
      <c r="J1911" t="s">
        <v>242</v>
      </c>
      <c r="K1911" t="s">
        <v>14</v>
      </c>
      <c r="L1911" t="s">
        <v>20</v>
      </c>
      <c r="M1911" t="s">
        <v>4071</v>
      </c>
      <c r="N1911" t="s">
        <v>14</v>
      </c>
    </row>
    <row r="1912" x14ac:dyDescent="0.25">
      <c r="A1912" t="n">
        <v>25</v>
      </c>
      <c r="B1912" t="s">
        <v>14</v>
      </c>
      <c r="C1912" t="s">
        <v>51</v>
      </c>
      <c r="D1912" s="2" t="s">
        <f>=HYPERLINK("https://main.knesset.gov.il/APPS/legislation/main/bills/2228600", "הצעת חוק חדלות פירעון ושיקום כלכלי (תיקון - העלאת סף החובות לניהול הליך ברשות האכיפה והגבייה), התשפ""ה-2025")</f>
        <v>3774</v>
      </c>
      <c r="E1912" t="s">
        <v>3774</v>
      </c>
      <c r="F1912" t="s">
        <v>4082</v>
      </c>
      <c r="G1912" t="s">
        <v>14</v>
      </c>
      <c r="H1912">
             </c>
      <c r="I1912" t="s">
        <v>14</v>
      </c>
      <c r="J1912" t="s">
        <v>242</v>
      </c>
      <c r="K1912" t="s">
        <v>14</v>
      </c>
      <c r="L1912" t="s">
        <v>20</v>
      </c>
      <c r="M1912" t="s">
        <v>4071</v>
      </c>
      <c r="N1912" t="s">
        <v>14</v>
      </c>
    </row>
    <row r="1913" x14ac:dyDescent="0.25">
      <c r="A1913" t="n">
        <v>25</v>
      </c>
      <c r="B1913" t="s">
        <v>14</v>
      </c>
      <c r="C1913" t="s">
        <v>51</v>
      </c>
      <c r="D1913" s="2" t="s">
        <f>=HYPERLINK("https://main.knesset.gov.il/APPS/legislation/main/bills/2229096", "הצעת חוק יחסי ממון בין בני זוג (תיקון - הסכמי ממון), התשפ""ה-2025")</f>
        <v>4083</v>
      </c>
      <c r="E1913" t="s">
        <v>4083</v>
      </c>
      <c r="F1913" t="s">
        <v>4084</v>
      </c>
      <c r="G1913" t="s">
        <v>14</v>
      </c>
      <c r="H1913">
             </c>
      <c r="I1913" t="s">
        <v>14</v>
      </c>
      <c r="J1913" t="s">
        <v>242</v>
      </c>
      <c r="K1913" t="s">
        <v>14</v>
      </c>
      <c r="L1913" t="s">
        <v>20</v>
      </c>
      <c r="M1913" t="s">
        <v>4071</v>
      </c>
      <c r="N1913" t="s">
        <v>14</v>
      </c>
    </row>
    <row r="1914" x14ac:dyDescent="0.25">
      <c r="A1914" t="n">
        <v>25</v>
      </c>
      <c r="B1914" t="s">
        <v>14</v>
      </c>
      <c r="C1914" t="s">
        <v>51</v>
      </c>
      <c r="D1914" s="2" t="s">
        <f>=HYPERLINK("https://main.knesset.gov.il/APPS/legislation/main/bills/2228132", "הצעת חוק לתיקון פקודת בתי הסוהר (סמכויות חטיבת חלופות הכליאה והפיקוח), התשפ""ה-2025")</f>
        <v>4085</v>
      </c>
      <c r="E1914" t="s">
        <v>4085</v>
      </c>
      <c r="F1914" t="s">
        <v>4086</v>
      </c>
      <c r="G1914" t="s">
        <v>14</v>
      </c>
      <c r="H1914">
             </c>
      <c r="I1914" t="s">
        <v>14</v>
      </c>
      <c r="J1914" t="s">
        <v>242</v>
      </c>
      <c r="K1914" t="s">
        <v>14</v>
      </c>
      <c r="L1914" t="s">
        <v>20</v>
      </c>
      <c r="M1914" t="s">
        <v>4071</v>
      </c>
      <c r="N1914" t="s">
        <v>14</v>
      </c>
    </row>
    <row r="1915" x14ac:dyDescent="0.25">
      <c r="A1915" t="n">
        <v>25</v>
      </c>
      <c r="B1915" t="s">
        <v>14</v>
      </c>
      <c r="C1915" t="s">
        <v>51</v>
      </c>
      <c r="D1915" s="2" t="s">
        <f>=HYPERLINK("https://main.knesset.gov.il/APPS/legislation/main/bills/2228807", "הצעת חוק עיגון סמכותו של שר הביטחון למנות ולפטר קצינים בצבא הגנה לישראל, התשפ""ה-2025")</f>
        <v>4087</v>
      </c>
      <c r="E1915" t="s">
        <v>4087</v>
      </c>
      <c r="F1915" t="s">
        <v>4088</v>
      </c>
      <c r="G1915" t="s">
        <v>14</v>
      </c>
      <c r="H1915">
             </c>
      <c r="I1915" t="s">
        <v>14</v>
      </c>
      <c r="J1915" t="s">
        <v>242</v>
      </c>
      <c r="K1915" t="s">
        <v>14</v>
      </c>
      <c r="L1915" t="s">
        <v>20</v>
      </c>
      <c r="M1915" t="s">
        <v>4071</v>
      </c>
      <c r="N1915" t="s">
        <v>14</v>
      </c>
    </row>
    <row r="1916" x14ac:dyDescent="0.25">
      <c r="A1916" t="n">
        <v>25</v>
      </c>
      <c r="B1916" t="s">
        <v>14</v>
      </c>
      <c r="C1916" t="s">
        <v>51</v>
      </c>
      <c r="D1916" s="2" t="s">
        <f>=HYPERLINK("https://main.knesset.gov.il/APPS/legislation/main/bills/2226921", "הצעת חוק לתיקון פקודת התעבורה (איסור מתן רישיון נהיגה למסתנן), התשפ""ה-2025")</f>
        <v>4089</v>
      </c>
      <c r="E1916" t="s">
        <v>4089</v>
      </c>
      <c r="F1916" t="s">
        <v>4090</v>
      </c>
      <c r="G1916" t="s">
        <v>14</v>
      </c>
      <c r="H1916">
             </c>
      <c r="I1916" t="s">
        <v>14</v>
      </c>
      <c r="J1916" t="s">
        <v>242</v>
      </c>
      <c r="K1916" t="s">
        <v>14</v>
      </c>
      <c r="L1916" t="s">
        <v>20</v>
      </c>
      <c r="M1916" t="s">
        <v>4071</v>
      </c>
      <c r="N1916" t="s">
        <v>14</v>
      </c>
    </row>
    <row r="1917" x14ac:dyDescent="0.25">
      <c r="A1917" t="n">
        <v>25</v>
      </c>
      <c r="B1917" t="s">
        <v>14</v>
      </c>
      <c r="C1917" t="s">
        <v>51</v>
      </c>
      <c r="D1917" s="2" t="s">
        <f>=HYPERLINK("https://main.knesset.gov.il/APPS/legislation/main/bills/2227415", "הצעת חוק משק החשמל (תיקון - תשלומי חשמל מופחתים לעולים בגיל פרישה שלא זכאים להשלמת הכנסה), התשפ""ה-2025")</f>
        <v>4091</v>
      </c>
      <c r="E1917" t="s">
        <v>4091</v>
      </c>
      <c r="F1917" t="s">
        <v>4092</v>
      </c>
      <c r="G1917" t="s">
        <v>14</v>
      </c>
      <c r="H1917">
             </c>
      <c r="I1917" t="s">
        <v>14</v>
      </c>
      <c r="J1917" t="s">
        <v>242</v>
      </c>
      <c r="K1917" t="s">
        <v>14</v>
      </c>
      <c r="L1917" t="s">
        <v>20</v>
      </c>
      <c r="M1917" t="s">
        <v>4071</v>
      </c>
      <c r="N1917" t="s">
        <v>14</v>
      </c>
    </row>
    <row r="1918" x14ac:dyDescent="0.25">
      <c r="A1918" t="n">
        <v>25</v>
      </c>
      <c r="B1918" t="s">
        <v>14</v>
      </c>
      <c r="C1918" t="s">
        <v>51</v>
      </c>
      <c r="D1918" s="2" t="s">
        <f>=HYPERLINK("https://main.knesset.gov.il/APPS/legislation/main/bills/2229311", "הצעת חוק דיווח על הליך פלילי נגד תלמיד בעבירת טרור (תיקוני חקיקה), התשפ""ה-2025")</f>
        <v>4093</v>
      </c>
      <c r="E1918" t="s">
        <v>4093</v>
      </c>
      <c r="F1918" t="s">
        <v>4094</v>
      </c>
      <c r="G1918" t="s">
        <v>14</v>
      </c>
      <c r="H1918">
             </c>
      <c r="I1918" t="s">
        <v>14</v>
      </c>
      <c r="J1918" t="s">
        <v>242</v>
      </c>
      <c r="K1918" t="s">
        <v>14</v>
      </c>
      <c r="L1918" t="s">
        <v>20</v>
      </c>
      <c r="M1918" t="s">
        <v>4071</v>
      </c>
      <c r="N1918" t="s">
        <v>14</v>
      </c>
    </row>
    <row r="1919" x14ac:dyDescent="0.25">
      <c r="A1919" t="n">
        <v>25</v>
      </c>
      <c r="B1919" t="s">
        <v>14</v>
      </c>
      <c r="C1919" t="s">
        <v>51</v>
      </c>
      <c r="D1919" s="2" t="s">
        <f>=HYPERLINK("https://main.knesset.gov.il/APPS/legislation/main/bills/2228570", "הצעת חוק איסור העברת כספים לרשות תומכת טרור (תיקוני חקיקה), התשפ""ה-2025")</f>
        <v>4095</v>
      </c>
      <c r="E1919" t="s">
        <v>4095</v>
      </c>
      <c r="F1919" t="s">
        <v>4096</v>
      </c>
      <c r="G1919" t="s">
        <v>14</v>
      </c>
      <c r="H1919">
             </c>
      <c r="I1919" t="s">
        <v>14</v>
      </c>
      <c r="J1919" t="s">
        <v>242</v>
      </c>
      <c r="K1919" t="s">
        <v>14</v>
      </c>
      <c r="L1919" t="s">
        <v>20</v>
      </c>
      <c r="M1919" t="s">
        <v>4071</v>
      </c>
      <c r="N1919" t="s">
        <v>14</v>
      </c>
    </row>
    <row r="1920" x14ac:dyDescent="0.25">
      <c r="A1920" t="n">
        <v>25</v>
      </c>
      <c r="B1920" t="s">
        <v>14</v>
      </c>
      <c r="C1920" t="s">
        <v>51</v>
      </c>
      <c r="D1920" s="2" t="s">
        <f>=HYPERLINK("https://main.knesset.gov.il/APPS/legislation/main/bills/2227980", "הצעת חוק לביטול אזרחותו או תושבותו של מי שמתגורר בשטח רצועת עזה (תיקוני חקיקה), התשפ""ה-2025")</f>
        <v>4097</v>
      </c>
      <c r="E1920" t="s">
        <v>4097</v>
      </c>
      <c r="F1920" t="s">
        <v>4098</v>
      </c>
      <c r="G1920" t="s">
        <v>14</v>
      </c>
      <c r="H1920">
             </c>
      <c r="I1920" t="s">
        <v>14</v>
      </c>
      <c r="J1920" t="s">
        <v>242</v>
      </c>
      <c r="K1920" t="s">
        <v>14</v>
      </c>
      <c r="L1920" t="s">
        <v>20</v>
      </c>
      <c r="M1920" t="s">
        <v>4071</v>
      </c>
      <c r="N1920" t="s">
        <v>14</v>
      </c>
    </row>
    <row r="1921" x14ac:dyDescent="0.25">
      <c r="A1921" t="n">
        <v>25</v>
      </c>
      <c r="B1921" t="s">
        <v>14</v>
      </c>
      <c r="C1921" t="s">
        <v>51</v>
      </c>
      <c r="D1921" s="2" t="s">
        <f>=HYPERLINK("https://main.knesset.gov.il/APPS/legislation/main/bills/2227982", "הצעת חוק עידוד עזיבה מרצון של תושבי יהודה והשומרון, התשפ""ה-2025")</f>
        <v>4099</v>
      </c>
      <c r="E1921" t="s">
        <v>4099</v>
      </c>
      <c r="F1921" t="s">
        <v>4100</v>
      </c>
      <c r="G1921" t="s">
        <v>14</v>
      </c>
      <c r="H1921">
             </c>
      <c r="I1921" t="s">
        <v>14</v>
      </c>
      <c r="J1921" t="s">
        <v>242</v>
      </c>
      <c r="K1921" t="s">
        <v>14</v>
      </c>
      <c r="L1921" t="s">
        <v>20</v>
      </c>
      <c r="M1921" t="s">
        <v>4071</v>
      </c>
      <c r="N1921" t="s">
        <v>14</v>
      </c>
    </row>
    <row r="1922" x14ac:dyDescent="0.25">
      <c r="A1922" t="n">
        <v>25</v>
      </c>
      <c r="B1922" t="s">
        <v>14</v>
      </c>
      <c r="C1922" t="s">
        <v>51</v>
      </c>
      <c r="D1922" s="2" t="s">
        <f>=HYPERLINK("https://main.knesset.gov.il/APPS/legislation/main/bills/2228339", "הצעת חוק התכנון והבנייה (תיקון - הנחיות בדבר שיקולי ביטחון לאומי), התשפ""ה-2025")</f>
        <v>4101</v>
      </c>
      <c r="E1922" t="s">
        <v>4101</v>
      </c>
      <c r="F1922" t="s">
        <v>4102</v>
      </c>
      <c r="G1922" t="s">
        <v>14</v>
      </c>
      <c r="H1922">
             </c>
      <c r="I1922" t="s">
        <v>14</v>
      </c>
      <c r="J1922" t="s">
        <v>242</v>
      </c>
      <c r="K1922" t="s">
        <v>14</v>
      </c>
      <c r="L1922" t="s">
        <v>20</v>
      </c>
      <c r="M1922" t="s">
        <v>4071</v>
      </c>
      <c r="N1922" t="s">
        <v>14</v>
      </c>
    </row>
    <row r="1923" x14ac:dyDescent="0.25">
      <c r="A1923" t="n">
        <v>25</v>
      </c>
      <c r="B1923" t="s">
        <v>14</v>
      </c>
      <c r="C1923" t="s">
        <v>51</v>
      </c>
      <c r="D1923" s="2" t="s">
        <f>=HYPERLINK("https://main.knesset.gov.il/APPS/legislation/main/bills/2228734", "הצעת חוק משפחות חיילים שנספו במערכה (תגמולים ושיקום) (תיקון - שלילת הכרה כבן משפחה), התשפ""ה-2025")</f>
        <v>3941</v>
      </c>
      <c r="E1923" t="s">
        <v>3941</v>
      </c>
      <c r="F1923" t="s">
        <v>4103</v>
      </c>
      <c r="G1923" t="s">
        <v>14</v>
      </c>
      <c r="H1923">
             </c>
      <c r="I1923" t="s">
        <v>14</v>
      </c>
      <c r="J1923" t="s">
        <v>242</v>
      </c>
      <c r="K1923" t="s">
        <v>14</v>
      </c>
      <c r="L1923" t="s">
        <v>20</v>
      </c>
      <c r="M1923" t="s">
        <v>4071</v>
      </c>
      <c r="N1923" t="s">
        <v>14</v>
      </c>
    </row>
    <row r="1924" x14ac:dyDescent="0.25">
      <c r="A1924" t="n">
        <v>25</v>
      </c>
      <c r="B1924" t="s">
        <v>14</v>
      </c>
      <c r="C1924" t="s">
        <v>51</v>
      </c>
      <c r="D1924" s="2" t="s">
        <f>=HYPERLINK("https://main.knesset.gov.il/APPS/legislation/main/bills/2228065", "הצעת חוק טיפול בחולי נפש (תיקון - קביעת מועד למתן חוות דעת פסיכיאטרית), התשפ""ה-2025")</f>
        <v>3610</v>
      </c>
      <c r="E1924" t="s">
        <v>3610</v>
      </c>
      <c r="F1924" t="s">
        <v>4104</v>
      </c>
      <c r="G1924" t="s">
        <v>14</v>
      </c>
      <c r="H1924">
             </c>
      <c r="I1924" t="s">
        <v>14</v>
      </c>
      <c r="J1924" t="s">
        <v>242</v>
      </c>
      <c r="K1924" t="s">
        <v>14</v>
      </c>
      <c r="L1924" t="s">
        <v>20</v>
      </c>
      <c r="M1924" t="s">
        <v>4071</v>
      </c>
      <c r="N1924" t="s">
        <v>14</v>
      </c>
    </row>
    <row r="1925" x14ac:dyDescent="0.25">
      <c r="A1925" t="n">
        <v>25</v>
      </c>
      <c r="B1925" t="s">
        <v>14</v>
      </c>
      <c r="C1925" t="s">
        <v>51</v>
      </c>
      <c r="D1925" s="2" t="s">
        <f>=HYPERLINK("https://main.knesset.gov.il/APPS/legislation/main/bills/2227318", "הצעת חוק עידוד התיישבות בפריפריה, התשפ""ה-2025")</f>
        <v>4105</v>
      </c>
      <c r="E1925" t="s">
        <v>4105</v>
      </c>
      <c r="F1925" t="s">
        <v>4106</v>
      </c>
      <c r="G1925" t="s">
        <v>14</v>
      </c>
      <c r="H1925">
             </c>
      <c r="I1925" t="s">
        <v>14</v>
      </c>
      <c r="J1925" t="s">
        <v>242</v>
      </c>
      <c r="K1925" t="s">
        <v>14</v>
      </c>
      <c r="L1925" t="s">
        <v>20</v>
      </c>
      <c r="M1925" t="s">
        <v>4071</v>
      </c>
      <c r="N1925" t="s">
        <v>14</v>
      </c>
    </row>
    <row r="1926" x14ac:dyDescent="0.25">
      <c r="A1926" t="n">
        <v>25</v>
      </c>
      <c r="B1926" t="s">
        <v>14</v>
      </c>
      <c r="C1926" t="s">
        <v>51</v>
      </c>
      <c r="D1926" s="2" t="s">
        <f>=HYPERLINK("https://main.knesset.gov.il/APPS/legislation/main/bills/2228551", "הצעת חוק לתיקון פקודת סדרי השלטון והמשפט (חקיקה באזור באמצעות צו), התשפ""ה-2025 ")</f>
        <v>4107</v>
      </c>
      <c r="E1926" t="s">
        <v>4107</v>
      </c>
      <c r="F1926" t="s">
        <v>4108</v>
      </c>
      <c r="G1926" t="s">
        <v>14</v>
      </c>
      <c r="H1926">
             </c>
      <c r="I1926" t="s">
        <v>14</v>
      </c>
      <c r="J1926" t="s">
        <v>242</v>
      </c>
      <c r="K1926" t="s">
        <v>14</v>
      </c>
      <c r="L1926" t="s">
        <v>20</v>
      </c>
      <c r="M1926" t="s">
        <v>4071</v>
      </c>
      <c r="N1926" t="s">
        <v>14</v>
      </c>
    </row>
    <row r="1927" x14ac:dyDescent="0.25">
      <c r="A1927" t="n">
        <v>25</v>
      </c>
      <c r="B1927" t="s">
        <v>14</v>
      </c>
      <c r="C1927" t="s">
        <v>51</v>
      </c>
      <c r="D1927" s="2" t="s">
        <f>=HYPERLINK("https://main.knesset.gov.il/APPS/legislation/main/bills/2228552", "הצעת חוק מקרקעין באזור יהודה והשומרון, התשפ""ה-2025")</f>
        <v>4109</v>
      </c>
      <c r="E1927" t="s">
        <v>4109</v>
      </c>
      <c r="F1927" t="s">
        <v>4110</v>
      </c>
      <c r="G1927" t="s">
        <v>14</v>
      </c>
      <c r="H1927">
             </c>
      <c r="I1927" t="s">
        <v>14</v>
      </c>
      <c r="J1927" t="s">
        <v>242</v>
      </c>
      <c r="K1927" t="s">
        <v>14</v>
      </c>
      <c r="L1927" t="s">
        <v>20</v>
      </c>
      <c r="M1927" t="s">
        <v>4071</v>
      </c>
      <c r="N1927" t="s">
        <v>14</v>
      </c>
    </row>
    <row r="1928" x14ac:dyDescent="0.25">
      <c r="A1928" t="n">
        <v>25</v>
      </c>
      <c r="B1928" t="s">
        <v>14</v>
      </c>
      <c r="C1928" t="s">
        <v>51</v>
      </c>
      <c r="D1928" s="2" t="s">
        <f>=HYPERLINK("https://main.knesset.gov.il/APPS/legislation/main/bills/2221257", "הצעת חוק הסיוע המשפטי (תיקון - נפגעות ונפגעי הטרדה מינית), התשפ""ה-2025")</f>
        <v>4111</v>
      </c>
      <c r="E1928" t="s">
        <v>4111</v>
      </c>
      <c r="F1928" t="s">
        <v>4112</v>
      </c>
      <c r="G1928" t="s">
        <v>14</v>
      </c>
      <c r="H1928">
             </c>
      <c r="I1928" t="s">
        <v>14</v>
      </c>
      <c r="J1928" t="s">
        <v>242</v>
      </c>
      <c r="K1928" t="s">
        <v>14</v>
      </c>
      <c r="L1928" t="s">
        <v>20</v>
      </c>
      <c r="M1928" t="s">
        <v>4071</v>
      </c>
      <c r="N1928" t="s">
        <v>14</v>
      </c>
    </row>
    <row r="1929" x14ac:dyDescent="0.25">
      <c r="A1929" t="n">
        <v>25</v>
      </c>
      <c r="B1929" t="s">
        <v>14</v>
      </c>
      <c r="C1929" t="s">
        <v>51</v>
      </c>
      <c r="D1929" s="2" t="s">
        <f>=HYPERLINK("https://main.knesset.gov.il/APPS/legislation/main/bills/2228047", "הצעת חוק הנכים (תגמולים ושיקום)(תיקון - החזר בשל אובדן הכנסה לבן משפחה של נכה ששוחרר מאשפוז), התשפ""ה-2025")</f>
        <v>4113</v>
      </c>
      <c r="E1929" t="s">
        <v>4113</v>
      </c>
      <c r="F1929" t="s">
        <v>4114</v>
      </c>
      <c r="G1929" t="s">
        <v>14</v>
      </c>
      <c r="H1929">
             </c>
      <c r="I1929" t="s">
        <v>14</v>
      </c>
      <c r="J1929" t="s">
        <v>242</v>
      </c>
      <c r="K1929" t="s">
        <v>14</v>
      </c>
      <c r="L1929" t="s">
        <v>20</v>
      </c>
      <c r="M1929" t="s">
        <v>4071</v>
      </c>
      <c r="N1929" t="s">
        <v>14</v>
      </c>
    </row>
    <row r="1930" x14ac:dyDescent="0.25">
      <c r="A1930" t="n">
        <v>25</v>
      </c>
      <c r="B1930" t="s">
        <v>14</v>
      </c>
      <c r="C1930" t="s">
        <v>51</v>
      </c>
      <c r="D1930" s="2" t="s">
        <f>=HYPERLINK("https://main.knesset.gov.il/APPS/legislation/main/bills/2214303", "הצעת חוק עובדים זרים (תיקון - חובת מעסיק לבדיקת אשרה של עובד זר), התשפ""ד-2024")</f>
        <v>4115</v>
      </c>
      <c r="E1930" t="s">
        <v>4115</v>
      </c>
      <c r="F1930" t="s">
        <v>4116</v>
      </c>
      <c r="G1930" t="s">
        <v>14</v>
      </c>
      <c r="H1930">
             </c>
      <c r="I1930" t="s">
        <v>14</v>
      </c>
      <c r="J1930" t="s">
        <v>183</v>
      </c>
      <c r="K1930" t="s">
        <v>46</v>
      </c>
      <c r="L1930" t="s">
        <v>20</v>
      </c>
      <c r="M1930" t="s">
        <v>4117</v>
      </c>
      <c r="N1930" t="s">
        <v>14</v>
      </c>
    </row>
    <row r="1931" x14ac:dyDescent="0.25">
      <c r="A1931" t="n">
        <v>25</v>
      </c>
      <c r="B1931" t="s">
        <v>14</v>
      </c>
      <c r="C1931" t="s">
        <v>15</v>
      </c>
      <c r="D1931" s="2" t="s">
        <f>=HYPERLINK("https://main.knesset.gov.il/APPS/legislation/main/bills/2228288", "סעיף 9(1) ו-14 (הכרה בהוצאות הכרוכות בהשבחת נכס) מתוך הצעת חוק ההתייעלות הכלכלית (תיקוני חקיקה להשגת יעדי התקציב לשנת התקציב 2025), התשפ""ה-2024 ")</f>
        <v>4118</v>
      </c>
      <c r="E1931" t="s">
        <v>4118</v>
      </c>
      <c r="F1931" t="s">
        <v>14</v>
      </c>
      <c r="G1931" t="s">
        <v>237</v>
      </c>
      <c r="H1931">
             </c>
      <c r="I1931" t="s">
        <v>14</v>
      </c>
      <c r="J1931" t="s">
        <v>38</v>
      </c>
      <c r="K1931" t="s">
        <v>24</v>
      </c>
      <c r="L1931" t="s">
        <v>20</v>
      </c>
      <c r="M1931" t="s">
        <v>4119</v>
      </c>
      <c r="N1931" t="s">
        <v>14</v>
      </c>
    </row>
    <row r="1932" x14ac:dyDescent="0.25">
      <c r="A1932" t="n">
        <v>25</v>
      </c>
      <c r="B1932" t="s">
        <v>14</v>
      </c>
      <c r="C1932" t="s">
        <v>51</v>
      </c>
      <c r="D1932" s="2" t="s">
        <f>=HYPERLINK("https://main.knesset.gov.il/APPS/legislation/main/bills/2223834", "הצעת חוק מיסוי מקרקעין (שבח ורכישה) (תיקון - ייצוג נישום על ידי רואה חשבון ויועץ מס מייצג), התשפ""ה-2024")</f>
        <v>4120</v>
      </c>
      <c r="E1932" t="s">
        <v>4120</v>
      </c>
      <c r="F1932" t="s">
        <v>4121</v>
      </c>
      <c r="G1932" t="s">
        <v>14</v>
      </c>
      <c r="H1932">
             </c>
      <c r="I1932" t="s">
        <v>14</v>
      </c>
      <c r="J1932" t="s">
        <v>152</v>
      </c>
      <c r="K1932" t="s">
        <v>24</v>
      </c>
      <c r="L1932" t="s">
        <v>20</v>
      </c>
      <c r="M1932" t="s">
        <v>4119</v>
      </c>
      <c r="N1932" t="s">
        <v>14</v>
      </c>
    </row>
    <row r="1933" x14ac:dyDescent="0.25">
      <c r="A1933" t="n">
        <v>25</v>
      </c>
      <c r="B1933" t="s">
        <v>14</v>
      </c>
      <c r="C1933" t="s">
        <v>51</v>
      </c>
      <c r="D1933" s="2" t="s">
        <f>=HYPERLINK("https://main.knesset.gov.il/APPS/legislation/main/bills/2206305", "חוק יום לציון מכתב 18 המשפחות היהודיות מגאורגיה, התשפ""ה–2025")</f>
        <v>4122</v>
      </c>
      <c r="E1933" t="s">
        <v>4122</v>
      </c>
      <c r="F1933" t="s">
        <v>4123</v>
      </c>
      <c r="G1933" t="s">
        <v>4124</v>
      </c>
      <c r="H1933" t="n">
        <v>3376</v>
      </c>
      <c r="I1933" t="s">
        <v>14</v>
      </c>
      <c r="J1933" t="s">
        <v>18</v>
      </c>
      <c r="K1933" t="s">
        <v>79</v>
      </c>
      <c r="L1933" t="s">
        <v>20</v>
      </c>
      <c r="M1933" t="s">
        <v>4119</v>
      </c>
      <c r="N1933" t="s">
        <v>4125</v>
      </c>
    </row>
    <row r="1934" x14ac:dyDescent="0.25">
      <c r="A1934" t="n">
        <v>25</v>
      </c>
      <c r="B1934" t="s">
        <v>14</v>
      </c>
      <c r="C1934" t="s">
        <v>51</v>
      </c>
      <c r="D1934" s="2" t="s">
        <f>=HYPERLINK("https://main.knesset.gov.il/APPS/legislation/main/bills/2228409", "הצעת חוק הוראות פתיחה באש במרחב החיץ הביטחוני ברצועת עזה, התשפ""ה-2025")</f>
        <v>4126</v>
      </c>
      <c r="E1934" t="s">
        <v>4126</v>
      </c>
      <c r="F1934" t="s">
        <v>4127</v>
      </c>
      <c r="G1934" t="s">
        <v>14</v>
      </c>
      <c r="H1934">
             </c>
      <c r="I1934" t="s">
        <v>14</v>
      </c>
      <c r="J1934" t="s">
        <v>242</v>
      </c>
      <c r="K1934" t="s">
        <v>14</v>
      </c>
      <c r="L1934" t="s">
        <v>20</v>
      </c>
      <c r="M1934" t="s">
        <v>4128</v>
      </c>
      <c r="N1934" t="s">
        <v>14</v>
      </c>
    </row>
    <row r="1935" x14ac:dyDescent="0.25">
      <c r="A1935" t="n">
        <v>25</v>
      </c>
      <c r="B1935" t="s">
        <v>14</v>
      </c>
      <c r="C1935" t="s">
        <v>51</v>
      </c>
      <c r="D1935" s="2" t="s">
        <f>=HYPERLINK("https://main.knesset.gov.il/APPS/legislation/main/bills/2226894", "הצעת חוק הרשויות המקומיות (פטור חיילים, נפגעי מלחמה ושוטרים מארנונה) (תיקון - פטור מארנונה לחייל מילואים שהוא סטודנט) (הוראת שעה), התשפ""ה-2025")</f>
        <v>4129</v>
      </c>
      <c r="E1935" t="s">
        <v>4129</v>
      </c>
      <c r="F1935" t="s">
        <v>4130</v>
      </c>
      <c r="G1935" t="s">
        <v>14</v>
      </c>
      <c r="H1935">
             </c>
      <c r="I1935" t="s">
        <v>14</v>
      </c>
      <c r="J1935" t="s">
        <v>242</v>
      </c>
      <c r="K1935" t="s">
        <v>14</v>
      </c>
      <c r="L1935" t="s">
        <v>20</v>
      </c>
      <c r="M1935" t="s">
        <v>4128</v>
      </c>
      <c r="N1935" t="s">
        <v>14</v>
      </c>
    </row>
    <row r="1936" x14ac:dyDescent="0.25">
      <c r="A1936" t="n">
        <v>25</v>
      </c>
      <c r="B1936" t="s">
        <v>14</v>
      </c>
      <c r="C1936" t="s">
        <v>51</v>
      </c>
      <c r="D1936" s="2" t="s">
        <f>=HYPERLINK("https://main.knesset.gov.il/APPS/legislation/main/bills/2228451", "הצעת חוק החברות (תיקון - מכסות ייצוג לנשים בדירקטוריונים של חברות ציבוריות), התשפ""ה-2025")</f>
        <v>3855</v>
      </c>
      <c r="E1936" t="s">
        <v>3855</v>
      </c>
      <c r="F1936" t="s">
        <v>4131</v>
      </c>
      <c r="G1936" t="s">
        <v>14</v>
      </c>
      <c r="H1936">
             </c>
      <c r="I1936" t="s">
        <v>14</v>
      </c>
      <c r="J1936" t="s">
        <v>242</v>
      </c>
      <c r="K1936" t="s">
        <v>14</v>
      </c>
      <c r="L1936" t="s">
        <v>20</v>
      </c>
      <c r="M1936" t="s">
        <v>4128</v>
      </c>
      <c r="N1936" t="s">
        <v>14</v>
      </c>
    </row>
    <row r="1937" x14ac:dyDescent="0.25">
      <c r="A1937" t="n">
        <v>25</v>
      </c>
      <c r="B1937" t="s">
        <v>14</v>
      </c>
      <c r="C1937" t="s">
        <v>51</v>
      </c>
      <c r="D1937" s="2" t="s">
        <f>=HYPERLINK("https://main.knesset.gov.il/APPS/legislation/main/bills/2228073", "הצעת חוק העונשין (תיקון - ביטול סעיפי חילוט שטרי כסף מזוייפים וחיפוש וחילוט של ציוד לזיוף), התשפ""ה-2025")</f>
        <v>4132</v>
      </c>
      <c r="E1937" t="s">
        <v>4132</v>
      </c>
      <c r="F1937" t="s">
        <v>4133</v>
      </c>
      <c r="G1937" t="s">
        <v>14</v>
      </c>
      <c r="H1937">
             </c>
      <c r="I1937" t="s">
        <v>14</v>
      </c>
      <c r="J1937" t="s">
        <v>242</v>
      </c>
      <c r="K1937" t="s">
        <v>14</v>
      </c>
      <c r="L1937" t="s">
        <v>20</v>
      </c>
      <c r="M1937" t="s">
        <v>4128</v>
      </c>
      <c r="N1937" t="s">
        <v>14</v>
      </c>
    </row>
    <row r="1938" x14ac:dyDescent="0.25">
      <c r="A1938" t="n">
        <v>25</v>
      </c>
      <c r="B1938" t="s">
        <v>14</v>
      </c>
      <c r="C1938" t="s">
        <v>51</v>
      </c>
      <c r="D1938" s="2" t="s">
        <f>=HYPERLINK("https://main.knesset.gov.il/APPS/legislation/main/bills/2222364", "הצעת חוק העונשין (תיקון - נשיאת מאסר במשמורת בקהילה), התשפ""ה-2025")</f>
        <v>4134</v>
      </c>
      <c r="E1938" t="s">
        <v>4134</v>
      </c>
      <c r="F1938" t="s">
        <v>4135</v>
      </c>
      <c r="G1938" t="s">
        <v>14</v>
      </c>
      <c r="H1938">
             </c>
      <c r="I1938" t="s">
        <v>14</v>
      </c>
      <c r="J1938" t="s">
        <v>242</v>
      </c>
      <c r="K1938" t="s">
        <v>14</v>
      </c>
      <c r="L1938" t="s">
        <v>20</v>
      </c>
      <c r="M1938" t="s">
        <v>4128</v>
      </c>
      <c r="N1938" t="s">
        <v>14</v>
      </c>
    </row>
    <row r="1939" x14ac:dyDescent="0.25">
      <c r="A1939" t="n">
        <v>25</v>
      </c>
      <c r="B1939" t="s">
        <v>14</v>
      </c>
      <c r="C1939" t="s">
        <v>51</v>
      </c>
      <c r="D1939" s="2" t="s">
        <f>=HYPERLINK("https://main.knesset.gov.il/APPS/legislation/main/bills/2227943", "הצעת חוק לתיקון פקודת התעבורה (השגה וערר על דרישה לתשלום תעריף מוגדל), התשפ""ה-2025")</f>
        <v>4136</v>
      </c>
      <c r="E1939" t="s">
        <v>4136</v>
      </c>
      <c r="F1939" t="s">
        <v>4137</v>
      </c>
      <c r="G1939" t="s">
        <v>14</v>
      </c>
      <c r="H1939">
             </c>
      <c r="I1939" t="s">
        <v>14</v>
      </c>
      <c r="J1939" t="s">
        <v>242</v>
      </c>
      <c r="K1939" t="s">
        <v>14</v>
      </c>
      <c r="L1939" t="s">
        <v>20</v>
      </c>
      <c r="M1939" t="s">
        <v>4128</v>
      </c>
      <c r="N1939" t="s">
        <v>14</v>
      </c>
    </row>
    <row r="1940" x14ac:dyDescent="0.25">
      <c r="A1940" t="n">
        <v>25</v>
      </c>
      <c r="B1940" t="s">
        <v>14</v>
      </c>
      <c r="C1940" t="s">
        <v>51</v>
      </c>
      <c r="D1940" s="2" t="s">
        <f>=HYPERLINK("https://main.knesset.gov.il/APPS/legislation/main/bills/2228028", "הצעת חוק התכנון והבנייה (תיקון - הקמת מבנים ארעיים בשטחים חקלאיים), התשפ""ה-2025")</f>
        <v>4138</v>
      </c>
      <c r="E1940" t="s">
        <v>4138</v>
      </c>
      <c r="F1940" t="s">
        <v>4139</v>
      </c>
      <c r="G1940" t="s">
        <v>14</v>
      </c>
      <c r="H1940">
             </c>
      <c r="I1940" t="s">
        <v>14</v>
      </c>
      <c r="J1940" t="s">
        <v>242</v>
      </c>
      <c r="K1940" t="s">
        <v>14</v>
      </c>
      <c r="L1940" t="s">
        <v>20</v>
      </c>
      <c r="M1940" t="s">
        <v>4128</v>
      </c>
      <c r="N1940" t="s">
        <v>14</v>
      </c>
    </row>
    <row r="1941" x14ac:dyDescent="0.25">
      <c r="A1941" t="n">
        <v>25</v>
      </c>
      <c r="B1941" t="s">
        <v>14</v>
      </c>
      <c r="C1941" t="s">
        <v>51</v>
      </c>
      <c r="D1941" s="2" t="s">
        <f>=HYPERLINK("https://main.knesset.gov.il/APPS/legislation/main/bills/2217901", "הצעת חוק לתיקון פקודת התעבורה (אי-חידוש רישיון רכב), התשפ""ה-2025")</f>
        <v>4140</v>
      </c>
      <c r="E1941" t="s">
        <v>4140</v>
      </c>
      <c r="F1941" t="s">
        <v>4141</v>
      </c>
      <c r="G1941" t="s">
        <v>14</v>
      </c>
      <c r="H1941">
             </c>
      <c r="I1941" t="s">
        <v>14</v>
      </c>
      <c r="J1941" t="s">
        <v>202</v>
      </c>
      <c r="K1941" t="s">
        <v>14</v>
      </c>
      <c r="L1941" t="s">
        <v>20</v>
      </c>
      <c r="M1941" t="s">
        <v>4128</v>
      </c>
      <c r="N1941" t="s">
        <v>14</v>
      </c>
    </row>
    <row r="1942" x14ac:dyDescent="0.25">
      <c r="A1942" t="n">
        <v>25</v>
      </c>
      <c r="B1942" t="s">
        <v>14</v>
      </c>
      <c r="C1942" t="s">
        <v>51</v>
      </c>
      <c r="D1942" s="2" t="s">
        <f>=HYPERLINK("https://main.knesset.gov.il/APPS/legislation/main/bills/2227543", "הצעת חוק לתיקון פקודת העיריות (הבטחת תשלומי גמלאות לעובדי עירייה), התשפ""ה-2025")</f>
        <v>3380</v>
      </c>
      <c r="E1942" t="s">
        <v>3380</v>
      </c>
      <c r="F1942" t="s">
        <v>4142</v>
      </c>
      <c r="G1942" t="s">
        <v>14</v>
      </c>
      <c r="H1942">
             </c>
      <c r="I1942" t="s">
        <v>14</v>
      </c>
      <c r="J1942" t="s">
        <v>242</v>
      </c>
      <c r="K1942" t="s">
        <v>14</v>
      </c>
      <c r="L1942" t="s">
        <v>20</v>
      </c>
      <c r="M1942" t="s">
        <v>4128</v>
      </c>
      <c r="N1942" t="s">
        <v>14</v>
      </c>
    </row>
    <row r="1943" x14ac:dyDescent="0.25">
      <c r="A1943" t="n">
        <v>25</v>
      </c>
      <c r="B1943" t="s">
        <v>14</v>
      </c>
      <c r="C1943" t="s">
        <v>51</v>
      </c>
      <c r="D1943" s="2" t="s">
        <f>=HYPERLINK("https://main.knesset.gov.il/APPS/legislation/main/bills/2228535", "הצעת חוק הפיקוח על שירותים פיננסיים (ייעוץ, שיווק ומערכת סליקה פנסיוניים) (תיקון - הגבלת עמלת הפצה), התשפ""ה-2025")</f>
        <v>4143</v>
      </c>
      <c r="E1943" t="s">
        <v>4143</v>
      </c>
      <c r="F1943" t="s">
        <v>4144</v>
      </c>
      <c r="G1943" t="s">
        <v>14</v>
      </c>
      <c r="H1943">
             </c>
      <c r="I1943" t="s">
        <v>14</v>
      </c>
      <c r="J1943" t="s">
        <v>242</v>
      </c>
      <c r="K1943" t="s">
        <v>14</v>
      </c>
      <c r="L1943" t="s">
        <v>20</v>
      </c>
      <c r="M1943" t="s">
        <v>4128</v>
      </c>
      <c r="N1943" t="s">
        <v>14</v>
      </c>
    </row>
    <row r="1944" x14ac:dyDescent="0.25">
      <c r="A1944" t="n">
        <v>25</v>
      </c>
      <c r="B1944" t="s">
        <v>14</v>
      </c>
      <c r="C1944" t="s">
        <v>51</v>
      </c>
      <c r="D1944" s="2" t="s">
        <f>=HYPERLINK("https://main.knesset.gov.il/APPS/legislation/main/bills/2227439", "הצעת חוק הגבלת פיטורי עובד שהתאלמן בתקופה הסמוכה לפטירת בן הזוג, התשפ""ה-2025")</f>
        <v>4145</v>
      </c>
      <c r="E1944" t="s">
        <v>4145</v>
      </c>
      <c r="F1944" t="s">
        <v>4146</v>
      </c>
      <c r="G1944" t="s">
        <v>14</v>
      </c>
      <c r="H1944">
             </c>
      <c r="I1944" t="s">
        <v>14</v>
      </c>
      <c r="J1944" t="s">
        <v>202</v>
      </c>
      <c r="K1944" t="s">
        <v>14</v>
      </c>
      <c r="L1944" t="s">
        <v>20</v>
      </c>
      <c r="M1944" t="s">
        <v>4128</v>
      </c>
      <c r="N1944" t="s">
        <v>14</v>
      </c>
    </row>
    <row r="1945" x14ac:dyDescent="0.25">
      <c r="A1945" t="n">
        <v>25</v>
      </c>
      <c r="B1945" t="s">
        <v>14</v>
      </c>
      <c r="C1945" t="s">
        <v>51</v>
      </c>
      <c r="D1945" s="2" t="s">
        <f>=HYPERLINK("https://main.knesset.gov.il/APPS/legislation/main/bills/2228194", "הצעת חוק הגנת הצרכן (תיקון - איסור הפעלת השפעה בלתי הוגנת במצב חירום), התשפ""ה-2025")</f>
        <v>3945</v>
      </c>
      <c r="E1945" t="s">
        <v>3945</v>
      </c>
      <c r="F1945" t="s">
        <v>4147</v>
      </c>
      <c r="G1945" t="s">
        <v>14</v>
      </c>
      <c r="H1945">
             </c>
      <c r="I1945" t="s">
        <v>14</v>
      </c>
      <c r="J1945" t="s">
        <v>242</v>
      </c>
      <c r="K1945" t="s">
        <v>14</v>
      </c>
      <c r="L1945" t="s">
        <v>20</v>
      </c>
      <c r="M1945" t="s">
        <v>4128</v>
      </c>
      <c r="N1945" t="s">
        <v>14</v>
      </c>
    </row>
    <row r="1946" x14ac:dyDescent="0.25">
      <c r="A1946" t="n">
        <v>25</v>
      </c>
      <c r="B1946" t="s">
        <v>14</v>
      </c>
      <c r="C1946" t="s">
        <v>51</v>
      </c>
      <c r="D1946" s="2" t="s">
        <f>=HYPERLINK("https://main.knesset.gov.il/APPS/legislation/main/bills/2226765", "הצעת חוק הביטוח הלאומי (תיקון - הדרכה בכפר נוער כעבודה מועדפת), התשפ""ה-2025")</f>
        <v>4148</v>
      </c>
      <c r="E1946" t="s">
        <v>4148</v>
      </c>
      <c r="F1946" t="s">
        <v>4149</v>
      </c>
      <c r="G1946" t="s">
        <v>14</v>
      </c>
      <c r="H1946">
             </c>
      <c r="I1946" t="s">
        <v>14</v>
      </c>
      <c r="J1946" t="s">
        <v>242</v>
      </c>
      <c r="K1946" t="s">
        <v>14</v>
      </c>
      <c r="L1946" t="s">
        <v>20</v>
      </c>
      <c r="M1946" t="s">
        <v>4128</v>
      </c>
      <c r="N1946" t="s">
        <v>14</v>
      </c>
    </row>
    <row r="1947" x14ac:dyDescent="0.25">
      <c r="A1947" t="n">
        <v>25</v>
      </c>
      <c r="B1947" t="s">
        <v>14</v>
      </c>
      <c r="C1947" t="s">
        <v>51</v>
      </c>
      <c r="D1947" s="2" t="s">
        <f>=HYPERLINK("https://main.knesset.gov.il/APPS/legislation/main/bills/2228372", "הצעת חוק זכויות אחים מטפלים בנכי צה""ל (תיקוני חקיקה), התשפ""ה-2025")</f>
        <v>4150</v>
      </c>
      <c r="E1947" t="s">
        <v>4150</v>
      </c>
      <c r="F1947" t="s">
        <v>4151</v>
      </c>
      <c r="G1947" t="s">
        <v>14</v>
      </c>
      <c r="H1947">
             </c>
      <c r="I1947" t="s">
        <v>14</v>
      </c>
      <c r="J1947" t="s">
        <v>202</v>
      </c>
      <c r="K1947" t="s">
        <v>14</v>
      </c>
      <c r="L1947" t="s">
        <v>20</v>
      </c>
      <c r="M1947" t="s">
        <v>4128</v>
      </c>
      <c r="N1947" t="s">
        <v>14</v>
      </c>
    </row>
    <row r="1948" x14ac:dyDescent="0.25">
      <c r="A1948" t="n">
        <v>25</v>
      </c>
      <c r="B1948" t="s">
        <v>14</v>
      </c>
      <c r="C1948" t="s">
        <v>51</v>
      </c>
      <c r="D1948" s="2" t="s">
        <f>=HYPERLINK("https://main.knesset.gov.il/APPS/legislation/main/bills/2228881", "הצעת חוק תשלומים לפדויי שבי ולחטופים ששוחררו (תיקון - זכאות לבן משפחה של חטוף ששוחרר), התשפ""ה-2025 ")</f>
        <v>4152</v>
      </c>
      <c r="E1948" t="s">
        <v>4152</v>
      </c>
      <c r="F1948" t="s">
        <v>4153</v>
      </c>
      <c r="G1948" t="s">
        <v>14</v>
      </c>
      <c r="H1948">
             </c>
      <c r="I1948" t="s">
        <v>14</v>
      </c>
      <c r="J1948" t="s">
        <v>202</v>
      </c>
      <c r="K1948" t="s">
        <v>14</v>
      </c>
      <c r="L1948" t="s">
        <v>20</v>
      </c>
      <c r="M1948" t="s">
        <v>4128</v>
      </c>
      <c r="N1948" t="s">
        <v>14</v>
      </c>
    </row>
    <row r="1949" x14ac:dyDescent="0.25">
      <c r="A1949" t="n">
        <v>25</v>
      </c>
      <c r="B1949" t="s">
        <v>14</v>
      </c>
      <c r="C1949" t="s">
        <v>51</v>
      </c>
      <c r="D1949" s="2" t="s">
        <f>=HYPERLINK("https://main.knesset.gov.il/APPS/legislation/main/bills/2228007", "הצעת חוק הביטוח הלאומי (תיקון - דמי אשפוז לעצמאים), התשפ""ה-2025 ")</f>
        <v>4154</v>
      </c>
      <c r="E1949" t="s">
        <v>4154</v>
      </c>
      <c r="F1949" t="s">
        <v>4155</v>
      </c>
      <c r="G1949" t="s">
        <v>14</v>
      </c>
      <c r="H1949">
             </c>
      <c r="I1949" t="s">
        <v>14</v>
      </c>
      <c r="J1949" t="s">
        <v>242</v>
      </c>
      <c r="K1949" t="s">
        <v>14</v>
      </c>
      <c r="L1949" t="s">
        <v>20</v>
      </c>
      <c r="M1949" t="s">
        <v>4128</v>
      </c>
      <c r="N1949" t="s">
        <v>14</v>
      </c>
    </row>
    <row r="1950" x14ac:dyDescent="0.25">
      <c r="A1950" t="n">
        <v>25</v>
      </c>
      <c r="B1950" t="s">
        <v>14</v>
      </c>
      <c r="C1950" t="s">
        <v>51</v>
      </c>
      <c r="D1950" s="2" t="s">
        <f>=HYPERLINK("https://main.knesset.gov.il/APPS/legislation/main/bills/2228447", "הצעת חוק כלי הירייה (תיקון - הודעה בגין חשש לחיי אדם מצד המגיש בקשה להחזיק בכלי ירייה), התשפ""ה-2025")</f>
        <v>3570</v>
      </c>
      <c r="E1950" t="s">
        <v>3570</v>
      </c>
      <c r="F1950" t="s">
        <v>4156</v>
      </c>
      <c r="G1950" t="s">
        <v>14</v>
      </c>
      <c r="H1950">
             </c>
      <c r="I1950" t="s">
        <v>14</v>
      </c>
      <c r="J1950" t="s">
        <v>242</v>
      </c>
      <c r="K1950" t="s">
        <v>14</v>
      </c>
      <c r="L1950" t="s">
        <v>20</v>
      </c>
      <c r="M1950" t="s">
        <v>4128</v>
      </c>
      <c r="N1950" t="s">
        <v>14</v>
      </c>
    </row>
    <row r="1951" x14ac:dyDescent="0.25">
      <c r="A1951" t="n">
        <v>25</v>
      </c>
      <c r="B1951" t="s">
        <v>14</v>
      </c>
      <c r="C1951" t="s">
        <v>51</v>
      </c>
      <c r="D1951" s="2" t="s">
        <f>=HYPERLINK("https://main.knesset.gov.il/APPS/legislation/main/bills/2228556", "הצעת חוק בתי המשפט (תיקון - קביעת מותבים בבית המשפט העליון), התשפ""ה-2025")</f>
        <v>4157</v>
      </c>
      <c r="E1951" t="s">
        <v>4157</v>
      </c>
      <c r="F1951" t="s">
        <v>4158</v>
      </c>
      <c r="G1951" t="s">
        <v>14</v>
      </c>
      <c r="H1951">
             </c>
      <c r="I1951" t="s">
        <v>14</v>
      </c>
      <c r="J1951" t="s">
        <v>242</v>
      </c>
      <c r="K1951" t="s">
        <v>14</v>
      </c>
      <c r="L1951" t="s">
        <v>20</v>
      </c>
      <c r="M1951" t="s">
        <v>4128</v>
      </c>
      <c r="N1951" t="s">
        <v>14</v>
      </c>
    </row>
    <row r="1952" x14ac:dyDescent="0.25">
      <c r="A1952" t="n">
        <v>25</v>
      </c>
      <c r="B1952" t="s">
        <v>14</v>
      </c>
      <c r="C1952" t="s">
        <v>51</v>
      </c>
      <c r="D1952" s="2" t="s">
        <f>=HYPERLINK("https://main.knesset.gov.il/APPS/legislation/main/bills/2227983", "הצעת חוק להקפאת כספים ששילמה הרשות הפלסטינית בזיקה לטרור מהכספים המועברים אליה מממשלת ישראל (תיקון - קיזוז כספים בגין פיצוי על נזקי גניבת רכבים), התשפ""ה-2025 ")</f>
        <v>3888</v>
      </c>
      <c r="E1952" t="s">
        <v>3888</v>
      </c>
      <c r="F1952" t="s">
        <v>4159</v>
      </c>
      <c r="G1952" t="s">
        <v>14</v>
      </c>
      <c r="H1952">
             </c>
      <c r="I1952" t="s">
        <v>14</v>
      </c>
      <c r="J1952" t="s">
        <v>242</v>
      </c>
      <c r="K1952" t="s">
        <v>14</v>
      </c>
      <c r="L1952" t="s">
        <v>20</v>
      </c>
      <c r="M1952" t="s">
        <v>4128</v>
      </c>
      <c r="N1952" t="s">
        <v>14</v>
      </c>
    </row>
    <row r="1953" x14ac:dyDescent="0.25">
      <c r="A1953" t="n">
        <v>25</v>
      </c>
      <c r="B1953" t="s">
        <v>14</v>
      </c>
      <c r="C1953" t="s">
        <v>51</v>
      </c>
      <c r="D1953" s="2" t="s">
        <f>=HYPERLINK("https://main.knesset.gov.il/APPS/legislation/main/bills/2228137", "הצעת חוק השיפוט הצבאי (תיקון - בדיקה פסיכיאטרית לחשוד או נאשם בעבירות היעדר מן השירות), התשפ""ה-2025")</f>
        <v>4160</v>
      </c>
      <c r="E1953" t="s">
        <v>4160</v>
      </c>
      <c r="F1953" t="s">
        <v>4161</v>
      </c>
      <c r="G1953" t="s">
        <v>14</v>
      </c>
      <c r="H1953">
             </c>
      <c r="I1953" t="s">
        <v>14</v>
      </c>
      <c r="J1953" t="s">
        <v>242</v>
      </c>
      <c r="K1953" t="s">
        <v>14</v>
      </c>
      <c r="L1953" t="s">
        <v>20</v>
      </c>
      <c r="M1953" t="s">
        <v>4128</v>
      </c>
      <c r="N1953" t="s">
        <v>14</v>
      </c>
    </row>
    <row r="1954" x14ac:dyDescent="0.25">
      <c r="A1954" t="n">
        <v>25</v>
      </c>
      <c r="B1954" t="s">
        <v>14</v>
      </c>
      <c r="C1954" t="s">
        <v>51</v>
      </c>
      <c r="D1954" s="2" t="s">
        <f>=HYPERLINK("https://main.knesset.gov.il/APPS/legislation/main/bills/2227984", "הצעת חוק כליאת אסירים ביטחוניים, התשפ""ה-2025")</f>
        <v>4016</v>
      </c>
      <c r="E1954" t="s">
        <v>4016</v>
      </c>
      <c r="F1954" t="s">
        <v>4162</v>
      </c>
      <c r="G1954" t="s">
        <v>14</v>
      </c>
      <c r="H1954">
             </c>
      <c r="I1954" t="s">
        <v>14</v>
      </c>
      <c r="J1954" t="s">
        <v>242</v>
      </c>
      <c r="K1954" t="s">
        <v>14</v>
      </c>
      <c r="L1954" t="s">
        <v>20</v>
      </c>
      <c r="M1954" t="s">
        <v>4128</v>
      </c>
      <c r="N1954" t="s">
        <v>14</v>
      </c>
    </row>
    <row r="1955" x14ac:dyDescent="0.25">
      <c r="A1955" t="n">
        <v>25</v>
      </c>
      <c r="B1955" t="s">
        <v>14</v>
      </c>
      <c r="C1955" t="s">
        <v>51</v>
      </c>
      <c r="D1955" s="2" t="s">
        <f>=HYPERLINK("https://main.knesset.gov.il/APPS/legislation/main/bills/2227498", "הצעת חוק האזרחות (תיקון - אי-מתן אזרחות לילדו של אדם שנכנס לישראל שלא כדין), התשפ""ה-2025")</f>
        <v>3853</v>
      </c>
      <c r="E1955" t="s">
        <v>3853</v>
      </c>
      <c r="F1955" t="s">
        <v>4163</v>
      </c>
      <c r="G1955" t="s">
        <v>14</v>
      </c>
      <c r="H1955">
             </c>
      <c r="I1955" t="s">
        <v>14</v>
      </c>
      <c r="J1955" t="s">
        <v>242</v>
      </c>
      <c r="K1955" t="s">
        <v>14</v>
      </c>
      <c r="L1955" t="s">
        <v>20</v>
      </c>
      <c r="M1955" t="s">
        <v>4128</v>
      </c>
      <c r="N1955" t="s">
        <v>14</v>
      </c>
    </row>
    <row r="1956" x14ac:dyDescent="0.25">
      <c r="A1956" t="n">
        <v>25</v>
      </c>
      <c r="B1956" t="s">
        <v>14</v>
      </c>
      <c r="C1956" t="s">
        <v>51</v>
      </c>
      <c r="D1956" s="2" t="s">
        <f>=HYPERLINK("https://main.knesset.gov.il/APPS/legislation/main/bills/2228624", "הצעת חוק לתיקון סדרי הדין (חקירת עדים) (תיקון - מתן עדות שלא בפני הנאשם בעבירת נטילת דמי חסות), התשפ""ה-2025 ")</f>
        <v>4164</v>
      </c>
      <c r="E1956" t="s">
        <v>4164</v>
      </c>
      <c r="F1956" t="s">
        <v>4165</v>
      </c>
      <c r="G1956" t="s">
        <v>14</v>
      </c>
      <c r="H1956">
             </c>
      <c r="I1956" t="s">
        <v>14</v>
      </c>
      <c r="J1956" t="s">
        <v>242</v>
      </c>
      <c r="K1956" t="s">
        <v>14</v>
      </c>
      <c r="L1956" t="s">
        <v>20</v>
      </c>
      <c r="M1956" t="s">
        <v>4128</v>
      </c>
      <c r="N1956" t="s">
        <v>14</v>
      </c>
    </row>
    <row r="1957" x14ac:dyDescent="0.25">
      <c r="A1957" t="n">
        <v>25</v>
      </c>
      <c r="B1957" t="s">
        <v>14</v>
      </c>
      <c r="C1957" t="s">
        <v>51</v>
      </c>
      <c r="D1957" s="2" t="s">
        <f>=HYPERLINK("https://main.knesset.gov.il/APPS/legislation/main/bills/2227825", "הצעת חוק התכנון והבנייה (תיקון - מתן הקלה לבניין קיים), התשפ""ה-2025 ")</f>
        <v>4166</v>
      </c>
      <c r="E1957" t="s">
        <v>4166</v>
      </c>
      <c r="F1957" t="s">
        <v>4167</v>
      </c>
      <c r="G1957" t="s">
        <v>14</v>
      </c>
      <c r="H1957">
             </c>
      <c r="I1957" t="s">
        <v>14</v>
      </c>
      <c r="J1957" t="s">
        <v>242</v>
      </c>
      <c r="K1957" t="s">
        <v>14</v>
      </c>
      <c r="L1957" t="s">
        <v>20</v>
      </c>
      <c r="M1957" t="s">
        <v>4128</v>
      </c>
      <c r="N1957" t="s">
        <v>14</v>
      </c>
    </row>
    <row r="1958" x14ac:dyDescent="0.25">
      <c r="A1958" t="n">
        <v>25</v>
      </c>
      <c r="B1958" t="s">
        <v>14</v>
      </c>
      <c r="C1958" t="s">
        <v>51</v>
      </c>
      <c r="D1958" s="2" t="s">
        <f>=HYPERLINK("https://main.knesset.gov.il/APPS/legislation/main/bills/2228444", "הצעת חוק לתיקון פקודת העיריות (שכר לחבר מועצה), התשפ""ה-2025")</f>
        <v>4168</v>
      </c>
      <c r="E1958" t="s">
        <v>4168</v>
      </c>
      <c r="F1958" t="s">
        <v>4169</v>
      </c>
      <c r="G1958" t="s">
        <v>14</v>
      </c>
      <c r="H1958">
             </c>
      <c r="I1958" t="s">
        <v>14</v>
      </c>
      <c r="J1958" t="s">
        <v>202</v>
      </c>
      <c r="K1958" t="s">
        <v>14</v>
      </c>
      <c r="L1958" t="s">
        <v>20</v>
      </c>
      <c r="M1958" t="s">
        <v>4128</v>
      </c>
      <c r="N1958" t="s">
        <v>14</v>
      </c>
    </row>
    <row r="1959" x14ac:dyDescent="0.25">
      <c r="A1959" t="n">
        <v>25</v>
      </c>
      <c r="B1959" t="s">
        <v>14</v>
      </c>
      <c r="C1959" t="s">
        <v>15</v>
      </c>
      <c r="D1959" s="2" t="s">
        <f>=HYPERLINK("https://main.knesset.gov.il/APPS/legislation/main/bills/2228652", "הצעת חוק השיפוט הצבאי (תיקון מס' 82) (הארכת משך תחולת החוק לגבי עבירות מין), התשפ""ה-2025 ")</f>
        <v>4170</v>
      </c>
      <c r="E1959" t="s">
        <v>4170</v>
      </c>
      <c r="F1959" t="s">
        <v>14</v>
      </c>
      <c r="G1959" t="s">
        <v>4171</v>
      </c>
      <c r="H1959">
             </c>
      <c r="I1959" t="s">
        <v>14</v>
      </c>
      <c r="J1959" t="s">
        <v>38</v>
      </c>
      <c r="K1959" t="s">
        <v>39</v>
      </c>
      <c r="L1959" t="s">
        <v>20</v>
      </c>
      <c r="M1959" t="s">
        <v>4128</v>
      </c>
      <c r="N1959" t="s">
        <v>14</v>
      </c>
    </row>
    <row r="1960" x14ac:dyDescent="0.25">
      <c r="A1960" t="n">
        <v>25</v>
      </c>
      <c r="B1960" t="s">
        <v>14</v>
      </c>
      <c r="C1960" t="s">
        <v>15</v>
      </c>
      <c r="D1960" s="2" t="s">
        <f>=HYPERLINK("https://main.knesset.gov.il/APPS/legislation/main/bills/2227213", "סעיף 25 (הארכת תוקף היתרים שפקעו) מתוך הצעת חוק התוכנית הכלכלית (תיקוני חקיקה ליישום המדיניות הכלכלית לשנת התקציב 2025), התשפ""ה-2024 [פוצל לפי סעיף 84(ב) לתקנון]")</f>
        <v>4172</v>
      </c>
      <c r="E1960" t="s">
        <v>4172</v>
      </c>
      <c r="F1960" t="s">
        <v>14</v>
      </c>
      <c r="G1960" t="s">
        <v>237</v>
      </c>
      <c r="H1960">
             </c>
      <c r="I1960" t="s">
        <v>14</v>
      </c>
      <c r="J1960" t="s">
        <v>38</v>
      </c>
      <c r="K1960" t="s">
        <v>30</v>
      </c>
      <c r="L1960" t="s">
        <v>20</v>
      </c>
      <c r="M1960" t="s">
        <v>4173</v>
      </c>
      <c r="N1960" t="s">
        <v>14</v>
      </c>
    </row>
    <row r="1961" x14ac:dyDescent="0.25">
      <c r="A1961" t="n">
        <v>25</v>
      </c>
      <c r="B1961" t="s">
        <v>14</v>
      </c>
      <c r="C1961" t="s">
        <v>15</v>
      </c>
      <c r="D1961" s="2" t="s">
        <f>=HYPERLINK("https://main.knesset.gov.il/APPS/legislation/main/bills/2227207", "סעיף 21(3) ו-(7) (אישור בשתיקה של גורמים מאשרים להיתר) מתוך הצעת חוק התוכנית הכלכלית (תיקוני חקיקה ליישום המדיניות הכלכלית לשנת התקציב 2025), התשפ""ה-2024 [פוצל לפי סעיף 84(ב) לתקנון] ")</f>
        <v>4174</v>
      </c>
      <c r="E1961" t="s">
        <v>4174</v>
      </c>
      <c r="F1961" t="s">
        <v>14</v>
      </c>
      <c r="G1961" t="s">
        <v>237</v>
      </c>
      <c r="H1961">
             </c>
      <c r="I1961" t="s">
        <v>14</v>
      </c>
      <c r="J1961" t="s">
        <v>38</v>
      </c>
      <c r="K1961" t="s">
        <v>30</v>
      </c>
      <c r="L1961" t="s">
        <v>20</v>
      </c>
      <c r="M1961" t="s">
        <v>4173</v>
      </c>
      <c r="N1961" t="s">
        <v>14</v>
      </c>
    </row>
    <row r="1962" x14ac:dyDescent="0.25">
      <c r="A1962" t="n">
        <v>25</v>
      </c>
      <c r="B1962" t="s">
        <v>14</v>
      </c>
      <c r="C1962" t="s">
        <v>15</v>
      </c>
      <c r="D1962" s="2" t="s">
        <f>=HYPERLINK("https://main.knesset.gov.il/APPS/legislation/main/bills/2225771", "חוק לייעול האכיפה והפיקוח העירוניים ברשויות המקומיות (הוראת שעה) (תיקון מס' 15), התשפ""ה–2025")</f>
        <v>4175</v>
      </c>
      <c r="E1962" t="s">
        <v>4175</v>
      </c>
      <c r="F1962" t="s">
        <v>14</v>
      </c>
      <c r="G1962" t="s">
        <v>2852</v>
      </c>
      <c r="H1962" t="n">
        <v>3373</v>
      </c>
      <c r="I1962" t="s">
        <v>14</v>
      </c>
      <c r="J1962" t="s">
        <v>18</v>
      </c>
      <c r="K1962" t="s">
        <v>19</v>
      </c>
      <c r="L1962" t="s">
        <v>20</v>
      </c>
      <c r="M1962" t="s">
        <v>4176</v>
      </c>
      <c r="N1962" t="s">
        <v>4177</v>
      </c>
    </row>
    <row r="1963" x14ac:dyDescent="0.25">
      <c r="A1963" t="n">
        <v>25</v>
      </c>
      <c r="B1963" t="s">
        <v>14</v>
      </c>
      <c r="C1963" t="s">
        <v>51</v>
      </c>
      <c r="D1963" s="2" t="s">
        <f>=HYPERLINK("https://main.knesset.gov.il/APPS/legislation/main/bills/2201441", "חוק הכניסה לישראל (תיקון מס' 40), התשפ""ה–2025")</f>
        <v>4178</v>
      </c>
      <c r="E1963" t="s">
        <v>4178</v>
      </c>
      <c r="F1963" t="s">
        <v>4179</v>
      </c>
      <c r="G1963" t="s">
        <v>4180</v>
      </c>
      <c r="H1963" t="n">
        <v>3374</v>
      </c>
      <c r="I1963" t="s">
        <v>14</v>
      </c>
      <c r="J1963" t="s">
        <v>18</v>
      </c>
      <c r="K1963" t="s">
        <v>30</v>
      </c>
      <c r="L1963" t="s">
        <v>20</v>
      </c>
      <c r="M1963" t="s">
        <v>4176</v>
      </c>
      <c r="N1963" t="s">
        <v>4181</v>
      </c>
    </row>
    <row r="1964" x14ac:dyDescent="0.25">
      <c r="A1964" t="n">
        <v>25</v>
      </c>
      <c r="B1964" t="s">
        <v>14</v>
      </c>
      <c r="C1964" t="s">
        <v>51</v>
      </c>
      <c r="D1964" s="2" t="s">
        <f>=HYPERLINK("https://main.knesset.gov.il/APPS/legislation/main/bills/2224618", "הצעת חוק לא תעמוד על דם רעך (תיקון - חובה לפעול להחזרת החטופים), התשפ""ה-2024")</f>
        <v>4182</v>
      </c>
      <c r="E1964" t="s">
        <v>4182</v>
      </c>
      <c r="F1964" t="s">
        <v>4183</v>
      </c>
      <c r="G1964" t="s">
        <v>14</v>
      </c>
      <c r="H1964">
             </c>
      <c r="I1964" t="s">
        <v>14</v>
      </c>
      <c r="J1964" t="s">
        <v>193</v>
      </c>
      <c r="K1964" t="s">
        <v>14</v>
      </c>
      <c r="L1964" t="s">
        <v>20</v>
      </c>
      <c r="M1964" t="s">
        <v>4176</v>
      </c>
      <c r="N1964" t="s">
        <v>14</v>
      </c>
    </row>
    <row r="1965" x14ac:dyDescent="0.25">
      <c r="A1965" t="n">
        <v>25</v>
      </c>
      <c r="B1965" t="s">
        <v>14</v>
      </c>
      <c r="C1965" t="s">
        <v>51</v>
      </c>
      <c r="D1965" s="2" t="s">
        <f>=HYPERLINK("https://main.knesset.gov.il/APPS/legislation/main/bills/2220430", "הצעת חוק המאבק בטרור (תיקון - החמרה בענישה בשל עבירה שהיא מעשה טרור), התשפ""ד-2024")</f>
        <v>4184</v>
      </c>
      <c r="E1965" t="s">
        <v>4184</v>
      </c>
      <c r="F1965" t="s">
        <v>4185</v>
      </c>
      <c r="G1965" t="s">
        <v>14</v>
      </c>
      <c r="H1965">
             </c>
      <c r="I1965" t="s">
        <v>14</v>
      </c>
      <c r="J1965" t="s">
        <v>152</v>
      </c>
      <c r="K1965" t="s">
        <v>27</v>
      </c>
      <c r="L1965" t="s">
        <v>20</v>
      </c>
      <c r="M1965" t="s">
        <v>4176</v>
      </c>
      <c r="N1965" t="s">
        <v>14</v>
      </c>
    </row>
    <row r="1966" x14ac:dyDescent="0.25">
      <c r="A1966" t="n">
        <v>25</v>
      </c>
      <c r="B1966" t="s">
        <v>14</v>
      </c>
      <c r="C1966" t="s">
        <v>51</v>
      </c>
      <c r="D1966" s="2" t="s">
        <f>=HYPERLINK("https://main.knesset.gov.il/APPS/legislation/main/bills/2219393", "הצעת חוק להגנה על אנשי ציבור ישראלים מפני פעילות של בית הדין הפלילי הבין-לאומי בהאג כנגד מדינת ישראל, התשפ""ד-2024")</f>
        <v>4186</v>
      </c>
      <c r="E1966" t="s">
        <v>4186</v>
      </c>
      <c r="F1966" t="s">
        <v>4187</v>
      </c>
      <c r="G1966" t="s">
        <v>14</v>
      </c>
      <c r="H1966">
             </c>
      <c r="I1966" t="s">
        <v>14</v>
      </c>
      <c r="J1966" t="s">
        <v>152</v>
      </c>
      <c r="K1966" t="s">
        <v>39</v>
      </c>
      <c r="L1966" t="s">
        <v>20</v>
      </c>
      <c r="M1966" t="s">
        <v>4176</v>
      </c>
      <c r="N1966" t="s">
        <v>14</v>
      </c>
    </row>
    <row r="1967" x14ac:dyDescent="0.25">
      <c r="A1967" t="n">
        <v>25</v>
      </c>
      <c r="B1967" t="s">
        <v>14</v>
      </c>
      <c r="C1967" t="s">
        <v>51</v>
      </c>
      <c r="D1967" s="2" t="s">
        <f>=HYPERLINK("https://main.knesset.gov.il/APPS/legislation/main/bills/2202593", "הצעת חוק ביטוח בריאות ממלכתי (תיקון - החזר דמי נסיעה באמבולנס למי שהגיע לגיל פרישה), התשפ""ג-2023")</f>
        <v>4188</v>
      </c>
      <c r="E1967" t="s">
        <v>4188</v>
      </c>
      <c r="F1967" t="s">
        <v>4189</v>
      </c>
      <c r="G1967" t="s">
        <v>14</v>
      </c>
      <c r="H1967">
             </c>
      <c r="I1967" t="s">
        <v>14</v>
      </c>
      <c r="J1967" t="s">
        <v>193</v>
      </c>
      <c r="K1967" t="s">
        <v>14</v>
      </c>
      <c r="L1967" t="s">
        <v>20</v>
      </c>
      <c r="M1967" t="s">
        <v>4176</v>
      </c>
      <c r="N1967" t="s">
        <v>14</v>
      </c>
    </row>
    <row r="1968" x14ac:dyDescent="0.25">
      <c r="A1968" t="n">
        <v>25</v>
      </c>
      <c r="B1968" t="s">
        <v>14</v>
      </c>
      <c r="C1968" t="s">
        <v>51</v>
      </c>
      <c r="D1968" s="2" t="s">
        <f>=HYPERLINK("https://main.knesset.gov.il/APPS/legislation/main/bills/2198903", "הצעת חוק לתיקון פקודת הנמלים (פרק הזמן המרבי למתן שירות מקדים לפריקת מטען מאוניות), התשפ""ג-2023")</f>
        <v>4190</v>
      </c>
      <c r="E1968" t="s">
        <v>4190</v>
      </c>
      <c r="F1968" t="s">
        <v>4191</v>
      </c>
      <c r="G1968" t="s">
        <v>14</v>
      </c>
      <c r="H1968">
             </c>
      <c r="I1968" t="s">
        <v>14</v>
      </c>
      <c r="J1968" t="s">
        <v>432</v>
      </c>
      <c r="K1968" t="s">
        <v>14</v>
      </c>
      <c r="L1968" t="s">
        <v>20</v>
      </c>
      <c r="M1968" t="s">
        <v>4176</v>
      </c>
      <c r="N1968" t="s">
        <v>14</v>
      </c>
    </row>
    <row r="1969" x14ac:dyDescent="0.25">
      <c r="A1969" t="n">
        <v>25</v>
      </c>
      <c r="B1969" t="s">
        <v>14</v>
      </c>
      <c r="C1969" t="s">
        <v>15</v>
      </c>
      <c r="D1969" s="2" t="s">
        <f>=HYPERLINK("https://main.knesset.gov.il/APPS/legislation/main/bills/2228287", "סעיף 8(4), (6) ו-12 (חובת דיווח של זירות מקוונות לביצוע עסקאות להשכרת מקרקעין) מתוך הצעת חוק ההתייעלות הכלכלית (תיקוני חקיקה להשגת יעדי התקציב לשנת התקציב 2025), התשפ""ה-2024 ")</f>
        <v>4192</v>
      </c>
      <c r="E1969" t="s">
        <v>4192</v>
      </c>
      <c r="F1969" t="s">
        <v>14</v>
      </c>
      <c r="G1969" t="s">
        <v>237</v>
      </c>
      <c r="H1969">
             </c>
      <c r="I1969" t="s">
        <v>14</v>
      </c>
      <c r="J1969" t="s">
        <v>38</v>
      </c>
      <c r="K1969" t="s">
        <v>24</v>
      </c>
      <c r="L1969" t="s">
        <v>20</v>
      </c>
      <c r="M1969" t="s">
        <v>4193</v>
      </c>
      <c r="N1969" t="s">
        <v>14</v>
      </c>
    </row>
    <row r="1970" x14ac:dyDescent="0.25">
      <c r="A1970" t="n">
        <v>25</v>
      </c>
      <c r="B1970" t="s">
        <v>14</v>
      </c>
      <c r="C1970" t="s">
        <v>15</v>
      </c>
      <c r="D1970" s="2" t="s">
        <f>=HYPERLINK("https://main.knesset.gov.il/APPS/legislation/main/bills/2205489", "חוק להסדרה של הצבת כוורות, האבקה וייצור דבש, התשפ""ה–2025")</f>
        <v>4194</v>
      </c>
      <c r="E1970" t="s">
        <v>4194</v>
      </c>
      <c r="F1970" t="s">
        <v>14</v>
      </c>
      <c r="G1970" t="s">
        <v>4195</v>
      </c>
      <c r="H1970" t="n">
        <v>3375</v>
      </c>
      <c r="I1970" t="s">
        <v>14</v>
      </c>
      <c r="J1970" t="s">
        <v>18</v>
      </c>
      <c r="K1970" t="s">
        <v>84</v>
      </c>
      <c r="L1970" t="s">
        <v>20</v>
      </c>
      <c r="M1970" t="s">
        <v>4196</v>
      </c>
      <c r="N1970" t="s">
        <v>4197</v>
      </c>
    </row>
    <row r="1971" x14ac:dyDescent="0.25">
      <c r="A1971" t="n">
        <v>25</v>
      </c>
      <c r="B1971" t="s">
        <v>14</v>
      </c>
      <c r="C1971" t="s">
        <v>51</v>
      </c>
      <c r="D1971" s="2" t="s">
        <f>=HYPERLINK("https://main.knesset.gov.il/APPS/legislation/main/bills/2225410", "הצעת חוק הפיקוח על שירותים פיננסיים (ביטוח) (תיקון - שקיפות, כללי אתיקה וחובת התקשרות עם סוכני ביטוח), התשפ""ה-2025")</f>
        <v>4198</v>
      </c>
      <c r="E1971" t="s">
        <v>4198</v>
      </c>
      <c r="F1971" t="s">
        <v>4199</v>
      </c>
      <c r="G1971" t="s">
        <v>14</v>
      </c>
      <c r="H1971">
             </c>
      <c r="I1971" t="s">
        <v>14</v>
      </c>
      <c r="J1971" t="s">
        <v>242</v>
      </c>
      <c r="K1971" t="s">
        <v>14</v>
      </c>
      <c r="L1971" t="s">
        <v>20</v>
      </c>
      <c r="M1971" t="s">
        <v>4196</v>
      </c>
      <c r="N1971" t="s">
        <v>14</v>
      </c>
    </row>
    <row r="1972" x14ac:dyDescent="0.25">
      <c r="A1972" t="n">
        <v>25</v>
      </c>
      <c r="B1972" t="s">
        <v>14</v>
      </c>
      <c r="C1972" t="s">
        <v>51</v>
      </c>
      <c r="D1972" s="2" t="s">
        <f>=HYPERLINK("https://main.knesset.gov.il/APPS/legislation/main/bills/2228207", "הצעת חוק קבלת מידע לשם זיהוי חללים ונעדרים בשל אירוע רב-נפגעים, התשפ""ה-2025")</f>
        <v>1859</v>
      </c>
      <c r="E1972" t="s">
        <v>1859</v>
      </c>
      <c r="F1972" t="s">
        <v>4200</v>
      </c>
      <c r="G1972" t="s">
        <v>14</v>
      </c>
      <c r="H1972">
             </c>
      <c r="I1972" t="s">
        <v>14</v>
      </c>
      <c r="J1972" t="s">
        <v>242</v>
      </c>
      <c r="K1972" t="s">
        <v>14</v>
      </c>
      <c r="L1972" t="s">
        <v>20</v>
      </c>
      <c r="M1972" t="s">
        <v>4196</v>
      </c>
      <c r="N1972" t="s">
        <v>14</v>
      </c>
    </row>
    <row r="1973" x14ac:dyDescent="0.25">
      <c r="A1973" t="n">
        <v>25</v>
      </c>
      <c r="B1973" t="s">
        <v>14</v>
      </c>
      <c r="C1973" t="s">
        <v>51</v>
      </c>
      <c r="D1973" s="2" t="s">
        <f>=HYPERLINK("https://main.knesset.gov.il/APPS/legislation/main/bills/2227747", "הצעת חוק לעידוד השקעות הון (תיקון - מרכזים לוגיסטיים), התשפ""ה-2025")</f>
        <v>4201</v>
      </c>
      <c r="E1973" t="s">
        <v>4201</v>
      </c>
      <c r="F1973" t="s">
        <v>4202</v>
      </c>
      <c r="G1973" t="s">
        <v>14</v>
      </c>
      <c r="H1973">
             </c>
      <c r="I1973" t="s">
        <v>14</v>
      </c>
      <c r="J1973" t="s">
        <v>242</v>
      </c>
      <c r="K1973" t="s">
        <v>14</v>
      </c>
      <c r="L1973" t="s">
        <v>20</v>
      </c>
      <c r="M1973" t="s">
        <v>4196</v>
      </c>
      <c r="N1973" t="s">
        <v>14</v>
      </c>
    </row>
    <row r="1974" x14ac:dyDescent="0.25">
      <c r="A1974" t="n">
        <v>25</v>
      </c>
      <c r="B1974" t="s">
        <v>14</v>
      </c>
      <c r="C1974" t="s">
        <v>51</v>
      </c>
      <c r="D1974" s="2" t="s">
        <f>=HYPERLINK("https://main.knesset.gov.il/APPS/legislation/main/bills/2227745", "הצעת חוק הגנה על ריבונות ישראלית והגבלת שיתוף פעולה עם בית הדין הפלילי הבין-לאומי, התשפ""ה-2025")</f>
        <v>4203</v>
      </c>
      <c r="E1974" t="s">
        <v>4203</v>
      </c>
      <c r="F1974" t="s">
        <v>4204</v>
      </c>
      <c r="G1974" t="s">
        <v>14</v>
      </c>
      <c r="H1974">
             </c>
      <c r="I1974" t="s">
        <v>14</v>
      </c>
      <c r="J1974" t="s">
        <v>242</v>
      </c>
      <c r="K1974" t="s">
        <v>14</v>
      </c>
      <c r="L1974" t="s">
        <v>20</v>
      </c>
      <c r="M1974" t="s">
        <v>4196</v>
      </c>
      <c r="N1974" t="s">
        <v>14</v>
      </c>
    </row>
    <row r="1975" x14ac:dyDescent="0.25">
      <c r="A1975" t="n">
        <v>25</v>
      </c>
      <c r="B1975" t="s">
        <v>14</v>
      </c>
      <c r="C1975" t="s">
        <v>51</v>
      </c>
      <c r="D1975" s="2" t="s">
        <f>=HYPERLINK("https://main.knesset.gov.il/APPS/legislation/main/bills/2228016", "הצעת חוק הביטוח הלאומי (תיקון - עבודות בתחומי החינוך, התרבות והספורט כעבודות מועדפות), התשפ""ה-2025")</f>
        <v>4205</v>
      </c>
      <c r="E1975" t="s">
        <v>4205</v>
      </c>
      <c r="F1975" t="s">
        <v>4206</v>
      </c>
      <c r="G1975" t="s">
        <v>14</v>
      </c>
      <c r="H1975">
             </c>
      <c r="I1975" t="s">
        <v>14</v>
      </c>
      <c r="J1975" t="s">
        <v>242</v>
      </c>
      <c r="K1975" t="s">
        <v>14</v>
      </c>
      <c r="L1975" t="s">
        <v>20</v>
      </c>
      <c r="M1975" t="s">
        <v>4196</v>
      </c>
      <c r="N1975" t="s">
        <v>14</v>
      </c>
    </row>
    <row r="1976" x14ac:dyDescent="0.25">
      <c r="A1976" t="n">
        <v>25</v>
      </c>
      <c r="B1976" t="s">
        <v>14</v>
      </c>
      <c r="C1976" t="s">
        <v>51</v>
      </c>
      <c r="D1976" s="2" t="s">
        <f>=HYPERLINK("https://main.knesset.gov.il/APPS/legislation/main/bills/2227308", "הצעת חוק מערך רפואה מונעת בגוף ביטחוני, התשפ""ה-2025")</f>
        <v>4207</v>
      </c>
      <c r="E1976" t="s">
        <v>4207</v>
      </c>
      <c r="F1976" t="s">
        <v>4208</v>
      </c>
      <c r="G1976" t="s">
        <v>14</v>
      </c>
      <c r="H1976">
             </c>
      <c r="I1976" t="s">
        <v>14</v>
      </c>
      <c r="J1976" t="s">
        <v>242</v>
      </c>
      <c r="K1976" t="s">
        <v>14</v>
      </c>
      <c r="L1976" t="s">
        <v>20</v>
      </c>
      <c r="M1976" t="s">
        <v>4196</v>
      </c>
      <c r="N1976" t="s">
        <v>14</v>
      </c>
    </row>
    <row r="1977" x14ac:dyDescent="0.25">
      <c r="A1977" t="n">
        <v>25</v>
      </c>
      <c r="B1977" t="s">
        <v>14</v>
      </c>
      <c r="C1977" t="s">
        <v>51</v>
      </c>
      <c r="D1977" s="2" t="s">
        <f>=HYPERLINK("https://main.knesset.gov.il/APPS/legislation/main/bills/2228243", "הצעת חוק תגמולים לבני משפחה של חטופים ונעדרים בפעולת איבה (תיקון - זכאות לאחר חזרת חטוף או נעדר), התשפ""ה-2025")</f>
        <v>4209</v>
      </c>
      <c r="E1977" t="s">
        <v>4209</v>
      </c>
      <c r="F1977" t="s">
        <v>4210</v>
      </c>
      <c r="G1977" t="s">
        <v>14</v>
      </c>
      <c r="H1977">
             </c>
      <c r="I1977" t="s">
        <v>14</v>
      </c>
      <c r="J1977" t="s">
        <v>202</v>
      </c>
      <c r="K1977" t="s">
        <v>14</v>
      </c>
      <c r="L1977" t="s">
        <v>20</v>
      </c>
      <c r="M1977" t="s">
        <v>4196</v>
      </c>
      <c r="N1977" t="s">
        <v>14</v>
      </c>
    </row>
    <row r="1978" x14ac:dyDescent="0.25">
      <c r="A1978" t="n">
        <v>25</v>
      </c>
      <c r="B1978" t="s">
        <v>14</v>
      </c>
      <c r="C1978" t="s">
        <v>51</v>
      </c>
      <c r="D1978" s="2" t="s">
        <f>=HYPERLINK("https://main.knesset.gov.il/APPS/legislation/main/bills/2228309", "הצעת חוק יום הרבי מלובביץ' (ציון פועלו), התשפ""ה-2025")</f>
        <v>4211</v>
      </c>
      <c r="E1978" t="s">
        <v>4211</v>
      </c>
      <c r="F1978" t="s">
        <v>4212</v>
      </c>
      <c r="G1978" t="s">
        <v>14</v>
      </c>
      <c r="H1978">
             </c>
      <c r="I1978" t="s">
        <v>14</v>
      </c>
      <c r="J1978" t="s">
        <v>242</v>
      </c>
      <c r="K1978" t="s">
        <v>14</v>
      </c>
      <c r="L1978" t="s">
        <v>20</v>
      </c>
      <c r="M1978" t="s">
        <v>4196</v>
      </c>
      <c r="N1978" t="s">
        <v>14</v>
      </c>
    </row>
    <row r="1979" x14ac:dyDescent="0.25">
      <c r="A1979" t="n">
        <v>25</v>
      </c>
      <c r="B1979" t="s">
        <v>14</v>
      </c>
      <c r="C1979" t="s">
        <v>51</v>
      </c>
      <c r="D1979" s="2" t="s">
        <f>=HYPERLINK("https://main.knesset.gov.il/APPS/legislation/main/bills/2226170", "הצעת חוק שירות הציבור (תקופת חופשה ללא תשלום), התשפ""ה-2025")</f>
        <v>4213</v>
      </c>
      <c r="E1979" t="s">
        <v>4213</v>
      </c>
      <c r="F1979" t="s">
        <v>4214</v>
      </c>
      <c r="G1979" t="s">
        <v>14</v>
      </c>
      <c r="H1979">
             </c>
      <c r="I1979" t="s">
        <v>14</v>
      </c>
      <c r="J1979" t="s">
        <v>242</v>
      </c>
      <c r="K1979" t="s">
        <v>14</v>
      </c>
      <c r="L1979" t="s">
        <v>20</v>
      </c>
      <c r="M1979" t="s">
        <v>4196</v>
      </c>
      <c r="N1979" t="s">
        <v>14</v>
      </c>
    </row>
    <row r="1980" x14ac:dyDescent="0.25">
      <c r="A1980" t="n">
        <v>25</v>
      </c>
      <c r="B1980" t="s">
        <v>14</v>
      </c>
      <c r="C1980" t="s">
        <v>51</v>
      </c>
      <c r="D1980" s="2" t="s">
        <f>=HYPERLINK("https://main.knesset.gov.il/APPS/legislation/main/bills/2227880", "הצעת חוק לביטול ההפליה ברכישת מקרקעין ביהודה והשומרון, התשפ""ה- 2025")</f>
        <v>4215</v>
      </c>
      <c r="E1980" t="s">
        <v>4215</v>
      </c>
      <c r="F1980" t="s">
        <v>4216</v>
      </c>
      <c r="G1980" t="s">
        <v>14</v>
      </c>
      <c r="H1980">
             </c>
      <c r="I1980" t="s">
        <v>14</v>
      </c>
      <c r="J1980" t="s">
        <v>242</v>
      </c>
      <c r="K1980" t="s">
        <v>14</v>
      </c>
      <c r="L1980" t="s">
        <v>20</v>
      </c>
      <c r="M1980" t="s">
        <v>4196</v>
      </c>
      <c r="N1980" t="s">
        <v>14</v>
      </c>
    </row>
    <row r="1981" x14ac:dyDescent="0.25">
      <c r="A1981" t="n">
        <v>25</v>
      </c>
      <c r="B1981" t="s">
        <v>14</v>
      </c>
      <c r="C1981" t="s">
        <v>51</v>
      </c>
      <c r="D1981" s="2" t="s">
        <f>=HYPERLINK("https://main.knesset.gov.il/APPS/legislation/main/bills/2227733", "הצעת חוק מאבק בארגוני פשיעה (תיקון - החמרת הענישה כנגד ארגוני סחיטה ושחיתות), התשפ""ה-2025")</f>
        <v>4217</v>
      </c>
      <c r="E1981" t="s">
        <v>4217</v>
      </c>
      <c r="F1981" t="s">
        <v>4218</v>
      </c>
      <c r="G1981" t="s">
        <v>14</v>
      </c>
      <c r="H1981">
             </c>
      <c r="I1981" t="s">
        <v>14</v>
      </c>
      <c r="J1981" t="s">
        <v>242</v>
      </c>
      <c r="K1981" t="s">
        <v>14</v>
      </c>
      <c r="L1981" t="s">
        <v>20</v>
      </c>
      <c r="M1981" t="s">
        <v>4196</v>
      </c>
      <c r="N1981" t="s">
        <v>14</v>
      </c>
    </row>
    <row r="1982" x14ac:dyDescent="0.25">
      <c r="A1982" t="n">
        <v>25</v>
      </c>
      <c r="B1982" t="s">
        <v>14</v>
      </c>
      <c r="C1982" t="s">
        <v>51</v>
      </c>
      <c r="D1982" s="2" t="s">
        <f>=HYPERLINK("https://main.knesset.gov.il/APPS/legislation/main/bills/2209928", "הצעת חוק הרשויות המקומיות (גמול השתתפות בישיבות והחזר הוצאות לחברי מועצה), התשפ""ה-2025")</f>
        <v>4219</v>
      </c>
      <c r="E1982" t="s">
        <v>4219</v>
      </c>
      <c r="F1982" t="s">
        <v>4220</v>
      </c>
      <c r="G1982" t="s">
        <v>14</v>
      </c>
      <c r="H1982">
             </c>
      <c r="I1982" t="s">
        <v>14</v>
      </c>
      <c r="J1982" t="s">
        <v>242</v>
      </c>
      <c r="K1982" t="s">
        <v>14</v>
      </c>
      <c r="L1982" t="s">
        <v>20</v>
      </c>
      <c r="M1982" t="s">
        <v>4196</v>
      </c>
      <c r="N1982" t="s">
        <v>14</v>
      </c>
    </row>
    <row r="1983" x14ac:dyDescent="0.25">
      <c r="A1983" t="n">
        <v>25</v>
      </c>
      <c r="B1983" t="s">
        <v>14</v>
      </c>
      <c r="C1983" t="s">
        <v>51</v>
      </c>
      <c r="D1983" s="2" t="s">
        <f>=HYPERLINK("https://main.knesset.gov.il/APPS/legislation/main/bills/2226396", "הצעת חוק התכנון והבנייה (תיקון - חדרי הנקה בבניינים ציבוריים), התשפ""ה-2025")</f>
        <v>4221</v>
      </c>
      <c r="E1983" t="s">
        <v>4221</v>
      </c>
      <c r="F1983" t="s">
        <v>4222</v>
      </c>
      <c r="G1983" t="s">
        <v>14</v>
      </c>
      <c r="H1983">
             </c>
      <c r="I1983" t="s">
        <v>14</v>
      </c>
      <c r="J1983" t="s">
        <v>242</v>
      </c>
      <c r="K1983" t="s">
        <v>14</v>
      </c>
      <c r="L1983" t="s">
        <v>20</v>
      </c>
      <c r="M1983" t="s">
        <v>4196</v>
      </c>
      <c r="N1983" t="s">
        <v>14</v>
      </c>
    </row>
    <row r="1984" x14ac:dyDescent="0.25">
      <c r="A1984" t="n">
        <v>25</v>
      </c>
      <c r="B1984" t="s">
        <v>14</v>
      </c>
      <c r="C1984" t="s">
        <v>51</v>
      </c>
      <c r="D1984" s="2" t="s">
        <f>=HYPERLINK("https://main.knesset.gov.il/APPS/legislation/main/bills/2226596", "הצעת חוק העונשין (תיקון - בעילה אסורה בהסכמה תוך ניצול מעמד ציבורי מיוחד), התשפ""ה-2025")</f>
        <v>4223</v>
      </c>
      <c r="E1984" t="s">
        <v>4223</v>
      </c>
      <c r="F1984" t="s">
        <v>4224</v>
      </c>
      <c r="G1984" t="s">
        <v>14</v>
      </c>
      <c r="H1984">
             </c>
      <c r="I1984" t="s">
        <v>14</v>
      </c>
      <c r="J1984" t="s">
        <v>202</v>
      </c>
      <c r="K1984" t="s">
        <v>14</v>
      </c>
      <c r="L1984" t="s">
        <v>20</v>
      </c>
      <c r="M1984" t="s">
        <v>4196</v>
      </c>
      <c r="N1984" t="s">
        <v>14</v>
      </c>
    </row>
    <row r="1985" x14ac:dyDescent="0.25">
      <c r="A1985" t="n">
        <v>25</v>
      </c>
      <c r="B1985" t="s">
        <v>14</v>
      </c>
      <c r="C1985" t="s">
        <v>51</v>
      </c>
      <c r="D1985" s="2" t="s">
        <f>=HYPERLINK("https://main.knesset.gov.il/APPS/legislation/main/bills/2227150", "הצעת חוק דיווח על הליך פלילי בעבירת טרור נגד תלמיד (תיקוני חקיקה), התשפ""ה-2025")</f>
        <v>4225</v>
      </c>
      <c r="E1985" t="s">
        <v>4225</v>
      </c>
      <c r="F1985" t="s">
        <v>4226</v>
      </c>
      <c r="G1985" t="s">
        <v>14</v>
      </c>
      <c r="H1985">
             </c>
      <c r="I1985" t="s">
        <v>14</v>
      </c>
      <c r="J1985" t="s">
        <v>242</v>
      </c>
      <c r="K1985" t="s">
        <v>14</v>
      </c>
      <c r="L1985" t="s">
        <v>20</v>
      </c>
      <c r="M1985" t="s">
        <v>4196</v>
      </c>
      <c r="N1985" t="s">
        <v>14</v>
      </c>
    </row>
    <row r="1986" x14ac:dyDescent="0.25">
      <c r="A1986" t="n">
        <v>25</v>
      </c>
      <c r="B1986" t="s">
        <v>14</v>
      </c>
      <c r="C1986" t="s">
        <v>51</v>
      </c>
      <c r="D1986" s="2" t="s">
        <f>=HYPERLINK("https://main.knesset.gov.il/APPS/legislation/main/bills/2225686", "הצעת חוק איסור הפליה במוצרים, בשירותים ובכניסה למקומות בידור ולמקומות ציבוריים (תיקון - איסור הפליה בשל נשיאת נשק), התשפ""ה-2025")</f>
        <v>4227</v>
      </c>
      <c r="E1986" t="s">
        <v>4227</v>
      </c>
      <c r="F1986" t="s">
        <v>4228</v>
      </c>
      <c r="G1986" t="s">
        <v>14</v>
      </c>
      <c r="H1986">
             </c>
      <c r="I1986" t="s">
        <v>14</v>
      </c>
      <c r="J1986" t="s">
        <v>242</v>
      </c>
      <c r="K1986" t="s">
        <v>14</v>
      </c>
      <c r="L1986" t="s">
        <v>20</v>
      </c>
      <c r="M1986" t="s">
        <v>4196</v>
      </c>
      <c r="N1986" t="s">
        <v>14</v>
      </c>
    </row>
    <row r="1987" x14ac:dyDescent="0.25">
      <c r="A1987" t="n">
        <v>25</v>
      </c>
      <c r="B1987" t="s">
        <v>14</v>
      </c>
      <c r="C1987" t="s">
        <v>51</v>
      </c>
      <c r="D1987" s="2" t="s">
        <f>=HYPERLINK("https://main.knesset.gov.il/APPS/legislation/main/bills/2227445", "הצעת חוק התגמולים לנפגעי פעולות איבה (תיקון - הארכת מועד לתביעת גמלה והתקופה שבעדה תשולם), התשפ""ה-2025")</f>
        <v>4229</v>
      </c>
      <c r="E1987" t="s">
        <v>4229</v>
      </c>
      <c r="F1987" t="s">
        <v>4230</v>
      </c>
      <c r="G1987" t="s">
        <v>14</v>
      </c>
      <c r="H1987">
             </c>
      <c r="I1987" t="s">
        <v>14</v>
      </c>
      <c r="J1987" t="s">
        <v>242</v>
      </c>
      <c r="K1987" t="s">
        <v>14</v>
      </c>
      <c r="L1987" t="s">
        <v>20</v>
      </c>
      <c r="M1987" t="s">
        <v>4196</v>
      </c>
      <c r="N1987" t="s">
        <v>14</v>
      </c>
    </row>
    <row r="1988" x14ac:dyDescent="0.25">
      <c r="A1988" t="n">
        <v>25</v>
      </c>
      <c r="B1988" t="s">
        <v>14</v>
      </c>
      <c r="C1988" t="s">
        <v>51</v>
      </c>
      <c r="D1988" s="2" t="s">
        <f>=HYPERLINK("https://main.knesset.gov.il/APPS/legislation/main/bills/2223039", "הצעת חוק לביטול הפליה ברכישת מקרקעין ביהודה והשומרון, התשפ""ה-2024")</f>
        <v>4231</v>
      </c>
      <c r="E1988" t="s">
        <v>4231</v>
      </c>
      <c r="F1988" t="s">
        <v>4232</v>
      </c>
      <c r="G1988" t="s">
        <v>14</v>
      </c>
      <c r="H1988">
             </c>
      <c r="I1988" t="s">
        <v>14</v>
      </c>
      <c r="J1988" t="s">
        <v>183</v>
      </c>
      <c r="K1988" t="s">
        <v>39</v>
      </c>
      <c r="L1988" t="s">
        <v>20</v>
      </c>
      <c r="M1988" t="s">
        <v>4233</v>
      </c>
      <c r="N1988" t="s">
        <v>14</v>
      </c>
    </row>
    <row r="1989" x14ac:dyDescent="0.25">
      <c r="A1989" t="n">
        <v>25</v>
      </c>
      <c r="B1989" t="s">
        <v>14</v>
      </c>
      <c r="C1989" t="s">
        <v>51</v>
      </c>
      <c r="D1989" s="2" t="s">
        <f>=HYPERLINK("https://main.knesset.gov.il/APPS/legislation/main/bills/2222432", "הצעת חוק חסינות חברי הכנסת, זכויותיהם וחובותיהם (תיקון - כינוס ועדת האתיקה וסמכויותיה בקשר למסירת מידע לכנסת על ידי שרים), התשפ""ה-2024")</f>
        <v>4234</v>
      </c>
      <c r="E1989" t="s">
        <v>4234</v>
      </c>
      <c r="F1989" t="s">
        <v>4235</v>
      </c>
      <c r="G1989" t="s">
        <v>14</v>
      </c>
      <c r="H1989">
             </c>
      <c r="I1989" t="s">
        <v>14</v>
      </c>
      <c r="J1989" t="s">
        <v>193</v>
      </c>
      <c r="K1989" t="s">
        <v>14</v>
      </c>
      <c r="L1989" t="s">
        <v>20</v>
      </c>
      <c r="M1989" t="s">
        <v>4236</v>
      </c>
      <c r="N1989" t="s">
        <v>14</v>
      </c>
    </row>
    <row r="1990" x14ac:dyDescent="0.25">
      <c r="A1990" t="n">
        <v>25</v>
      </c>
      <c r="B1990" t="s">
        <v>14</v>
      </c>
      <c r="C1990" t="s">
        <v>51</v>
      </c>
      <c r="D1990" s="2" t="s">
        <f>=HYPERLINK("https://main.knesset.gov.il/APPS/legislation/main/bills/2224644", "הצעת חוק אזור סחר חופשי באילת (פטורים והנחות ממסים) (תיקון - אזור קו עימות) (הוראת שעה - חרבות ברזל), התשפ""ה-2024")</f>
        <v>4237</v>
      </c>
      <c r="E1990" t="s">
        <v>4237</v>
      </c>
      <c r="F1990" t="s">
        <v>4238</v>
      </c>
      <c r="G1990" t="s">
        <v>14</v>
      </c>
      <c r="H1990">
             </c>
      <c r="I1990" t="s">
        <v>14</v>
      </c>
      <c r="J1990" t="s">
        <v>193</v>
      </c>
      <c r="K1990" t="s">
        <v>14</v>
      </c>
      <c r="L1990" t="s">
        <v>20</v>
      </c>
      <c r="M1990" t="s">
        <v>4236</v>
      </c>
      <c r="N1990" t="s">
        <v>14</v>
      </c>
    </row>
    <row r="1991" x14ac:dyDescent="0.25">
      <c r="A1991" t="n">
        <v>25</v>
      </c>
      <c r="B1991" t="s">
        <v>14</v>
      </c>
      <c r="C1991" t="s">
        <v>51</v>
      </c>
      <c r="D1991" s="2" t="s">
        <f>=HYPERLINK("https://main.knesset.gov.il/APPS/legislation/main/bills/2215560", "הצעת חוק בתי דין רבניים (הקדשות רבניים), התשפ""ד-2024")</f>
        <v>4239</v>
      </c>
      <c r="E1991" t="s">
        <v>4239</v>
      </c>
      <c r="F1991" t="s">
        <v>4240</v>
      </c>
      <c r="G1991" t="s">
        <v>14</v>
      </c>
      <c r="H1991">
             </c>
      <c r="I1991" t="s">
        <v>14</v>
      </c>
      <c r="J1991" t="s">
        <v>152</v>
      </c>
      <c r="K1991" t="s">
        <v>27</v>
      </c>
      <c r="L1991" t="s">
        <v>20</v>
      </c>
      <c r="M1991" t="s">
        <v>4236</v>
      </c>
      <c r="N1991" t="s">
        <v>14</v>
      </c>
    </row>
    <row r="1992" x14ac:dyDescent="0.25">
      <c r="A1992" t="n">
        <v>25</v>
      </c>
      <c r="B1992" t="s">
        <v>14</v>
      </c>
      <c r="C1992" t="s">
        <v>51</v>
      </c>
      <c r="D1992" s="2" t="s">
        <f>=HYPERLINK("https://main.knesset.gov.il/APPS/legislation/main/bills/2199426", "הצעת חוק התכנון והבנייה (תיקון - הקמת ועדה מיוחדת לקידום והסדרת התכנון ביישובים הדרוזים) (הוראת שעה), התשפ""ג-2023")</f>
        <v>4241</v>
      </c>
      <c r="E1992" t="s">
        <v>4241</v>
      </c>
      <c r="F1992" t="s">
        <v>4242</v>
      </c>
      <c r="G1992" t="s">
        <v>14</v>
      </c>
      <c r="H1992">
             </c>
      <c r="I1992" t="s">
        <v>14</v>
      </c>
      <c r="J1992" t="s">
        <v>193</v>
      </c>
      <c r="K1992" t="s">
        <v>14</v>
      </c>
      <c r="L1992" t="s">
        <v>20</v>
      </c>
      <c r="M1992" t="s">
        <v>4236</v>
      </c>
      <c r="N1992" t="s">
        <v>14</v>
      </c>
    </row>
    <row r="1993" x14ac:dyDescent="0.25">
      <c r="A1993" t="n">
        <v>25</v>
      </c>
      <c r="B1993" t="s">
        <v>14</v>
      </c>
      <c r="C1993" t="s">
        <v>20</v>
      </c>
      <c r="D1993" s="2" t="s">
        <f>=HYPERLINK("https://main.knesset.gov.il/APPS/legislation/main/bills/2225792", "הצעת חוק יסוד: משאל עם - תיקון")</f>
        <v>4243</v>
      </c>
      <c r="E1993" t="s">
        <v>4243</v>
      </c>
      <c r="F1993" t="s">
        <v>14</v>
      </c>
      <c r="G1993" t="s">
        <v>14</v>
      </c>
      <c r="H1993">
             </c>
      <c r="I1993" t="s">
        <v>14</v>
      </c>
      <c r="J1993" t="s">
        <v>152</v>
      </c>
      <c r="K1993" t="s">
        <v>27</v>
      </c>
      <c r="L1993" t="s">
        <v>20</v>
      </c>
      <c r="M1993" t="s">
        <v>4244</v>
      </c>
      <c r="N1993" t="s">
        <v>14</v>
      </c>
    </row>
    <row r="1994" x14ac:dyDescent="0.25">
      <c r="A1994" t="n">
        <v>25</v>
      </c>
      <c r="B1994" t="s">
        <v>14</v>
      </c>
      <c r="C1994" t="s">
        <v>51</v>
      </c>
      <c r="D1994" s="2" t="s">
        <f>=HYPERLINK("https://main.knesset.gov.il/APPS/legislation/main/bills/2199017", "הצעת חוק זכאות לאבחון לקויות למידה לילדים ממשפחות מעוטות יכולת, התשפ""ג-2023")</f>
        <v>4245</v>
      </c>
      <c r="E1994" t="s">
        <v>4245</v>
      </c>
      <c r="F1994" t="s">
        <v>4246</v>
      </c>
      <c r="G1994" t="s">
        <v>14</v>
      </c>
      <c r="H1994">
             </c>
      <c r="I1994" t="s">
        <v>14</v>
      </c>
      <c r="J1994" t="s">
        <v>183</v>
      </c>
      <c r="K1994" t="s">
        <v>79</v>
      </c>
      <c r="L1994" t="s">
        <v>20</v>
      </c>
      <c r="M1994" t="s">
        <v>4244</v>
      </c>
      <c r="N1994" t="s">
        <v>14</v>
      </c>
    </row>
    <row r="1995" x14ac:dyDescent="0.25">
      <c r="A1995" t="n">
        <v>25</v>
      </c>
      <c r="B1995" t="s">
        <v>14</v>
      </c>
      <c r="C1995" t="s">
        <v>51</v>
      </c>
      <c r="D1995" s="2" t="s">
        <f>=HYPERLINK("https://main.knesset.gov.il/APPS/legislation/main/bills/2198798", "הצעת חוק זכאות לאבחון לקויות למידה לילדים ממשפחות מעוטות יכולת, התשפ""ג-2023")</f>
        <v>4245</v>
      </c>
      <c r="E1995" t="s">
        <v>4245</v>
      </c>
      <c r="F1995" t="s">
        <v>4247</v>
      </c>
      <c r="G1995" t="s">
        <v>14</v>
      </c>
      <c r="H1995">
             </c>
      <c r="I1995" t="s">
        <v>166</v>
      </c>
      <c r="J1995" t="s">
        <v>152</v>
      </c>
      <c r="K1995" t="s">
        <v>79</v>
      </c>
      <c r="L1995" t="s">
        <v>20</v>
      </c>
      <c r="M1995" t="s">
        <v>4244</v>
      </c>
      <c r="N1995" t="s">
        <v>14</v>
      </c>
    </row>
    <row r="1996" x14ac:dyDescent="0.25">
      <c r="A1996" t="n">
        <v>25</v>
      </c>
      <c r="B1996" t="s">
        <v>14</v>
      </c>
      <c r="C1996" t="s">
        <v>51</v>
      </c>
      <c r="D1996" s="2" t="s">
        <f>=HYPERLINK("https://main.knesset.gov.il/APPS/legislation/main/bills/2220902", "הצעת חוק להסדרת המגורים בשטחי מרעה, התשפ""ד-2024")</f>
        <v>4248</v>
      </c>
      <c r="E1996" t="s">
        <v>4248</v>
      </c>
      <c r="F1996" t="s">
        <v>4249</v>
      </c>
      <c r="G1996" t="s">
        <v>14</v>
      </c>
      <c r="H1996">
             </c>
      <c r="I1996" t="s">
        <v>14</v>
      </c>
      <c r="J1996" t="s">
        <v>183</v>
      </c>
      <c r="K1996" t="s">
        <v>30</v>
      </c>
      <c r="L1996" t="s">
        <v>20</v>
      </c>
      <c r="M1996" t="s">
        <v>4244</v>
      </c>
      <c r="N1996" t="s">
        <v>14</v>
      </c>
    </row>
    <row r="1997" x14ac:dyDescent="0.25">
      <c r="A1997" t="n">
        <v>25</v>
      </c>
      <c r="B1997" t="s">
        <v>14</v>
      </c>
      <c r="C1997" t="s">
        <v>51</v>
      </c>
      <c r="D1997" s="2" t="s">
        <f>=HYPERLINK("https://main.knesset.gov.il/APPS/legislation/main/bills/2207143", "הצעת חוק להסדרת המגורים בשטחי מרעה, התשפ""ג-2023")</f>
        <v>4250</v>
      </c>
      <c r="E1997" t="s">
        <v>4250</v>
      </c>
      <c r="F1997" t="s">
        <v>4251</v>
      </c>
      <c r="G1997" t="s">
        <v>14</v>
      </c>
      <c r="H1997">
             </c>
      <c r="I1997" t="s">
        <v>14</v>
      </c>
      <c r="J1997" t="s">
        <v>183</v>
      </c>
      <c r="K1997" t="s">
        <v>30</v>
      </c>
      <c r="L1997" t="s">
        <v>20</v>
      </c>
      <c r="M1997" t="s">
        <v>4244</v>
      </c>
      <c r="N1997" t="s">
        <v>14</v>
      </c>
    </row>
    <row r="1998" x14ac:dyDescent="0.25">
      <c r="A1998" t="n">
        <v>25</v>
      </c>
      <c r="B1998" t="s">
        <v>14</v>
      </c>
      <c r="C1998" t="s">
        <v>51</v>
      </c>
      <c r="D1998" s="2" t="s">
        <f>=HYPERLINK("https://main.knesset.gov.il/APPS/legislation/main/bills/2208258", "הצעת חוק להטמעת מורשת יהדות ספרד והמזרח במערכת החינוך וההשכלה הגבוהה, התשפ""ג-2023")</f>
        <v>4252</v>
      </c>
      <c r="E1998" t="s">
        <v>4252</v>
      </c>
      <c r="F1998" t="s">
        <v>4253</v>
      </c>
      <c r="G1998" t="s">
        <v>14</v>
      </c>
      <c r="H1998">
             </c>
      <c r="I1998" t="s">
        <v>14</v>
      </c>
      <c r="J1998" t="s">
        <v>152</v>
      </c>
      <c r="K1998" t="s">
        <v>79</v>
      </c>
      <c r="L1998" t="s">
        <v>20</v>
      </c>
      <c r="M1998" t="s">
        <v>4244</v>
      </c>
      <c r="N1998" t="s">
        <v>14</v>
      </c>
    </row>
    <row r="1999" x14ac:dyDescent="0.25">
      <c r="A1999" t="n">
        <v>25</v>
      </c>
      <c r="B1999" t="s">
        <v>14</v>
      </c>
      <c r="C1999" t="s">
        <v>15</v>
      </c>
      <c r="D1999" s="2" t="s">
        <f>=HYPERLINK("https://main.knesset.gov.il/APPS/legislation/main/bills/2218572", "חוק שירותי תעופה (פיצוי וסיוע בשל ביטול טיסה או שינוי בתנאיה) (תיקון מס' 2 והוראת שעה – חרבות ברזל), התשפ""ה–2025")</f>
        <v>4254</v>
      </c>
      <c r="E1999" t="s">
        <v>4254</v>
      </c>
      <c r="F1999" t="s">
        <v>14</v>
      </c>
      <c r="G1999" t="s">
        <v>4255</v>
      </c>
      <c r="H1999" t="n">
        <v>3372</v>
      </c>
      <c r="I1999" t="s">
        <v>14</v>
      </c>
      <c r="J1999" t="s">
        <v>18</v>
      </c>
      <c r="K1999" t="s">
        <v>84</v>
      </c>
      <c r="L1999" t="s">
        <v>20</v>
      </c>
      <c r="M1999" t="s">
        <v>4244</v>
      </c>
      <c r="N1999" t="s">
        <v>4256</v>
      </c>
    </row>
    <row r="2000" x14ac:dyDescent="0.25">
      <c r="A2000" t="n">
        <v>25</v>
      </c>
      <c r="B2000" t="s">
        <v>14</v>
      </c>
      <c r="C2000" t="s">
        <v>15</v>
      </c>
      <c r="D2000" s="2" t="s">
        <f>=HYPERLINK("https://main.knesset.gov.il/APPS/legislation/main/bills/2224854", "חוק לתיקון פקודת סימני מסחר (מס' 9), התשפ""ה–2025 ")</f>
        <v>4257</v>
      </c>
      <c r="E2000" t="s">
        <v>4257</v>
      </c>
      <c r="F2000" t="s">
        <v>14</v>
      </c>
      <c r="G2000" t="s">
        <v>4258</v>
      </c>
      <c r="H2000" t="n">
        <v>3371</v>
      </c>
      <c r="I2000" t="s">
        <v>14</v>
      </c>
      <c r="J2000" t="s">
        <v>18</v>
      </c>
      <c r="K2000" t="s">
        <v>84</v>
      </c>
      <c r="L2000" t="s">
        <v>20</v>
      </c>
      <c r="M2000" t="s">
        <v>4244</v>
      </c>
      <c r="N2000" t="s">
        <v>4259</v>
      </c>
    </row>
    <row r="2001" x14ac:dyDescent="0.25">
      <c r="A2001" t="n">
        <v>25</v>
      </c>
      <c r="B2001" t="s">
        <v>14</v>
      </c>
      <c r="C2001" t="s">
        <v>51</v>
      </c>
      <c r="D2001" s="2" t="s">
        <f>=HYPERLINK("https://main.knesset.gov.il/APPS/legislation/main/bills/2223868", "הצעת חוק התקשורת (בזק ושידורים) (תיקון - הרשות והמועצה לתקשורת משודרת), התשפ""ה-2025")</f>
        <v>4260</v>
      </c>
      <c r="E2001" t="s">
        <v>4260</v>
      </c>
      <c r="F2001" t="s">
        <v>4261</v>
      </c>
      <c r="G2001" t="s">
        <v>14</v>
      </c>
      <c r="H2001">
             </c>
      <c r="I2001" t="s">
        <v>14</v>
      </c>
      <c r="J2001" t="s">
        <v>242</v>
      </c>
      <c r="K2001" t="s">
        <v>14</v>
      </c>
      <c r="L2001" t="s">
        <v>20</v>
      </c>
      <c r="M2001" t="s">
        <v>4244</v>
      </c>
      <c r="N2001" t="s">
        <v>14</v>
      </c>
    </row>
    <row r="2002" x14ac:dyDescent="0.25">
      <c r="A2002" t="n">
        <v>25</v>
      </c>
      <c r="B2002" t="s">
        <v>14</v>
      </c>
      <c r="C2002" t="s">
        <v>51</v>
      </c>
      <c r="D2002" s="2" t="s">
        <f>=HYPERLINK("https://main.knesset.gov.il/APPS/legislation/main/bills/2227661", "הצעת חוק מאבק בארגוני פשיעה (תיקון - הרחבת הענישה על עבירות גניבת רכב כדין ענישה בגין חברות בארגון פשיעה), התשפ""ה-2025")</f>
        <v>4262</v>
      </c>
      <c r="E2002" t="s">
        <v>4262</v>
      </c>
      <c r="F2002" t="s">
        <v>4263</v>
      </c>
      <c r="G2002" t="s">
        <v>14</v>
      </c>
      <c r="H2002">
             </c>
      <c r="I2002" t="s">
        <v>14</v>
      </c>
      <c r="J2002" t="s">
        <v>242</v>
      </c>
      <c r="K2002" t="s">
        <v>14</v>
      </c>
      <c r="L2002" t="s">
        <v>20</v>
      </c>
      <c r="M2002" t="s">
        <v>4244</v>
      </c>
      <c r="N2002" t="s">
        <v>14</v>
      </c>
    </row>
    <row r="2003" x14ac:dyDescent="0.25">
      <c r="A2003" t="n">
        <v>25</v>
      </c>
      <c r="B2003" t="s">
        <v>14</v>
      </c>
      <c r="C2003" t="s">
        <v>51</v>
      </c>
      <c r="D2003" s="2" t="s">
        <f>=HYPERLINK("https://main.knesset.gov.il/APPS/legislation/main/bills/2227460", "הצעת חוק עקרונות לפדיון שבויים, התשפ""ה-2025 ")</f>
        <v>4264</v>
      </c>
      <c r="E2003" t="s">
        <v>4264</v>
      </c>
      <c r="F2003" t="s">
        <v>4265</v>
      </c>
      <c r="G2003" t="s">
        <v>14</v>
      </c>
      <c r="H2003">
             </c>
      <c r="I2003" t="s">
        <v>14</v>
      </c>
      <c r="J2003" t="s">
        <v>242</v>
      </c>
      <c r="K2003" t="s">
        <v>14</v>
      </c>
      <c r="L2003" t="s">
        <v>20</v>
      </c>
      <c r="M2003" t="s">
        <v>4244</v>
      </c>
      <c r="N2003" t="s">
        <v>14</v>
      </c>
    </row>
    <row r="2004" x14ac:dyDescent="0.25">
      <c r="A2004" t="n">
        <v>25</v>
      </c>
      <c r="B2004" t="s">
        <v>14</v>
      </c>
      <c r="C2004" t="s">
        <v>51</v>
      </c>
      <c r="D2004" s="2" t="s">
        <f>=HYPERLINK("https://main.knesset.gov.il/APPS/legislation/main/bills/2226629", "הצעת חוק הרשות הלאומית למאבק בסמים ובשימוש לרעה באלכוהול, התשפ""ה-2025")</f>
        <v>1776</v>
      </c>
      <c r="E2004" t="s">
        <v>1776</v>
      </c>
      <c r="F2004" t="s">
        <v>4266</v>
      </c>
      <c r="G2004" t="s">
        <v>14</v>
      </c>
      <c r="H2004">
             </c>
      <c r="I2004" t="s">
        <v>14</v>
      </c>
      <c r="J2004" t="s">
        <v>242</v>
      </c>
      <c r="K2004" t="s">
        <v>14</v>
      </c>
      <c r="L2004" t="s">
        <v>20</v>
      </c>
      <c r="M2004" t="s">
        <v>4244</v>
      </c>
      <c r="N2004" t="s">
        <v>14</v>
      </c>
    </row>
    <row r="2005" x14ac:dyDescent="0.25">
      <c r="A2005" t="n">
        <v>25</v>
      </c>
      <c r="B2005" t="s">
        <v>14</v>
      </c>
      <c r="C2005" t="s">
        <v>51</v>
      </c>
      <c r="D2005" s="2" t="s">
        <f>=HYPERLINK("https://main.knesset.gov.il/APPS/legislation/main/bills/2227681", "הצעת חוק החלת הריבונות הישראלית על בקעת הירדן, התשפ""ה-2025")</f>
        <v>4267</v>
      </c>
      <c r="E2005" t="s">
        <v>4267</v>
      </c>
      <c r="F2005" t="s">
        <v>4268</v>
      </c>
      <c r="G2005" t="s">
        <v>14</v>
      </c>
      <c r="H2005">
             </c>
      <c r="I2005" t="s">
        <v>14</v>
      </c>
      <c r="J2005" t="s">
        <v>242</v>
      </c>
      <c r="K2005" t="s">
        <v>14</v>
      </c>
      <c r="L2005" t="s">
        <v>20</v>
      </c>
      <c r="M2005" t="s">
        <v>4244</v>
      </c>
      <c r="N2005" t="s">
        <v>14</v>
      </c>
    </row>
    <row r="2006" x14ac:dyDescent="0.25">
      <c r="A2006" t="n">
        <v>25</v>
      </c>
      <c r="B2006" t="s">
        <v>14</v>
      </c>
      <c r="C2006" t="s">
        <v>51</v>
      </c>
      <c r="D2006" s="2" t="s">
        <f>=HYPERLINK("https://main.knesset.gov.il/APPS/legislation/main/bills/2227161", "הצעת חוק למניעת הטרדה מינית (תיקון - חשיפת זהותו של מטריד ברשת תקשורת אלקטרונית), התשפ""ה-2025")</f>
        <v>4269</v>
      </c>
      <c r="E2006" t="s">
        <v>4269</v>
      </c>
      <c r="F2006" t="s">
        <v>4270</v>
      </c>
      <c r="G2006" t="s">
        <v>14</v>
      </c>
      <c r="H2006">
             </c>
      <c r="I2006" t="s">
        <v>14</v>
      </c>
      <c r="J2006" t="s">
        <v>242</v>
      </c>
      <c r="K2006" t="s">
        <v>14</v>
      </c>
      <c r="L2006" t="s">
        <v>20</v>
      </c>
      <c r="M2006" t="s">
        <v>4244</v>
      </c>
      <c r="N2006" t="s">
        <v>14</v>
      </c>
    </row>
    <row r="2007" x14ac:dyDescent="0.25">
      <c r="A2007" t="n">
        <v>25</v>
      </c>
      <c r="B2007" t="s">
        <v>14</v>
      </c>
      <c r="C2007" t="s">
        <v>51</v>
      </c>
      <c r="D2007" s="2" t="s">
        <f>=HYPERLINK("https://main.knesset.gov.il/APPS/legislation/main/bills/2226137", "הצעת חוק למניעת הטרדה מינית (תיקון - חשיפת זהותו של מטריד ברשת תקשורת אלקטרונית), התשפ""ה-2025")</f>
        <v>4269</v>
      </c>
      <c r="E2007" t="s">
        <v>4269</v>
      </c>
      <c r="F2007" t="s">
        <v>4271</v>
      </c>
      <c r="G2007" t="s">
        <v>14</v>
      </c>
      <c r="H2007">
             </c>
      <c r="I2007" t="s">
        <v>14</v>
      </c>
      <c r="J2007" t="s">
        <v>242</v>
      </c>
      <c r="K2007" t="s">
        <v>14</v>
      </c>
      <c r="L2007" t="s">
        <v>20</v>
      </c>
      <c r="M2007" t="s">
        <v>4244</v>
      </c>
      <c r="N2007" t="s">
        <v>14</v>
      </c>
    </row>
    <row r="2008" x14ac:dyDescent="0.25">
      <c r="A2008" t="n">
        <v>25</v>
      </c>
      <c r="B2008" t="s">
        <v>14</v>
      </c>
      <c r="C2008" t="s">
        <v>51</v>
      </c>
      <c r="D2008" s="2" t="s">
        <f>=HYPERLINK("https://main.knesset.gov.il/APPS/legislation/main/bills/2227717", "הצעת חוק-יסוד: הצבא (תיקון - שמירה על אורח חיים דתי)")</f>
        <v>4272</v>
      </c>
      <c r="E2008" t="s">
        <v>4272</v>
      </c>
      <c r="F2008" t="s">
        <v>4273</v>
      </c>
      <c r="G2008" t="s">
        <v>14</v>
      </c>
      <c r="H2008">
             </c>
      <c r="I2008" t="s">
        <v>14</v>
      </c>
      <c r="J2008" t="s">
        <v>242</v>
      </c>
      <c r="K2008" t="s">
        <v>14</v>
      </c>
      <c r="L2008" t="s">
        <v>20</v>
      </c>
      <c r="M2008" t="s">
        <v>4244</v>
      </c>
      <c r="N2008" t="s">
        <v>14</v>
      </c>
    </row>
    <row r="2009" x14ac:dyDescent="0.25">
      <c r="A2009" t="n">
        <v>25</v>
      </c>
      <c r="B2009" t="s">
        <v>14</v>
      </c>
      <c r="C2009" t="s">
        <v>51</v>
      </c>
      <c r="D2009" s="2" t="s">
        <f>=HYPERLINK("https://main.knesset.gov.il/APPS/legislation/main/bills/2227730", "הצעת חוק-יסוד: הצבא (תיקון - עקרונות היסוד של הצבא)")</f>
        <v>4274</v>
      </c>
      <c r="E2009" t="s">
        <v>4274</v>
      </c>
      <c r="F2009" t="s">
        <v>4275</v>
      </c>
      <c r="G2009" t="s">
        <v>14</v>
      </c>
      <c r="H2009">
             </c>
      <c r="I2009" t="s">
        <v>14</v>
      </c>
      <c r="J2009" t="s">
        <v>242</v>
      </c>
      <c r="K2009" t="s">
        <v>14</v>
      </c>
      <c r="L2009" t="s">
        <v>20</v>
      </c>
      <c r="M2009" t="s">
        <v>4244</v>
      </c>
      <c r="N2009" t="s">
        <v>14</v>
      </c>
    </row>
    <row r="2010" x14ac:dyDescent="0.25">
      <c r="A2010" t="n">
        <v>25</v>
      </c>
      <c r="B2010" t="s">
        <v>14</v>
      </c>
      <c r="C2010" t="s">
        <v>51</v>
      </c>
      <c r="D2010" s="2" t="s">
        <f>=HYPERLINK("https://main.knesset.gov.il/APPS/legislation/main/bills/2227746", "הצעת חוק העונשין (תיקון - הכרה באינוס גברים), התשפ""ה-2025")</f>
        <v>4276</v>
      </c>
      <c r="E2010" t="s">
        <v>4276</v>
      </c>
      <c r="F2010" t="s">
        <v>4277</v>
      </c>
      <c r="G2010" t="s">
        <v>14</v>
      </c>
      <c r="H2010">
             </c>
      <c r="I2010" t="s">
        <v>14</v>
      </c>
      <c r="J2010" t="s">
        <v>202</v>
      </c>
      <c r="K2010" t="s">
        <v>14</v>
      </c>
      <c r="L2010" t="s">
        <v>20</v>
      </c>
      <c r="M2010" t="s">
        <v>4244</v>
      </c>
      <c r="N2010" t="s">
        <v>14</v>
      </c>
    </row>
    <row r="2011" x14ac:dyDescent="0.25">
      <c r="A2011" t="n">
        <v>25</v>
      </c>
      <c r="B2011" t="s">
        <v>14</v>
      </c>
      <c r="C2011" t="s">
        <v>51</v>
      </c>
      <c r="D2011" s="2" t="s">
        <f>=HYPERLINK("https://main.knesset.gov.il/APPS/legislation/main/bills/2227488", "הצעת חוק ציונות כערך מנחה בפעולות הממשלה, התשפ""ה-2025")</f>
        <v>4033</v>
      </c>
      <c r="E2011" t="s">
        <v>4033</v>
      </c>
      <c r="F2011" t="s">
        <v>4278</v>
      </c>
      <c r="G2011" t="s">
        <v>14</v>
      </c>
      <c r="H2011">
             </c>
      <c r="I2011" t="s">
        <v>14</v>
      </c>
      <c r="J2011" t="s">
        <v>242</v>
      </c>
      <c r="K2011" t="s">
        <v>14</v>
      </c>
      <c r="L2011" t="s">
        <v>20</v>
      </c>
      <c r="M2011" t="s">
        <v>4244</v>
      </c>
      <c r="N2011" t="s">
        <v>14</v>
      </c>
    </row>
    <row r="2012" x14ac:dyDescent="0.25">
      <c r="A2012" t="n">
        <v>25</v>
      </c>
      <c r="B2012" t="s">
        <v>14</v>
      </c>
      <c r="C2012" t="s">
        <v>51</v>
      </c>
      <c r="D2012" s="2" t="s">
        <f>=HYPERLINK("https://main.knesset.gov.il/APPS/legislation/main/bills/2227987", "הצעת חוק הביטוח הלאומי (תיקון - שלילת זכויות סוציאליות לאדם שהורשע ברצח או בניסיון לרצח על רקע לאומני), התשפ""ה-2025")</f>
        <v>4279</v>
      </c>
      <c r="E2012" t="s">
        <v>4279</v>
      </c>
      <c r="F2012" t="s">
        <v>4280</v>
      </c>
      <c r="G2012" t="s">
        <v>14</v>
      </c>
      <c r="H2012">
             </c>
      <c r="I2012" t="s">
        <v>14</v>
      </c>
      <c r="J2012" t="s">
        <v>242</v>
      </c>
      <c r="K2012" t="s">
        <v>14</v>
      </c>
      <c r="L2012" t="s">
        <v>20</v>
      </c>
      <c r="M2012" t="s">
        <v>4244</v>
      </c>
      <c r="N2012" t="s">
        <v>14</v>
      </c>
    </row>
    <row r="2013" x14ac:dyDescent="0.25">
      <c r="A2013" t="n">
        <v>25</v>
      </c>
      <c r="B2013" t="s">
        <v>14</v>
      </c>
      <c r="C2013" t="s">
        <v>51</v>
      </c>
      <c r="D2013" s="2" t="s">
        <f>=HYPERLINK("https://main.knesset.gov.il/APPS/legislation/main/bills/2224803", "הצעת חוק תשלומים לפדויי שבי ולחטופים ששוחררו (תיקון - זכאות לבן משפחה של חטוף ששוחרר), התשפ""ה-2025")</f>
        <v>4281</v>
      </c>
      <c r="E2013" t="s">
        <v>4281</v>
      </c>
      <c r="F2013" t="s">
        <v>4282</v>
      </c>
      <c r="G2013" t="s">
        <v>14</v>
      </c>
      <c r="H2013">
             </c>
      <c r="I2013" t="s">
        <v>14</v>
      </c>
      <c r="J2013" t="s">
        <v>242</v>
      </c>
      <c r="K2013" t="s">
        <v>14</v>
      </c>
      <c r="L2013" t="s">
        <v>20</v>
      </c>
      <c r="M2013" t="s">
        <v>4244</v>
      </c>
      <c r="N2013" t="s">
        <v>14</v>
      </c>
    </row>
    <row r="2014" x14ac:dyDescent="0.25">
      <c r="A2014" t="n">
        <v>25</v>
      </c>
      <c r="B2014" t="s">
        <v>14</v>
      </c>
      <c r="C2014" t="s">
        <v>51</v>
      </c>
      <c r="D2014" s="2" t="s">
        <f>=HYPERLINK("https://main.knesset.gov.il/APPS/legislation/main/bills/2227891", "הצעת חוק-יסוד: הכנסת (תיקון - הפחתת הרוב הדרוש להפסקת חברותו של חבר הכנסת)")</f>
        <v>4283</v>
      </c>
      <c r="E2014" t="s">
        <v>4283</v>
      </c>
      <c r="F2014" t="s">
        <v>4284</v>
      </c>
      <c r="G2014" t="s">
        <v>14</v>
      </c>
      <c r="H2014">
             </c>
      <c r="I2014" t="s">
        <v>14</v>
      </c>
      <c r="J2014" t="s">
        <v>242</v>
      </c>
      <c r="K2014" t="s">
        <v>14</v>
      </c>
      <c r="L2014" t="s">
        <v>20</v>
      </c>
      <c r="M2014" t="s">
        <v>4244</v>
      </c>
      <c r="N2014" t="s">
        <v>14</v>
      </c>
    </row>
    <row r="2015" x14ac:dyDescent="0.25">
      <c r="A2015" t="n">
        <v>25</v>
      </c>
      <c r="B2015" t="s">
        <v>14</v>
      </c>
      <c r="C2015" t="s">
        <v>51</v>
      </c>
      <c r="D2015" s="2" t="s">
        <f>=HYPERLINK("https://main.knesset.gov.il/APPS/legislation/main/bills/2227491", "הצעת חוק צער בעלי חיים (הגנה על בעלי חיים) (תיקון - איסור שימוש בבעלי חיים במוסד חינוך או תרבות), התשפ""ה-2025")</f>
        <v>4285</v>
      </c>
      <c r="E2015" t="s">
        <v>4285</v>
      </c>
      <c r="F2015" t="s">
        <v>4286</v>
      </c>
      <c r="G2015" t="s">
        <v>14</v>
      </c>
      <c r="H2015">
             </c>
      <c r="I2015" t="s">
        <v>14</v>
      </c>
      <c r="J2015" t="s">
        <v>242</v>
      </c>
      <c r="K2015" t="s">
        <v>14</v>
      </c>
      <c r="L2015" t="s">
        <v>20</v>
      </c>
      <c r="M2015" t="s">
        <v>4244</v>
      </c>
      <c r="N2015" t="s">
        <v>14</v>
      </c>
    </row>
    <row r="2016" x14ac:dyDescent="0.25">
      <c r="A2016" t="n">
        <v>25</v>
      </c>
      <c r="B2016" t="s">
        <v>14</v>
      </c>
      <c r="C2016" t="s">
        <v>51</v>
      </c>
      <c r="D2016" s="2" t="s">
        <f>=HYPERLINK("https://main.knesset.gov.il/APPS/legislation/main/bills/2227639", "הצעת חוק עובדים זרים (תיקון - הגבלת שכר טרחת עורך דין), התשפ""ה-2025")</f>
        <v>4287</v>
      </c>
      <c r="E2016" t="s">
        <v>4287</v>
      </c>
      <c r="F2016" t="s">
        <v>4288</v>
      </c>
      <c r="G2016" t="s">
        <v>14</v>
      </c>
      <c r="H2016">
             </c>
      <c r="I2016" t="s">
        <v>14</v>
      </c>
      <c r="J2016" t="s">
        <v>242</v>
      </c>
      <c r="K2016" t="s">
        <v>14</v>
      </c>
      <c r="L2016" t="s">
        <v>20</v>
      </c>
      <c r="M2016" t="s">
        <v>4244</v>
      </c>
      <c r="N2016" t="s">
        <v>14</v>
      </c>
    </row>
    <row r="2017" x14ac:dyDescent="0.25">
      <c r="A2017" t="n">
        <v>25</v>
      </c>
      <c r="B2017" t="s">
        <v>14</v>
      </c>
      <c r="C2017" t="s">
        <v>51</v>
      </c>
      <c r="D2017" s="2" t="s">
        <f>=HYPERLINK("https://main.knesset.gov.il/APPS/legislation/main/bills/2227478", "הצעת חוק המוהלים, התשפ""ה-2025")</f>
        <v>4289</v>
      </c>
      <c r="E2017" t="s">
        <v>4289</v>
      </c>
      <c r="F2017" t="s">
        <v>4290</v>
      </c>
      <c r="G2017" t="s">
        <v>14</v>
      </c>
      <c r="H2017">
             </c>
      <c r="I2017" t="s">
        <v>14</v>
      </c>
      <c r="J2017" t="s">
        <v>242</v>
      </c>
      <c r="K2017" t="s">
        <v>14</v>
      </c>
      <c r="L2017" t="s">
        <v>20</v>
      </c>
      <c r="M2017" t="s">
        <v>4244</v>
      </c>
      <c r="N2017" t="s">
        <v>14</v>
      </c>
    </row>
    <row r="2018" x14ac:dyDescent="0.25">
      <c r="A2018" t="n">
        <v>25</v>
      </c>
      <c r="B2018" t="s">
        <v>14</v>
      </c>
      <c r="C2018" t="s">
        <v>51</v>
      </c>
      <c r="D2018" s="2" t="s">
        <f>=HYPERLINK("https://main.knesset.gov.il/APPS/legislation/main/bills/2225693", "הצעת חוק למניעת מפגעים (בטיחות מקררים) (תיקון - ביטול איסור הפקרת מקרר), התשפ""ה-2025")</f>
        <v>4291</v>
      </c>
      <c r="E2018" t="s">
        <v>4291</v>
      </c>
      <c r="F2018" t="s">
        <v>4292</v>
      </c>
      <c r="G2018" t="s">
        <v>14</v>
      </c>
      <c r="H2018">
             </c>
      <c r="I2018" t="s">
        <v>14</v>
      </c>
      <c r="J2018" t="s">
        <v>242</v>
      </c>
      <c r="K2018" t="s">
        <v>14</v>
      </c>
      <c r="L2018" t="s">
        <v>20</v>
      </c>
      <c r="M2018" t="s">
        <v>4244</v>
      </c>
      <c r="N2018" t="s">
        <v>14</v>
      </c>
    </row>
    <row r="2019" x14ac:dyDescent="0.25">
      <c r="A2019" t="n">
        <v>25</v>
      </c>
      <c r="B2019" t="s">
        <v>14</v>
      </c>
      <c r="C2019" t="s">
        <v>51</v>
      </c>
      <c r="D2019" s="2" t="s">
        <f>=HYPERLINK("https://main.knesset.gov.il/APPS/legislation/main/bills/2227964", "הצעת חוק-יסוד: הכנסת (תיקון - הצהרת אמונים של חבר הכנסת) ")</f>
        <v>4293</v>
      </c>
      <c r="E2019" t="s">
        <v>4293</v>
      </c>
      <c r="F2019" t="s">
        <v>4294</v>
      </c>
      <c r="G2019" t="s">
        <v>14</v>
      </c>
      <c r="H2019">
             </c>
      <c r="I2019" t="s">
        <v>14</v>
      </c>
      <c r="J2019" t="s">
        <v>242</v>
      </c>
      <c r="K2019" t="s">
        <v>14</v>
      </c>
      <c r="L2019" t="s">
        <v>20</v>
      </c>
      <c r="M2019" t="s">
        <v>4244</v>
      </c>
      <c r="N2019" t="s">
        <v>14</v>
      </c>
    </row>
    <row r="2020" x14ac:dyDescent="0.25">
      <c r="A2020" t="n">
        <v>25</v>
      </c>
      <c r="B2020" t="s">
        <v>14</v>
      </c>
      <c r="C2020" t="s">
        <v>51</v>
      </c>
      <c r="D2020" s="2" t="s">
        <f>=HYPERLINK("https://main.knesset.gov.il/APPS/legislation/main/bills/2227428", "הצעת חוק הביטוח הלאומי (תיקון - גמלת אבל לעצמאים), התשפ״ה-2025")</f>
        <v>4295</v>
      </c>
      <c r="E2020" t="s">
        <v>4295</v>
      </c>
      <c r="F2020" t="s">
        <v>4296</v>
      </c>
      <c r="G2020" t="s">
        <v>14</v>
      </c>
      <c r="H2020">
             </c>
      <c r="I2020" t="s">
        <v>14</v>
      </c>
      <c r="J2020" t="s">
        <v>242</v>
      </c>
      <c r="K2020" t="s">
        <v>14</v>
      </c>
      <c r="L2020" t="s">
        <v>20</v>
      </c>
      <c r="M2020" t="s">
        <v>4244</v>
      </c>
      <c r="N2020" t="s">
        <v>14</v>
      </c>
    </row>
    <row r="2021" x14ac:dyDescent="0.25">
      <c r="A2021" t="n">
        <v>25</v>
      </c>
      <c r="B2021" t="s">
        <v>14</v>
      </c>
      <c r="C2021" t="s">
        <v>51</v>
      </c>
      <c r="D2021" s="2" t="s">
        <f>=HYPERLINK("https://main.knesset.gov.il/APPS/legislation/main/bills/2227532", "הצעת חוק העונשין (תיקון - המאבק בפוליגמיה), התשפ""ה-2025")</f>
        <v>4297</v>
      </c>
      <c r="E2021" t="s">
        <v>4297</v>
      </c>
      <c r="F2021" t="s">
        <v>4298</v>
      </c>
      <c r="G2021" t="s">
        <v>14</v>
      </c>
      <c r="H2021">
             </c>
      <c r="I2021" t="s">
        <v>14</v>
      </c>
      <c r="J2021" t="s">
        <v>242</v>
      </c>
      <c r="K2021" t="s">
        <v>14</v>
      </c>
      <c r="L2021" t="s">
        <v>20</v>
      </c>
      <c r="M2021" t="s">
        <v>4244</v>
      </c>
      <c r="N2021" t="s">
        <v>14</v>
      </c>
    </row>
    <row r="2022" x14ac:dyDescent="0.25">
      <c r="A2022" t="n">
        <v>25</v>
      </c>
      <c r="B2022" t="s">
        <v>14</v>
      </c>
      <c r="C2022" t="s">
        <v>51</v>
      </c>
      <c r="D2022" s="2" t="s">
        <f>=HYPERLINK("https://main.knesset.gov.il/APPS/legislation/main/bills/2203956", "הצעת חוק הגנת הצרכן (תיקון - ביטול עסקת מכר מרחוק למתן שירותי תיירות בישראל), התשפ""ה-2025")</f>
        <v>4299</v>
      </c>
      <c r="E2022" t="s">
        <v>4299</v>
      </c>
      <c r="F2022" t="s">
        <v>4300</v>
      </c>
      <c r="G2022" t="s">
        <v>14</v>
      </c>
      <c r="H2022">
             </c>
      <c r="I2022" t="s">
        <v>14</v>
      </c>
      <c r="J2022" t="s">
        <v>242</v>
      </c>
      <c r="K2022" t="s">
        <v>14</v>
      </c>
      <c r="L2022" t="s">
        <v>20</v>
      </c>
      <c r="M2022" t="s">
        <v>4244</v>
      </c>
      <c r="N2022" t="s">
        <v>14</v>
      </c>
    </row>
    <row r="2023" x14ac:dyDescent="0.25">
      <c r="A2023" t="n">
        <v>25</v>
      </c>
      <c r="B2023" t="s">
        <v>14</v>
      </c>
      <c r="C2023" t="s">
        <v>51</v>
      </c>
      <c r="D2023" s="2" t="s">
        <f>=HYPERLINK("https://main.knesset.gov.il/APPS/legislation/main/bills/2226827", "הצעת חוק המקרקעין (תיקון - בנייה או הרחבה של מרחב מוגן דירתי לאדם עם מוגבלות), התשפ""ה-2025")</f>
        <v>4301</v>
      </c>
      <c r="E2023" t="s">
        <v>4301</v>
      </c>
      <c r="F2023" t="s">
        <v>4302</v>
      </c>
      <c r="G2023" t="s">
        <v>14</v>
      </c>
      <c r="H2023">
             </c>
      <c r="I2023" t="s">
        <v>14</v>
      </c>
      <c r="J2023" t="s">
        <v>242</v>
      </c>
      <c r="K2023" t="s">
        <v>14</v>
      </c>
      <c r="L2023" t="s">
        <v>20</v>
      </c>
      <c r="M2023" t="s">
        <v>4244</v>
      </c>
      <c r="N2023" t="s">
        <v>14</v>
      </c>
    </row>
    <row r="2024" x14ac:dyDescent="0.25">
      <c r="A2024" t="n">
        <v>25</v>
      </c>
      <c r="B2024" t="s">
        <v>14</v>
      </c>
      <c r="C2024" t="s">
        <v>51</v>
      </c>
      <c r="D2024" s="2" t="s">
        <f>=HYPERLINK("https://main.knesset.gov.il/APPS/legislation/main/bills/2227042", "הצעת חוק חסיון שמות ראש המטה הכללי, ראש המוסד למודיעין ולתפקידים מיוחדים וראש שירות הביטחון הכללי, התשפ""ה-2025")</f>
        <v>4303</v>
      </c>
      <c r="E2024" t="s">
        <v>4303</v>
      </c>
      <c r="F2024" t="s">
        <v>4304</v>
      </c>
      <c r="G2024" t="s">
        <v>14</v>
      </c>
      <c r="H2024">
             </c>
      <c r="I2024" t="s">
        <v>14</v>
      </c>
      <c r="J2024" t="s">
        <v>242</v>
      </c>
      <c r="K2024" t="s">
        <v>14</v>
      </c>
      <c r="L2024" t="s">
        <v>20</v>
      </c>
      <c r="M2024" t="s">
        <v>4244</v>
      </c>
      <c r="N2024" t="s">
        <v>14</v>
      </c>
    </row>
    <row r="2025" x14ac:dyDescent="0.25">
      <c r="A2025" t="n">
        <v>25</v>
      </c>
      <c r="B2025" t="s">
        <v>14</v>
      </c>
      <c r="C2025" t="s">
        <v>51</v>
      </c>
      <c r="D2025" s="2" t="s">
        <f>=HYPERLINK("https://main.knesset.gov.il/APPS/legislation/main/bills/2227879", "הצעת חוק דרישת פירוט מקורות רכוש בלתי מוסבר מאדם הפעיל בארגון פשיעה, התשפ״ה-2025")</f>
        <v>4305</v>
      </c>
      <c r="E2025" t="s">
        <v>4305</v>
      </c>
      <c r="F2025" t="s">
        <v>4306</v>
      </c>
      <c r="G2025" t="s">
        <v>14</v>
      </c>
      <c r="H2025">
             </c>
      <c r="I2025" t="s">
        <v>14</v>
      </c>
      <c r="J2025" t="s">
        <v>242</v>
      </c>
      <c r="K2025" t="s">
        <v>14</v>
      </c>
      <c r="L2025" t="s">
        <v>20</v>
      </c>
      <c r="M2025" t="s">
        <v>4244</v>
      </c>
      <c r="N2025" t="s">
        <v>14</v>
      </c>
    </row>
    <row r="2026" x14ac:dyDescent="0.25">
      <c r="A2026" t="n">
        <v>25</v>
      </c>
      <c r="B2026" t="s">
        <v>14</v>
      </c>
      <c r="C2026" t="s">
        <v>51</v>
      </c>
      <c r="D2026" s="2" t="s">
        <f>=HYPERLINK("https://main.knesset.gov.il/APPS/legislation/main/bills/2227482", "הצעת חוק הוקרה לאזרחים נושאי נשק ברישיון פרטי שהצילו חיים בפיגוע, התשפ""ה-2025")</f>
        <v>4307</v>
      </c>
      <c r="E2026" t="s">
        <v>4307</v>
      </c>
      <c r="F2026" t="s">
        <v>4308</v>
      </c>
      <c r="G2026" t="s">
        <v>14</v>
      </c>
      <c r="H2026">
             </c>
      <c r="I2026" t="s">
        <v>14</v>
      </c>
      <c r="J2026" t="s">
        <v>242</v>
      </c>
      <c r="K2026" t="s">
        <v>14</v>
      </c>
      <c r="L2026" t="s">
        <v>20</v>
      </c>
      <c r="M2026" t="s">
        <v>4244</v>
      </c>
      <c r="N2026" t="s">
        <v>14</v>
      </c>
    </row>
    <row r="2027" x14ac:dyDescent="0.25">
      <c r="A2027" t="n">
        <v>25</v>
      </c>
      <c r="B2027" t="s">
        <v>14</v>
      </c>
      <c r="C2027" t="s">
        <v>51</v>
      </c>
      <c r="D2027" s="2" t="s">
        <f>=HYPERLINK("https://main.knesset.gov.il/APPS/legislation/main/bills/2227403", "הצעת חוק-יסוד: רמת הגולן ")</f>
        <v>4309</v>
      </c>
      <c r="E2027" t="s">
        <v>4309</v>
      </c>
      <c r="F2027" t="s">
        <v>4310</v>
      </c>
      <c r="G2027" t="s">
        <v>14</v>
      </c>
      <c r="H2027">
             </c>
      <c r="I2027" t="s">
        <v>14</v>
      </c>
      <c r="J2027" t="s">
        <v>242</v>
      </c>
      <c r="K2027" t="s">
        <v>14</v>
      </c>
      <c r="L2027" t="s">
        <v>20</v>
      </c>
      <c r="M2027" t="s">
        <v>4244</v>
      </c>
      <c r="N2027" t="s">
        <v>14</v>
      </c>
    </row>
    <row r="2028" x14ac:dyDescent="0.25">
      <c r="A2028" t="n">
        <v>25</v>
      </c>
      <c r="B2028" t="s">
        <v>14</v>
      </c>
      <c r="C2028" t="s">
        <v>51</v>
      </c>
      <c r="D2028" s="2" t="s">
        <f>=HYPERLINK("https://main.knesset.gov.il/APPS/legislation/main/bills/2227929", "הצעת חוק הסיוע המשפטי (תיקון - העמדת סיוע לנפגע פעולות איבה), התשפ""ה-2025")</f>
        <v>4311</v>
      </c>
      <c r="E2028" t="s">
        <v>4311</v>
      </c>
      <c r="F2028" t="s">
        <v>4312</v>
      </c>
      <c r="G2028" t="s">
        <v>14</v>
      </c>
      <c r="H2028">
             </c>
      <c r="I2028" t="s">
        <v>14</v>
      </c>
      <c r="J2028" t="s">
        <v>242</v>
      </c>
      <c r="K2028" t="s">
        <v>14</v>
      </c>
      <c r="L2028" t="s">
        <v>20</v>
      </c>
      <c r="M2028" t="s">
        <v>4244</v>
      </c>
      <c r="N2028" t="s">
        <v>14</v>
      </c>
    </row>
    <row r="2029" x14ac:dyDescent="0.25">
      <c r="A2029" t="n">
        <v>25</v>
      </c>
      <c r="B2029" t="s">
        <v>14</v>
      </c>
      <c r="C2029" t="s">
        <v>51</v>
      </c>
      <c r="D2029" s="2" t="s">
        <f>=HYPERLINK("https://main.knesset.gov.il/APPS/legislation/main/bills/2227529", "הצעת חוק ועדת חקירה ממלכתית בגין אירועי 7 באוקטובר ומלחמת חרבות ברזל, התשפ""ה-2025")</f>
        <v>4313</v>
      </c>
      <c r="E2029" t="s">
        <v>4313</v>
      </c>
      <c r="F2029" t="s">
        <v>4314</v>
      </c>
      <c r="G2029" t="s">
        <v>14</v>
      </c>
      <c r="H2029">
             </c>
      <c r="I2029" t="s">
        <v>14</v>
      </c>
      <c r="J2029" t="s">
        <v>242</v>
      </c>
      <c r="K2029" t="s">
        <v>14</v>
      </c>
      <c r="L2029" t="s">
        <v>20</v>
      </c>
      <c r="M2029" t="s">
        <v>4244</v>
      </c>
      <c r="N2029" t="s">
        <v>14</v>
      </c>
    </row>
    <row r="2030" x14ac:dyDescent="0.25">
      <c r="A2030" t="n">
        <v>25</v>
      </c>
      <c r="B2030" t="s">
        <v>14</v>
      </c>
      <c r="C2030" t="s">
        <v>15</v>
      </c>
      <c r="D2030" s="2" t="s">
        <f>=HYPERLINK("https://main.knesset.gov.il/APPS/legislation/main/bills/2226258", "חוק הגנה על עובדים בשעת חירום (תיקון מס' 5 והוראת שעה – חרבות ברזל) (תיקון מס' 3), התשפ""ה–2025")</f>
        <v>4315</v>
      </c>
      <c r="E2030" t="s">
        <v>4315</v>
      </c>
      <c r="F2030" t="s">
        <v>14</v>
      </c>
      <c r="G2030" t="s">
        <v>4316</v>
      </c>
      <c r="H2030" t="n">
        <v>3370</v>
      </c>
      <c r="I2030" t="s">
        <v>14</v>
      </c>
      <c r="J2030" t="s">
        <v>18</v>
      </c>
      <c r="K2030" t="s">
        <v>46</v>
      </c>
      <c r="L2030" t="s">
        <v>20</v>
      </c>
      <c r="M2030" t="s">
        <v>4317</v>
      </c>
      <c r="N2030" t="s">
        <v>4318</v>
      </c>
    </row>
    <row r="2031" x14ac:dyDescent="0.25">
      <c r="A2031" t="n">
        <v>25</v>
      </c>
      <c r="B2031" t="s">
        <v>14</v>
      </c>
      <c r="C2031" t="s">
        <v>15</v>
      </c>
      <c r="D2031" s="2" t="s">
        <f>=HYPERLINK("https://main.knesset.gov.il/APPS/legislation/main/bills/2227648", "חוק לתיקון ולהארכת תוקפן של תקנות שעת חירום (חרבות ברזל) (פגישה עם עורך דין של עצור בעבירת ביטחון) (תיקון מס' 5), התשפ""ה-2025 ")</f>
        <v>4319</v>
      </c>
      <c r="E2031" t="s">
        <v>4319</v>
      </c>
      <c r="F2031" t="s">
        <v>14</v>
      </c>
      <c r="G2031" t="s">
        <v>4320</v>
      </c>
      <c r="H2031" t="n">
        <v>3369</v>
      </c>
      <c r="I2031" t="s">
        <v>14</v>
      </c>
      <c r="J2031" t="s">
        <v>18</v>
      </c>
      <c r="K2031" t="s">
        <v>27</v>
      </c>
      <c r="L2031" t="s">
        <v>20</v>
      </c>
      <c r="M2031" t="s">
        <v>4317</v>
      </c>
      <c r="N2031" t="s">
        <v>4321</v>
      </c>
    </row>
    <row r="2032" x14ac:dyDescent="0.25">
      <c r="A2032" t="n">
        <v>25</v>
      </c>
      <c r="B2032" t="s">
        <v>14</v>
      </c>
      <c r="C2032" t="s">
        <v>15</v>
      </c>
      <c r="D2032" s="2" t="s">
        <f>=HYPERLINK("https://main.knesset.gov.il/APPS/legislation/main/bills/2227649", "חוק לתיקון ולהארכת תוקפן של תקנות שעת חירום (חרבות ברזל) (הארכת מעצר לחשוד בעבירת ביטחון) (תיקון מס' 5), התשפ""ה-2025 ")</f>
        <v>4322</v>
      </c>
      <c r="E2032" t="s">
        <v>4322</v>
      </c>
      <c r="F2032" t="s">
        <v>14</v>
      </c>
      <c r="G2032" t="s">
        <v>4323</v>
      </c>
      <c r="H2032" t="n">
        <v>3368</v>
      </c>
      <c r="I2032" t="s">
        <v>14</v>
      </c>
      <c r="J2032" t="s">
        <v>18</v>
      </c>
      <c r="K2032" t="s">
        <v>27</v>
      </c>
      <c r="L2032" t="s">
        <v>20</v>
      </c>
      <c r="M2032" t="s">
        <v>4317</v>
      </c>
      <c r="N2032" t="s">
        <v>4324</v>
      </c>
    </row>
    <row r="2033" x14ac:dyDescent="0.25">
      <c r="A2033" t="n">
        <v>25</v>
      </c>
      <c r="B2033" t="s">
        <v>14</v>
      </c>
      <c r="C2033" t="s">
        <v>51</v>
      </c>
      <c r="D2033" s="2" t="s">
        <f>=HYPERLINK("https://main.knesset.gov.il/APPS/legislation/main/bills/2224146", "הצעת חוק המרכז לגביית קנסות, אגרות והוצאות (תיקון - חובת איתור חייבים), התשפ""ה-2024")</f>
        <v>4325</v>
      </c>
      <c r="E2033" t="s">
        <v>4325</v>
      </c>
      <c r="F2033" t="s">
        <v>4326</v>
      </c>
      <c r="G2033" t="s">
        <v>14</v>
      </c>
      <c r="H2033">
             </c>
      <c r="I2033" t="s">
        <v>14</v>
      </c>
      <c r="J2033" t="s">
        <v>193</v>
      </c>
      <c r="K2033" t="s">
        <v>14</v>
      </c>
      <c r="L2033" t="s">
        <v>20</v>
      </c>
      <c r="M2033" t="s">
        <v>4317</v>
      </c>
      <c r="N2033" t="s">
        <v>14</v>
      </c>
    </row>
    <row r="2034" x14ac:dyDescent="0.25">
      <c r="A2034" t="n">
        <v>25</v>
      </c>
      <c r="B2034" t="s">
        <v>14</v>
      </c>
      <c r="C2034" t="s">
        <v>51</v>
      </c>
      <c r="D2034" s="2" t="s">
        <f>=HYPERLINK("https://main.knesset.gov.il/APPS/legislation/main/bills/2220898", "הצעת חוק נכי רדיפות הנאצים (תיקון - השוואת זכאות לשורדים שעלו אחרי 1 באוקטובר 1953), התשפ""ד-2024")</f>
        <v>4327</v>
      </c>
      <c r="E2034" t="s">
        <v>4327</v>
      </c>
      <c r="F2034" t="s">
        <v>4328</v>
      </c>
      <c r="G2034" t="s">
        <v>14</v>
      </c>
      <c r="H2034">
             </c>
      <c r="I2034" t="s">
        <v>14</v>
      </c>
      <c r="J2034" t="s">
        <v>193</v>
      </c>
      <c r="K2034" t="s">
        <v>14</v>
      </c>
      <c r="L2034" t="s">
        <v>20</v>
      </c>
      <c r="M2034" t="s">
        <v>4317</v>
      </c>
      <c r="N2034" t="s">
        <v>14</v>
      </c>
    </row>
    <row r="2035" x14ac:dyDescent="0.25">
      <c r="A2035" t="n">
        <v>25</v>
      </c>
      <c r="B2035" t="s">
        <v>14</v>
      </c>
      <c r="C2035" t="s">
        <v>51</v>
      </c>
      <c r="D2035" s="2" t="s">
        <f>=HYPERLINK("https://main.knesset.gov.il/APPS/legislation/main/bills/2216043", "הצעת חוק החברות (תיקון - פרסום דוחות כספיים של מונופול), התשפ""ד-2024")</f>
        <v>4329</v>
      </c>
      <c r="E2035" t="s">
        <v>4329</v>
      </c>
      <c r="F2035" t="s">
        <v>4330</v>
      </c>
      <c r="G2035" t="s">
        <v>14</v>
      </c>
      <c r="H2035">
             </c>
      <c r="I2035" t="s">
        <v>14</v>
      </c>
      <c r="J2035" t="s">
        <v>193</v>
      </c>
      <c r="K2035" t="s">
        <v>14</v>
      </c>
      <c r="L2035" t="s">
        <v>20</v>
      </c>
      <c r="M2035" t="s">
        <v>4317</v>
      </c>
      <c r="N2035" t="s">
        <v>14</v>
      </c>
    </row>
    <row r="2036" x14ac:dyDescent="0.25">
      <c r="A2036" t="n">
        <v>25</v>
      </c>
      <c r="B2036" t="s">
        <v>14</v>
      </c>
      <c r="C2036" t="s">
        <v>51</v>
      </c>
      <c r="D2036" s="2" t="s">
        <f>=HYPERLINK("https://main.knesset.gov.il/APPS/legislation/main/bills/2214401", "הצעת חוק חכירה הוגנת, התשפ""ד-2024")</f>
        <v>4331</v>
      </c>
      <c r="E2036" t="s">
        <v>4331</v>
      </c>
      <c r="F2036" t="s">
        <v>4332</v>
      </c>
      <c r="G2036" t="s">
        <v>14</v>
      </c>
      <c r="H2036">
             </c>
      <c r="I2036" t="s">
        <v>14</v>
      </c>
      <c r="J2036" t="s">
        <v>202</v>
      </c>
      <c r="K2036" t="s">
        <v>14</v>
      </c>
      <c r="L2036" t="s">
        <v>20</v>
      </c>
      <c r="M2036" t="s">
        <v>4317</v>
      </c>
      <c r="N2036" t="s">
        <v>14</v>
      </c>
    </row>
    <row r="2037" x14ac:dyDescent="0.25">
      <c r="A2037" t="n">
        <v>25</v>
      </c>
      <c r="B2037" t="s">
        <v>14</v>
      </c>
      <c r="C2037" t="s">
        <v>51</v>
      </c>
      <c r="D2037" s="2" t="s">
        <f>=HYPERLINK("https://main.knesset.gov.il/APPS/legislation/main/bills/2209843", "הצעת חוק-יסוד: הכנסת (תיקון - ייצוג מינימלי לשני המינים ברשימת מועמדים לכנסת)")</f>
        <v>2068</v>
      </c>
      <c r="E2037" t="s">
        <v>2068</v>
      </c>
      <c r="F2037" t="s">
        <v>4333</v>
      </c>
      <c r="G2037" t="s">
        <v>14</v>
      </c>
      <c r="H2037">
             </c>
      <c r="I2037" t="s">
        <v>14</v>
      </c>
      <c r="J2037" t="s">
        <v>193</v>
      </c>
      <c r="K2037" t="s">
        <v>14</v>
      </c>
      <c r="L2037" t="s">
        <v>20</v>
      </c>
      <c r="M2037" t="s">
        <v>4317</v>
      </c>
      <c r="N2037" t="s">
        <v>14</v>
      </c>
    </row>
    <row r="2038" x14ac:dyDescent="0.25">
      <c r="A2038" t="n">
        <v>25</v>
      </c>
      <c r="B2038" t="s">
        <v>14</v>
      </c>
      <c r="C2038" t="s">
        <v>51</v>
      </c>
      <c r="D2038" s="2" t="s">
        <f>=HYPERLINK("https://main.knesset.gov.il/APPS/legislation/main/bills/2208304", "הצעת חוק-יסוד: הכנסת (תיקון - ייצוג הולם לנשים ברשימת מועמדים לכנסת)")</f>
        <v>292</v>
      </c>
      <c r="E2038" t="s">
        <v>292</v>
      </c>
      <c r="F2038" t="s">
        <v>4334</v>
      </c>
      <c r="G2038" t="s">
        <v>14</v>
      </c>
      <c r="H2038">
             </c>
      <c r="I2038" t="s">
        <v>14</v>
      </c>
      <c r="J2038" t="s">
        <v>193</v>
      </c>
      <c r="K2038" t="s">
        <v>14</v>
      </c>
      <c r="L2038" t="s">
        <v>20</v>
      </c>
      <c r="M2038" t="s">
        <v>4317</v>
      </c>
      <c r="N2038" t="s">
        <v>14</v>
      </c>
    </row>
    <row r="2039" x14ac:dyDescent="0.25">
      <c r="A2039" t="n">
        <v>25</v>
      </c>
      <c r="B2039" t="s">
        <v>14</v>
      </c>
      <c r="C2039" t="s">
        <v>51</v>
      </c>
      <c r="D2039" s="2" t="s">
        <f>=HYPERLINK("https://main.knesset.gov.il/APPS/legislation/main/bills/2198906", "הצעת חוק העונשין (תיקון - החמרת ענישה בעבירות החזקת נשק שלא כדין), התשפ""ג-2023")</f>
        <v>4335</v>
      </c>
      <c r="E2039" t="s">
        <v>4335</v>
      </c>
      <c r="F2039" t="s">
        <v>4336</v>
      </c>
      <c r="G2039" t="s">
        <v>14</v>
      </c>
      <c r="H2039">
             </c>
      <c r="I2039" t="s">
        <v>14</v>
      </c>
      <c r="J2039" t="s">
        <v>193</v>
      </c>
      <c r="K2039" t="s">
        <v>14</v>
      </c>
      <c r="L2039" t="s">
        <v>20</v>
      </c>
      <c r="M2039" t="s">
        <v>4317</v>
      </c>
      <c r="N2039" t="s">
        <v>14</v>
      </c>
    </row>
    <row r="2040" x14ac:dyDescent="0.25">
      <c r="A2040" t="n">
        <v>25</v>
      </c>
      <c r="B2040" t="s">
        <v>14</v>
      </c>
      <c r="C2040" t="s">
        <v>51</v>
      </c>
      <c r="D2040" s="2" t="s">
        <f>=HYPERLINK("https://main.knesset.gov.il/APPS/legislation/main/bills/2224080", "הצעת חוק העונשין (תיקון - הגנה על חושפי שחיתויות ומתריעים בנסיבות ביטחוניות), התשפ""ה-2024")</f>
        <v>4337</v>
      </c>
      <c r="E2040" t="s">
        <v>4337</v>
      </c>
      <c r="F2040" t="s">
        <v>4338</v>
      </c>
      <c r="G2040" t="s">
        <v>14</v>
      </c>
      <c r="H2040">
             </c>
      <c r="I2040" t="s">
        <v>14</v>
      </c>
      <c r="J2040" t="s">
        <v>152</v>
      </c>
      <c r="K2040" t="s">
        <v>39</v>
      </c>
      <c r="L2040" t="s">
        <v>20</v>
      </c>
      <c r="M2040" t="s">
        <v>4339</v>
      </c>
      <c r="N2040" t="s">
        <v>14</v>
      </c>
    </row>
    <row r="2041" x14ac:dyDescent="0.25">
      <c r="A2041" t="n">
        <v>25</v>
      </c>
      <c r="B2041" t="s">
        <v>14</v>
      </c>
      <c r="C2041" t="s">
        <v>51</v>
      </c>
      <c r="D2041" s="2" t="s">
        <f>=HYPERLINK("https://main.knesset.gov.il/APPS/legislation/main/bills/2202978", "הצעת חוק יום ציון ממלכתי לוועידת סן רמו, התשפ""ג-2023")</f>
        <v>4340</v>
      </c>
      <c r="E2041" t="s">
        <v>4340</v>
      </c>
      <c r="F2041" t="s">
        <v>4341</v>
      </c>
      <c r="G2041" t="s">
        <v>14</v>
      </c>
      <c r="H2041">
             </c>
      <c r="I2041" t="s">
        <v>14</v>
      </c>
      <c r="J2041" t="s">
        <v>152</v>
      </c>
      <c r="K2041" t="s">
        <v>79</v>
      </c>
      <c r="L2041" t="s">
        <v>20</v>
      </c>
      <c r="M2041" t="s">
        <v>4339</v>
      </c>
      <c r="N2041" t="s">
        <v>14</v>
      </c>
    </row>
    <row r="2042" x14ac:dyDescent="0.25">
      <c r="A2042" t="n">
        <v>25</v>
      </c>
      <c r="B2042" t="s">
        <v>14</v>
      </c>
      <c r="C2042" t="s">
        <v>51</v>
      </c>
      <c r="D2042" s="2" t="s">
        <f>=HYPERLINK("https://main.knesset.gov.il/APPS/legislation/main/bills/2200544", "הצעת חוק יום ציון ממלכתי לוועידת סן רמו, התשפ''ג-2023")</f>
        <v>4342</v>
      </c>
      <c r="E2042" t="s">
        <v>4342</v>
      </c>
      <c r="F2042" t="s">
        <v>4343</v>
      </c>
      <c r="G2042" t="s">
        <v>14</v>
      </c>
      <c r="H2042">
             </c>
      <c r="I2042" t="s">
        <v>14</v>
      </c>
      <c r="J2042" t="s">
        <v>152</v>
      </c>
      <c r="K2042" t="s">
        <v>79</v>
      </c>
      <c r="L2042" t="s">
        <v>20</v>
      </c>
      <c r="M2042" t="s">
        <v>4339</v>
      </c>
      <c r="N2042" t="s">
        <v>14</v>
      </c>
    </row>
    <row r="2043" x14ac:dyDescent="0.25">
      <c r="A2043" t="n">
        <v>25</v>
      </c>
      <c r="B2043" t="s">
        <v>14</v>
      </c>
      <c r="C2043" t="s">
        <v>15</v>
      </c>
      <c r="D2043" s="2" t="s">
        <f>=HYPERLINK("https://main.knesset.gov.il/APPS/legislation/main/bills/2227189", "פרק ג' (גבייה) מתוך הצעת חוק התוכנית הכלכלית (תיקוני חקיקה ליישום המדיניות הכלכלית לשנת התקציב 2025), התשפ""ה-2024 ")</f>
        <v>4344</v>
      </c>
      <c r="E2043" t="s">
        <v>4344</v>
      </c>
      <c r="F2043" t="s">
        <v>14</v>
      </c>
      <c r="G2043" t="s">
        <v>237</v>
      </c>
      <c r="H2043">
             </c>
      <c r="I2043" t="s">
        <v>14</v>
      </c>
      <c r="J2043" t="s">
        <v>183</v>
      </c>
      <c r="K2043" t="s">
        <v>42</v>
      </c>
      <c r="L2043" t="s">
        <v>20</v>
      </c>
      <c r="M2043" t="s">
        <v>4339</v>
      </c>
      <c r="N2043" t="s">
        <v>14</v>
      </c>
    </row>
    <row r="2044" x14ac:dyDescent="0.25">
      <c r="A2044" t="n">
        <v>25</v>
      </c>
      <c r="B2044" t="s">
        <v>14</v>
      </c>
      <c r="C2044" t="s">
        <v>51</v>
      </c>
      <c r="D2044" s="2" t="s">
        <f>=HYPERLINK("https://main.knesset.gov.il/APPS/legislation/main/bills/2215477", "הצעת חוק גיל פרישה (הורה שילדו נפטר) (הוראת שעה) (תיקון - הפיכת הוראת שעה להוראה קבועה), התשפ""ד-2024")</f>
        <v>4345</v>
      </c>
      <c r="E2044" t="s">
        <v>4345</v>
      </c>
      <c r="F2044" t="s">
        <v>4346</v>
      </c>
      <c r="G2044" t="s">
        <v>14</v>
      </c>
      <c r="H2044">
             </c>
      <c r="I2044" t="s">
        <v>14</v>
      </c>
      <c r="J2044" t="s">
        <v>183</v>
      </c>
      <c r="K2044" t="s">
        <v>46</v>
      </c>
      <c r="L2044" t="s">
        <v>20</v>
      </c>
      <c r="M2044" t="s">
        <v>4339</v>
      </c>
      <c r="N2044" t="s">
        <v>14</v>
      </c>
    </row>
    <row r="2045" x14ac:dyDescent="0.25">
      <c r="A2045" t="n">
        <v>25</v>
      </c>
      <c r="B2045" t="s">
        <v>14</v>
      </c>
      <c r="C2045" t="s">
        <v>15</v>
      </c>
      <c r="D2045" s="2" t="s">
        <f>=HYPERLINK("https://main.knesset.gov.il/APPS/legislation/main/bills/2227200", "סעיפים 9(11) ו-11(2) (היטלי פיתוח) מתוך הצעת חוק התוכנית הכלכלית (תיקוני חקיקה ליישום המדיניות הכלכלית לשנת התקציב 2025), התשפ""ה-2024 [פוצל לפי סעיף 84(ב) לתקנון] ")</f>
        <v>4347</v>
      </c>
      <c r="E2045" t="s">
        <v>4347</v>
      </c>
      <c r="F2045" t="s">
        <v>14</v>
      </c>
      <c r="G2045" t="s">
        <v>237</v>
      </c>
      <c r="H2045">
             </c>
      <c r="I2045" t="s">
        <v>14</v>
      </c>
      <c r="J2045" t="s">
        <v>38</v>
      </c>
      <c r="K2045" t="s">
        <v>30</v>
      </c>
      <c r="L2045" t="s">
        <v>20</v>
      </c>
      <c r="M2045" t="s">
        <v>4339</v>
      </c>
      <c r="N2045" t="s">
        <v>14</v>
      </c>
    </row>
    <row r="2046" x14ac:dyDescent="0.25">
      <c r="A2046" t="n">
        <v>25</v>
      </c>
      <c r="B2046" t="s">
        <v>14</v>
      </c>
      <c r="C2046" t="s">
        <v>51</v>
      </c>
      <c r="D2046" s="2" t="s">
        <f>=HYPERLINK("https://main.knesset.gov.il/APPS/legislation/main/bills/2220657", "חוק יום לציון עליית יהודי תימן לישראל ולהנצחת זכרם של הנספים בדרך לישראל, התשפ""ה–2025")</f>
        <v>4348</v>
      </c>
      <c r="E2046" t="s">
        <v>4348</v>
      </c>
      <c r="F2046" t="s">
        <v>4349</v>
      </c>
      <c r="G2046" t="s">
        <v>4350</v>
      </c>
      <c r="H2046" t="n">
        <v>3367</v>
      </c>
      <c r="I2046" t="s">
        <v>14</v>
      </c>
      <c r="J2046" t="s">
        <v>18</v>
      </c>
      <c r="K2046" t="s">
        <v>79</v>
      </c>
      <c r="L2046" t="s">
        <v>20</v>
      </c>
      <c r="M2046" t="s">
        <v>4339</v>
      </c>
      <c r="N2046" t="s">
        <v>4351</v>
      </c>
    </row>
    <row r="2047" x14ac:dyDescent="0.25">
      <c r="A2047" t="n">
        <v>25</v>
      </c>
      <c r="B2047" t="s">
        <v>14</v>
      </c>
      <c r="C2047" t="s">
        <v>51</v>
      </c>
      <c r="D2047" s="2" t="s">
        <f>=HYPERLINK("https://main.knesset.gov.il/APPS/legislation/main/bills/2216361", "הצעת חוק הביטוח הלאומי (תיקון מס' 254) (מועד תשלום דמי לידה), התשפ""ה-2024")</f>
        <v>4352</v>
      </c>
      <c r="E2047" t="s">
        <v>4352</v>
      </c>
      <c r="F2047" t="s">
        <v>4353</v>
      </c>
      <c r="G2047" t="s">
        <v>4354</v>
      </c>
      <c r="H2047">
             </c>
      <c r="I2047" t="s">
        <v>14</v>
      </c>
      <c r="J2047" t="s">
        <v>38</v>
      </c>
      <c r="K2047" t="s">
        <v>46</v>
      </c>
      <c r="L2047" t="s">
        <v>20</v>
      </c>
      <c r="M2047" t="s">
        <v>4339</v>
      </c>
      <c r="N2047" t="s">
        <v>14</v>
      </c>
    </row>
    <row r="2048" x14ac:dyDescent="0.25">
      <c r="A2048" t="n">
        <v>25</v>
      </c>
      <c r="B2048" t="s">
        <v>14</v>
      </c>
      <c r="C2048" t="s">
        <v>51</v>
      </c>
      <c r="D2048" s="2" t="s">
        <f>=HYPERLINK("https://main.knesset.gov.il/APPS/legislation/main/bills/2214887", "חוק הגנת הצרכן (תיקון מס' 70), התשפ""ד–2024")</f>
        <v>4355</v>
      </c>
      <c r="E2048" t="s">
        <v>4355</v>
      </c>
      <c r="F2048" t="s">
        <v>4356</v>
      </c>
      <c r="G2048" t="s">
        <v>4357</v>
      </c>
      <c r="H2048" t="n">
        <v>3239</v>
      </c>
      <c r="I2048" t="s">
        <v>14</v>
      </c>
      <c r="J2048" t="s">
        <v>18</v>
      </c>
      <c r="K2048" t="s">
        <v>84</v>
      </c>
      <c r="L2048" t="s">
        <v>20</v>
      </c>
      <c r="M2048" t="s">
        <v>4358</v>
      </c>
      <c r="N2048" t="s">
        <v>4359</v>
      </c>
    </row>
    <row r="2049" x14ac:dyDescent="0.25">
      <c r="A2049" t="n">
        <v>25</v>
      </c>
      <c r="B2049" t="s">
        <v>14</v>
      </c>
      <c r="C2049" t="s">
        <v>51</v>
      </c>
      <c r="D2049" s="2" t="s">
        <f>=HYPERLINK("https://main.knesset.gov.il/APPS/legislation/main/bills/2226650", "הצעת חוק לקביעת תקציב למרכזי ההנצחה - מרכז בגין, מרכז רבין ומכון למורשת בן-גוריון (תיקוני חקיקה), התשפ""ה-2025")</f>
        <v>4360</v>
      </c>
      <c r="E2049" t="s">
        <v>4360</v>
      </c>
      <c r="F2049" t="s">
        <v>4361</v>
      </c>
      <c r="G2049" t="s">
        <v>14</v>
      </c>
      <c r="H2049">
             </c>
      <c r="I2049" t="s">
        <v>14</v>
      </c>
      <c r="J2049" t="s">
        <v>242</v>
      </c>
      <c r="K2049" t="s">
        <v>14</v>
      </c>
      <c r="L2049" t="s">
        <v>20</v>
      </c>
      <c r="M2049" t="s">
        <v>4358</v>
      </c>
      <c r="N2049" t="s">
        <v>14</v>
      </c>
    </row>
    <row r="2050" x14ac:dyDescent="0.25">
      <c r="A2050" t="n">
        <v>25</v>
      </c>
      <c r="B2050" t="s">
        <v>14</v>
      </c>
      <c r="C2050" t="s">
        <v>51</v>
      </c>
      <c r="D2050" s="2" t="s">
        <f>=HYPERLINK("https://main.knesset.gov.il/APPS/legislation/main/bills/2227475", "הצעת חוק מניעת סיוע הומניטרי לאויב, התשפ""ה-2025")</f>
        <v>4362</v>
      </c>
      <c r="E2050" t="s">
        <v>4362</v>
      </c>
      <c r="F2050" t="s">
        <v>4363</v>
      </c>
      <c r="G2050" t="s">
        <v>14</v>
      </c>
      <c r="H2050">
             </c>
      <c r="I2050" t="s">
        <v>14</v>
      </c>
      <c r="J2050" t="s">
        <v>242</v>
      </c>
      <c r="K2050" t="s">
        <v>14</v>
      </c>
      <c r="L2050" t="s">
        <v>20</v>
      </c>
      <c r="M2050" t="s">
        <v>4358</v>
      </c>
      <c r="N2050" t="s">
        <v>14</v>
      </c>
    </row>
    <row r="2051" x14ac:dyDescent="0.25">
      <c r="A2051" t="n">
        <v>25</v>
      </c>
      <c r="B2051" t="s">
        <v>14</v>
      </c>
      <c r="C2051" t="s">
        <v>51</v>
      </c>
      <c r="D2051" s="2" t="s">
        <f>=HYPERLINK("https://main.knesset.gov.il/APPS/legislation/main/bills/2227763", "הצעת חוק טיפול בפעוט עם מוגבלות (תיקוני חקיקה), התשפ""ה-2025")</f>
        <v>2933</v>
      </c>
      <c r="E2051" t="s">
        <v>2933</v>
      </c>
      <c r="F2051" t="s">
        <v>4364</v>
      </c>
      <c r="G2051" t="s">
        <v>14</v>
      </c>
      <c r="H2051">
             </c>
      <c r="I2051" t="s">
        <v>14</v>
      </c>
      <c r="J2051" t="s">
        <v>242</v>
      </c>
      <c r="K2051" t="s">
        <v>14</v>
      </c>
      <c r="L2051" t="s">
        <v>20</v>
      </c>
      <c r="M2051" t="s">
        <v>4358</v>
      </c>
      <c r="N2051" t="s">
        <v>14</v>
      </c>
    </row>
    <row r="2052" x14ac:dyDescent="0.25">
      <c r="A2052" t="n">
        <v>25</v>
      </c>
      <c r="B2052" t="s">
        <v>14</v>
      </c>
      <c r="C2052" t="s">
        <v>51</v>
      </c>
      <c r="D2052" s="2" t="s">
        <f>=HYPERLINK("https://main.knesset.gov.il/APPS/legislation/main/bills/2227725", "הצעת חוק הביטוח הלאומי (תיקון - דמי לידה לעצמאיות - מתן זכות לעבודה חלקית), התשפ""ה-2025")</f>
        <v>1751</v>
      </c>
      <c r="E2052" t="s">
        <v>1751</v>
      </c>
      <c r="F2052" t="s">
        <v>4365</v>
      </c>
      <c r="G2052" t="s">
        <v>14</v>
      </c>
      <c r="H2052">
             </c>
      <c r="I2052" t="s">
        <v>14</v>
      </c>
      <c r="J2052" t="s">
        <v>242</v>
      </c>
      <c r="K2052" t="s">
        <v>14</v>
      </c>
      <c r="L2052" t="s">
        <v>20</v>
      </c>
      <c r="M2052" t="s">
        <v>4358</v>
      </c>
      <c r="N2052" t="s">
        <v>14</v>
      </c>
    </row>
    <row r="2053" x14ac:dyDescent="0.25">
      <c r="A2053" t="n">
        <v>25</v>
      </c>
      <c r="B2053" t="s">
        <v>14</v>
      </c>
      <c r="C2053" t="s">
        <v>51</v>
      </c>
      <c r="D2053" s="2" t="s">
        <f>=HYPERLINK("https://main.knesset.gov.il/APPS/legislation/main/bills/2226950", "הצעת חוק הביטוח הלאומי (תיקון - מטרות המוסד, מינוי מנהל ופיקוח פרלמנטרי על מאזן ודוח כספי), התשפ""ה-2025")</f>
        <v>4366</v>
      </c>
      <c r="E2053" t="s">
        <v>4366</v>
      </c>
      <c r="F2053" t="s">
        <v>4367</v>
      </c>
      <c r="G2053" t="s">
        <v>14</v>
      </c>
      <c r="H2053">
             </c>
      <c r="I2053" t="s">
        <v>14</v>
      </c>
      <c r="J2053" t="s">
        <v>242</v>
      </c>
      <c r="K2053" t="s">
        <v>14</v>
      </c>
      <c r="L2053" t="s">
        <v>20</v>
      </c>
      <c r="M2053" t="s">
        <v>4358</v>
      </c>
      <c r="N2053" t="s">
        <v>14</v>
      </c>
    </row>
    <row r="2054" x14ac:dyDescent="0.25">
      <c r="A2054" t="n">
        <v>25</v>
      </c>
      <c r="B2054" t="s">
        <v>14</v>
      </c>
      <c r="C2054" t="s">
        <v>51</v>
      </c>
      <c r="D2054" s="2" t="s">
        <f>=HYPERLINK("https://main.knesset.gov.il/APPS/legislation/main/bills/2227764", "הצעת חוק הביטוח הלאומי (תיקון - תיאום דמי ביטוח), התשפ""ה-2025")</f>
        <v>2937</v>
      </c>
      <c r="E2054" t="s">
        <v>2937</v>
      </c>
      <c r="F2054" t="s">
        <v>4368</v>
      </c>
      <c r="G2054" t="s">
        <v>14</v>
      </c>
      <c r="H2054">
             </c>
      <c r="I2054" t="s">
        <v>14</v>
      </c>
      <c r="J2054" t="s">
        <v>242</v>
      </c>
      <c r="K2054" t="s">
        <v>14</v>
      </c>
      <c r="L2054" t="s">
        <v>20</v>
      </c>
      <c r="M2054" t="s">
        <v>4358</v>
      </c>
      <c r="N2054" t="s">
        <v>14</v>
      </c>
    </row>
    <row r="2055" x14ac:dyDescent="0.25">
      <c r="A2055" t="n">
        <v>25</v>
      </c>
      <c r="B2055" t="s">
        <v>14</v>
      </c>
      <c r="C2055" t="s">
        <v>51</v>
      </c>
      <c r="D2055" s="2" t="s">
        <f>=HYPERLINK("https://main.knesset.gov.il/APPS/legislation/main/bills/2227640", "הצעת חוק עובדים זרים (תיקון - אי-תחולת הסדר פנסיוני על עובד זר המועסק אצל יחיד בענף הסיעוד), התשפ""ה-2025")</f>
        <v>4369</v>
      </c>
      <c r="E2055" t="s">
        <v>4369</v>
      </c>
      <c r="F2055" t="s">
        <v>4370</v>
      </c>
      <c r="G2055" t="s">
        <v>14</v>
      </c>
      <c r="H2055">
             </c>
      <c r="I2055" t="s">
        <v>14</v>
      </c>
      <c r="J2055" t="s">
        <v>242</v>
      </c>
      <c r="K2055" t="s">
        <v>14</v>
      </c>
      <c r="L2055" t="s">
        <v>20</v>
      </c>
      <c r="M2055" t="s">
        <v>4358</v>
      </c>
      <c r="N2055" t="s">
        <v>14</v>
      </c>
    </row>
    <row r="2056" x14ac:dyDescent="0.25">
      <c r="A2056" t="n">
        <v>25</v>
      </c>
      <c r="B2056" t="s">
        <v>14</v>
      </c>
      <c r="C2056" t="s">
        <v>51</v>
      </c>
      <c r="D2056" s="2" t="s">
        <f>=HYPERLINK("https://main.knesset.gov.il/APPS/legislation/main/bills/2224686", "הצעת חוק הגנה על מתחם הר הבית, התשפ""ה-2025")</f>
        <v>4371</v>
      </c>
      <c r="E2056" t="s">
        <v>4371</v>
      </c>
      <c r="F2056" t="s">
        <v>4372</v>
      </c>
      <c r="G2056" t="s">
        <v>14</v>
      </c>
      <c r="H2056">
             </c>
      <c r="I2056" t="s">
        <v>14</v>
      </c>
      <c r="J2056" t="s">
        <v>242</v>
      </c>
      <c r="K2056" t="s">
        <v>14</v>
      </c>
      <c r="L2056" t="s">
        <v>20</v>
      </c>
      <c r="M2056" t="s">
        <v>4358</v>
      </c>
      <c r="N2056" t="s">
        <v>14</v>
      </c>
    </row>
    <row r="2057" x14ac:dyDescent="0.25">
      <c r="A2057" t="n">
        <v>25</v>
      </c>
      <c r="B2057" t="s">
        <v>14</v>
      </c>
      <c r="C2057" t="s">
        <v>51</v>
      </c>
      <c r="D2057" s="2" t="s">
        <f>=HYPERLINK("https://main.knesset.gov.il/APPS/legislation/main/bills/2227743", "הצעת חוק עידוד שירות צבאי, לאומי או לאומי-אזרחי במוסדות להשכלה גבוהה, התשפ""ה-2025")</f>
        <v>4373</v>
      </c>
      <c r="E2057" t="s">
        <v>4373</v>
      </c>
      <c r="F2057" t="s">
        <v>4374</v>
      </c>
      <c r="G2057" t="s">
        <v>14</v>
      </c>
      <c r="H2057">
             </c>
      <c r="I2057" t="s">
        <v>14</v>
      </c>
      <c r="J2057" t="s">
        <v>242</v>
      </c>
      <c r="K2057" t="s">
        <v>14</v>
      </c>
      <c r="L2057" t="s">
        <v>20</v>
      </c>
      <c r="M2057" t="s">
        <v>4358</v>
      </c>
      <c r="N2057" t="s">
        <v>14</v>
      </c>
    </row>
    <row r="2058" x14ac:dyDescent="0.25">
      <c r="A2058" t="n">
        <v>25</v>
      </c>
      <c r="B2058" t="s">
        <v>14</v>
      </c>
      <c r="C2058" t="s">
        <v>51</v>
      </c>
      <c r="D2058" s="2" t="s">
        <f>=HYPERLINK("https://main.knesset.gov.il/APPS/legislation/main/bills/2227061", "הצעת חוק יסוד: רמת הגולן")</f>
        <v>4375</v>
      </c>
      <c r="E2058" t="s">
        <v>4375</v>
      </c>
      <c r="F2058" t="s">
        <v>4376</v>
      </c>
      <c r="G2058" t="s">
        <v>14</v>
      </c>
      <c r="H2058">
             </c>
      <c r="I2058" t="s">
        <v>14</v>
      </c>
      <c r="J2058" t="s">
        <v>242</v>
      </c>
      <c r="K2058" t="s">
        <v>14</v>
      </c>
      <c r="L2058" t="s">
        <v>20</v>
      </c>
      <c r="M2058" t="s">
        <v>4358</v>
      </c>
      <c r="N2058" t="s">
        <v>14</v>
      </c>
    </row>
    <row r="2059" x14ac:dyDescent="0.25">
      <c r="A2059" t="n">
        <v>25</v>
      </c>
      <c r="B2059" t="s">
        <v>14</v>
      </c>
      <c r="C2059" t="s">
        <v>51</v>
      </c>
      <c r="D2059" s="2" t="s">
        <f>=HYPERLINK("https://main.knesset.gov.il/APPS/legislation/main/bills/2227582", "הצעת חוק לעידוד השקעות הון (תיקון - פעילות ייצורית הכוללת אריזה), התשפ""ה-2025")</f>
        <v>4377</v>
      </c>
      <c r="E2059" t="s">
        <v>4377</v>
      </c>
      <c r="F2059" t="s">
        <v>4378</v>
      </c>
      <c r="G2059" t="s">
        <v>14</v>
      </c>
      <c r="H2059">
             </c>
      <c r="I2059" t="s">
        <v>14</v>
      </c>
      <c r="J2059" t="s">
        <v>242</v>
      </c>
      <c r="K2059" t="s">
        <v>14</v>
      </c>
      <c r="L2059" t="s">
        <v>20</v>
      </c>
      <c r="M2059" t="s">
        <v>4358</v>
      </c>
      <c r="N2059" t="s">
        <v>14</v>
      </c>
    </row>
    <row r="2060" x14ac:dyDescent="0.25">
      <c r="A2060" t="n">
        <v>25</v>
      </c>
      <c r="B2060" t="s">
        <v>14</v>
      </c>
      <c r="C2060" t="s">
        <v>51</v>
      </c>
      <c r="D2060" s="2" t="s">
        <f>=HYPERLINK("https://main.knesset.gov.il/APPS/legislation/main/bills/2224864", "הצעת חוק לצמצום הריכוזיות בענף הפרסום במדיה, התשפ""ה-2025")</f>
        <v>4379</v>
      </c>
      <c r="E2060" t="s">
        <v>4379</v>
      </c>
      <c r="F2060" t="s">
        <v>4380</v>
      </c>
      <c r="G2060" t="s">
        <v>14</v>
      </c>
      <c r="H2060">
             </c>
      <c r="I2060" t="s">
        <v>14</v>
      </c>
      <c r="J2060" t="s">
        <v>242</v>
      </c>
      <c r="K2060" t="s">
        <v>14</v>
      </c>
      <c r="L2060" t="s">
        <v>20</v>
      </c>
      <c r="M2060" t="s">
        <v>4358</v>
      </c>
      <c r="N2060" t="s">
        <v>14</v>
      </c>
    </row>
    <row r="2061" x14ac:dyDescent="0.25">
      <c r="A2061" t="n">
        <v>25</v>
      </c>
      <c r="B2061" t="s">
        <v>14</v>
      </c>
      <c r="C2061" t="s">
        <v>51</v>
      </c>
      <c r="D2061" s="2" t="s">
        <f>=HYPERLINK("https://main.knesset.gov.il/APPS/legislation/main/bills/2224893", "הצעת חוק שירותי תעופה (פיצוי וסיוע בשל ביטול טיסה או שינוי בתנאיה) (תיקון - התאמת השירות והפיצוי לצורכי הלקוח), התשפ""ה-2025")</f>
        <v>4381</v>
      </c>
      <c r="E2061" t="s">
        <v>4381</v>
      </c>
      <c r="F2061" t="s">
        <v>4382</v>
      </c>
      <c r="G2061" t="s">
        <v>14</v>
      </c>
      <c r="H2061">
             </c>
      <c r="I2061" t="s">
        <v>14</v>
      </c>
      <c r="J2061" t="s">
        <v>242</v>
      </c>
      <c r="K2061" t="s">
        <v>14</v>
      </c>
      <c r="L2061" t="s">
        <v>20</v>
      </c>
      <c r="M2061" t="s">
        <v>4358</v>
      </c>
      <c r="N2061" t="s">
        <v>14</v>
      </c>
    </row>
    <row r="2062" x14ac:dyDescent="0.25">
      <c r="A2062" t="n">
        <v>25</v>
      </c>
      <c r="B2062" t="s">
        <v>14</v>
      </c>
      <c r="C2062" t="s">
        <v>51</v>
      </c>
      <c r="D2062" s="2" t="s">
        <f>=HYPERLINK("https://main.knesset.gov.il/APPS/legislation/main/bills/2227677", "הצעת חוק הבנקאות (שירות ללקוח) (תיקון - הודעה ללקוח בדבר הטלת עיקול על חשבונו), התשפ""ה-2025")</f>
        <v>4383</v>
      </c>
      <c r="E2062" t="s">
        <v>4383</v>
      </c>
      <c r="F2062" t="s">
        <v>4384</v>
      </c>
      <c r="G2062" t="s">
        <v>14</v>
      </c>
      <c r="H2062">
             </c>
      <c r="I2062" t="s">
        <v>14</v>
      </c>
      <c r="J2062" t="s">
        <v>242</v>
      </c>
      <c r="K2062" t="s">
        <v>14</v>
      </c>
      <c r="L2062" t="s">
        <v>20</v>
      </c>
      <c r="M2062" t="s">
        <v>4358</v>
      </c>
      <c r="N2062" t="s">
        <v>14</v>
      </c>
    </row>
    <row r="2063" x14ac:dyDescent="0.25">
      <c r="A2063" t="n">
        <v>25</v>
      </c>
      <c r="B2063" t="s">
        <v>14</v>
      </c>
      <c r="C2063" t="s">
        <v>51</v>
      </c>
      <c r="D2063" s="2" t="s">
        <f>=HYPERLINK("https://main.knesset.gov.il/APPS/legislation/main/bills/2226349", "הצעת חוק עידוד עזיבה מרצון של תושבי חבל עזה, התשפ""ה-2025")</f>
        <v>3597</v>
      </c>
      <c r="E2063" t="s">
        <v>3597</v>
      </c>
      <c r="F2063" t="s">
        <v>4385</v>
      </c>
      <c r="G2063" t="s">
        <v>14</v>
      </c>
      <c r="H2063">
             </c>
      <c r="I2063" t="s">
        <v>14</v>
      </c>
      <c r="J2063" t="s">
        <v>242</v>
      </c>
      <c r="K2063" t="s">
        <v>14</v>
      </c>
      <c r="L2063" t="s">
        <v>20</v>
      </c>
      <c r="M2063" t="s">
        <v>4358</v>
      </c>
      <c r="N2063" t="s">
        <v>14</v>
      </c>
    </row>
    <row r="2064" x14ac:dyDescent="0.25">
      <c r="A2064" t="n">
        <v>25</v>
      </c>
      <c r="B2064" t="s">
        <v>14</v>
      </c>
      <c r="C2064" t="s">
        <v>51</v>
      </c>
      <c r="D2064" s="2" t="s">
        <f>=HYPERLINK("https://main.knesset.gov.il/APPS/legislation/main/bills/2227716", "הצעת חוק הפיקוח הפרלמנטרי, התשפ""ה-2025")</f>
        <v>4386</v>
      </c>
      <c r="E2064" t="s">
        <v>4386</v>
      </c>
      <c r="F2064" t="s">
        <v>4387</v>
      </c>
      <c r="G2064" t="s">
        <v>14</v>
      </c>
      <c r="H2064">
             </c>
      <c r="I2064" t="s">
        <v>14</v>
      </c>
      <c r="J2064" t="s">
        <v>242</v>
      </c>
      <c r="K2064" t="s">
        <v>14</v>
      </c>
      <c r="L2064" t="s">
        <v>20</v>
      </c>
      <c r="M2064" t="s">
        <v>4358</v>
      </c>
      <c r="N2064" t="s">
        <v>14</v>
      </c>
    </row>
    <row r="2065" x14ac:dyDescent="0.25">
      <c r="A2065" t="n">
        <v>25</v>
      </c>
      <c r="B2065" t="s">
        <v>14</v>
      </c>
      <c r="C2065" t="s">
        <v>51</v>
      </c>
      <c r="D2065" s="2" t="s">
        <f>=HYPERLINK("https://main.knesset.gov.il/APPS/legislation/main/bills/2227726", "הצעת חוק-יסוד: זכויות בהליך פלילי")</f>
        <v>2610</v>
      </c>
      <c r="E2065" t="s">
        <v>2610</v>
      </c>
      <c r="F2065" t="s">
        <v>4388</v>
      </c>
      <c r="G2065" t="s">
        <v>14</v>
      </c>
      <c r="H2065">
             </c>
      <c r="I2065" t="s">
        <v>14</v>
      </c>
      <c r="J2065" t="s">
        <v>242</v>
      </c>
      <c r="K2065" t="s">
        <v>14</v>
      </c>
      <c r="L2065" t="s">
        <v>20</v>
      </c>
      <c r="M2065" t="s">
        <v>4358</v>
      </c>
      <c r="N2065" t="s">
        <v>14</v>
      </c>
    </row>
    <row r="2066" x14ac:dyDescent="0.25">
      <c r="A2066" t="n">
        <v>25</v>
      </c>
      <c r="B2066" t="s">
        <v>14</v>
      </c>
      <c r="C2066" t="s">
        <v>51</v>
      </c>
      <c r="D2066" s="2" t="s">
        <f>=HYPERLINK("https://main.knesset.gov.il/APPS/legislation/main/bills/2227632", "הצעת חוק תגמולים לבני משפחה של חטופים ונעדרים בפעולת איבה (תיקון - זכאות לאחר חזרת חטוף או נעדר), התשפ""ה-2025")</f>
        <v>4209</v>
      </c>
      <c r="E2066" t="s">
        <v>4209</v>
      </c>
      <c r="F2066" t="s">
        <v>4389</v>
      </c>
      <c r="G2066" t="s">
        <v>14</v>
      </c>
      <c r="H2066">
             </c>
      <c r="I2066" t="s">
        <v>14</v>
      </c>
      <c r="J2066" t="s">
        <v>242</v>
      </c>
      <c r="K2066" t="s">
        <v>14</v>
      </c>
      <c r="L2066" t="s">
        <v>20</v>
      </c>
      <c r="M2066" t="s">
        <v>4358</v>
      </c>
      <c r="N2066" t="s">
        <v>14</v>
      </c>
    </row>
    <row r="2067" x14ac:dyDescent="0.25">
      <c r="A2067" t="n">
        <v>25</v>
      </c>
      <c r="B2067" t="s">
        <v>14</v>
      </c>
      <c r="C2067" t="s">
        <v>51</v>
      </c>
      <c r="D2067" s="2" t="s">
        <f>=HYPERLINK("https://main.knesset.gov.il/APPS/legislation/main/bills/2227104", "הצעת חוק החזקת תכשיר אפינפרין במוסדות חינוך ובמקומות ציבוריים (תיקון - החזקת תכשיר אפינפרין בכלי טיס וברכבות), התשפ""ה-2025")</f>
        <v>4390</v>
      </c>
      <c r="E2067" t="s">
        <v>4390</v>
      </c>
      <c r="F2067" t="s">
        <v>4391</v>
      </c>
      <c r="G2067" t="s">
        <v>14</v>
      </c>
      <c r="H2067">
             </c>
      <c r="I2067" t="s">
        <v>14</v>
      </c>
      <c r="J2067" t="s">
        <v>242</v>
      </c>
      <c r="K2067" t="s">
        <v>14</v>
      </c>
      <c r="L2067" t="s">
        <v>20</v>
      </c>
      <c r="M2067" t="s">
        <v>4358</v>
      </c>
      <c r="N2067" t="s">
        <v>14</v>
      </c>
    </row>
    <row r="2068" x14ac:dyDescent="0.25">
      <c r="A2068" t="n">
        <v>25</v>
      </c>
      <c r="B2068" t="s">
        <v>14</v>
      </c>
      <c r="C2068" t="s">
        <v>51</v>
      </c>
      <c r="D2068" s="2" t="s">
        <f>=HYPERLINK("https://main.knesset.gov.il/APPS/legislation/main/bills/2227714", "הצעת חוק גירוש מיידי של מסתננים התומכים במשטר מדינתם, התשפ""ה-2025")</f>
        <v>4392</v>
      </c>
      <c r="E2068" t="s">
        <v>4392</v>
      </c>
      <c r="F2068" t="s">
        <v>4393</v>
      </c>
      <c r="G2068" t="s">
        <v>14</v>
      </c>
      <c r="H2068">
             </c>
      <c r="I2068" t="s">
        <v>14</v>
      </c>
      <c r="J2068" t="s">
        <v>242</v>
      </c>
      <c r="K2068" t="s">
        <v>14</v>
      </c>
      <c r="L2068" t="s">
        <v>20</v>
      </c>
      <c r="M2068" t="s">
        <v>4358</v>
      </c>
      <c r="N2068" t="s">
        <v>14</v>
      </c>
    </row>
    <row r="2069" x14ac:dyDescent="0.25">
      <c r="A2069" t="n">
        <v>25</v>
      </c>
      <c r="B2069" t="s">
        <v>14</v>
      </c>
      <c r="C2069" t="s">
        <v>51</v>
      </c>
      <c r="D2069" s="2" t="s">
        <f>=HYPERLINK("https://main.knesset.gov.il/APPS/legislation/main/bills/2227707", "הצעת חוק גירוש מסתננים תומכי המשטר במדינת אריתריאה ומסתננים שביצעו עבירות במדינת ישראל, התשפ""ה-2025")</f>
        <v>3625</v>
      </c>
      <c r="E2069" t="s">
        <v>3625</v>
      </c>
      <c r="F2069" t="s">
        <v>4394</v>
      </c>
      <c r="G2069" t="s">
        <v>14</v>
      </c>
      <c r="H2069">
             </c>
      <c r="I2069" t="s">
        <v>14</v>
      </c>
      <c r="J2069" t="s">
        <v>242</v>
      </c>
      <c r="K2069" t="s">
        <v>14</v>
      </c>
      <c r="L2069" t="s">
        <v>20</v>
      </c>
      <c r="M2069" t="s">
        <v>4358</v>
      </c>
      <c r="N2069" t="s">
        <v>14</v>
      </c>
    </row>
    <row r="2070" x14ac:dyDescent="0.25">
      <c r="A2070" t="n">
        <v>25</v>
      </c>
      <c r="B2070" t="s">
        <v>14</v>
      </c>
      <c r="C2070" t="s">
        <v>51</v>
      </c>
      <c r="D2070" s="2" t="s">
        <f>=HYPERLINK("https://main.knesset.gov.il/APPS/legislation/main/bills/2227635", "הצעת חוק גירוש מסתננים תומכי המשטר במדינת אריתריאה ומסתננים שביצעו עבירות במדינת ישראל, התשפ""ה-2025")</f>
        <v>3625</v>
      </c>
      <c r="E2070" t="s">
        <v>3625</v>
      </c>
      <c r="F2070" t="s">
        <v>4395</v>
      </c>
      <c r="G2070" t="s">
        <v>14</v>
      </c>
      <c r="H2070">
             </c>
      <c r="I2070" t="s">
        <v>14</v>
      </c>
      <c r="J2070" t="s">
        <v>242</v>
      </c>
      <c r="K2070" t="s">
        <v>14</v>
      </c>
      <c r="L2070" t="s">
        <v>20</v>
      </c>
      <c r="M2070" t="s">
        <v>4358</v>
      </c>
      <c r="N2070" t="s">
        <v>14</v>
      </c>
    </row>
    <row r="2071" x14ac:dyDescent="0.25">
      <c r="A2071" t="n">
        <v>25</v>
      </c>
      <c r="B2071" t="s">
        <v>14</v>
      </c>
      <c r="C2071" t="s">
        <v>51</v>
      </c>
      <c r="D2071" s="2" t="s">
        <f>=HYPERLINK("https://main.knesset.gov.il/APPS/legislation/main/bills/2227715", "הצעת חוק איסור לשון הרע (תיקון - פיצוי בגין האשמות שווא בדבר פשעי מלחמה), התשפ""ה-2025")</f>
        <v>4396</v>
      </c>
      <c r="E2071" t="s">
        <v>4396</v>
      </c>
      <c r="F2071" t="s">
        <v>4397</v>
      </c>
      <c r="G2071" t="s">
        <v>14</v>
      </c>
      <c r="H2071">
             </c>
      <c r="I2071" t="s">
        <v>14</v>
      </c>
      <c r="J2071" t="s">
        <v>242</v>
      </c>
      <c r="K2071" t="s">
        <v>14</v>
      </c>
      <c r="L2071" t="s">
        <v>20</v>
      </c>
      <c r="M2071" t="s">
        <v>4358</v>
      </c>
      <c r="N2071" t="s">
        <v>14</v>
      </c>
    </row>
    <row r="2072" x14ac:dyDescent="0.25">
      <c r="A2072" t="n">
        <v>25</v>
      </c>
      <c r="B2072" t="s">
        <v>14</v>
      </c>
      <c r="C2072" t="s">
        <v>51</v>
      </c>
      <c r="D2072" s="2" t="s">
        <f>=HYPERLINK("https://main.knesset.gov.il/APPS/legislation/main/bills/2224430", "הצעת חוק הממשלה (תיקון - בדיקת פוליגרף שנתית לבירור הדלפות מדיוני ועדת השרים לענייני ביטחון לאומי), התשפ""ה-2025")</f>
        <v>3527</v>
      </c>
      <c r="E2072" t="s">
        <v>3527</v>
      </c>
      <c r="F2072" t="s">
        <v>4398</v>
      </c>
      <c r="G2072" t="s">
        <v>14</v>
      </c>
      <c r="H2072">
             </c>
      <c r="I2072" t="s">
        <v>14</v>
      </c>
      <c r="J2072" t="s">
        <v>242</v>
      </c>
      <c r="K2072" t="s">
        <v>14</v>
      </c>
      <c r="L2072" t="s">
        <v>20</v>
      </c>
      <c r="M2072" t="s">
        <v>4358</v>
      </c>
      <c r="N2072" t="s">
        <v>14</v>
      </c>
    </row>
    <row r="2073" x14ac:dyDescent="0.25">
      <c r="A2073" t="n">
        <v>25</v>
      </c>
      <c r="B2073" t="s">
        <v>14</v>
      </c>
      <c r="C2073" t="s">
        <v>51</v>
      </c>
      <c r="D2073" s="2" t="s">
        <f>=HYPERLINK("https://main.knesset.gov.il/APPS/legislation/main/bills/2227471", "הצעת חוק חינוך טכנולוגי חובה, התשפ""ה-2025")</f>
        <v>4399</v>
      </c>
      <c r="E2073" t="s">
        <v>4399</v>
      </c>
      <c r="F2073" t="s">
        <v>4400</v>
      </c>
      <c r="G2073" t="s">
        <v>14</v>
      </c>
      <c r="H2073">
             </c>
      <c r="I2073" t="s">
        <v>14</v>
      </c>
      <c r="J2073" t="s">
        <v>242</v>
      </c>
      <c r="K2073" t="s">
        <v>14</v>
      </c>
      <c r="L2073" t="s">
        <v>20</v>
      </c>
      <c r="M2073" t="s">
        <v>4358</v>
      </c>
      <c r="N2073" t="s">
        <v>14</v>
      </c>
    </row>
    <row r="2074" x14ac:dyDescent="0.25">
      <c r="A2074" t="n">
        <v>25</v>
      </c>
      <c r="B2074" t="s">
        <v>14</v>
      </c>
      <c r="C2074" t="s">
        <v>51</v>
      </c>
      <c r="D2074" s="2" t="s">
        <f>=HYPERLINK("https://main.knesset.gov.il/APPS/legislation/main/bills/2227382", "הצעת חוק כליאת אסירים ביטחוניים, התשפ""ה-2025")</f>
        <v>4016</v>
      </c>
      <c r="E2074" t="s">
        <v>4016</v>
      </c>
      <c r="F2074" t="s">
        <v>4401</v>
      </c>
      <c r="G2074" t="s">
        <v>14</v>
      </c>
      <c r="H2074">
             </c>
      <c r="I2074" t="s">
        <v>14</v>
      </c>
      <c r="J2074" t="s">
        <v>242</v>
      </c>
      <c r="K2074" t="s">
        <v>14</v>
      </c>
      <c r="L2074" t="s">
        <v>20</v>
      </c>
      <c r="M2074" t="s">
        <v>4358</v>
      </c>
      <c r="N2074" t="s">
        <v>14</v>
      </c>
    </row>
    <row r="2075" x14ac:dyDescent="0.25">
      <c r="A2075" t="n">
        <v>25</v>
      </c>
      <c r="B2075" t="s">
        <v>14</v>
      </c>
      <c r="C2075" t="s">
        <v>51</v>
      </c>
      <c r="D2075" s="2" t="s">
        <f>=HYPERLINK("https://main.knesset.gov.il/APPS/legislation/main/bills/2227376", "הצעת חוק כליאת אסירים ביטחוניים, התשפ""ה-2025")</f>
        <v>4016</v>
      </c>
      <c r="E2075" t="s">
        <v>4016</v>
      </c>
      <c r="F2075" t="s">
        <v>4402</v>
      </c>
      <c r="G2075" t="s">
        <v>14</v>
      </c>
      <c r="H2075">
             </c>
      <c r="I2075" t="s">
        <v>14</v>
      </c>
      <c r="J2075" t="s">
        <v>242</v>
      </c>
      <c r="K2075" t="s">
        <v>14</v>
      </c>
      <c r="L2075" t="s">
        <v>20</v>
      </c>
      <c r="M2075" t="s">
        <v>4358</v>
      </c>
      <c r="N2075" t="s">
        <v>14</v>
      </c>
    </row>
    <row r="2076" x14ac:dyDescent="0.25">
      <c r="A2076" t="n">
        <v>25</v>
      </c>
      <c r="B2076" t="s">
        <v>14</v>
      </c>
      <c r="C2076" t="s">
        <v>51</v>
      </c>
      <c r="D2076" s="2" t="s">
        <f>=HYPERLINK("https://main.knesset.gov.il/APPS/legislation/main/bills/2227497", "הצעת חוק הסדרת העיסוק בייעוץ השקעות, בשיווק השקעות ובניהול תיקי השקעות (תיקון - לקוח כשיר), התשפ""ה-2025")</f>
        <v>4403</v>
      </c>
      <c r="E2076" t="s">
        <v>4403</v>
      </c>
      <c r="F2076" t="s">
        <v>4404</v>
      </c>
      <c r="G2076" t="s">
        <v>14</v>
      </c>
      <c r="H2076">
             </c>
      <c r="I2076" t="s">
        <v>14</v>
      </c>
      <c r="J2076" t="s">
        <v>242</v>
      </c>
      <c r="K2076" t="s">
        <v>14</v>
      </c>
      <c r="L2076" t="s">
        <v>20</v>
      </c>
      <c r="M2076" t="s">
        <v>4358</v>
      </c>
      <c r="N2076" t="s">
        <v>14</v>
      </c>
    </row>
    <row r="2077" x14ac:dyDescent="0.25">
      <c r="A2077" t="n">
        <v>25</v>
      </c>
      <c r="B2077" t="s">
        <v>14</v>
      </c>
      <c r="C2077" t="s">
        <v>51</v>
      </c>
      <c r="D2077" s="2" t="s">
        <f>=HYPERLINK("https://main.knesset.gov.il/APPS/legislation/main/bills/2227459", "הצעת חוק הנגישות הלשונית, התשפ""ה-2025")</f>
        <v>4405</v>
      </c>
      <c r="E2077" t="s">
        <v>4405</v>
      </c>
      <c r="F2077" t="s">
        <v>4406</v>
      </c>
      <c r="G2077" t="s">
        <v>14</v>
      </c>
      <c r="H2077">
             </c>
      <c r="I2077" t="s">
        <v>14</v>
      </c>
      <c r="J2077" t="s">
        <v>242</v>
      </c>
      <c r="K2077" t="s">
        <v>14</v>
      </c>
      <c r="L2077" t="s">
        <v>20</v>
      </c>
      <c r="M2077" t="s">
        <v>4358</v>
      </c>
      <c r="N2077" t="s">
        <v>14</v>
      </c>
    </row>
    <row r="2078" x14ac:dyDescent="0.25">
      <c r="A2078" t="n">
        <v>25</v>
      </c>
      <c r="B2078" t="s">
        <v>14</v>
      </c>
      <c r="C2078" t="s">
        <v>51</v>
      </c>
      <c r="D2078" s="2" t="s">
        <f>=HYPERLINK("https://main.knesset.gov.il/APPS/legislation/main/bills/2227455", "הצעת חוק שירות המדינה (מינויים) (תיקון - שקיפות בתהליך קבלה לעבודה), התשפ""ה-2025")</f>
        <v>4407</v>
      </c>
      <c r="E2078" t="s">
        <v>4407</v>
      </c>
      <c r="F2078" t="s">
        <v>4408</v>
      </c>
      <c r="G2078" t="s">
        <v>14</v>
      </c>
      <c r="H2078">
             </c>
      <c r="I2078" t="s">
        <v>14</v>
      </c>
      <c r="J2078" t="s">
        <v>242</v>
      </c>
      <c r="K2078" t="s">
        <v>14</v>
      </c>
      <c r="L2078" t="s">
        <v>20</v>
      </c>
      <c r="M2078" t="s">
        <v>4358</v>
      </c>
      <c r="N2078" t="s">
        <v>14</v>
      </c>
    </row>
    <row r="2079" x14ac:dyDescent="0.25">
      <c r="A2079" t="n">
        <v>25</v>
      </c>
      <c r="B2079" t="s">
        <v>14</v>
      </c>
      <c r="C2079" t="s">
        <v>51</v>
      </c>
      <c r="D2079" s="2" t="s">
        <f>=HYPERLINK("https://main.knesset.gov.il/APPS/legislation/main/bills/2216282", "הצעת חוק איסור שהייה וישיבה בישראל שלא כדין (תיקוני חקיקה), התשפ""ה–2025")</f>
        <v>4409</v>
      </c>
      <c r="E2079" t="s">
        <v>4409</v>
      </c>
      <c r="F2079" t="s">
        <v>4410</v>
      </c>
      <c r="G2079" t="s">
        <v>4411</v>
      </c>
      <c r="H2079">
             </c>
      <c r="I2079" t="s">
        <v>14</v>
      </c>
      <c r="J2079" t="s">
        <v>334</v>
      </c>
      <c r="K2079" t="s">
        <v>14</v>
      </c>
      <c r="L2079" t="s">
        <v>20</v>
      </c>
      <c r="M2079" t="s">
        <v>4358</v>
      </c>
      <c r="N2079" t="s">
        <v>14</v>
      </c>
    </row>
    <row r="2080" x14ac:dyDescent="0.25">
      <c r="A2080" t="n">
        <v>25</v>
      </c>
      <c r="B2080" t="s">
        <v>14</v>
      </c>
      <c r="C2080" t="s">
        <v>15</v>
      </c>
      <c r="D2080" s="2" t="s">
        <f>=HYPERLINK("https://main.knesset.gov.il/APPS/legislation/main/bills/2227243", "סעיף 9(10) (פרסום התקשרויות רבעוני) מתוך הצעת חוק התוכנית הכלכלית (תיקוני חקיקה ליישום המדיניות הכלכלית לשנת התקציב 2025), התשפ""ה-2024 [פוצל לפי סעיף 84(ב) לתקנון]")</f>
        <v>4412</v>
      </c>
      <c r="E2080" t="s">
        <v>4412</v>
      </c>
      <c r="F2080" t="s">
        <v>14</v>
      </c>
      <c r="G2080" t="s">
        <v>237</v>
      </c>
      <c r="H2080">
             </c>
      <c r="I2080" t="s">
        <v>14</v>
      </c>
      <c r="J2080" t="s">
        <v>38</v>
      </c>
      <c r="K2080" t="s">
        <v>30</v>
      </c>
      <c r="L2080" t="s">
        <v>20</v>
      </c>
      <c r="M2080" t="s">
        <v>4413</v>
      </c>
      <c r="N2080" t="s">
        <v>14</v>
      </c>
    </row>
    <row r="2081" x14ac:dyDescent="0.25">
      <c r="A2081" t="n">
        <v>25</v>
      </c>
      <c r="B2081" t="s">
        <v>14</v>
      </c>
      <c r="C2081" t="s">
        <v>15</v>
      </c>
      <c r="D2081" s="2" t="s">
        <f>=HYPERLINK("https://main.knesset.gov.il/APPS/legislation/main/bills/2227196", "סעיפים 9(1), (2), (8), (9) ו-11(1) (הרכב ועדת המכרזים) מתוך הצעת חוק התוכנית הכלכלית (תיקוני חקיקה ליישום המדיניות הכלכלית לשנת התקציב 2025), התשפ""ה-2024 [פוצל לפי סעיף 84(ב) לתקנון] ")</f>
        <v>4414</v>
      </c>
      <c r="E2081" t="s">
        <v>4414</v>
      </c>
      <c r="F2081" t="s">
        <v>14</v>
      </c>
      <c r="G2081" t="s">
        <v>237</v>
      </c>
      <c r="H2081">
             </c>
      <c r="I2081" t="s">
        <v>14</v>
      </c>
      <c r="J2081" t="s">
        <v>38</v>
      </c>
      <c r="K2081" t="s">
        <v>30</v>
      </c>
      <c r="L2081" t="s">
        <v>20</v>
      </c>
      <c r="M2081" t="s">
        <v>4413</v>
      </c>
      <c r="N2081" t="s">
        <v>14</v>
      </c>
    </row>
    <row r="2082" x14ac:dyDescent="0.25">
      <c r="A2082" t="n">
        <v>25</v>
      </c>
      <c r="B2082" t="s">
        <v>14</v>
      </c>
      <c r="C2082" t="s">
        <v>15</v>
      </c>
      <c r="D2082" s="2" t="s">
        <f>=HYPERLINK("https://main.knesset.gov.il/APPS/legislation/main/bills/2227197", "סעיף 9(3) עד (5) (ועדות המועצה) מתוך הצעת חוק התוכנית הכלכלית (תיקוני חקיקה ליישום המדיניות הכלכלית לשנת התקציב 2025), התשפ""ה-2024 [פוצל לפי סעיף 84(ב) לתקנון] ")</f>
        <v>4415</v>
      </c>
      <c r="E2082" t="s">
        <v>4415</v>
      </c>
      <c r="F2082" t="s">
        <v>14</v>
      </c>
      <c r="G2082" t="s">
        <v>237</v>
      </c>
      <c r="H2082">
             </c>
      <c r="I2082" t="s">
        <v>14</v>
      </c>
      <c r="J2082" t="s">
        <v>38</v>
      </c>
      <c r="K2082" t="s">
        <v>30</v>
      </c>
      <c r="L2082" t="s">
        <v>20</v>
      </c>
      <c r="M2082" t="s">
        <v>4413</v>
      </c>
      <c r="N2082" t="s">
        <v>14</v>
      </c>
    </row>
    <row r="2083" x14ac:dyDescent="0.25">
      <c r="A2083" t="n">
        <v>25</v>
      </c>
      <c r="B2083" t="s">
        <v>14</v>
      </c>
      <c r="C2083" t="s">
        <v>51</v>
      </c>
      <c r="D2083" s="2" t="s">
        <f>=HYPERLINK("https://main.knesset.gov.il/APPS/legislation/main/bills/2225752", "קיזוז 5% בניכוי מס במקור מתוך הצעת חוק למתן הטבות למשרתים במילואים, התשפ""ה-2024")</f>
        <v>4416</v>
      </c>
      <c r="E2083" t="s">
        <v>4416</v>
      </c>
      <c r="F2083" t="s">
        <v>1787</v>
      </c>
      <c r="G2083" t="s">
        <v>14</v>
      </c>
      <c r="H2083">
             </c>
      <c r="I2083" t="s">
        <v>14</v>
      </c>
      <c r="J2083" t="s">
        <v>152</v>
      </c>
      <c r="K2083" t="s">
        <v>24</v>
      </c>
      <c r="L2083" t="s">
        <v>20</v>
      </c>
      <c r="M2083" t="s">
        <v>4417</v>
      </c>
      <c r="N2083" t="s">
        <v>14</v>
      </c>
    </row>
    <row r="2084" x14ac:dyDescent="0.25">
      <c r="A2084" t="n">
        <v>25</v>
      </c>
      <c r="B2084" t="s">
        <v>14</v>
      </c>
      <c r="C2084" t="s">
        <v>51</v>
      </c>
      <c r="D2084" s="2" t="s">
        <f>=HYPERLINK("https://main.knesset.gov.il/APPS/legislation/main/bills/2225753", "נקודות זיכוי מתוך הצעת חוק למתן הטבות למשרתים במילואים, התשפ""ה-2024")</f>
        <v>4418</v>
      </c>
      <c r="E2084" t="s">
        <v>4418</v>
      </c>
      <c r="F2084" t="s">
        <v>1787</v>
      </c>
      <c r="G2084" t="s">
        <v>14</v>
      </c>
      <c r="H2084">
             </c>
      <c r="I2084" t="s">
        <v>14</v>
      </c>
      <c r="J2084" t="s">
        <v>152</v>
      </c>
      <c r="K2084" t="s">
        <v>24</v>
      </c>
      <c r="L2084" t="s">
        <v>20</v>
      </c>
      <c r="M2084" t="s">
        <v>4417</v>
      </c>
      <c r="N2084" t="s">
        <v>14</v>
      </c>
    </row>
    <row r="2085" x14ac:dyDescent="0.25">
      <c r="A2085" t="n">
        <v>25</v>
      </c>
      <c r="B2085" t="s">
        <v>14</v>
      </c>
      <c r="C2085" t="s">
        <v>51</v>
      </c>
      <c r="D2085" s="2" t="s">
        <f>=HYPERLINK("https://main.knesset.gov.il/APPS/legislation/main/bills/2225750", "הנחה בתשלומי ארנונה, חשמל ומים מתוך הצעת חוק למתן הטבות למשרתים במילואים, התשפ""ה-2024")</f>
        <v>4419</v>
      </c>
      <c r="E2085" t="s">
        <v>4419</v>
      </c>
      <c r="F2085" t="s">
        <v>1787</v>
      </c>
      <c r="G2085" t="s">
        <v>14</v>
      </c>
      <c r="H2085">
             </c>
      <c r="I2085" t="s">
        <v>14</v>
      </c>
      <c r="J2085" t="s">
        <v>152</v>
      </c>
      <c r="K2085" t="s">
        <v>24</v>
      </c>
      <c r="L2085" t="s">
        <v>20</v>
      </c>
      <c r="M2085" t="s">
        <v>4417</v>
      </c>
      <c r="N2085" t="s">
        <v>14</v>
      </c>
    </row>
    <row r="2086" x14ac:dyDescent="0.25">
      <c r="A2086" t="n">
        <v>25</v>
      </c>
      <c r="B2086" t="s">
        <v>14</v>
      </c>
      <c r="C2086" t="s">
        <v>51</v>
      </c>
      <c r="D2086" s="2" t="s">
        <f>=HYPERLINK("https://main.knesset.gov.il/APPS/legislation/main/bills/2207136", "חוק רישוי עסקים (תיקון מס' 39), התשפ""ה–2025")</f>
        <v>4420</v>
      </c>
      <c r="E2086" t="s">
        <v>4420</v>
      </c>
      <c r="F2086" t="s">
        <v>4421</v>
      </c>
      <c r="G2086" t="s">
        <v>4422</v>
      </c>
      <c r="H2086" t="n">
        <v>3366</v>
      </c>
      <c r="I2086" t="s">
        <v>14</v>
      </c>
      <c r="J2086" t="s">
        <v>18</v>
      </c>
      <c r="K2086" t="s">
        <v>30</v>
      </c>
      <c r="L2086" t="s">
        <v>20</v>
      </c>
      <c r="M2086" t="s">
        <v>4417</v>
      </c>
      <c r="N2086" t="s">
        <v>4423</v>
      </c>
    </row>
    <row r="2087" x14ac:dyDescent="0.25">
      <c r="A2087" t="n">
        <v>25</v>
      </c>
      <c r="B2087" t="s">
        <v>14</v>
      </c>
      <c r="C2087" t="s">
        <v>51</v>
      </c>
      <c r="D2087" s="2" t="s">
        <f>=HYPERLINK("https://main.knesset.gov.il/APPS/legislation/main/bills/2225120", "הצעת חוק הסיוע המשפטי (תיקון - העמדת סיוע לנפגע פעולות איבה), התשפ""ה-2024")</f>
        <v>4424</v>
      </c>
      <c r="E2087" t="s">
        <v>4424</v>
      </c>
      <c r="F2087" t="s">
        <v>4425</v>
      </c>
      <c r="G2087" t="s">
        <v>14</v>
      </c>
      <c r="H2087">
             </c>
      <c r="I2087" t="s">
        <v>14</v>
      </c>
      <c r="J2087" t="s">
        <v>193</v>
      </c>
      <c r="K2087" t="s">
        <v>14</v>
      </c>
      <c r="L2087" t="s">
        <v>20</v>
      </c>
      <c r="M2087" t="s">
        <v>4417</v>
      </c>
      <c r="N2087" t="s">
        <v>14</v>
      </c>
    </row>
    <row r="2088" x14ac:dyDescent="0.25">
      <c r="A2088" t="n">
        <v>25</v>
      </c>
      <c r="B2088" t="s">
        <v>14</v>
      </c>
      <c r="C2088" t="s">
        <v>51</v>
      </c>
      <c r="D2088" s="2" t="s">
        <f>=HYPERLINK("https://main.knesset.gov.il/APPS/legislation/main/bills/2224632", "הצעת חוק תמיכה בביטחון תזונתי אצל תינוקות, התשפ""ה-2024")</f>
        <v>4426</v>
      </c>
      <c r="E2088" t="s">
        <v>4426</v>
      </c>
      <c r="F2088" t="s">
        <v>4427</v>
      </c>
      <c r="G2088" t="s">
        <v>14</v>
      </c>
      <c r="H2088">
             </c>
      <c r="I2088" t="s">
        <v>14</v>
      </c>
      <c r="J2088" t="s">
        <v>193</v>
      </c>
      <c r="K2088" t="s">
        <v>14</v>
      </c>
      <c r="L2088" t="s">
        <v>20</v>
      </c>
      <c r="M2088" t="s">
        <v>4417</v>
      </c>
      <c r="N2088" t="s">
        <v>14</v>
      </c>
    </row>
    <row r="2089" x14ac:dyDescent="0.25">
      <c r="A2089" t="n">
        <v>25</v>
      </c>
      <c r="B2089" t="s">
        <v>14</v>
      </c>
      <c r="C2089" t="s">
        <v>51</v>
      </c>
      <c r="D2089" s="2" t="s">
        <f>=HYPERLINK("https://main.knesset.gov.il/APPS/legislation/main/bills/2213797", "הצעת חוק הביטוח הלאומי (תיקון - שיפוי המעסיק על הפרשות פנסיוניות בעד עובדו המשרת במילואים בנסיבות חירום) (הוראת שעה - חרבות ברזל), התשפ""ד- 2024")</f>
        <v>4428</v>
      </c>
      <c r="E2089" t="s">
        <v>4428</v>
      </c>
      <c r="F2089" t="s">
        <v>4429</v>
      </c>
      <c r="G2089" t="s">
        <v>14</v>
      </c>
      <c r="H2089">
             </c>
      <c r="I2089" t="s">
        <v>14</v>
      </c>
      <c r="J2089" t="s">
        <v>193</v>
      </c>
      <c r="K2089" t="s">
        <v>14</v>
      </c>
      <c r="L2089" t="s">
        <v>20</v>
      </c>
      <c r="M2089" t="s">
        <v>4417</v>
      </c>
      <c r="N2089" t="s">
        <v>14</v>
      </c>
    </row>
    <row r="2090" x14ac:dyDescent="0.25">
      <c r="A2090" t="n">
        <v>25</v>
      </c>
      <c r="B2090" t="s">
        <v>14</v>
      </c>
      <c r="C2090" t="s">
        <v>51</v>
      </c>
      <c r="D2090" s="2" t="s">
        <f>=HYPERLINK("https://main.knesset.gov.il/APPS/legislation/main/bills/2203622", "הצעת חוק שירותי רווחה (זכויות נשים ששהו במקלט לנשים מוכות) (תיקון - זכות למגורים בדיור ציבורי), התשפ""ג-2023")</f>
        <v>4430</v>
      </c>
      <c r="E2090" t="s">
        <v>4430</v>
      </c>
      <c r="F2090" t="s">
        <v>4431</v>
      </c>
      <c r="G2090" t="s">
        <v>14</v>
      </c>
      <c r="H2090">
             </c>
      <c r="I2090" t="s">
        <v>14</v>
      </c>
      <c r="J2090" t="s">
        <v>152</v>
      </c>
      <c r="K2090" t="s">
        <v>46</v>
      </c>
      <c r="L2090" t="s">
        <v>20</v>
      </c>
      <c r="M2090" t="s">
        <v>4417</v>
      </c>
      <c r="N2090" t="s">
        <v>14</v>
      </c>
    </row>
    <row r="2091" x14ac:dyDescent="0.25">
      <c r="A2091" t="n">
        <v>25</v>
      </c>
      <c r="B2091" t="s">
        <v>14</v>
      </c>
      <c r="C2091" t="s">
        <v>51</v>
      </c>
      <c r="D2091" s="2" t="s">
        <f>=HYPERLINK("https://main.knesset.gov.il/APPS/legislation/main/bills/2203277", "הצעת חוק לתיקון פקודת המכס (איסור השמדת טובין חבי מכס), התשפ""ג-2023")</f>
        <v>4432</v>
      </c>
      <c r="E2091" t="s">
        <v>4432</v>
      </c>
      <c r="F2091" t="s">
        <v>4433</v>
      </c>
      <c r="G2091" t="s">
        <v>14</v>
      </c>
      <c r="H2091">
             </c>
      <c r="I2091" t="s">
        <v>14</v>
      </c>
      <c r="J2091" t="s">
        <v>152</v>
      </c>
      <c r="K2091" t="s">
        <v>24</v>
      </c>
      <c r="L2091" t="s">
        <v>20</v>
      </c>
      <c r="M2091" t="s">
        <v>4417</v>
      </c>
      <c r="N2091" t="s">
        <v>14</v>
      </c>
    </row>
    <row r="2092" x14ac:dyDescent="0.25">
      <c r="A2092" t="n">
        <v>25</v>
      </c>
      <c r="B2092" t="s">
        <v>14</v>
      </c>
      <c r="C2092" t="s">
        <v>51</v>
      </c>
      <c r="D2092" s="2" t="s">
        <f>=HYPERLINK("https://main.knesset.gov.il/APPS/legislation/main/bills/2201651", "הצעת חוק שירותי רווחה (זכויות נשים ששהו במקלט לנשים מוכות) (תיקון - זכות למגורים בדיור ציבורי), התשפ""ג-2023")</f>
        <v>4430</v>
      </c>
      <c r="E2092" t="s">
        <v>4430</v>
      </c>
      <c r="F2092" t="s">
        <v>4434</v>
      </c>
      <c r="G2092" t="s">
        <v>14</v>
      </c>
      <c r="H2092">
             </c>
      <c r="I2092" t="s">
        <v>14</v>
      </c>
      <c r="J2092" t="s">
        <v>152</v>
      </c>
      <c r="K2092" t="s">
        <v>46</v>
      </c>
      <c r="L2092" t="s">
        <v>20</v>
      </c>
      <c r="M2092" t="s">
        <v>4417</v>
      </c>
      <c r="N2092" t="s">
        <v>14</v>
      </c>
    </row>
    <row r="2093" x14ac:dyDescent="0.25">
      <c r="A2093" t="n">
        <v>25</v>
      </c>
      <c r="B2093" t="s">
        <v>14</v>
      </c>
      <c r="C2093" t="s">
        <v>51</v>
      </c>
      <c r="D2093" s="2" t="s">
        <f>=HYPERLINK("https://main.knesset.gov.il/APPS/legislation/main/bills/2196090", "הצעת חוק לתיקון פקודת המכס (איסור השמדת טובין חבי מכס), התשפ""ג-2022")</f>
        <v>4435</v>
      </c>
      <c r="E2093" t="s">
        <v>4435</v>
      </c>
      <c r="F2093" t="s">
        <v>4436</v>
      </c>
      <c r="G2093" t="s">
        <v>14</v>
      </c>
      <c r="H2093">
             </c>
      <c r="I2093" t="s">
        <v>14</v>
      </c>
      <c r="J2093" t="s">
        <v>152</v>
      </c>
      <c r="K2093" t="s">
        <v>24</v>
      </c>
      <c r="L2093" t="s">
        <v>20</v>
      </c>
      <c r="M2093" t="s">
        <v>4417</v>
      </c>
      <c r="N2093" t="s">
        <v>14</v>
      </c>
    </row>
    <row r="2094" x14ac:dyDescent="0.25">
      <c r="A2094" t="n">
        <v>25</v>
      </c>
      <c r="B2094" t="s">
        <v>14</v>
      </c>
      <c r="C2094" t="s">
        <v>51</v>
      </c>
      <c r="D2094" s="2" t="s">
        <f>=HYPERLINK("https://main.knesset.gov.il/APPS/legislation/main/bills/2196046", "הצעת חוק תמיכה בביטחון תזונתי אצל תינוקות, התשפ""ג-2022")</f>
        <v>4437</v>
      </c>
      <c r="E2094" t="s">
        <v>4437</v>
      </c>
      <c r="F2094" t="s">
        <v>4438</v>
      </c>
      <c r="G2094" t="s">
        <v>14</v>
      </c>
      <c r="H2094">
             </c>
      <c r="I2094" t="s">
        <v>14</v>
      </c>
      <c r="J2094" t="s">
        <v>193</v>
      </c>
      <c r="K2094" t="s">
        <v>14</v>
      </c>
      <c r="L2094" t="s">
        <v>20</v>
      </c>
      <c r="M2094" t="s">
        <v>4417</v>
      </c>
      <c r="N2094" t="s">
        <v>14</v>
      </c>
    </row>
    <row r="2095" x14ac:dyDescent="0.25">
      <c r="A2095" t="n">
        <v>25</v>
      </c>
      <c r="B2095" t="s">
        <v>14</v>
      </c>
      <c r="C2095" t="s">
        <v>15</v>
      </c>
      <c r="D2095" s="2" t="s">
        <f>=HYPERLINK("https://main.knesset.gov.il/APPS/legislation/main/bills/2226079", "סעיף 1(3)-(ג), סעיף קטן (א2) המוצע; סעיף 1(3)-(ה) ההגדרה ""הכנסה חייבת"" המוצעת; וסעיף 4(ג) מתוך הצעת חוק ההתייעלות הכלכלית (תיקוני חקיקה להשגת יעדי התקציב לשנת התקציב 2025) (הקפאת עדכוני מס ומס יסף), התשפ""ה-2024 (מס יסף על השבח) ")</f>
        <v>4439</v>
      </c>
      <c r="E2095" t="s">
        <v>4439</v>
      </c>
      <c r="F2095" t="s">
        <v>14</v>
      </c>
      <c r="G2095" t="s">
        <v>4440</v>
      </c>
      <c r="H2095">
             </c>
      <c r="I2095" t="s">
        <v>14</v>
      </c>
      <c r="J2095" t="s">
        <v>38</v>
      </c>
      <c r="K2095" t="s">
        <v>24</v>
      </c>
      <c r="L2095" t="s">
        <v>20</v>
      </c>
      <c r="M2095" t="s">
        <v>4441</v>
      </c>
      <c r="N2095" t="s">
        <v>14</v>
      </c>
    </row>
    <row r="2096" x14ac:dyDescent="0.25">
      <c r="A2096" t="n">
        <v>25</v>
      </c>
      <c r="B2096" t="s">
        <v>14</v>
      </c>
      <c r="C2096" t="s">
        <v>51</v>
      </c>
      <c r="D2096" s="2" t="s">
        <f>=HYPERLINK("https://main.knesset.gov.il/APPS/legislation/main/bills/2225749", "פטור מתשלום אגרות רישום ורישוי מתוך הצעת חוק למתן הטבות למשרתים במילואים, התשפ""ה-2024")</f>
        <v>4442</v>
      </c>
      <c r="E2096" t="s">
        <v>4442</v>
      </c>
      <c r="F2096" t="s">
        <v>1787</v>
      </c>
      <c r="G2096" t="s">
        <v>14</v>
      </c>
      <c r="H2096">
             </c>
      <c r="I2096" t="s">
        <v>14</v>
      </c>
      <c r="J2096" t="s">
        <v>152</v>
      </c>
      <c r="K2096" t="s">
        <v>84</v>
      </c>
      <c r="L2096" t="s">
        <v>20</v>
      </c>
      <c r="M2096" t="s">
        <v>4441</v>
      </c>
      <c r="N2096" t="s">
        <v>14</v>
      </c>
    </row>
    <row r="2097" x14ac:dyDescent="0.25">
      <c r="A2097" t="n">
        <v>25</v>
      </c>
      <c r="B2097" t="s">
        <v>14</v>
      </c>
      <c r="C2097" t="s">
        <v>15</v>
      </c>
      <c r="D2097" s="2" t="s">
        <f>=HYPERLINK("https://main.knesset.gov.il/APPS/legislation/main/bills/2217525", "חוק הכללת אמצעי זיהוי ביומטריים ונתוני זיהוי ביומטריים במסמכי זיהוי ובמאגר מידע (תיקון מס' 6), התשפ""ה-2025")</f>
        <v>4443</v>
      </c>
      <c r="E2097" t="s">
        <v>4443</v>
      </c>
      <c r="F2097" t="s">
        <v>14</v>
      </c>
      <c r="G2097" t="s">
        <v>4444</v>
      </c>
      <c r="H2097" t="n">
        <v>3365</v>
      </c>
      <c r="I2097" t="s">
        <v>14</v>
      </c>
      <c r="J2097" t="s">
        <v>18</v>
      </c>
      <c r="K2097" t="s">
        <v>14</v>
      </c>
      <c r="L2097" t="s">
        <v>20</v>
      </c>
      <c r="M2097" t="s">
        <v>4441</v>
      </c>
      <c r="N2097" t="s">
        <v>4445</v>
      </c>
    </row>
    <row r="2098" x14ac:dyDescent="0.25">
      <c r="A2098" t="n">
        <v>25</v>
      </c>
      <c r="B2098" t="s">
        <v>14</v>
      </c>
      <c r="C2098" t="s">
        <v>15</v>
      </c>
      <c r="D2098" s="2" t="s">
        <f>=HYPERLINK("https://main.knesset.gov.il/APPS/legislation/main/bills/2204257", "חוק לתיקון פקודת הרוקחים (מס' 38), התשפ""ה–2025")</f>
        <v>4446</v>
      </c>
      <c r="E2098" t="s">
        <v>4446</v>
      </c>
      <c r="F2098" t="s">
        <v>14</v>
      </c>
      <c r="G2098" t="s">
        <v>81</v>
      </c>
      <c r="H2098" t="n">
        <v>3364</v>
      </c>
      <c r="I2098" t="s">
        <v>14</v>
      </c>
      <c r="J2098" t="s">
        <v>18</v>
      </c>
      <c r="K2098" t="s">
        <v>361</v>
      </c>
      <c r="L2098" t="s">
        <v>20</v>
      </c>
      <c r="M2098" t="s">
        <v>4441</v>
      </c>
      <c r="N2098" t="s">
        <v>4447</v>
      </c>
    </row>
    <row r="2099" x14ac:dyDescent="0.25">
      <c r="A2099" t="n">
        <v>25</v>
      </c>
      <c r="B2099" t="s">
        <v>14</v>
      </c>
      <c r="C2099" t="s">
        <v>51</v>
      </c>
      <c r="D2099" s="2" t="s">
        <f>=HYPERLINK("https://main.knesset.gov.il/APPS/legislation/main/bills/2217493", "חוק משפחות חיילים שנספו במערכה (תגמולים ושיקום) (תיקון מס' 46), התשפ""ה–2025")</f>
        <v>4448</v>
      </c>
      <c r="E2099" t="s">
        <v>4448</v>
      </c>
      <c r="F2099" t="s">
        <v>4449</v>
      </c>
      <c r="G2099" t="s">
        <v>4450</v>
      </c>
      <c r="H2099" t="n">
        <v>3363</v>
      </c>
      <c r="I2099" t="s">
        <v>14</v>
      </c>
      <c r="J2099" t="s">
        <v>18</v>
      </c>
      <c r="K2099" t="s">
        <v>46</v>
      </c>
      <c r="L2099" t="s">
        <v>20</v>
      </c>
      <c r="M2099" t="s">
        <v>4441</v>
      </c>
      <c r="N2099" t="s">
        <v>4451</v>
      </c>
    </row>
    <row r="2100" x14ac:dyDescent="0.25">
      <c r="A2100" t="n">
        <v>25</v>
      </c>
      <c r="B2100" t="s">
        <v>14</v>
      </c>
      <c r="C2100" t="s">
        <v>51</v>
      </c>
      <c r="D2100" s="2" t="s">
        <f>=HYPERLINK("https://main.knesset.gov.il/APPS/legislation/main/bills/2208569", "הצעת חוק להפחתת סכום הפיצוי הכספי בשל נסיעה ללא תיקוף כרטיס בתחבורה ציבורית (תיקוני חקיקה), התשפ""ג-2023")</f>
        <v>4452</v>
      </c>
      <c r="E2100" t="s">
        <v>4452</v>
      </c>
      <c r="F2100" t="s">
        <v>4453</v>
      </c>
      <c r="G2100" t="s">
        <v>14</v>
      </c>
      <c r="H2100">
             </c>
      <c r="I2100" t="s">
        <v>14</v>
      </c>
      <c r="J2100" t="s">
        <v>183</v>
      </c>
      <c r="K2100" t="s">
        <v>84</v>
      </c>
      <c r="L2100" t="s">
        <v>20</v>
      </c>
      <c r="M2100" t="s">
        <v>4454</v>
      </c>
      <c r="N2100" t="s">
        <v>14</v>
      </c>
    </row>
    <row r="2101" x14ac:dyDescent="0.25">
      <c r="A2101" t="n">
        <v>25</v>
      </c>
      <c r="B2101" t="s">
        <v>14</v>
      </c>
      <c r="C2101" t="s">
        <v>51</v>
      </c>
      <c r="D2101" s="2" t="s">
        <f>=HYPERLINK("https://main.knesset.gov.il/APPS/legislation/main/bills/2207264", "הצעת חוק להפחתת סכום הפיצוי הכספי בשל נסיעה ללא תיקוף כרטיס בתחבורה ציבורית (תיקוני חקיקה), התשפ""ג-2023")</f>
        <v>4452</v>
      </c>
      <c r="E2101" t="s">
        <v>4452</v>
      </c>
      <c r="F2101" t="s">
        <v>4455</v>
      </c>
      <c r="G2101" t="s">
        <v>14</v>
      </c>
      <c r="H2101">
             </c>
      <c r="I2101" t="s">
        <v>14</v>
      </c>
      <c r="J2101" t="s">
        <v>183</v>
      </c>
      <c r="K2101" t="s">
        <v>84</v>
      </c>
      <c r="L2101" t="s">
        <v>20</v>
      </c>
      <c r="M2101" t="s">
        <v>4454</v>
      </c>
      <c r="N2101" t="s">
        <v>14</v>
      </c>
    </row>
    <row r="2102" x14ac:dyDescent="0.25">
      <c r="A2102" t="n">
        <v>25</v>
      </c>
      <c r="B2102" t="s">
        <v>14</v>
      </c>
      <c r="C2102" t="s">
        <v>51</v>
      </c>
      <c r="D2102" s="2" t="s">
        <f>=HYPERLINK("https://main.knesset.gov.il/APPS/legislation/main/bills/2226063", "הצעת חוק לתיקון פקודת מס הכנסה (קרן השתלמות לחקלאי שומר שמיטה), התשפ""ה-2024")</f>
        <v>4456</v>
      </c>
      <c r="E2102" t="s">
        <v>4456</v>
      </c>
      <c r="F2102" t="s">
        <v>4457</v>
      </c>
      <c r="G2102" t="s">
        <v>14</v>
      </c>
      <c r="H2102">
             </c>
      <c r="I2102" t="s">
        <v>14</v>
      </c>
      <c r="J2102" t="s">
        <v>152</v>
      </c>
      <c r="K2102" t="s">
        <v>24</v>
      </c>
      <c r="L2102" t="s">
        <v>20</v>
      </c>
      <c r="M2102" t="s">
        <v>4454</v>
      </c>
      <c r="N2102" t="s">
        <v>14</v>
      </c>
    </row>
    <row r="2103" x14ac:dyDescent="0.25">
      <c r="A2103" t="n">
        <v>25</v>
      </c>
      <c r="B2103" t="s">
        <v>14</v>
      </c>
      <c r="C2103" t="s">
        <v>51</v>
      </c>
      <c r="D2103" s="2" t="s">
        <f>=HYPERLINK("https://main.knesset.gov.il/APPS/legislation/main/bills/2217620", "הצעת חוק לתיקון פקודת מס הכנסה (קרן השתלמות לחקלאי שומר שמיטה), התשפ""ד-2024")</f>
        <v>4458</v>
      </c>
      <c r="E2103" t="s">
        <v>4458</v>
      </c>
      <c r="F2103" t="s">
        <v>4459</v>
      </c>
      <c r="G2103" t="s">
        <v>14</v>
      </c>
      <c r="H2103">
             </c>
      <c r="I2103" t="s">
        <v>14</v>
      </c>
      <c r="J2103" t="s">
        <v>152</v>
      </c>
      <c r="K2103" t="s">
        <v>24</v>
      </c>
      <c r="L2103" t="s">
        <v>20</v>
      </c>
      <c r="M2103" t="s">
        <v>4454</v>
      </c>
      <c r="N2103" t="s">
        <v>14</v>
      </c>
    </row>
    <row r="2104" x14ac:dyDescent="0.25">
      <c r="A2104" t="n">
        <v>25</v>
      </c>
      <c r="B2104" t="s">
        <v>14</v>
      </c>
      <c r="C2104" t="s">
        <v>51</v>
      </c>
      <c r="D2104" s="2" t="s">
        <f>=HYPERLINK("https://main.knesset.gov.il/APPS/legislation/main/bills/2196547", "חוק להנצחת זכרו של מרן הרב עובדיה יוסף, התשפ""ה-2025")</f>
        <v>4460</v>
      </c>
      <c r="E2104" t="s">
        <v>4460</v>
      </c>
      <c r="F2104" t="s">
        <v>4461</v>
      </c>
      <c r="G2104" t="s">
        <v>4462</v>
      </c>
      <c r="H2104" t="n">
        <v>3362</v>
      </c>
      <c r="I2104" t="s">
        <v>14</v>
      </c>
      <c r="J2104" t="s">
        <v>18</v>
      </c>
      <c r="K2104" t="s">
        <v>79</v>
      </c>
      <c r="L2104" t="s">
        <v>20</v>
      </c>
      <c r="M2104" t="s">
        <v>4454</v>
      </c>
      <c r="N2104" t="s">
        <v>4463</v>
      </c>
    </row>
    <row r="2105" x14ac:dyDescent="0.25">
      <c r="A2105" t="n">
        <v>25</v>
      </c>
      <c r="B2105" t="s">
        <v>14</v>
      </c>
      <c r="C2105" t="s">
        <v>51</v>
      </c>
      <c r="D2105" s="2" t="s">
        <f>=HYPERLINK("https://main.knesset.gov.il/APPS/legislation/main/bills/2219763", "חוק לתיקון פקודת בתי הסוהר (מס' 68), התשפ""ה–2025")</f>
        <v>4464</v>
      </c>
      <c r="E2105" t="s">
        <v>4464</v>
      </c>
      <c r="F2105" t="s">
        <v>3125</v>
      </c>
      <c r="G2105" t="s">
        <v>3126</v>
      </c>
      <c r="H2105" t="n">
        <v>3361</v>
      </c>
      <c r="I2105" t="s">
        <v>14</v>
      </c>
      <c r="J2105" t="s">
        <v>18</v>
      </c>
      <c r="K2105" t="s">
        <v>19</v>
      </c>
      <c r="L2105" t="s">
        <v>20</v>
      </c>
      <c r="M2105" t="s">
        <v>4454</v>
      </c>
      <c r="N2105" t="s">
        <v>4465</v>
      </c>
    </row>
    <row r="2106" x14ac:dyDescent="0.25">
      <c r="A2106" t="n">
        <v>25</v>
      </c>
      <c r="B2106" t="s">
        <v>14</v>
      </c>
      <c r="C2106" t="s">
        <v>15</v>
      </c>
      <c r="D2106" s="2" t="s">
        <f>=HYPERLINK("https://main.knesset.gov.il/APPS/legislation/main/bills/2226851", "חוק הביטוח הלאומי (תיקון מס' 254), התשפ""ה-2025 ")</f>
        <v>4466</v>
      </c>
      <c r="E2106" t="s">
        <v>4466</v>
      </c>
      <c r="F2106" t="s">
        <v>14</v>
      </c>
      <c r="G2106" t="s">
        <v>4467</v>
      </c>
      <c r="H2106" t="n">
        <v>3360</v>
      </c>
      <c r="I2106" t="s">
        <v>14</v>
      </c>
      <c r="J2106" t="s">
        <v>18</v>
      </c>
      <c r="K2106" t="s">
        <v>46</v>
      </c>
      <c r="L2106" t="s">
        <v>20</v>
      </c>
      <c r="M2106" t="s">
        <v>4454</v>
      </c>
      <c r="N2106" t="s">
        <v>4468</v>
      </c>
    </row>
    <row r="2107" x14ac:dyDescent="0.25">
      <c r="A2107" t="n">
        <v>25</v>
      </c>
      <c r="B2107" t="s">
        <v>14</v>
      </c>
      <c r="C2107" t="s">
        <v>51</v>
      </c>
      <c r="D2107" s="2" t="s">
        <f>=HYPERLINK("https://main.knesset.gov.il/APPS/legislation/main/bills/2225017", "הצעת חוק זכויות החולה (תיקון - טיפול רפואי לקטין מגיל 15 ללא נוכחות הורה), התשפ""ה-2025")</f>
        <v>2945</v>
      </c>
      <c r="E2107" t="s">
        <v>2945</v>
      </c>
      <c r="F2107" t="s">
        <v>4469</v>
      </c>
      <c r="G2107" t="s">
        <v>14</v>
      </c>
      <c r="H2107">
             </c>
      <c r="I2107" t="s">
        <v>14</v>
      </c>
      <c r="J2107" t="s">
        <v>242</v>
      </c>
      <c r="K2107" t="s">
        <v>14</v>
      </c>
      <c r="L2107" t="s">
        <v>20</v>
      </c>
      <c r="M2107" t="s">
        <v>4454</v>
      </c>
      <c r="N2107" t="s">
        <v>14</v>
      </c>
    </row>
    <row r="2108" x14ac:dyDescent="0.25">
      <c r="A2108" t="n">
        <v>25</v>
      </c>
      <c r="B2108" t="s">
        <v>14</v>
      </c>
      <c r="C2108" t="s">
        <v>51</v>
      </c>
      <c r="D2108" s="2" t="s">
        <f>=HYPERLINK("https://main.knesset.gov.il/APPS/legislation/main/bills/2224914", "הצעת חוק תמיכה במימון פעילות ארגון נכי צה""ל ובתי הלוחם ובארגון נפגעי פעולות האיבה, התשפ""ה-2025")</f>
        <v>2650</v>
      </c>
      <c r="E2108" t="s">
        <v>2650</v>
      </c>
      <c r="F2108" t="s">
        <v>4470</v>
      </c>
      <c r="G2108" t="s">
        <v>14</v>
      </c>
      <c r="H2108">
             </c>
      <c r="I2108" t="s">
        <v>14</v>
      </c>
      <c r="J2108" t="s">
        <v>202</v>
      </c>
      <c r="K2108" t="s">
        <v>14</v>
      </c>
      <c r="L2108" t="s">
        <v>20</v>
      </c>
      <c r="M2108" t="s">
        <v>4454</v>
      </c>
      <c r="N2108" t="s">
        <v>14</v>
      </c>
    </row>
    <row r="2109" x14ac:dyDescent="0.25">
      <c r="A2109" t="n">
        <v>25</v>
      </c>
      <c r="B2109" t="s">
        <v>14</v>
      </c>
      <c r="C2109" t="s">
        <v>51</v>
      </c>
      <c r="D2109" s="2" t="s">
        <f>=HYPERLINK("https://main.knesset.gov.il/APPS/legislation/main/bills/2227036", "הצעת חוק לתיקון פקודת סדר הדין הפלילי (מעצר וחיפוש) (חיפוש שלא על פי צו חיפוש) (הארכת הוראת השעה), התשפ""ה-2025 ")</f>
        <v>4471</v>
      </c>
      <c r="E2109" t="s">
        <v>4471</v>
      </c>
      <c r="F2109" t="s">
        <v>4472</v>
      </c>
      <c r="G2109" t="s">
        <v>14</v>
      </c>
      <c r="H2109">
             </c>
      <c r="I2109" t="s">
        <v>14</v>
      </c>
      <c r="J2109" t="s">
        <v>242</v>
      </c>
      <c r="K2109" t="s">
        <v>14</v>
      </c>
      <c r="L2109" t="s">
        <v>20</v>
      </c>
      <c r="M2109" t="s">
        <v>4454</v>
      </c>
      <c r="N2109" t="s">
        <v>14</v>
      </c>
    </row>
    <row r="2110" x14ac:dyDescent="0.25">
      <c r="A2110" t="n">
        <v>25</v>
      </c>
      <c r="B2110" t="s">
        <v>14</v>
      </c>
      <c r="C2110" t="s">
        <v>51</v>
      </c>
      <c r="D2110" s="2" t="s">
        <f>=HYPERLINK("https://main.knesset.gov.il/APPS/legislation/main/bills/2226325", "הצעת חוק הפיקוח על שירותים פיננסיים (ייעוץ, שיווק ומערכת סליקה פנסיוניים) (תיקון - חובת ייעוץ או שיווק פנסיוני בעת משיכת כספים שלא כדין), התשפ""ה-2025")</f>
        <v>4473</v>
      </c>
      <c r="E2110" t="s">
        <v>4473</v>
      </c>
      <c r="F2110" t="s">
        <v>4474</v>
      </c>
      <c r="G2110" t="s">
        <v>14</v>
      </c>
      <c r="H2110">
             </c>
      <c r="I2110" t="s">
        <v>14</v>
      </c>
      <c r="J2110" t="s">
        <v>242</v>
      </c>
      <c r="K2110" t="s">
        <v>14</v>
      </c>
      <c r="L2110" t="s">
        <v>20</v>
      </c>
      <c r="M2110" t="s">
        <v>4454</v>
      </c>
      <c r="N2110" t="s">
        <v>14</v>
      </c>
    </row>
    <row r="2111" x14ac:dyDescent="0.25">
      <c r="A2111" t="n">
        <v>25</v>
      </c>
      <c r="B2111" t="s">
        <v>14</v>
      </c>
      <c r="C2111" t="s">
        <v>51</v>
      </c>
      <c r="D2111" s="2" t="s">
        <f>=HYPERLINK("https://main.knesset.gov.il/APPS/legislation/main/bills/2227119", "הצעת חוק הגנה על ישראלים מפני מוסדות בין-לאומיים עוינים, התשפ״ה-2025")</f>
        <v>4475</v>
      </c>
      <c r="E2111" t="s">
        <v>4475</v>
      </c>
      <c r="F2111" t="s">
        <v>4476</v>
      </c>
      <c r="G2111" t="s">
        <v>14</v>
      </c>
      <c r="H2111">
             </c>
      <c r="I2111" t="s">
        <v>14</v>
      </c>
      <c r="J2111" t="s">
        <v>242</v>
      </c>
      <c r="K2111" t="s">
        <v>14</v>
      </c>
      <c r="L2111" t="s">
        <v>20</v>
      </c>
      <c r="M2111" t="s">
        <v>4454</v>
      </c>
      <c r="N2111" t="s">
        <v>14</v>
      </c>
    </row>
    <row r="2112" x14ac:dyDescent="0.25">
      <c r="A2112" t="n">
        <v>25</v>
      </c>
      <c r="B2112" t="s">
        <v>14</v>
      </c>
      <c r="C2112" t="s">
        <v>51</v>
      </c>
      <c r="D2112" s="2" t="s">
        <f>=HYPERLINK("https://main.knesset.gov.il/APPS/legislation/main/bills/2227111", "הצעת חוק מאבק בארגוני פשיעה (תיקון - החמרת הענישה כנגד ארגוני סחיטה ושחיתות), התשפ""ה-2025")</f>
        <v>4217</v>
      </c>
      <c r="E2112" t="s">
        <v>4217</v>
      </c>
      <c r="F2112" t="s">
        <v>4477</v>
      </c>
      <c r="G2112" t="s">
        <v>14</v>
      </c>
      <c r="H2112">
             </c>
      <c r="I2112" t="s">
        <v>14</v>
      </c>
      <c r="J2112" t="s">
        <v>242</v>
      </c>
      <c r="K2112" t="s">
        <v>14</v>
      </c>
      <c r="L2112" t="s">
        <v>20</v>
      </c>
      <c r="M2112" t="s">
        <v>4454</v>
      </c>
      <c r="N2112" t="s">
        <v>14</v>
      </c>
    </row>
    <row r="2113" x14ac:dyDescent="0.25">
      <c r="A2113" t="n">
        <v>25</v>
      </c>
      <c r="B2113" t="s">
        <v>14</v>
      </c>
      <c r="C2113" t="s">
        <v>51</v>
      </c>
      <c r="D2113" s="2" t="s">
        <f>=HYPERLINK("https://main.knesset.gov.il/APPS/legislation/main/bills/2226928", "הצעת חוק שיקים ללא כיסוי (תיקון - הודעה על אי-כיבוד הרשאה לחיוב חשבון), התשפ""ה-2025")</f>
        <v>4478</v>
      </c>
      <c r="E2113" t="s">
        <v>4478</v>
      </c>
      <c r="F2113" t="s">
        <v>4479</v>
      </c>
      <c r="G2113" t="s">
        <v>14</v>
      </c>
      <c r="H2113">
             </c>
      <c r="I2113" t="s">
        <v>14</v>
      </c>
      <c r="J2113" t="s">
        <v>242</v>
      </c>
      <c r="K2113" t="s">
        <v>14</v>
      </c>
      <c r="L2113" t="s">
        <v>20</v>
      </c>
      <c r="M2113" t="s">
        <v>4454</v>
      </c>
      <c r="N2113" t="s">
        <v>14</v>
      </c>
    </row>
    <row r="2114" x14ac:dyDescent="0.25">
      <c r="A2114" t="n">
        <v>25</v>
      </c>
      <c r="B2114" t="s">
        <v>14</v>
      </c>
      <c r="C2114" t="s">
        <v>51</v>
      </c>
      <c r="D2114" s="2" t="s">
        <f>=HYPERLINK("https://main.knesset.gov.il/APPS/legislation/main/bills/2221935", "הצעת חוק הסדרת העיסוק בייעוץ השקעות, בשיווק השקעות ובניהול תיקי השקעות (תיקון - לקוח כשיר), התשפ""ה-2025")</f>
        <v>4403</v>
      </c>
      <c r="E2114" t="s">
        <v>4403</v>
      </c>
      <c r="F2114" t="s">
        <v>4480</v>
      </c>
      <c r="G2114" t="s">
        <v>14</v>
      </c>
      <c r="H2114">
             </c>
      <c r="I2114" t="s">
        <v>14</v>
      </c>
      <c r="J2114" t="s">
        <v>242</v>
      </c>
      <c r="K2114" t="s">
        <v>14</v>
      </c>
      <c r="L2114" t="s">
        <v>20</v>
      </c>
      <c r="M2114" t="s">
        <v>4454</v>
      </c>
      <c r="N2114" t="s">
        <v>14</v>
      </c>
    </row>
    <row r="2115" x14ac:dyDescent="0.25">
      <c r="A2115" t="n">
        <v>25</v>
      </c>
      <c r="B2115" t="s">
        <v>14</v>
      </c>
      <c r="C2115" t="s">
        <v>51</v>
      </c>
      <c r="D2115" s="2" t="s">
        <f>=HYPERLINK("https://main.knesset.gov.il/APPS/legislation/main/bills/2227408", "הצעת חוק תקשורת דיגיטלית עם גופים ציבוריים (תיקון - אישור קבלה ועדכון על מצב הטיפול בפנייה), התשפ""ה-2025")</f>
        <v>4481</v>
      </c>
      <c r="E2115" t="s">
        <v>4481</v>
      </c>
      <c r="F2115" t="s">
        <v>4482</v>
      </c>
      <c r="G2115" t="s">
        <v>14</v>
      </c>
      <c r="H2115">
             </c>
      <c r="I2115" t="s">
        <v>14</v>
      </c>
      <c r="J2115" t="s">
        <v>242</v>
      </c>
      <c r="K2115" t="s">
        <v>14</v>
      </c>
      <c r="L2115" t="s">
        <v>20</v>
      </c>
      <c r="M2115" t="s">
        <v>4454</v>
      </c>
      <c r="N2115" t="s">
        <v>14</v>
      </c>
    </row>
    <row r="2116" x14ac:dyDescent="0.25">
      <c r="A2116" t="n">
        <v>25</v>
      </c>
      <c r="B2116" t="s">
        <v>14</v>
      </c>
      <c r="C2116" t="s">
        <v>51</v>
      </c>
      <c r="D2116" s="2" t="s">
        <f>=HYPERLINK("https://main.knesset.gov.il/APPS/legislation/main/bills/2225891", "הצעת חוק-יסוד: משק המדינה (תיקון - סנקציה לאי-עמידה בזמני הגשת התקציב)")</f>
        <v>4483</v>
      </c>
      <c r="E2116" t="s">
        <v>4483</v>
      </c>
      <c r="F2116" t="s">
        <v>4484</v>
      </c>
      <c r="G2116" t="s">
        <v>14</v>
      </c>
      <c r="H2116">
             </c>
      <c r="I2116" t="s">
        <v>14</v>
      </c>
      <c r="J2116" t="s">
        <v>242</v>
      </c>
      <c r="K2116" t="s">
        <v>14</v>
      </c>
      <c r="L2116" t="s">
        <v>20</v>
      </c>
      <c r="M2116" t="s">
        <v>4454</v>
      </c>
      <c r="N2116" t="s">
        <v>14</v>
      </c>
    </row>
    <row r="2117" x14ac:dyDescent="0.25">
      <c r="A2117" t="n">
        <v>25</v>
      </c>
      <c r="B2117" t="s">
        <v>14</v>
      </c>
      <c r="C2117" t="s">
        <v>51</v>
      </c>
      <c r="D2117" s="2" t="s">
        <f>=HYPERLINK("https://main.knesset.gov.il/APPS/legislation/main/bills/2227065", "הצעת חוק להסדרת הביטחון בגופים ציבוריים (תיקון - אבטחה במוסדות להשכלה גבוהה), התשפ""ה-2025")</f>
        <v>4485</v>
      </c>
      <c r="E2117" t="s">
        <v>4485</v>
      </c>
      <c r="F2117" t="s">
        <v>4486</v>
      </c>
      <c r="G2117" t="s">
        <v>14</v>
      </c>
      <c r="H2117">
             </c>
      <c r="I2117" t="s">
        <v>14</v>
      </c>
      <c r="J2117" t="s">
        <v>242</v>
      </c>
      <c r="K2117" t="s">
        <v>14</v>
      </c>
      <c r="L2117" t="s">
        <v>20</v>
      </c>
      <c r="M2117" t="s">
        <v>4454</v>
      </c>
      <c r="N2117" t="s">
        <v>14</v>
      </c>
    </row>
    <row r="2118" x14ac:dyDescent="0.25">
      <c r="A2118" t="n">
        <v>25</v>
      </c>
      <c r="B2118" t="s">
        <v>14</v>
      </c>
      <c r="C2118" t="s">
        <v>51</v>
      </c>
      <c r="D2118" s="2" t="s">
        <f>=HYPERLINK("https://main.knesset.gov.il/APPS/legislation/main/bills/2227311", "הצעת חוק זכויות הסטודנט (תיקון - איסור הפליה מחמת מוגבלות), התשפ""ה-2025")</f>
        <v>4487</v>
      </c>
      <c r="E2118" t="s">
        <v>4487</v>
      </c>
      <c r="F2118" t="s">
        <v>4488</v>
      </c>
      <c r="G2118" t="s">
        <v>14</v>
      </c>
      <c r="H2118">
             </c>
      <c r="I2118" t="s">
        <v>14</v>
      </c>
      <c r="J2118" t="s">
        <v>202</v>
      </c>
      <c r="K2118" t="s">
        <v>14</v>
      </c>
      <c r="L2118" t="s">
        <v>20</v>
      </c>
      <c r="M2118" t="s">
        <v>4454</v>
      </c>
      <c r="N2118" t="s">
        <v>14</v>
      </c>
    </row>
    <row r="2119" x14ac:dyDescent="0.25">
      <c r="A2119" t="n">
        <v>25</v>
      </c>
      <c r="B2119" t="s">
        <v>14</v>
      </c>
      <c r="C2119" t="s">
        <v>51</v>
      </c>
      <c r="D2119" s="2" t="s">
        <f>=HYPERLINK("https://main.knesset.gov.il/APPS/legislation/main/bills/2227426", "הצעת חוק הביטוח הלאומי (תיקון - חישוב התגמול לעצמאים בשירות מילואים), התשפ""ה-2025")</f>
        <v>4489</v>
      </c>
      <c r="E2119" t="s">
        <v>4489</v>
      </c>
      <c r="F2119" t="s">
        <v>4490</v>
      </c>
      <c r="G2119" t="s">
        <v>14</v>
      </c>
      <c r="H2119">
             </c>
      <c r="I2119" t="s">
        <v>14</v>
      </c>
      <c r="J2119" t="s">
        <v>242</v>
      </c>
      <c r="K2119" t="s">
        <v>14</v>
      </c>
      <c r="L2119" t="s">
        <v>20</v>
      </c>
      <c r="M2119" t="s">
        <v>4454</v>
      </c>
      <c r="N2119" t="s">
        <v>14</v>
      </c>
    </row>
    <row r="2120" x14ac:dyDescent="0.25">
      <c r="A2120" t="n">
        <v>25</v>
      </c>
      <c r="B2120" t="s">
        <v>14</v>
      </c>
      <c r="C2120" t="s">
        <v>51</v>
      </c>
      <c r="D2120" s="2" t="s">
        <f>=HYPERLINK("https://main.knesset.gov.il/APPS/legislation/main/bills/2225650", "הצעת חוק תוספת ימי היעדרות והרחבת התקופה המוגנת מפני פיטורים לבן זוג של משרת מילואים (תיקוני חקיקה), התשפ""ה-2025")</f>
        <v>4491</v>
      </c>
      <c r="E2120" t="s">
        <v>4491</v>
      </c>
      <c r="F2120" t="s">
        <v>4492</v>
      </c>
      <c r="G2120" t="s">
        <v>14</v>
      </c>
      <c r="H2120">
             </c>
      <c r="I2120" t="s">
        <v>14</v>
      </c>
      <c r="J2120" t="s">
        <v>242</v>
      </c>
      <c r="K2120" t="s">
        <v>14</v>
      </c>
      <c r="L2120" t="s">
        <v>20</v>
      </c>
      <c r="M2120" t="s">
        <v>4454</v>
      </c>
      <c r="N2120" t="s">
        <v>14</v>
      </c>
    </row>
    <row r="2121" x14ac:dyDescent="0.25">
      <c r="A2121" t="n">
        <v>25</v>
      </c>
      <c r="B2121" t="s">
        <v>14</v>
      </c>
      <c r="C2121" t="s">
        <v>51</v>
      </c>
      <c r="D2121" s="2" t="s">
        <f>=HYPERLINK("https://main.knesset.gov.il/APPS/legislation/main/bills/2224518", "הצעת חוק הבנקאות (שירות ללקוח) (תיקון - הודעה ללקוח בדבר הטלת עיקול על חשבונו), התשפ""ה-2025")</f>
        <v>4383</v>
      </c>
      <c r="E2121" t="s">
        <v>4383</v>
      </c>
      <c r="F2121" t="s">
        <v>4493</v>
      </c>
      <c r="G2121" t="s">
        <v>14</v>
      </c>
      <c r="H2121">
             </c>
      <c r="I2121" t="s">
        <v>14</v>
      </c>
      <c r="J2121" t="s">
        <v>242</v>
      </c>
      <c r="K2121" t="s">
        <v>14</v>
      </c>
      <c r="L2121" t="s">
        <v>20</v>
      </c>
      <c r="M2121" t="s">
        <v>4454</v>
      </c>
      <c r="N2121" t="s">
        <v>14</v>
      </c>
    </row>
    <row r="2122" x14ac:dyDescent="0.25">
      <c r="A2122" t="n">
        <v>25</v>
      </c>
      <c r="B2122" t="s">
        <v>14</v>
      </c>
      <c r="C2122" t="s">
        <v>51</v>
      </c>
      <c r="D2122" s="2" t="s">
        <f>=HYPERLINK("https://main.knesset.gov.il/APPS/legislation/main/bills/2225631", "הצעת חוק לתיקון פקודת התעבורה (פיצוי בשל איחור אוטובוס), התשפ""ה-2025")</f>
        <v>4494</v>
      </c>
      <c r="E2122" t="s">
        <v>4494</v>
      </c>
      <c r="F2122" t="s">
        <v>4495</v>
      </c>
      <c r="G2122" t="s">
        <v>14</v>
      </c>
      <c r="H2122">
             </c>
      <c r="I2122" t="s">
        <v>14</v>
      </c>
      <c r="J2122" t="s">
        <v>242</v>
      </c>
      <c r="K2122" t="s">
        <v>14</v>
      </c>
      <c r="L2122" t="s">
        <v>20</v>
      </c>
      <c r="M2122" t="s">
        <v>4454</v>
      </c>
      <c r="N2122" t="s">
        <v>14</v>
      </c>
    </row>
    <row r="2123" x14ac:dyDescent="0.25">
      <c r="A2123" t="n">
        <v>25</v>
      </c>
      <c r="B2123" t="s">
        <v>14</v>
      </c>
      <c r="C2123" t="s">
        <v>51</v>
      </c>
      <c r="D2123" s="2" t="s">
        <f>=HYPERLINK("https://main.knesset.gov.il/APPS/legislation/main/bills/2227369", "הצעת חוק סיוע למשפחות נרצחי מאורעות 7 באוקטובר, התשפ""ה-2025")</f>
        <v>4496</v>
      </c>
      <c r="E2123" t="s">
        <v>4496</v>
      </c>
      <c r="F2123" t="s">
        <v>4497</v>
      </c>
      <c r="G2123" t="s">
        <v>14</v>
      </c>
      <c r="H2123">
             </c>
      <c r="I2123" t="s">
        <v>14</v>
      </c>
      <c r="J2123" t="s">
        <v>242</v>
      </c>
      <c r="K2123" t="s">
        <v>14</v>
      </c>
      <c r="L2123" t="s">
        <v>20</v>
      </c>
      <c r="M2123" t="s">
        <v>4454</v>
      </c>
      <c r="N2123" t="s">
        <v>14</v>
      </c>
    </row>
    <row r="2124" x14ac:dyDescent="0.25">
      <c r="A2124" t="n">
        <v>25</v>
      </c>
      <c r="B2124" t="s">
        <v>14</v>
      </c>
      <c r="C2124" t="s">
        <v>51</v>
      </c>
      <c r="D2124" s="2" t="s">
        <f>=HYPERLINK("https://main.knesset.gov.il/APPS/legislation/main/bills/2227307", "הצעת חוק הגנת השכר (תיקון - תלוש שכר אחיד בשירות המדינה), התשפ""ה-2025")</f>
        <v>4498</v>
      </c>
      <c r="E2124" t="s">
        <v>4498</v>
      </c>
      <c r="F2124" t="s">
        <v>4499</v>
      </c>
      <c r="G2124" t="s">
        <v>14</v>
      </c>
      <c r="H2124">
             </c>
      <c r="I2124" t="s">
        <v>14</v>
      </c>
      <c r="J2124" t="s">
        <v>242</v>
      </c>
      <c r="K2124" t="s">
        <v>14</v>
      </c>
      <c r="L2124" t="s">
        <v>20</v>
      </c>
      <c r="M2124" t="s">
        <v>4454</v>
      </c>
      <c r="N2124" t="s">
        <v>14</v>
      </c>
    </row>
    <row r="2125" x14ac:dyDescent="0.25">
      <c r="A2125" t="n">
        <v>25</v>
      </c>
      <c r="B2125" t="s">
        <v>14</v>
      </c>
      <c r="C2125" t="s">
        <v>51</v>
      </c>
      <c r="D2125" s="2" t="s">
        <f>=HYPERLINK("https://main.knesset.gov.il/APPS/legislation/main/bills/2226997", "הצעת חוק זכויות הסטודנט (תיקון - איסור הפליה מחמת מוגבלות), התשפ""ה-2025")</f>
        <v>4487</v>
      </c>
      <c r="E2125" t="s">
        <v>4487</v>
      </c>
      <c r="F2125" t="s">
        <v>4500</v>
      </c>
      <c r="G2125" t="s">
        <v>14</v>
      </c>
      <c r="H2125">
             </c>
      <c r="I2125" t="s">
        <v>14</v>
      </c>
      <c r="J2125" t="s">
        <v>202</v>
      </c>
      <c r="K2125" t="s">
        <v>14</v>
      </c>
      <c r="L2125" t="s">
        <v>20</v>
      </c>
      <c r="M2125" t="s">
        <v>4454</v>
      </c>
      <c r="N2125" t="s">
        <v>14</v>
      </c>
    </row>
    <row r="2126" x14ac:dyDescent="0.25">
      <c r="A2126" t="n">
        <v>25</v>
      </c>
      <c r="B2126" t="s">
        <v>14</v>
      </c>
      <c r="C2126" t="s">
        <v>51</v>
      </c>
      <c r="D2126" s="2" t="s">
        <f>=HYPERLINK("https://main.knesset.gov.il/APPS/legislation/main/bills/2227028", "הצעת חוק החלת תקצוב מגדרי על תקציבים ציבוריים בישראל, התשפ""ה-2025")</f>
        <v>2705</v>
      </c>
      <c r="E2126" t="s">
        <v>2705</v>
      </c>
      <c r="F2126" t="s">
        <v>4501</v>
      </c>
      <c r="G2126" t="s">
        <v>14</v>
      </c>
      <c r="H2126">
             </c>
      <c r="I2126" t="s">
        <v>14</v>
      </c>
      <c r="J2126" t="s">
        <v>242</v>
      </c>
      <c r="K2126" t="s">
        <v>14</v>
      </c>
      <c r="L2126" t="s">
        <v>20</v>
      </c>
      <c r="M2126" t="s">
        <v>4454</v>
      </c>
      <c r="N2126" t="s">
        <v>14</v>
      </c>
    </row>
    <row r="2127" x14ac:dyDescent="0.25">
      <c r="A2127" t="n">
        <v>25</v>
      </c>
      <c r="B2127" t="s">
        <v>14</v>
      </c>
      <c r="C2127" t="s">
        <v>51</v>
      </c>
      <c r="D2127" s="2" t="s">
        <f>=HYPERLINK("https://main.knesset.gov.il/APPS/legislation/main/bills/2225666", "הצעת חוק חסינות חברי הכנסת, זכויותיהם וחובותיהם (תיקון - ביקור במוסדות ציבוריים), התשפ""ה-2025")</f>
        <v>4502</v>
      </c>
      <c r="E2127" t="s">
        <v>4502</v>
      </c>
      <c r="F2127" t="s">
        <v>4503</v>
      </c>
      <c r="G2127" t="s">
        <v>14</v>
      </c>
      <c r="H2127">
             </c>
      <c r="I2127" t="s">
        <v>14</v>
      </c>
      <c r="J2127" t="s">
        <v>242</v>
      </c>
      <c r="K2127" t="s">
        <v>14</v>
      </c>
      <c r="L2127" t="s">
        <v>20</v>
      </c>
      <c r="M2127" t="s">
        <v>4454</v>
      </c>
      <c r="N2127" t="s">
        <v>14</v>
      </c>
    </row>
    <row r="2128" x14ac:dyDescent="0.25">
      <c r="A2128" t="n">
        <v>25</v>
      </c>
      <c r="B2128" t="s">
        <v>14</v>
      </c>
      <c r="C2128" t="s">
        <v>51</v>
      </c>
      <c r="D2128" s="2" t="s">
        <f>=HYPERLINK("https://main.knesset.gov.il/APPS/legislation/main/bills/2221505", "הצעת חוק מס ערך מוסף (תיקון - פטור ממס על תשר), התשפ""ה-2024")</f>
        <v>4504</v>
      </c>
      <c r="E2128" t="s">
        <v>4504</v>
      </c>
      <c r="F2128" t="s">
        <v>4505</v>
      </c>
      <c r="G2128" t="s">
        <v>14</v>
      </c>
      <c r="H2128">
             </c>
      <c r="I2128" t="s">
        <v>14</v>
      </c>
      <c r="J2128" t="s">
        <v>152</v>
      </c>
      <c r="K2128" t="s">
        <v>24</v>
      </c>
      <c r="L2128" t="s">
        <v>20</v>
      </c>
      <c r="M2128" t="s">
        <v>4506</v>
      </c>
      <c r="N2128" t="s">
        <v>14</v>
      </c>
    </row>
    <row r="2129" x14ac:dyDescent="0.25">
      <c r="A2129" t="n">
        <v>25</v>
      </c>
      <c r="B2129" t="s">
        <v>14</v>
      </c>
      <c r="C2129" t="s">
        <v>51</v>
      </c>
      <c r="D2129" s="2" t="s">
        <f>=HYPERLINK("https://main.knesset.gov.il/APPS/legislation/main/bills/2221538", "הצעת חוק מס ערך מוסף (תיקון - פטור ממס על תשר), התשפ""ה-2024")</f>
        <v>4504</v>
      </c>
      <c r="E2129" t="s">
        <v>4504</v>
      </c>
      <c r="F2129" t="s">
        <v>4507</v>
      </c>
      <c r="G2129" t="s">
        <v>14</v>
      </c>
      <c r="H2129">
             </c>
      <c r="I2129" t="s">
        <v>14</v>
      </c>
      <c r="J2129" t="s">
        <v>152</v>
      </c>
      <c r="K2129" t="s">
        <v>24</v>
      </c>
      <c r="L2129" t="s">
        <v>20</v>
      </c>
      <c r="M2129" t="s">
        <v>4506</v>
      </c>
      <c r="N2129" t="s">
        <v>14</v>
      </c>
    </row>
    <row r="2130" x14ac:dyDescent="0.25">
      <c r="A2130" t="n">
        <v>25</v>
      </c>
      <c r="B2130" t="s">
        <v>14</v>
      </c>
      <c r="C2130" t="s">
        <v>51</v>
      </c>
      <c r="D2130" s="2" t="s">
        <f>=HYPERLINK("https://main.knesset.gov.il/APPS/legislation/main/bills/2208708", "חוק לשכת עורכי הדין (תיקון מס' 45), התשפ""ה–2025")</f>
        <v>4508</v>
      </c>
      <c r="E2130" t="s">
        <v>4508</v>
      </c>
      <c r="F2130" t="s">
        <v>4509</v>
      </c>
      <c r="G2130" t="s">
        <v>4510</v>
      </c>
      <c r="H2130" t="n">
        <v>3359</v>
      </c>
      <c r="I2130" t="s">
        <v>14</v>
      </c>
      <c r="J2130" t="s">
        <v>18</v>
      </c>
      <c r="K2130" t="s">
        <v>27</v>
      </c>
      <c r="L2130" t="s">
        <v>20</v>
      </c>
      <c r="M2130" t="s">
        <v>4506</v>
      </c>
      <c r="N2130" t="s">
        <v>4511</v>
      </c>
    </row>
    <row r="2131" x14ac:dyDescent="0.25">
      <c r="A2131" t="n">
        <v>25</v>
      </c>
      <c r="B2131" t="s">
        <v>14</v>
      </c>
      <c r="C2131" t="s">
        <v>51</v>
      </c>
      <c r="D2131" s="2" t="s">
        <f>=HYPERLINK("https://main.knesset.gov.il/APPS/legislation/main/bills/2223191", "הצעת חוק ועדת חקירה ממלכתית בגין אירועי 7 באוקטובר ומלחמת חרבות ברזל, התשפ""ה-2024 ")</f>
        <v>4512</v>
      </c>
      <c r="E2131" t="s">
        <v>4512</v>
      </c>
      <c r="F2131" t="s">
        <v>4513</v>
      </c>
      <c r="G2131" t="s">
        <v>14</v>
      </c>
      <c r="H2131">
             </c>
      <c r="I2131" t="s">
        <v>14</v>
      </c>
      <c r="J2131" t="s">
        <v>193</v>
      </c>
      <c r="K2131" t="s">
        <v>14</v>
      </c>
      <c r="L2131" t="s">
        <v>20</v>
      </c>
      <c r="M2131" t="s">
        <v>4506</v>
      </c>
      <c r="N2131" t="s">
        <v>14</v>
      </c>
    </row>
    <row r="2132" x14ac:dyDescent="0.25">
      <c r="A2132" t="n">
        <v>25</v>
      </c>
      <c r="B2132" t="s">
        <v>14</v>
      </c>
      <c r="C2132" t="s">
        <v>51</v>
      </c>
      <c r="D2132" s="2" t="s">
        <f>=HYPERLINK("https://main.knesset.gov.il/APPS/legislation/main/bills/2195655", "הצעת חוק הרחבת לימודי הבסיס בחינוך שאינו ממלכתי (הוראת שעה), התשפ""ג-2023")</f>
        <v>4514</v>
      </c>
      <c r="E2132" t="s">
        <v>4514</v>
      </c>
      <c r="F2132" t="s">
        <v>4515</v>
      </c>
      <c r="G2132" t="s">
        <v>14</v>
      </c>
      <c r="H2132">
             </c>
      <c r="I2132" t="s">
        <v>14</v>
      </c>
      <c r="J2132" t="s">
        <v>193</v>
      </c>
      <c r="K2132" t="s">
        <v>14</v>
      </c>
      <c r="L2132" t="s">
        <v>20</v>
      </c>
      <c r="M2132" t="s">
        <v>4506</v>
      </c>
      <c r="N2132" t="s">
        <v>14</v>
      </c>
    </row>
    <row r="2133" x14ac:dyDescent="0.25">
      <c r="A2133" t="n">
        <v>25</v>
      </c>
      <c r="B2133" t="s">
        <v>14</v>
      </c>
      <c r="C2133" t="s">
        <v>51</v>
      </c>
      <c r="D2133" s="2" t="s">
        <f>=HYPERLINK("https://main.knesset.gov.il/APPS/legislation/main/bills/2203397", "הצעת חוק החלת הריבונות הישראלית על בקעת הירדן, התשפ""ג-2023")</f>
        <v>4516</v>
      </c>
      <c r="E2133" t="s">
        <v>4516</v>
      </c>
      <c r="F2133" t="s">
        <v>4517</v>
      </c>
      <c r="G2133" t="s">
        <v>14</v>
      </c>
      <c r="H2133">
             </c>
      <c r="I2133" t="s">
        <v>14</v>
      </c>
      <c r="J2133" t="s">
        <v>193</v>
      </c>
      <c r="K2133" t="s">
        <v>14</v>
      </c>
      <c r="L2133" t="s">
        <v>20</v>
      </c>
      <c r="M2133" t="s">
        <v>4506</v>
      </c>
      <c r="N2133" t="s">
        <v>14</v>
      </c>
    </row>
    <row r="2134" x14ac:dyDescent="0.25">
      <c r="A2134" t="n">
        <v>25</v>
      </c>
      <c r="B2134" t="s">
        <v>14</v>
      </c>
      <c r="C2134" t="s">
        <v>51</v>
      </c>
      <c r="D2134" s="2" t="s">
        <f>=HYPERLINK("https://main.knesset.gov.il/APPS/legislation/main/bills/2225064", "הצעת חוק מיקוד לאומי לשיקום מרחיב לחבל התקומה, התשפ""ה-2024")</f>
        <v>4518</v>
      </c>
      <c r="E2134" t="s">
        <v>4518</v>
      </c>
      <c r="F2134" t="s">
        <v>4519</v>
      </c>
      <c r="G2134" t="s">
        <v>14</v>
      </c>
      <c r="H2134">
             </c>
      <c r="I2134" t="s">
        <v>14</v>
      </c>
      <c r="J2134" t="s">
        <v>183</v>
      </c>
      <c r="K2134" t="s">
        <v>84</v>
      </c>
      <c r="L2134" t="s">
        <v>20</v>
      </c>
      <c r="M2134" t="s">
        <v>4520</v>
      </c>
      <c r="N2134" t="s">
        <v>14</v>
      </c>
    </row>
    <row r="2135" x14ac:dyDescent="0.25">
      <c r="A2135" t="n">
        <v>25</v>
      </c>
      <c r="B2135" t="s">
        <v>14</v>
      </c>
      <c r="C2135" t="s">
        <v>51</v>
      </c>
      <c r="D2135" s="2" t="s">
        <f>=HYPERLINK("https://main.knesset.gov.il/APPS/legislation/main/bills/2211184", "חוק איסור הכחשת אירועי טבח 7 באוקטובר 2023 (טבח שמיני עצרת), התשפ""ה–2025")</f>
        <v>4521</v>
      </c>
      <c r="E2135" t="s">
        <v>4521</v>
      </c>
      <c r="F2135" t="s">
        <v>4522</v>
      </c>
      <c r="G2135" t="s">
        <v>4523</v>
      </c>
      <c r="H2135" t="n">
        <v>3358</v>
      </c>
      <c r="I2135" t="s">
        <v>14</v>
      </c>
      <c r="J2135" t="s">
        <v>18</v>
      </c>
      <c r="K2135" t="s">
        <v>27</v>
      </c>
      <c r="L2135" t="s">
        <v>20</v>
      </c>
      <c r="M2135" t="s">
        <v>4520</v>
      </c>
      <c r="N2135" t="s">
        <v>4524</v>
      </c>
    </row>
    <row r="2136" x14ac:dyDescent="0.25">
      <c r="A2136" t="n">
        <v>25</v>
      </c>
      <c r="B2136" t="s">
        <v>14</v>
      </c>
      <c r="C2136" t="s">
        <v>15</v>
      </c>
      <c r="D2136" s="2" t="s">
        <f>=HYPERLINK("https://main.knesset.gov.il/APPS/legislation/main/bills/2225865", "חוק תאגידי מים וביוב (תיקון מס' 17), התשפ""ה-2025")</f>
        <v>4525</v>
      </c>
      <c r="E2136" t="s">
        <v>4525</v>
      </c>
      <c r="F2136" t="s">
        <v>14</v>
      </c>
      <c r="G2136" t="s">
        <v>4526</v>
      </c>
      <c r="H2136" t="n">
        <v>3357</v>
      </c>
      <c r="I2136" t="s">
        <v>14</v>
      </c>
      <c r="J2136" t="s">
        <v>18</v>
      </c>
      <c r="K2136" t="s">
        <v>84</v>
      </c>
      <c r="L2136" t="s">
        <v>20</v>
      </c>
      <c r="M2136" t="s">
        <v>4520</v>
      </c>
      <c r="N2136" t="s">
        <v>4527</v>
      </c>
    </row>
    <row r="2137" x14ac:dyDescent="0.25">
      <c r="A2137" t="n">
        <v>25</v>
      </c>
      <c r="B2137" t="s">
        <v>14</v>
      </c>
      <c r="C2137" t="s">
        <v>51</v>
      </c>
      <c r="D2137" s="2" t="s">
        <f>=HYPERLINK("https://main.knesset.gov.il/APPS/legislation/main/bills/2197296", "הצעת חוק הביטוח הלאומי (תיקון מס' 255) (תשלום גמלה לשמירת היריון), התשפ""ה-2024")</f>
        <v>4528</v>
      </c>
      <c r="E2137" t="s">
        <v>4528</v>
      </c>
      <c r="F2137" t="s">
        <v>4529</v>
      </c>
      <c r="G2137" t="s">
        <v>4530</v>
      </c>
      <c r="H2137">
             </c>
      <c r="I2137" t="s">
        <v>14</v>
      </c>
      <c r="J2137" t="s">
        <v>38</v>
      </c>
      <c r="K2137" t="s">
        <v>46</v>
      </c>
      <c r="L2137" t="s">
        <v>20</v>
      </c>
      <c r="M2137" t="s">
        <v>4520</v>
      </c>
      <c r="N2137" t="s">
        <v>14</v>
      </c>
    </row>
    <row r="2138" x14ac:dyDescent="0.25">
      <c r="A2138" t="n">
        <v>25</v>
      </c>
      <c r="B2138" t="s">
        <v>14</v>
      </c>
      <c r="C2138" t="s">
        <v>15</v>
      </c>
      <c r="D2138" s="2" t="s">
        <f>=HYPERLINK("https://main.knesset.gov.il/APPS/legislation/main/bills/2227199", "סעיפים 9(7), 13 ו-14 (אישור מיזמים משותפים) מתוך הצעת חוק התוכנית הכלכלית (תיקוני חקיקה ליישום המדיניות הכלכלית לשנת התקציב 2025), התשפ""ה-2024 [פוצל לפי סעיף 84(ב) לתקנון]")</f>
        <v>4531</v>
      </c>
      <c r="E2138" t="s">
        <v>4531</v>
      </c>
      <c r="F2138" t="s">
        <v>14</v>
      </c>
      <c r="G2138" t="s">
        <v>237</v>
      </c>
      <c r="H2138">
             </c>
      <c r="I2138" t="s">
        <v>14</v>
      </c>
      <c r="J2138" t="s">
        <v>38</v>
      </c>
      <c r="K2138" t="s">
        <v>30</v>
      </c>
      <c r="L2138" t="s">
        <v>20</v>
      </c>
      <c r="M2138" t="s">
        <v>4532</v>
      </c>
      <c r="N2138" t="s">
        <v>14</v>
      </c>
    </row>
    <row r="2139" x14ac:dyDescent="0.25">
      <c r="A2139" t="n">
        <v>25</v>
      </c>
      <c r="B2139" t="s">
        <v>14</v>
      </c>
      <c r="C2139" t="s">
        <v>15</v>
      </c>
      <c r="D2139" s="2" t="s">
        <f>=HYPERLINK("https://main.knesset.gov.il/APPS/legislation/main/bills/2223548", "חוק הגז הפחמימני המעובה (תיקון מס' 2), התשפ""ה-2025 ")</f>
        <v>4533</v>
      </c>
      <c r="E2139" t="s">
        <v>4533</v>
      </c>
      <c r="F2139" t="s">
        <v>14</v>
      </c>
      <c r="G2139" t="s">
        <v>4534</v>
      </c>
      <c r="H2139" t="n">
        <v>3356</v>
      </c>
      <c r="I2139" t="s">
        <v>14</v>
      </c>
      <c r="J2139" t="s">
        <v>18</v>
      </c>
      <c r="K2139" t="s">
        <v>84</v>
      </c>
      <c r="L2139" t="s">
        <v>20</v>
      </c>
      <c r="M2139" t="s">
        <v>4532</v>
      </c>
      <c r="N2139" t="s">
        <v>4535</v>
      </c>
    </row>
    <row r="2140" x14ac:dyDescent="0.25">
      <c r="A2140" t="n">
        <v>25</v>
      </c>
      <c r="B2140" t="s">
        <v>14</v>
      </c>
      <c r="C2140" t="s">
        <v>51</v>
      </c>
      <c r="D2140" s="2" t="s">
        <f>=HYPERLINK("https://main.knesset.gov.il/APPS/legislation/main/bills/2226337", "הצעת חוק כליאת אסירים ביטחוניים, התשפ""ה-2025")</f>
        <v>4016</v>
      </c>
      <c r="E2140" t="s">
        <v>4016</v>
      </c>
      <c r="F2140" t="s">
        <v>4536</v>
      </c>
      <c r="G2140" t="s">
        <v>14</v>
      </c>
      <c r="H2140">
             </c>
      <c r="I2140" t="s">
        <v>14</v>
      </c>
      <c r="J2140" t="s">
        <v>242</v>
      </c>
      <c r="K2140" t="s">
        <v>14</v>
      </c>
      <c r="L2140" t="s">
        <v>20</v>
      </c>
      <c r="M2140" t="s">
        <v>4532</v>
      </c>
      <c r="N2140" t="s">
        <v>14</v>
      </c>
    </row>
    <row r="2141" x14ac:dyDescent="0.25">
      <c r="A2141" t="n">
        <v>25</v>
      </c>
      <c r="B2141" t="s">
        <v>14</v>
      </c>
      <c r="C2141" t="s">
        <v>51</v>
      </c>
      <c r="D2141" s="2" t="s">
        <f>=HYPERLINK("https://main.knesset.gov.il/APPS/legislation/main/bills/2198420", "הצעת חוק שירות המדינה (מינויים) (תיקון - מינוי יועצים משפטיים של משרדים), התשפ""ה-2025")</f>
        <v>4537</v>
      </c>
      <c r="E2141" t="s">
        <v>4537</v>
      </c>
      <c r="F2141" t="s">
        <v>4538</v>
      </c>
      <c r="G2141" t="s">
        <v>14</v>
      </c>
      <c r="H2141">
             </c>
      <c r="I2141" t="s">
        <v>14</v>
      </c>
      <c r="J2141" t="s">
        <v>242</v>
      </c>
      <c r="K2141" t="s">
        <v>14</v>
      </c>
      <c r="L2141" t="s">
        <v>20</v>
      </c>
      <c r="M2141" t="s">
        <v>4532</v>
      </c>
      <c r="N2141" t="s">
        <v>14</v>
      </c>
    </row>
    <row r="2142" x14ac:dyDescent="0.25">
      <c r="A2142" t="n">
        <v>25</v>
      </c>
      <c r="B2142" t="s">
        <v>14</v>
      </c>
      <c r="C2142" t="s">
        <v>51</v>
      </c>
      <c r="D2142" s="2" t="s">
        <f>=HYPERLINK("https://main.knesset.gov.il/APPS/legislation/main/bills/2226683", "הצעת חוק החלת תקצוב מגדרי על תקציבים ציבוריים בישראל, התשפ""ה-2025")</f>
        <v>2705</v>
      </c>
      <c r="E2142" t="s">
        <v>2705</v>
      </c>
      <c r="F2142" t="s">
        <v>4539</v>
      </c>
      <c r="G2142" t="s">
        <v>14</v>
      </c>
      <c r="H2142">
             </c>
      <c r="I2142" t="s">
        <v>14</v>
      </c>
      <c r="J2142" t="s">
        <v>242</v>
      </c>
      <c r="K2142" t="s">
        <v>14</v>
      </c>
      <c r="L2142" t="s">
        <v>20</v>
      </c>
      <c r="M2142" t="s">
        <v>4532</v>
      </c>
      <c r="N2142" t="s">
        <v>14</v>
      </c>
    </row>
    <row r="2143" x14ac:dyDescent="0.25">
      <c r="A2143" t="n">
        <v>25</v>
      </c>
      <c r="B2143" t="s">
        <v>14</v>
      </c>
      <c r="C2143" t="s">
        <v>51</v>
      </c>
      <c r="D2143" s="2" t="s">
        <f>=HYPERLINK("https://main.knesset.gov.il/APPS/legislation/main/bills/2198417", "הצעת חוק-יסוד: השפיטה (תיקון - הגבלת זכות העמידה)")</f>
        <v>4540</v>
      </c>
      <c r="E2143" t="s">
        <v>4540</v>
      </c>
      <c r="F2143" t="s">
        <v>4541</v>
      </c>
      <c r="G2143" t="s">
        <v>14</v>
      </c>
      <c r="H2143">
             </c>
      <c r="I2143" t="s">
        <v>14</v>
      </c>
      <c r="J2143" t="s">
        <v>242</v>
      </c>
      <c r="K2143" t="s">
        <v>14</v>
      </c>
      <c r="L2143" t="s">
        <v>20</v>
      </c>
      <c r="M2143" t="s">
        <v>4532</v>
      </c>
      <c r="N2143" t="s">
        <v>14</v>
      </c>
    </row>
    <row r="2144" x14ac:dyDescent="0.25">
      <c r="A2144" t="n">
        <v>25</v>
      </c>
      <c r="B2144" t="s">
        <v>14</v>
      </c>
      <c r="C2144" t="s">
        <v>51</v>
      </c>
      <c r="D2144" s="2" t="s">
        <f>=HYPERLINK("https://main.knesset.gov.il/APPS/legislation/main/bills/2226510", "הצעת חוק מעמד המשרת בשירות צבאי או לאומי, התשפ""ה-2025")</f>
        <v>4542</v>
      </c>
      <c r="E2144" t="s">
        <v>4542</v>
      </c>
      <c r="F2144" t="s">
        <v>4543</v>
      </c>
      <c r="G2144" t="s">
        <v>14</v>
      </c>
      <c r="H2144">
             </c>
      <c r="I2144" t="s">
        <v>14</v>
      </c>
      <c r="J2144" t="s">
        <v>242</v>
      </c>
      <c r="K2144" t="s">
        <v>14</v>
      </c>
      <c r="L2144" t="s">
        <v>20</v>
      </c>
      <c r="M2144" t="s">
        <v>4532</v>
      </c>
      <c r="N2144" t="s">
        <v>14</v>
      </c>
    </row>
    <row r="2145" x14ac:dyDescent="0.25">
      <c r="A2145" t="n">
        <v>25</v>
      </c>
      <c r="B2145" t="s">
        <v>14</v>
      </c>
      <c r="C2145" t="s">
        <v>51</v>
      </c>
      <c r="D2145" s="2" t="s">
        <f>=HYPERLINK("https://main.knesset.gov.il/APPS/legislation/main/bills/2226762", "הצעת חוק עידוד שירות צבאי, לאומי או לאומי-אזרחי במוסדות להשכלה גבוהה, התשפ""ה-2025")</f>
        <v>4373</v>
      </c>
      <c r="E2145" t="s">
        <v>4373</v>
      </c>
      <c r="F2145" t="s">
        <v>4544</v>
      </c>
      <c r="G2145" t="s">
        <v>14</v>
      </c>
      <c r="H2145">
             </c>
      <c r="I2145" t="s">
        <v>14</v>
      </c>
      <c r="J2145" t="s">
        <v>242</v>
      </c>
      <c r="K2145" t="s">
        <v>14</v>
      </c>
      <c r="L2145" t="s">
        <v>20</v>
      </c>
      <c r="M2145" t="s">
        <v>4532</v>
      </c>
      <c r="N2145" t="s">
        <v>14</v>
      </c>
    </row>
    <row r="2146" x14ac:dyDescent="0.25">
      <c r="A2146" t="n">
        <v>25</v>
      </c>
      <c r="B2146" t="s">
        <v>14</v>
      </c>
      <c r="C2146" t="s">
        <v>51</v>
      </c>
      <c r="D2146" s="2" t="s">
        <f>=HYPERLINK("https://main.knesset.gov.il/APPS/legislation/main/bills/2198419", "הצעת חוק-יסוד: השפיטה (תיקון - הפרדת רשויות)")</f>
        <v>4545</v>
      </c>
      <c r="E2146" t="s">
        <v>4545</v>
      </c>
      <c r="F2146" t="s">
        <v>4546</v>
      </c>
      <c r="G2146" t="s">
        <v>14</v>
      </c>
      <c r="H2146">
             </c>
      <c r="I2146" t="s">
        <v>14</v>
      </c>
      <c r="J2146" t="s">
        <v>242</v>
      </c>
      <c r="K2146" t="s">
        <v>14</v>
      </c>
      <c r="L2146" t="s">
        <v>20</v>
      </c>
      <c r="M2146" t="s">
        <v>4532</v>
      </c>
      <c r="N2146" t="s">
        <v>14</v>
      </c>
    </row>
    <row r="2147" x14ac:dyDescent="0.25">
      <c r="A2147" t="n">
        <v>25</v>
      </c>
      <c r="B2147" t="s">
        <v>14</v>
      </c>
      <c r="C2147" t="s">
        <v>51</v>
      </c>
      <c r="D2147" s="2" t="s">
        <f>=HYPERLINK("https://main.knesset.gov.il/APPS/legislation/main/bills/2226417", "הצעת חוק רשות מקרקעי ישראל (תיקון - העדפת רכישת קרקע בפריפריה לחיילי מילואים), התשפ""ה-2025")</f>
        <v>4547</v>
      </c>
      <c r="E2147" t="s">
        <v>4547</v>
      </c>
      <c r="F2147" t="s">
        <v>4548</v>
      </c>
      <c r="G2147" t="s">
        <v>14</v>
      </c>
      <c r="H2147">
             </c>
      <c r="I2147" t="s">
        <v>14</v>
      </c>
      <c r="J2147" t="s">
        <v>242</v>
      </c>
      <c r="K2147" t="s">
        <v>14</v>
      </c>
      <c r="L2147" t="s">
        <v>20</v>
      </c>
      <c r="M2147" t="s">
        <v>4532</v>
      </c>
      <c r="N2147" t="s">
        <v>14</v>
      </c>
    </row>
    <row r="2148" x14ac:dyDescent="0.25">
      <c r="A2148" t="n">
        <v>25</v>
      </c>
      <c r="B2148" t="s">
        <v>14</v>
      </c>
      <c r="C2148" t="s">
        <v>51</v>
      </c>
      <c r="D2148" s="2" t="s">
        <f>=HYPERLINK("https://main.knesset.gov.il/APPS/legislation/main/bills/2226723", "הצעת חוק מרשם האוכלוסין (תיקון - שינוי שם משפחה של קורבנות עבירת רצח שבוצעה על ידי בני משפחתם), התשפ""ה-2025")</f>
        <v>4549</v>
      </c>
      <c r="E2148" t="s">
        <v>4549</v>
      </c>
      <c r="F2148" t="s">
        <v>4550</v>
      </c>
      <c r="G2148" t="s">
        <v>14</v>
      </c>
      <c r="H2148">
             </c>
      <c r="I2148" t="s">
        <v>14</v>
      </c>
      <c r="J2148" t="s">
        <v>242</v>
      </c>
      <c r="K2148" t="s">
        <v>14</v>
      </c>
      <c r="L2148" t="s">
        <v>20</v>
      </c>
      <c r="M2148" t="s">
        <v>4532</v>
      </c>
      <c r="N2148" t="s">
        <v>14</v>
      </c>
    </row>
    <row r="2149" x14ac:dyDescent="0.25">
      <c r="A2149" t="n">
        <v>25</v>
      </c>
      <c r="B2149" t="s">
        <v>14</v>
      </c>
      <c r="C2149" t="s">
        <v>51</v>
      </c>
      <c r="D2149" s="2" t="s">
        <f>=HYPERLINK("https://main.knesset.gov.il/APPS/legislation/main/bills/2227024", "הצעת חוק העברת הודעת פטירה, התשפ""ה-2025")</f>
        <v>4551</v>
      </c>
      <c r="E2149" t="s">
        <v>4551</v>
      </c>
      <c r="F2149" t="s">
        <v>4552</v>
      </c>
      <c r="G2149" t="s">
        <v>14</v>
      </c>
      <c r="H2149">
             </c>
      <c r="I2149" t="s">
        <v>14</v>
      </c>
      <c r="J2149" t="s">
        <v>242</v>
      </c>
      <c r="K2149" t="s">
        <v>14</v>
      </c>
      <c r="L2149" t="s">
        <v>20</v>
      </c>
      <c r="M2149" t="s">
        <v>4532</v>
      </c>
      <c r="N2149" t="s">
        <v>14</v>
      </c>
    </row>
    <row r="2150" x14ac:dyDescent="0.25">
      <c r="A2150" t="n">
        <v>25</v>
      </c>
      <c r="B2150" t="s">
        <v>14</v>
      </c>
      <c r="C2150" t="s">
        <v>51</v>
      </c>
      <c r="D2150" s="2" t="s">
        <f>=HYPERLINK("https://main.knesset.gov.il/APPS/legislation/main/bills/2225201", "הצעת חוק האזנת סתר (תיקון - האזנת סתר באמצעות כלים טכנולוגיים), התשפ""ה-2025")</f>
        <v>4553</v>
      </c>
      <c r="E2150" t="s">
        <v>4553</v>
      </c>
      <c r="F2150" t="s">
        <v>4554</v>
      </c>
      <c r="G2150" t="s">
        <v>14</v>
      </c>
      <c r="H2150">
             </c>
      <c r="I2150" t="s">
        <v>14</v>
      </c>
      <c r="J2150" t="s">
        <v>242</v>
      </c>
      <c r="K2150" t="s">
        <v>14</v>
      </c>
      <c r="L2150" t="s">
        <v>20</v>
      </c>
      <c r="M2150" t="s">
        <v>4532</v>
      </c>
      <c r="N2150" t="s">
        <v>14</v>
      </c>
    </row>
    <row r="2151" x14ac:dyDescent="0.25">
      <c r="A2151" t="n">
        <v>25</v>
      </c>
      <c r="B2151" t="s">
        <v>14</v>
      </c>
      <c r="C2151" t="s">
        <v>51</v>
      </c>
      <c r="D2151" s="2" t="s">
        <f>=HYPERLINK("https://main.knesset.gov.il/APPS/legislation/main/bills/2226062", "הצעת חוק קיום תפילה ומצוות דת בידי אסירים ועצירים (תיקוני חקיקה), התשפ""ה-2025")</f>
        <v>4555</v>
      </c>
      <c r="E2151" t="s">
        <v>4555</v>
      </c>
      <c r="F2151" t="s">
        <v>4556</v>
      </c>
      <c r="G2151" t="s">
        <v>14</v>
      </c>
      <c r="H2151">
             </c>
      <c r="I2151" t="s">
        <v>14</v>
      </c>
      <c r="J2151" t="s">
        <v>242</v>
      </c>
      <c r="K2151" t="s">
        <v>14</v>
      </c>
      <c r="L2151" t="s">
        <v>20</v>
      </c>
      <c r="M2151" t="s">
        <v>4532</v>
      </c>
      <c r="N2151" t="s">
        <v>14</v>
      </c>
    </row>
    <row r="2152" x14ac:dyDescent="0.25">
      <c r="A2152" t="n">
        <v>25</v>
      </c>
      <c r="B2152" t="s">
        <v>14</v>
      </c>
      <c r="C2152" t="s">
        <v>51</v>
      </c>
      <c r="D2152" s="2" t="s">
        <f>=HYPERLINK("https://main.knesset.gov.il/APPS/legislation/main/bills/2226096", "הצעת חוק הפיקוח על יצוא ביטחוני (תיקון - מניעת יצוא ושיווק ביטחוני בשל הטלת אמברגו נשק על ישראל), התשפ""ה-2025")</f>
        <v>4557</v>
      </c>
      <c r="E2152" t="s">
        <v>4557</v>
      </c>
      <c r="F2152" t="s">
        <v>4558</v>
      </c>
      <c r="G2152" t="s">
        <v>14</v>
      </c>
      <c r="H2152">
             </c>
      <c r="I2152" t="s">
        <v>14</v>
      </c>
      <c r="J2152" t="s">
        <v>242</v>
      </c>
      <c r="K2152" t="s">
        <v>14</v>
      </c>
      <c r="L2152" t="s">
        <v>20</v>
      </c>
      <c r="M2152" t="s">
        <v>4532</v>
      </c>
      <c r="N2152" t="s">
        <v>14</v>
      </c>
    </row>
    <row r="2153" x14ac:dyDescent="0.25">
      <c r="A2153" t="n">
        <v>25</v>
      </c>
      <c r="B2153" t="s">
        <v>14</v>
      </c>
      <c r="C2153" t="s">
        <v>51</v>
      </c>
      <c r="D2153" s="2" t="s">
        <f>=HYPERLINK("https://main.knesset.gov.il/APPS/legislation/main/bills/2226915", "הצעת חוק הבנקאות (שירות ללקוח) (תיקון - מסירת מידע על עמלות וריביות בשל פירעון מוקדם של הלוואה), התשפ""ה-2025")</f>
        <v>2759</v>
      </c>
      <c r="E2153" t="s">
        <v>2759</v>
      </c>
      <c r="F2153" t="s">
        <v>4559</v>
      </c>
      <c r="G2153" t="s">
        <v>14</v>
      </c>
      <c r="H2153">
             </c>
      <c r="I2153" t="s">
        <v>14</v>
      </c>
      <c r="J2153" t="s">
        <v>242</v>
      </c>
      <c r="K2153" t="s">
        <v>14</v>
      </c>
      <c r="L2153" t="s">
        <v>20</v>
      </c>
      <c r="M2153" t="s">
        <v>4532</v>
      </c>
      <c r="N2153" t="s">
        <v>14</v>
      </c>
    </row>
    <row r="2154" x14ac:dyDescent="0.25">
      <c r="A2154" t="n">
        <v>25</v>
      </c>
      <c r="B2154" t="s">
        <v>14</v>
      </c>
      <c r="C2154" t="s">
        <v>51</v>
      </c>
      <c r="D2154" s="2" t="s">
        <f>=HYPERLINK("https://main.knesset.gov.il/APPS/legislation/main/bills/2222357", "הצעת חוק קידום התחרות בענפי המזון והפארם (תיקון - שידור נתוני מכר למאגר), התשפ""ה-2025")</f>
        <v>4560</v>
      </c>
      <c r="E2154" t="s">
        <v>4560</v>
      </c>
      <c r="F2154" t="s">
        <v>4561</v>
      </c>
      <c r="G2154" t="s">
        <v>14</v>
      </c>
      <c r="H2154">
             </c>
      <c r="I2154" t="s">
        <v>14</v>
      </c>
      <c r="J2154" t="s">
        <v>242</v>
      </c>
      <c r="K2154" t="s">
        <v>14</v>
      </c>
      <c r="L2154" t="s">
        <v>20</v>
      </c>
      <c r="M2154" t="s">
        <v>4532</v>
      </c>
      <c r="N2154" t="s">
        <v>14</v>
      </c>
    </row>
    <row r="2155" x14ac:dyDescent="0.25">
      <c r="A2155" t="n">
        <v>25</v>
      </c>
      <c r="B2155" t="s">
        <v>14</v>
      </c>
      <c r="C2155" t="s">
        <v>51</v>
      </c>
      <c r="D2155" s="2" t="s">
        <f>=HYPERLINK("https://main.knesset.gov.il/APPS/legislation/main/bills/2226996", "הצעת חוק התגמולים לנפגעי פעולות איבה (תיקון - זכאויות לבני משפחה נוספים), התשפ""ה-2025")</f>
        <v>4562</v>
      </c>
      <c r="E2155" t="s">
        <v>4562</v>
      </c>
      <c r="F2155" t="s">
        <v>4563</v>
      </c>
      <c r="G2155" t="s">
        <v>14</v>
      </c>
      <c r="H2155">
             </c>
      <c r="I2155" t="s">
        <v>14</v>
      </c>
      <c r="J2155" t="s">
        <v>242</v>
      </c>
      <c r="K2155" t="s">
        <v>14</v>
      </c>
      <c r="L2155" t="s">
        <v>20</v>
      </c>
      <c r="M2155" t="s">
        <v>4532</v>
      </c>
      <c r="N2155" t="s">
        <v>14</v>
      </c>
    </row>
    <row r="2156" x14ac:dyDescent="0.25">
      <c r="A2156" t="n">
        <v>25</v>
      </c>
      <c r="B2156" t="s">
        <v>14</v>
      </c>
      <c r="C2156" t="s">
        <v>51</v>
      </c>
      <c r="D2156" s="2" t="s">
        <f>=HYPERLINK("https://main.knesset.gov.il/APPS/legislation/main/bills/2227026", "הצעת חוק להגבלת השיווק של גז קצפות לצרכן, התשפ""ה-2025")</f>
        <v>3608</v>
      </c>
      <c r="E2156" t="s">
        <v>3608</v>
      </c>
      <c r="F2156" t="s">
        <v>4564</v>
      </c>
      <c r="G2156" t="s">
        <v>14</v>
      </c>
      <c r="H2156">
             </c>
      <c r="I2156" t="s">
        <v>14</v>
      </c>
      <c r="J2156" t="s">
        <v>242</v>
      </c>
      <c r="K2156" t="s">
        <v>14</v>
      </c>
      <c r="L2156" t="s">
        <v>20</v>
      </c>
      <c r="M2156" t="s">
        <v>4532</v>
      </c>
      <c r="N2156" t="s">
        <v>14</v>
      </c>
    </row>
    <row r="2157" x14ac:dyDescent="0.25">
      <c r="A2157" t="n">
        <v>25</v>
      </c>
      <c r="B2157" t="s">
        <v>14</v>
      </c>
      <c r="C2157" t="s">
        <v>51</v>
      </c>
      <c r="D2157" s="2" t="s">
        <f>=HYPERLINK("https://main.knesset.gov.il/APPS/legislation/main/bills/2226178", "הצעת חוק סיוע למשפחות נרצחי מאורעות 7 באוקטובר, התשפ""ה-2025")</f>
        <v>4496</v>
      </c>
      <c r="E2157" t="s">
        <v>4496</v>
      </c>
      <c r="F2157" t="s">
        <v>4565</v>
      </c>
      <c r="G2157" t="s">
        <v>14</v>
      </c>
      <c r="H2157">
             </c>
      <c r="I2157" t="s">
        <v>14</v>
      </c>
      <c r="J2157" t="s">
        <v>242</v>
      </c>
      <c r="K2157" t="s">
        <v>14</v>
      </c>
      <c r="L2157" t="s">
        <v>20</v>
      </c>
      <c r="M2157" t="s">
        <v>4532</v>
      </c>
      <c r="N2157" t="s">
        <v>14</v>
      </c>
    </row>
    <row r="2158" x14ac:dyDescent="0.25">
      <c r="A2158" t="n">
        <v>25</v>
      </c>
      <c r="B2158" t="s">
        <v>14</v>
      </c>
      <c r="C2158" t="s">
        <v>51</v>
      </c>
      <c r="D2158" s="2" t="s">
        <f>=HYPERLINK("https://main.knesset.gov.il/APPS/legislation/main/bills/2226949", "הצעת חוק גיל פרישה (תיקון - ביטול גיל פרישת חובה), התשפ""ה-2025")</f>
        <v>4566</v>
      </c>
      <c r="E2158" t="s">
        <v>4566</v>
      </c>
      <c r="F2158" t="s">
        <v>4567</v>
      </c>
      <c r="G2158" t="s">
        <v>14</v>
      </c>
      <c r="H2158">
             </c>
      <c r="I2158" t="s">
        <v>14</v>
      </c>
      <c r="J2158" t="s">
        <v>242</v>
      </c>
      <c r="K2158" t="s">
        <v>14</v>
      </c>
      <c r="L2158" t="s">
        <v>20</v>
      </c>
      <c r="M2158" t="s">
        <v>4532</v>
      </c>
      <c r="N2158" t="s">
        <v>14</v>
      </c>
    </row>
    <row r="2159" x14ac:dyDescent="0.25">
      <c r="A2159" t="n">
        <v>25</v>
      </c>
      <c r="B2159" t="s">
        <v>14</v>
      </c>
      <c r="C2159" t="s">
        <v>51</v>
      </c>
      <c r="D2159" s="2" t="s">
        <f>=HYPERLINK("https://main.knesset.gov.il/APPS/legislation/main/bills/2226058", "הצעת חוק העונשין (תיקון - ביטול עבירת מעשה סדום ושינוי מושגי בעבירות בעילה), התשפ""ה-2025")</f>
        <v>4568</v>
      </c>
      <c r="E2159" t="s">
        <v>4568</v>
      </c>
      <c r="F2159" t="s">
        <v>4569</v>
      </c>
      <c r="G2159" t="s">
        <v>14</v>
      </c>
      <c r="H2159">
             </c>
      <c r="I2159" t="s">
        <v>14</v>
      </c>
      <c r="J2159" t="s">
        <v>202</v>
      </c>
      <c r="K2159" t="s">
        <v>14</v>
      </c>
      <c r="L2159" t="s">
        <v>20</v>
      </c>
      <c r="M2159" t="s">
        <v>4532</v>
      </c>
      <c r="N2159" t="s">
        <v>14</v>
      </c>
    </row>
    <row r="2160" x14ac:dyDescent="0.25">
      <c r="A2160" t="n">
        <v>25</v>
      </c>
      <c r="B2160" t="s">
        <v>14</v>
      </c>
      <c r="C2160" t="s">
        <v>51</v>
      </c>
      <c r="D2160" s="2" t="s">
        <f>=HYPERLINK("https://main.knesset.gov.il/APPS/legislation/main/bills/2227025", "הצעת חוק הגנת הצרכן (תיקון - איסור התניית תשלום בכרטיס אשראי בסכום רכישה מזערי), התשפ""ה-2025")</f>
        <v>4570</v>
      </c>
      <c r="E2160" t="s">
        <v>4570</v>
      </c>
      <c r="F2160" t="s">
        <v>4571</v>
      </c>
      <c r="G2160" t="s">
        <v>14</v>
      </c>
      <c r="H2160">
             </c>
      <c r="I2160" t="s">
        <v>14</v>
      </c>
      <c r="J2160" t="s">
        <v>242</v>
      </c>
      <c r="K2160" t="s">
        <v>14</v>
      </c>
      <c r="L2160" t="s">
        <v>20</v>
      </c>
      <c r="M2160" t="s">
        <v>4532</v>
      </c>
      <c r="N2160" t="s">
        <v>14</v>
      </c>
    </row>
    <row r="2161" x14ac:dyDescent="0.25">
      <c r="A2161" t="n">
        <v>25</v>
      </c>
      <c r="B2161" t="s">
        <v>14</v>
      </c>
      <c r="C2161" t="s">
        <v>51</v>
      </c>
      <c r="D2161" s="2" t="s">
        <f>=HYPERLINK("https://main.knesset.gov.il/APPS/legislation/main/bills/2226647", "הצעת חוק לעידוד השקעות הון (תיקון - פעילות ייצורית הכוללת אריזה), התשפ""ה-2025")</f>
        <v>4377</v>
      </c>
      <c r="E2161" t="s">
        <v>4377</v>
      </c>
      <c r="F2161" t="s">
        <v>4572</v>
      </c>
      <c r="G2161" t="s">
        <v>14</v>
      </c>
      <c r="H2161">
             </c>
      <c r="I2161" t="s">
        <v>14</v>
      </c>
      <c r="J2161" t="s">
        <v>242</v>
      </c>
      <c r="K2161" t="s">
        <v>14</v>
      </c>
      <c r="L2161" t="s">
        <v>20</v>
      </c>
      <c r="M2161" t="s">
        <v>4532</v>
      </c>
      <c r="N2161" t="s">
        <v>14</v>
      </c>
    </row>
    <row r="2162" x14ac:dyDescent="0.25">
      <c r="A2162" t="n">
        <v>25</v>
      </c>
      <c r="B2162" t="s">
        <v>14</v>
      </c>
      <c r="C2162" t="s">
        <v>51</v>
      </c>
      <c r="D2162" s="2" t="s">
        <f>=HYPERLINK("https://main.knesset.gov.il/APPS/legislation/main/bills/2198415", "הצעת חוק-יסוד: השפיטה (תיקון - בחירת נשיא בית המשפט העליון בידי הכנסת)")</f>
        <v>4573</v>
      </c>
      <c r="E2162" t="s">
        <v>4573</v>
      </c>
      <c r="F2162" t="s">
        <v>4574</v>
      </c>
      <c r="G2162" t="s">
        <v>14</v>
      </c>
      <c r="H2162">
             </c>
      <c r="I2162" t="s">
        <v>14</v>
      </c>
      <c r="J2162" t="s">
        <v>242</v>
      </c>
      <c r="K2162" t="s">
        <v>14</v>
      </c>
      <c r="L2162" t="s">
        <v>20</v>
      </c>
      <c r="M2162" t="s">
        <v>4532</v>
      </c>
      <c r="N2162" t="s">
        <v>14</v>
      </c>
    </row>
    <row r="2163" x14ac:dyDescent="0.25">
      <c r="A2163" t="n">
        <v>25</v>
      </c>
      <c r="B2163" t="s">
        <v>14</v>
      </c>
      <c r="C2163" t="s">
        <v>51</v>
      </c>
      <c r="D2163" s="2" t="s">
        <f>=HYPERLINK("https://main.knesset.gov.il/APPS/legislation/main/bills/2221361", "הצעת חוק לחיזוק ריבונותה ועצמאותה של מערכת הבריאות הישראלית ביחס לתקנות ארגון הבריאות העולמי, התשפ""ה-2025")</f>
        <v>4575</v>
      </c>
      <c r="E2163" t="s">
        <v>4575</v>
      </c>
      <c r="F2163" t="s">
        <v>4576</v>
      </c>
      <c r="G2163" t="s">
        <v>14</v>
      </c>
      <c r="H2163">
             </c>
      <c r="I2163" t="s">
        <v>14</v>
      </c>
      <c r="J2163" t="s">
        <v>242</v>
      </c>
      <c r="K2163" t="s">
        <v>14</v>
      </c>
      <c r="L2163" t="s">
        <v>20</v>
      </c>
      <c r="M2163" t="s">
        <v>4532</v>
      </c>
      <c r="N2163" t="s">
        <v>14</v>
      </c>
    </row>
    <row r="2164" x14ac:dyDescent="0.25">
      <c r="A2164" t="n">
        <v>25</v>
      </c>
      <c r="B2164" t="s">
        <v>14</v>
      </c>
      <c r="C2164" t="s">
        <v>51</v>
      </c>
      <c r="D2164" s="2" t="s">
        <f>=HYPERLINK("https://main.knesset.gov.il/APPS/legislation/main/bills/2227039", "הצעת חוק לתיקון פקודת מס הכנסה (פטור ממס על תגמול מילואים ונקודות זיכוי מס למשרת מילואים פעיל), התשפ""ה-2025")</f>
        <v>4577</v>
      </c>
      <c r="E2164" t="s">
        <v>4577</v>
      </c>
      <c r="F2164" t="s">
        <v>4578</v>
      </c>
      <c r="G2164" t="s">
        <v>14</v>
      </c>
      <c r="H2164">
             </c>
      <c r="I2164" t="s">
        <v>14</v>
      </c>
      <c r="J2164" t="s">
        <v>242</v>
      </c>
      <c r="K2164" t="s">
        <v>14</v>
      </c>
      <c r="L2164" t="s">
        <v>20</v>
      </c>
      <c r="M2164" t="s">
        <v>4532</v>
      </c>
      <c r="N2164" t="s">
        <v>14</v>
      </c>
    </row>
    <row r="2165" x14ac:dyDescent="0.25">
      <c r="A2165" t="n">
        <v>25</v>
      </c>
      <c r="B2165" t="s">
        <v>14</v>
      </c>
      <c r="C2165" t="s">
        <v>51</v>
      </c>
      <c r="D2165" s="2" t="s">
        <f>=HYPERLINK("https://main.knesset.gov.il/APPS/legislation/main/bills/2226947", "הצעת חוק לשכת עורכי הדין (תיקון - הורדת סף המעבר בבחינת ההתמחות של מועד דצמבר 2024), התשפ""ה-2025")</f>
        <v>4579</v>
      </c>
      <c r="E2165" t="s">
        <v>4579</v>
      </c>
      <c r="F2165" t="s">
        <v>4580</v>
      </c>
      <c r="G2165" t="s">
        <v>14</v>
      </c>
      <c r="H2165">
             </c>
      <c r="I2165" t="s">
        <v>14</v>
      </c>
      <c r="J2165" t="s">
        <v>242</v>
      </c>
      <c r="K2165" t="s">
        <v>14</v>
      </c>
      <c r="L2165" t="s">
        <v>20</v>
      </c>
      <c r="M2165" t="s">
        <v>4532</v>
      </c>
      <c r="N2165" t="s">
        <v>14</v>
      </c>
    </row>
    <row r="2166" x14ac:dyDescent="0.25">
      <c r="A2166" t="n">
        <v>25</v>
      </c>
      <c r="B2166" t="s">
        <v>14</v>
      </c>
      <c r="C2166" t="s">
        <v>51</v>
      </c>
      <c r="D2166" s="2" t="s">
        <f>=HYPERLINK("https://main.knesset.gov.il/APPS/legislation/main/bills/2226776", "הצעת חוק המתווכים במקרקעין (תיקון - הגבלת דמי תיווך), התשפ""ה-2025")</f>
        <v>4581</v>
      </c>
      <c r="E2166" t="s">
        <v>4581</v>
      </c>
      <c r="F2166" t="s">
        <v>4582</v>
      </c>
      <c r="G2166" t="s">
        <v>14</v>
      </c>
      <c r="H2166">
             </c>
      <c r="I2166" t="s">
        <v>14</v>
      </c>
      <c r="J2166" t="s">
        <v>242</v>
      </c>
      <c r="K2166" t="s">
        <v>14</v>
      </c>
      <c r="L2166" t="s">
        <v>20</v>
      </c>
      <c r="M2166" t="s">
        <v>4532</v>
      </c>
      <c r="N2166" t="s">
        <v>14</v>
      </c>
    </row>
    <row r="2167" x14ac:dyDescent="0.25">
      <c r="A2167" t="n">
        <v>25</v>
      </c>
      <c r="B2167" t="s">
        <v>14</v>
      </c>
      <c r="C2167" t="s">
        <v>51</v>
      </c>
      <c r="D2167" s="2" t="s">
        <f>=HYPERLINK("https://main.knesset.gov.il/APPS/legislation/main/bills/2226682", "הצעת חוק הפיקוח על שירותים פיננסיים (קופות גמל) (תיקון - מתן שיקול דעת לחברה מנהלת בהשתתפות ובהצבעה באסיפה של חברה דואלית), התשפ""ה-2025")</f>
        <v>4583</v>
      </c>
      <c r="E2167" t="s">
        <v>4583</v>
      </c>
      <c r="F2167" t="s">
        <v>4584</v>
      </c>
      <c r="G2167" t="s">
        <v>14</v>
      </c>
      <c r="H2167">
             </c>
      <c r="I2167" t="s">
        <v>14</v>
      </c>
      <c r="J2167" t="s">
        <v>242</v>
      </c>
      <c r="K2167" t="s">
        <v>14</v>
      </c>
      <c r="L2167" t="s">
        <v>20</v>
      </c>
      <c r="M2167" t="s">
        <v>4532</v>
      </c>
      <c r="N2167" t="s">
        <v>14</v>
      </c>
    </row>
    <row r="2168" x14ac:dyDescent="0.25">
      <c r="A2168" t="n">
        <v>25</v>
      </c>
      <c r="B2168" t="s">
        <v>14</v>
      </c>
      <c r="C2168" t="s">
        <v>51</v>
      </c>
      <c r="D2168" s="2" t="s">
        <f>=HYPERLINK("https://main.knesset.gov.il/APPS/legislation/main/bills/2226681", "הצעת חוק ניירות ערך (תיקון - קביעת חלופת הגשת דוח חצי שנתי לתאגיד קטן), התשפ""ה-2025")</f>
        <v>4585</v>
      </c>
      <c r="E2168" t="s">
        <v>4585</v>
      </c>
      <c r="F2168" t="s">
        <v>4586</v>
      </c>
      <c r="G2168" t="s">
        <v>14</v>
      </c>
      <c r="H2168">
             </c>
      <c r="I2168" t="s">
        <v>14</v>
      </c>
      <c r="J2168" t="s">
        <v>242</v>
      </c>
      <c r="K2168" t="s">
        <v>14</v>
      </c>
      <c r="L2168" t="s">
        <v>20</v>
      </c>
      <c r="M2168" t="s">
        <v>4532</v>
      </c>
      <c r="N2168" t="s">
        <v>14</v>
      </c>
    </row>
    <row r="2169" x14ac:dyDescent="0.25">
      <c r="A2169" t="n">
        <v>25</v>
      </c>
      <c r="B2169" t="s">
        <v>14</v>
      </c>
      <c r="C2169" t="s">
        <v>51</v>
      </c>
      <c r="D2169" s="2" t="s">
        <f>=HYPERLINK("https://main.knesset.gov.il/APPS/legislation/main/bills/2227000", "הצעת חוק התכנון והבנייה (תיקון - פטור מהיתר בנייה למעלית לנגישות), התשפ""ה-2025")</f>
        <v>4587</v>
      </c>
      <c r="E2169" t="s">
        <v>4587</v>
      </c>
      <c r="F2169" t="s">
        <v>4588</v>
      </c>
      <c r="G2169" t="s">
        <v>14</v>
      </c>
      <c r="H2169">
             </c>
      <c r="I2169" t="s">
        <v>14</v>
      </c>
      <c r="J2169" t="s">
        <v>242</v>
      </c>
      <c r="K2169" t="s">
        <v>14</v>
      </c>
      <c r="L2169" t="s">
        <v>20</v>
      </c>
      <c r="M2169" t="s">
        <v>4532</v>
      </c>
      <c r="N2169" t="s">
        <v>14</v>
      </c>
    </row>
    <row r="2170" x14ac:dyDescent="0.25">
      <c r="A2170" t="n">
        <v>25</v>
      </c>
      <c r="B2170" t="s">
        <v>14</v>
      </c>
      <c r="C2170" t="s">
        <v>51</v>
      </c>
      <c r="D2170" s="2" t="s">
        <f>=HYPERLINK("https://main.knesset.gov.il/APPS/legislation/main/bills/2226753", "הצעת חוק בנק ישראל (תיקון - הרחבת שיקול הדעת של הוועדה המוניטרית), התשפ""ה-2025")</f>
        <v>4589</v>
      </c>
      <c r="E2170" t="s">
        <v>4589</v>
      </c>
      <c r="F2170" t="s">
        <v>4590</v>
      </c>
      <c r="G2170" t="s">
        <v>14</v>
      </c>
      <c r="H2170">
             </c>
      <c r="I2170" t="s">
        <v>14</v>
      </c>
      <c r="J2170" t="s">
        <v>242</v>
      </c>
      <c r="K2170" t="s">
        <v>14</v>
      </c>
      <c r="L2170" t="s">
        <v>20</v>
      </c>
      <c r="M2170" t="s">
        <v>4532</v>
      </c>
      <c r="N2170" t="s">
        <v>14</v>
      </c>
    </row>
    <row r="2171" x14ac:dyDescent="0.25">
      <c r="A2171" t="n">
        <v>25</v>
      </c>
      <c r="B2171" t="s">
        <v>14</v>
      </c>
      <c r="C2171" t="s">
        <v>51</v>
      </c>
      <c r="D2171" s="2" t="s">
        <f>=HYPERLINK("https://main.knesset.gov.il/APPS/legislation/main/bills/2226625", "הצעת חוק הרשות הלאומית לרפואה משפטית, התשפ""ה-2025")</f>
        <v>4591</v>
      </c>
      <c r="E2171" t="s">
        <v>4591</v>
      </c>
      <c r="F2171" t="s">
        <v>4592</v>
      </c>
      <c r="G2171" t="s">
        <v>14</v>
      </c>
      <c r="H2171">
             </c>
      <c r="I2171" t="s">
        <v>14</v>
      </c>
      <c r="J2171" t="s">
        <v>242</v>
      </c>
      <c r="K2171" t="s">
        <v>14</v>
      </c>
      <c r="L2171" t="s">
        <v>20</v>
      </c>
      <c r="M2171" t="s">
        <v>4532</v>
      </c>
      <c r="N2171" t="s">
        <v>14</v>
      </c>
    </row>
    <row r="2172" x14ac:dyDescent="0.25">
      <c r="A2172" t="n">
        <v>25</v>
      </c>
      <c r="B2172" t="s">
        <v>14</v>
      </c>
      <c r="C2172" t="s">
        <v>51</v>
      </c>
      <c r="D2172" s="2" t="s">
        <f>=HYPERLINK("https://main.knesset.gov.il/APPS/legislation/main/bills/2198601", "הצעת חוק עקרונות האסדרה (תיקון) (בחינה תקופתית של אסדרה ואי-הטלת אחריות בשל אי-פרסום אסדרה), התשפ''ד–2024")</f>
        <v>4593</v>
      </c>
      <c r="E2172" t="s">
        <v>4593</v>
      </c>
      <c r="F2172" t="s">
        <v>4594</v>
      </c>
      <c r="G2172" t="s">
        <v>4595</v>
      </c>
      <c r="H2172">
             </c>
      <c r="I2172" t="s">
        <v>166</v>
      </c>
      <c r="J2172" t="s">
        <v>38</v>
      </c>
      <c r="K2172" t="s">
        <v>27</v>
      </c>
      <c r="L2172" t="s">
        <v>20</v>
      </c>
      <c r="M2172" t="s">
        <v>4532</v>
      </c>
      <c r="N2172" t="s">
        <v>14</v>
      </c>
    </row>
    <row r="2173" x14ac:dyDescent="0.25">
      <c r="A2173" t="n">
        <v>25</v>
      </c>
      <c r="B2173" t="s">
        <v>14</v>
      </c>
      <c r="C2173" t="s">
        <v>51</v>
      </c>
      <c r="D2173" s="2" t="s">
        <f>=HYPERLINK("https://main.knesset.gov.il/APPS/legislation/main/bills/2222144", "הצעת חוק הביטוח הלאומי (תיקון - תגמול מילואים לעובד עצמאי) (הוראת שעה - חרבות ברזל), התשפ""ה-2024")</f>
        <v>4596</v>
      </c>
      <c r="E2173" t="s">
        <v>4596</v>
      </c>
      <c r="F2173" t="s">
        <v>4597</v>
      </c>
      <c r="G2173" t="s">
        <v>14</v>
      </c>
      <c r="H2173">
             </c>
      <c r="I2173" t="s">
        <v>14</v>
      </c>
      <c r="J2173" t="s">
        <v>183</v>
      </c>
      <c r="K2173" t="s">
        <v>46</v>
      </c>
      <c r="L2173" t="s">
        <v>20</v>
      </c>
      <c r="M2173" t="s">
        <v>4598</v>
      </c>
      <c r="N2173" t="s">
        <v>14</v>
      </c>
    </row>
    <row r="2174" x14ac:dyDescent="0.25">
      <c r="A2174" t="n">
        <v>25</v>
      </c>
      <c r="B2174" t="s">
        <v>14</v>
      </c>
      <c r="C2174" t="s">
        <v>51</v>
      </c>
      <c r="D2174" s="2" t="s">
        <f>=HYPERLINK("https://main.knesset.gov.il/APPS/legislation/main/bills/2197948", "הצעת חוק רשות מקרקעי ישראל (תיקון - הקצאת קרקעות בנגב ובגליל לחיילים משוחררים), התשפ""ג-2022")</f>
        <v>4599</v>
      </c>
      <c r="E2174" t="s">
        <v>4599</v>
      </c>
      <c r="F2174" t="s">
        <v>4600</v>
      </c>
      <c r="G2174" t="s">
        <v>14</v>
      </c>
      <c r="H2174">
             </c>
      <c r="I2174" t="s">
        <v>14</v>
      </c>
      <c r="J2174" t="s">
        <v>152</v>
      </c>
      <c r="K2174" t="s">
        <v>39</v>
      </c>
      <c r="L2174" t="s">
        <v>20</v>
      </c>
      <c r="M2174" t="s">
        <v>4598</v>
      </c>
      <c r="N2174" t="s">
        <v>14</v>
      </c>
    </row>
    <row r="2175" x14ac:dyDescent="0.25">
      <c r="A2175" t="n">
        <v>25</v>
      </c>
      <c r="B2175" t="s">
        <v>14</v>
      </c>
      <c r="C2175" t="s">
        <v>51</v>
      </c>
      <c r="D2175" s="2" t="s">
        <f>=HYPERLINK("https://main.knesset.gov.il/APPS/legislation/main/bills/2196852", "הצעת חוק רשות מקרקעי ישראל (תיקון - הקצאת קרקעות בנגב ובגליל לחיילים משוחררים ומשרתי שירות לאומי-אזרחי), התשפ""ג-2022")</f>
        <v>4601</v>
      </c>
      <c r="E2175" t="s">
        <v>4601</v>
      </c>
      <c r="F2175" t="s">
        <v>4602</v>
      </c>
      <c r="G2175" t="s">
        <v>14</v>
      </c>
      <c r="H2175">
             </c>
      <c r="I2175" t="s">
        <v>14</v>
      </c>
      <c r="J2175" t="s">
        <v>152</v>
      </c>
      <c r="K2175" t="s">
        <v>39</v>
      </c>
      <c r="L2175" t="s">
        <v>20</v>
      </c>
      <c r="M2175" t="s">
        <v>4598</v>
      </c>
      <c r="N2175" t="s">
        <v>14</v>
      </c>
    </row>
    <row r="2176" x14ac:dyDescent="0.25">
      <c r="A2176" t="n">
        <v>25</v>
      </c>
      <c r="B2176" t="s">
        <v>14</v>
      </c>
      <c r="C2176" t="s">
        <v>51</v>
      </c>
      <c r="D2176" s="2" t="s">
        <f>=HYPERLINK("https://main.knesset.gov.il/APPS/legislation/main/bills/2197603", "הצעת חוק איסור לשון הרע (תיקון - חשיפת פרטי מידע של מנוי ברשת תקשורת אלקטרונית), התשפ""ג-2022")</f>
        <v>4603</v>
      </c>
      <c r="E2176" t="s">
        <v>4603</v>
      </c>
      <c r="F2176" t="s">
        <v>4604</v>
      </c>
      <c r="G2176" t="s">
        <v>14</v>
      </c>
      <c r="H2176">
             </c>
      <c r="I2176" t="s">
        <v>14</v>
      </c>
      <c r="J2176" t="s">
        <v>152</v>
      </c>
      <c r="K2176" t="s">
        <v>27</v>
      </c>
      <c r="L2176" t="s">
        <v>20</v>
      </c>
      <c r="M2176" t="s">
        <v>4598</v>
      </c>
      <c r="N2176" t="s">
        <v>14</v>
      </c>
    </row>
    <row r="2177" x14ac:dyDescent="0.25">
      <c r="A2177" t="n">
        <v>25</v>
      </c>
      <c r="B2177" t="s">
        <v>14</v>
      </c>
      <c r="C2177" t="s">
        <v>51</v>
      </c>
      <c r="D2177" s="2" t="s">
        <f>=HYPERLINK("https://main.knesset.gov.il/APPS/legislation/main/bills/2196837", "הצעת חוק הפרטת תאגיד השידור הציבורי הישראלי, התשפ""ג-2022")</f>
        <v>4605</v>
      </c>
      <c r="E2177" t="s">
        <v>4605</v>
      </c>
      <c r="F2177" t="s">
        <v>4606</v>
      </c>
      <c r="G2177" t="s">
        <v>14</v>
      </c>
      <c r="H2177">
             </c>
      <c r="I2177" t="s">
        <v>14</v>
      </c>
      <c r="J2177" t="s">
        <v>152</v>
      </c>
      <c r="K2177" t="s">
        <v>84</v>
      </c>
      <c r="L2177" t="s">
        <v>20</v>
      </c>
      <c r="M2177" t="s">
        <v>4598</v>
      </c>
      <c r="N2177" t="s">
        <v>14</v>
      </c>
    </row>
    <row r="2178" x14ac:dyDescent="0.25">
      <c r="A2178" t="n">
        <v>25</v>
      </c>
      <c r="B2178" t="s">
        <v>14</v>
      </c>
      <c r="C2178" t="s">
        <v>15</v>
      </c>
      <c r="D2178" s="2" t="s">
        <f>=HYPERLINK("https://main.knesset.gov.il/APPS/legislation/main/bills/2224906", "הצעת חוק התוכנית הכלכלית (תיקוני חקיקה ליישום המדיניות הכלכלית לשנת התקציב 2025), התשפ""ה-2024 ")</f>
        <v>4607</v>
      </c>
      <c r="E2178" t="s">
        <v>4607</v>
      </c>
      <c r="F2178" t="s">
        <v>14</v>
      </c>
      <c r="G2178" t="s">
        <v>237</v>
      </c>
      <c r="H2178">
             </c>
      <c r="I2178" t="s">
        <v>14</v>
      </c>
      <c r="J2178" t="s">
        <v>183</v>
      </c>
      <c r="K2178" t="s">
        <v>42</v>
      </c>
      <c r="L2178" t="s">
        <v>20</v>
      </c>
      <c r="M2178" t="s">
        <v>4598</v>
      </c>
      <c r="N2178" t="s">
        <v>14</v>
      </c>
    </row>
    <row r="2179" x14ac:dyDescent="0.25">
      <c r="A2179" t="n">
        <v>25</v>
      </c>
      <c r="B2179" t="s">
        <v>14</v>
      </c>
      <c r="C2179" t="s">
        <v>51</v>
      </c>
      <c r="D2179" s="2" t="s">
        <f>=HYPERLINK("https://main.knesset.gov.il/APPS/legislation/main/bills/2217149", "חוק שירותי הדת היהודיים (תיקון מס' 27), התשפ""ה–2025")</f>
        <v>4608</v>
      </c>
      <c r="E2179" t="s">
        <v>4608</v>
      </c>
      <c r="F2179" t="s">
        <v>4609</v>
      </c>
      <c r="G2179" t="s">
        <v>4610</v>
      </c>
      <c r="H2179" t="n">
        <v>3353</v>
      </c>
      <c r="I2179" t="s">
        <v>14</v>
      </c>
      <c r="J2179" t="s">
        <v>18</v>
      </c>
      <c r="K2179" t="s">
        <v>27</v>
      </c>
      <c r="L2179" t="s">
        <v>20</v>
      </c>
      <c r="M2179" t="s">
        <v>4598</v>
      </c>
      <c r="N2179" t="s">
        <v>4611</v>
      </c>
    </row>
    <row r="2180" x14ac:dyDescent="0.25">
      <c r="A2180" t="n">
        <v>25</v>
      </c>
      <c r="B2180" t="s">
        <v>14</v>
      </c>
      <c r="C2180" t="s">
        <v>15</v>
      </c>
      <c r="D2180" s="2" t="s">
        <f>=HYPERLINK("https://main.knesset.gov.il/APPS/legislation/main/bills/2224340", "חוק לתיקון פקודת התעבורה (מס' 137), התשפ""ה-2025")</f>
        <v>4612</v>
      </c>
      <c r="E2180" t="s">
        <v>4612</v>
      </c>
      <c r="F2180" t="s">
        <v>14</v>
      </c>
      <c r="G2180" t="s">
        <v>4613</v>
      </c>
      <c r="H2180" t="n">
        <v>3352</v>
      </c>
      <c r="I2180" t="s">
        <v>14</v>
      </c>
      <c r="J2180" t="s">
        <v>18</v>
      </c>
      <c r="K2180" t="s">
        <v>84</v>
      </c>
      <c r="L2180" t="s">
        <v>20</v>
      </c>
      <c r="M2180" t="s">
        <v>4598</v>
      </c>
      <c r="N2180" t="s">
        <v>4614</v>
      </c>
    </row>
    <row r="2181" x14ac:dyDescent="0.25">
      <c r="A2181" t="n">
        <v>25</v>
      </c>
      <c r="B2181" t="s">
        <v>14</v>
      </c>
      <c r="C2181" t="s">
        <v>51</v>
      </c>
      <c r="D2181" s="2" t="s">
        <f>=HYPERLINK("https://main.knesset.gov.il/APPS/legislation/main/bills/2210823", "הצעת חוק הקלות בבחינות לתלמידים וסטודנטים בעת מצב מיוחד בעורף או בשעת התקפה (תיקוני חקיקה), התשפ""ד-2024")</f>
        <v>4615</v>
      </c>
      <c r="E2181" t="s">
        <v>4615</v>
      </c>
      <c r="F2181" t="s">
        <v>4616</v>
      </c>
      <c r="G2181" t="s">
        <v>14</v>
      </c>
      <c r="H2181">
             </c>
      <c r="I2181" t="s">
        <v>14</v>
      </c>
      <c r="J2181" t="s">
        <v>193</v>
      </c>
      <c r="K2181" t="s">
        <v>14</v>
      </c>
      <c r="L2181" t="s">
        <v>20</v>
      </c>
      <c r="M2181" t="s">
        <v>4598</v>
      </c>
      <c r="N2181" t="s">
        <v>14</v>
      </c>
    </row>
    <row r="2182" x14ac:dyDescent="0.25">
      <c r="A2182" t="n">
        <v>25</v>
      </c>
      <c r="B2182" t="s">
        <v>14</v>
      </c>
      <c r="C2182" t="s">
        <v>51</v>
      </c>
      <c r="D2182" s="2" t="s">
        <f>=HYPERLINK("https://main.knesset.gov.il/APPS/legislation/main/bills/2213836", "הצעת חוק דחיית מועדים (הוראת שעה - חרבות ברזל) (חוזה, פסק דין או תשלום לרשות) (תיקון - דחיית תשלום משכנתה למשרת מילואים), התשפ""ד-2024")</f>
        <v>4617</v>
      </c>
      <c r="E2182" t="s">
        <v>4617</v>
      </c>
      <c r="F2182" t="s">
        <v>4618</v>
      </c>
      <c r="G2182" t="s">
        <v>14</v>
      </c>
      <c r="H2182">
             </c>
      <c r="I2182" t="s">
        <v>14</v>
      </c>
      <c r="J2182" t="s">
        <v>193</v>
      </c>
      <c r="K2182" t="s">
        <v>14</v>
      </c>
      <c r="L2182" t="s">
        <v>20</v>
      </c>
      <c r="M2182" t="s">
        <v>4598</v>
      </c>
      <c r="N2182" t="s">
        <v>14</v>
      </c>
    </row>
    <row r="2183" x14ac:dyDescent="0.25">
      <c r="A2183" t="n">
        <v>25</v>
      </c>
      <c r="B2183" t="s">
        <v>14</v>
      </c>
      <c r="C2183" t="s">
        <v>51</v>
      </c>
      <c r="D2183" s="2" t="s">
        <f>=HYPERLINK("https://main.knesset.gov.il/APPS/legislation/main/bills/2206821", "הצעת חוק הבנקאות (שירות ללקוח) (תיקון - כללים לעניין שיעורי ריבית ללקוחות), התשפ""ג-2023")</f>
        <v>4619</v>
      </c>
      <c r="E2183" t="s">
        <v>4619</v>
      </c>
      <c r="F2183" t="s">
        <v>4620</v>
      </c>
      <c r="G2183" t="s">
        <v>14</v>
      </c>
      <c r="H2183">
             </c>
      <c r="I2183" t="s">
        <v>14</v>
      </c>
      <c r="J2183" t="s">
        <v>202</v>
      </c>
      <c r="K2183" t="s">
        <v>14</v>
      </c>
      <c r="L2183" t="s">
        <v>20</v>
      </c>
      <c r="M2183" t="s">
        <v>4598</v>
      </c>
      <c r="N2183" t="s">
        <v>14</v>
      </c>
    </row>
    <row r="2184" x14ac:dyDescent="0.25">
      <c r="A2184" t="n">
        <v>25</v>
      </c>
      <c r="B2184" t="s">
        <v>14</v>
      </c>
      <c r="C2184" t="s">
        <v>51</v>
      </c>
      <c r="D2184" s="2" t="s">
        <f>=HYPERLINK("https://main.knesset.gov.il/APPS/legislation/main/bills/2203774", "הצעת חוק הגנה על ישראלים מפני מוסדות בין-לאומיים עוינים, התשפ""ג-2023")</f>
        <v>4621</v>
      </c>
      <c r="E2184" t="s">
        <v>4621</v>
      </c>
      <c r="F2184" t="s">
        <v>4622</v>
      </c>
      <c r="G2184" t="s">
        <v>14</v>
      </c>
      <c r="H2184">
             </c>
      <c r="I2184" t="s">
        <v>14</v>
      </c>
      <c r="J2184" t="s">
        <v>193</v>
      </c>
      <c r="K2184" t="s">
        <v>14</v>
      </c>
      <c r="L2184" t="s">
        <v>20</v>
      </c>
      <c r="M2184" t="s">
        <v>4598</v>
      </c>
      <c r="N2184" t="s">
        <v>14</v>
      </c>
    </row>
    <row r="2185" x14ac:dyDescent="0.25">
      <c r="A2185" t="n">
        <v>25</v>
      </c>
      <c r="B2185" t="s">
        <v>14</v>
      </c>
      <c r="C2185" t="s">
        <v>51</v>
      </c>
      <c r="D2185" s="2" t="s">
        <f>=HYPERLINK("https://main.knesset.gov.il/APPS/legislation/main/bills/2199419", "הצעת חוק לימוד חובה (תיקון - חובת דיווח על היעדרות תלמיד), התשפ""ג-2023")</f>
        <v>4623</v>
      </c>
      <c r="E2185" t="s">
        <v>4623</v>
      </c>
      <c r="F2185" t="s">
        <v>4624</v>
      </c>
      <c r="G2185" t="s">
        <v>14</v>
      </c>
      <c r="H2185">
             </c>
      <c r="I2185" t="s">
        <v>14</v>
      </c>
      <c r="J2185" t="s">
        <v>193</v>
      </c>
      <c r="K2185" t="s">
        <v>14</v>
      </c>
      <c r="L2185" t="s">
        <v>20</v>
      </c>
      <c r="M2185" t="s">
        <v>4598</v>
      </c>
      <c r="N2185" t="s">
        <v>14</v>
      </c>
    </row>
    <row r="2186" x14ac:dyDescent="0.25">
      <c r="A2186" t="n">
        <v>25</v>
      </c>
      <c r="B2186" t="s">
        <v>14</v>
      </c>
      <c r="C2186" t="s">
        <v>51</v>
      </c>
      <c r="D2186" s="2" t="s">
        <f>=HYPERLINK("https://main.knesset.gov.il/APPS/legislation/main/bills/2220950", "הצעת חוק משפחות חיילים שנספו במערכה (תגמולים ושיקום) (תיקון - איסור פיטורים של בן משפחה בשנת השכול הראשונה), התשפ""ד-2024")</f>
        <v>4625</v>
      </c>
      <c r="E2186" t="s">
        <v>4625</v>
      </c>
      <c r="F2186" t="s">
        <v>4626</v>
      </c>
      <c r="G2186" t="s">
        <v>14</v>
      </c>
      <c r="H2186">
             </c>
      <c r="I2186" t="s">
        <v>14</v>
      </c>
      <c r="J2186" t="s">
        <v>183</v>
      </c>
      <c r="K2186" t="s">
        <v>46</v>
      </c>
      <c r="L2186" t="s">
        <v>20</v>
      </c>
      <c r="M2186" t="s">
        <v>4627</v>
      </c>
      <c r="N2186" t="s">
        <v>14</v>
      </c>
    </row>
    <row r="2187" x14ac:dyDescent="0.25">
      <c r="A2187" t="n">
        <v>25</v>
      </c>
      <c r="B2187" t="s">
        <v>14</v>
      </c>
      <c r="C2187" t="s">
        <v>51</v>
      </c>
      <c r="D2187" s="2" t="s">
        <f>=HYPERLINK("https://main.knesset.gov.il/APPS/legislation/main/bills/2222170", "הצעת חוק הביטוח הלאומי (תיקון - תגמול מילואים לעובד עצמאי) (הוראת שעה - חרבות ברזל), התשפ''ה-2024")</f>
        <v>4628</v>
      </c>
      <c r="E2187" t="s">
        <v>4628</v>
      </c>
      <c r="F2187" t="s">
        <v>4629</v>
      </c>
      <c r="G2187" t="s">
        <v>14</v>
      </c>
      <c r="H2187">
             </c>
      <c r="I2187" t="s">
        <v>14</v>
      </c>
      <c r="J2187" t="s">
        <v>183</v>
      </c>
      <c r="K2187" t="s">
        <v>46</v>
      </c>
      <c r="L2187" t="s">
        <v>20</v>
      </c>
      <c r="M2187" t="s">
        <v>4627</v>
      </c>
      <c r="N2187" t="s">
        <v>14</v>
      </c>
    </row>
    <row r="2188" x14ac:dyDescent="0.25">
      <c r="A2188" t="n">
        <v>25</v>
      </c>
      <c r="B2188" t="s">
        <v>14</v>
      </c>
      <c r="C2188" t="s">
        <v>51</v>
      </c>
      <c r="D2188" s="2" t="s">
        <f>=HYPERLINK("https://main.knesset.gov.il/APPS/legislation/main/bills/2198658", "חוק להנצחת זכרו של הרב חיים דרוקמן, התשפ""ה–2025")</f>
        <v>4630</v>
      </c>
      <c r="E2188" t="s">
        <v>4630</v>
      </c>
      <c r="F2188" t="s">
        <v>4631</v>
      </c>
      <c r="G2188" t="s">
        <v>4632</v>
      </c>
      <c r="H2188" t="n">
        <v>3354</v>
      </c>
      <c r="I2188" t="s">
        <v>14</v>
      </c>
      <c r="J2188" t="s">
        <v>18</v>
      </c>
      <c r="K2188" t="s">
        <v>79</v>
      </c>
      <c r="L2188" t="s">
        <v>20</v>
      </c>
      <c r="M2188" t="s">
        <v>4627</v>
      </c>
      <c r="N2188" t="s">
        <v>4633</v>
      </c>
    </row>
    <row r="2189" x14ac:dyDescent="0.25">
      <c r="A2189" t="n">
        <v>25</v>
      </c>
      <c r="B2189" t="s">
        <v>14</v>
      </c>
      <c r="C2189" t="s">
        <v>51</v>
      </c>
      <c r="D2189" s="2" t="s">
        <f>=HYPERLINK("https://main.knesset.gov.il/APPS/legislation/main/bills/2197231", "חוק עבודת נשים (תיקון מס' 65), התשפ""ה–2025")</f>
        <v>4634</v>
      </c>
      <c r="E2189" t="s">
        <v>4634</v>
      </c>
      <c r="F2189" t="s">
        <v>4635</v>
      </c>
      <c r="G2189" t="s">
        <v>4636</v>
      </c>
      <c r="H2189" t="n">
        <v>3351</v>
      </c>
      <c r="I2189" t="s">
        <v>14</v>
      </c>
      <c r="J2189" t="s">
        <v>18</v>
      </c>
      <c r="K2189" t="s">
        <v>46</v>
      </c>
      <c r="L2189" t="s">
        <v>20</v>
      </c>
      <c r="M2189" t="s">
        <v>4627</v>
      </c>
      <c r="N2189" t="s">
        <v>4637</v>
      </c>
    </row>
    <row r="2190" x14ac:dyDescent="0.25">
      <c r="A2190" t="n">
        <v>25</v>
      </c>
      <c r="B2190" t="s">
        <v>14</v>
      </c>
      <c r="C2190" t="s">
        <v>51</v>
      </c>
      <c r="D2190" s="2" t="s">
        <f>=HYPERLINK("https://main.knesset.gov.il/APPS/legislation/main/bills/2208574", "חוק שירות הקבע בצבא הגנה לישראל (גמלאות) (תיקון מס' 35), התשפ""ה-2025")</f>
        <v>4638</v>
      </c>
      <c r="E2190" t="s">
        <v>4638</v>
      </c>
      <c r="F2190" t="s">
        <v>4639</v>
      </c>
      <c r="G2190" t="s">
        <v>4640</v>
      </c>
      <c r="H2190" t="n">
        <v>3350</v>
      </c>
      <c r="I2190" t="s">
        <v>14</v>
      </c>
      <c r="J2190" t="s">
        <v>18</v>
      </c>
      <c r="K2190" t="s">
        <v>46</v>
      </c>
      <c r="L2190" t="s">
        <v>20</v>
      </c>
      <c r="M2190" t="s">
        <v>4627</v>
      </c>
      <c r="N2190" t="s">
        <v>4641</v>
      </c>
    </row>
    <row r="2191" x14ac:dyDescent="0.25">
      <c r="A2191" t="n">
        <v>25</v>
      </c>
      <c r="B2191" t="s">
        <v>14</v>
      </c>
      <c r="C2191" t="s">
        <v>51</v>
      </c>
      <c r="D2191" s="2" t="s">
        <f>=HYPERLINK("https://main.knesset.gov.il/APPS/legislation/main/bills/2218395", "הצעת חוק-יסוד: הממשלה (תיקון - ביטול ממשלת חילופים)")</f>
        <v>4642</v>
      </c>
      <c r="E2191" t="s">
        <v>4642</v>
      </c>
      <c r="F2191" t="s">
        <v>4643</v>
      </c>
      <c r="G2191" t="s">
        <v>14</v>
      </c>
      <c r="H2191">
             </c>
      <c r="I2191" t="s">
        <v>14</v>
      </c>
      <c r="J2191" t="s">
        <v>183</v>
      </c>
      <c r="K2191" t="s">
        <v>27</v>
      </c>
      <c r="L2191" t="s">
        <v>20</v>
      </c>
      <c r="M2191" t="s">
        <v>4644</v>
      </c>
      <c r="N2191" t="s">
        <v>14</v>
      </c>
    </row>
    <row r="2192" x14ac:dyDescent="0.25">
      <c r="A2192" t="n">
        <v>25</v>
      </c>
      <c r="B2192" t="s">
        <v>14</v>
      </c>
      <c r="C2192" t="s">
        <v>51</v>
      </c>
      <c r="D2192" s="2" t="s">
        <f>=HYPERLINK("https://main.knesset.gov.il/APPS/legislation/main/bills/2198577", "הצעת חוק-יסוד: ביטול ממשלת החילופים (תיקוני חקיקה)")</f>
        <v>4645</v>
      </c>
      <c r="E2192" t="s">
        <v>4645</v>
      </c>
      <c r="F2192" t="s">
        <v>4646</v>
      </c>
      <c r="G2192" t="s">
        <v>14</v>
      </c>
      <c r="H2192">
             </c>
      <c r="I2192" t="s">
        <v>14</v>
      </c>
      <c r="J2192" t="s">
        <v>183</v>
      </c>
      <c r="K2192" t="s">
        <v>27</v>
      </c>
      <c r="L2192" t="s">
        <v>20</v>
      </c>
      <c r="M2192" t="s">
        <v>4644</v>
      </c>
      <c r="N2192" t="s">
        <v>14</v>
      </c>
    </row>
    <row r="2193" x14ac:dyDescent="0.25">
      <c r="A2193" t="n">
        <v>25</v>
      </c>
      <c r="B2193" t="s">
        <v>14</v>
      </c>
      <c r="C2193" t="s">
        <v>15</v>
      </c>
      <c r="D2193" s="2" t="s">
        <f>=HYPERLINK("https://main.knesset.gov.il/APPS/legislation/main/bills/2224454", "חוק הביטוח הלאומי (תיקון מס' 252 והוראת שעה), התשפ""ה–2025")</f>
        <v>4647</v>
      </c>
      <c r="E2193" t="s">
        <v>4647</v>
      </c>
      <c r="F2193" t="s">
        <v>14</v>
      </c>
      <c r="G2193" t="s">
        <v>4648</v>
      </c>
      <c r="H2193" t="n">
        <v>3347</v>
      </c>
      <c r="I2193" t="s">
        <v>14</v>
      </c>
      <c r="J2193" t="s">
        <v>18</v>
      </c>
      <c r="K2193" t="s">
        <v>46</v>
      </c>
      <c r="L2193" t="s">
        <v>20</v>
      </c>
      <c r="M2193" t="s">
        <v>4644</v>
      </c>
      <c r="N2193" t="s">
        <v>4649</v>
      </c>
    </row>
    <row r="2194" x14ac:dyDescent="0.25">
      <c r="A2194" t="n">
        <v>25</v>
      </c>
      <c r="B2194" t="s">
        <v>14</v>
      </c>
      <c r="C2194" t="s">
        <v>15</v>
      </c>
      <c r="D2194" s="2" t="s">
        <f>=HYPERLINK("https://main.knesset.gov.il/APPS/legislation/main/bills/2224349", "חוק ביטוח בריאות ממלכתי (תיקון מס' 72 והוראת שעה), התשפ""ה-2025")</f>
        <v>4650</v>
      </c>
      <c r="E2194" t="s">
        <v>4650</v>
      </c>
      <c r="F2194" t="s">
        <v>14</v>
      </c>
      <c r="G2194" t="s">
        <v>4651</v>
      </c>
      <c r="H2194" t="n">
        <v>3348</v>
      </c>
      <c r="I2194" t="s">
        <v>14</v>
      </c>
      <c r="J2194" t="s">
        <v>18</v>
      </c>
      <c r="K2194" t="s">
        <v>361</v>
      </c>
      <c r="L2194" t="s">
        <v>20</v>
      </c>
      <c r="M2194" t="s">
        <v>4644</v>
      </c>
      <c r="N2194" t="s">
        <v>4652</v>
      </c>
    </row>
    <row r="2195" x14ac:dyDescent="0.25">
      <c r="A2195" t="n">
        <v>25</v>
      </c>
      <c r="B2195" t="s">
        <v>14</v>
      </c>
      <c r="C2195" t="s">
        <v>51</v>
      </c>
      <c r="D2195" s="2" t="s">
        <f>=HYPERLINK("https://main.knesset.gov.il/APPS/legislation/main/bills/2226356", "הצעת חוק התכנון והבנייה (תיקון - פטור מהיתר בנייה למעלית לנגישות), התשפ""ה-2025")</f>
        <v>4587</v>
      </c>
      <c r="E2195" t="s">
        <v>4587</v>
      </c>
      <c r="F2195" t="s">
        <v>4653</v>
      </c>
      <c r="G2195" t="s">
        <v>14</v>
      </c>
      <c r="H2195">
             </c>
      <c r="I2195" t="s">
        <v>14</v>
      </c>
      <c r="J2195" t="s">
        <v>242</v>
      </c>
      <c r="K2195" t="s">
        <v>14</v>
      </c>
      <c r="L2195" t="s">
        <v>20</v>
      </c>
      <c r="M2195" t="s">
        <v>4644</v>
      </c>
      <c r="N2195" t="s">
        <v>14</v>
      </c>
    </row>
    <row r="2196" x14ac:dyDescent="0.25">
      <c r="A2196" t="n">
        <v>25</v>
      </c>
      <c r="B2196" t="s">
        <v>14</v>
      </c>
      <c r="C2196" t="s">
        <v>51</v>
      </c>
      <c r="D2196" s="2" t="s">
        <f>=HYPERLINK("https://main.knesset.gov.il/APPS/legislation/main/bills/2225392", "הצעת חוק הפיקוח הפרלמנטרי, התשפ""ה-2025")</f>
        <v>4386</v>
      </c>
      <c r="E2196" t="s">
        <v>4386</v>
      </c>
      <c r="F2196" t="s">
        <v>4654</v>
      </c>
      <c r="G2196" t="s">
        <v>14</v>
      </c>
      <c r="H2196">
             </c>
      <c r="I2196" t="s">
        <v>14</v>
      </c>
      <c r="J2196" t="s">
        <v>242</v>
      </c>
      <c r="K2196" t="s">
        <v>14</v>
      </c>
      <c r="L2196" t="s">
        <v>20</v>
      </c>
      <c r="M2196" t="s">
        <v>4644</v>
      </c>
      <c r="N2196" t="s">
        <v>14</v>
      </c>
    </row>
    <row r="2197" x14ac:dyDescent="0.25">
      <c r="A2197" t="n">
        <v>25</v>
      </c>
      <c r="B2197" t="s">
        <v>14</v>
      </c>
      <c r="C2197" t="s">
        <v>51</v>
      </c>
      <c r="D2197" s="2" t="s">
        <f>=HYPERLINK("https://main.knesset.gov.il/APPS/legislation/main/bills/2226595", "הצעת חוק פיצוי נפגעי אסון טבע (פיצוי בשל נזקים לתשתיות לחקלאות) (תיקון - פיצוי בשל אסונות מעשה ידי אדם), התשפ""ה-2025")</f>
        <v>3857</v>
      </c>
      <c r="E2197" t="s">
        <v>3857</v>
      </c>
      <c r="F2197" t="s">
        <v>4655</v>
      </c>
      <c r="G2197" t="s">
        <v>14</v>
      </c>
      <c r="H2197">
             </c>
      <c r="I2197" t="s">
        <v>14</v>
      </c>
      <c r="J2197" t="s">
        <v>242</v>
      </c>
      <c r="K2197" t="s">
        <v>14</v>
      </c>
      <c r="L2197" t="s">
        <v>20</v>
      </c>
      <c r="M2197" t="s">
        <v>4644</v>
      </c>
      <c r="N2197" t="s">
        <v>14</v>
      </c>
    </row>
    <row r="2198" x14ac:dyDescent="0.25">
      <c r="A2198" t="n">
        <v>25</v>
      </c>
      <c r="B2198" t="s">
        <v>14</v>
      </c>
      <c r="C2198" t="s">
        <v>51</v>
      </c>
      <c r="D2198" s="2" t="s">
        <f>=HYPERLINK("https://main.knesset.gov.il/APPS/legislation/main/bills/2225698", "הצעת חוק איסור לשון הרע (תיקון - פיצוי בגין האשמות שווא בדבר פשעי מלחמה), התשפ""ה-2025")</f>
        <v>4396</v>
      </c>
      <c r="E2198" t="s">
        <v>4396</v>
      </c>
      <c r="F2198" t="s">
        <v>4656</v>
      </c>
      <c r="G2198" t="s">
        <v>14</v>
      </c>
      <c r="H2198">
             </c>
      <c r="I2198" t="s">
        <v>14</v>
      </c>
      <c r="J2198" t="s">
        <v>242</v>
      </c>
      <c r="K2198" t="s">
        <v>14</v>
      </c>
      <c r="L2198" t="s">
        <v>20</v>
      </c>
      <c r="M2198" t="s">
        <v>4644</v>
      </c>
      <c r="N2198" t="s">
        <v>14</v>
      </c>
    </row>
    <row r="2199" x14ac:dyDescent="0.25">
      <c r="A2199" t="n">
        <v>25</v>
      </c>
      <c r="B2199" t="s">
        <v>14</v>
      </c>
      <c r="C2199" t="s">
        <v>51</v>
      </c>
      <c r="D2199" s="2" t="s">
        <f>=HYPERLINK("https://main.knesset.gov.il/APPS/legislation/main/bills/2225788", "הצעת חוק-יסוד: הכנסת (תיקון - הזכות להיבחר)")</f>
        <v>1579</v>
      </c>
      <c r="E2199" t="s">
        <v>1579</v>
      </c>
      <c r="F2199" t="s">
        <v>4657</v>
      </c>
      <c r="G2199" t="s">
        <v>14</v>
      </c>
      <c r="H2199">
             </c>
      <c r="I2199" t="s">
        <v>14</v>
      </c>
      <c r="J2199" t="s">
        <v>202</v>
      </c>
      <c r="K2199" t="s">
        <v>14</v>
      </c>
      <c r="L2199" t="s">
        <v>20</v>
      </c>
      <c r="M2199" t="s">
        <v>4644</v>
      </c>
      <c r="N2199" t="s">
        <v>14</v>
      </c>
    </row>
    <row r="2200" x14ac:dyDescent="0.25">
      <c r="A2200" t="n">
        <v>25</v>
      </c>
      <c r="B2200" t="s">
        <v>14</v>
      </c>
      <c r="C2200" t="s">
        <v>51</v>
      </c>
      <c r="D2200" s="2" t="s">
        <f>=HYPERLINK("https://main.knesset.gov.il/APPS/legislation/main/bills/2226669", "הצעת חוק למניעת הסתננות (עבירות ושיפוט) (תיקון - מניעת שחרור בעירבון כספי), התשפ""ה-2025")</f>
        <v>4658</v>
      </c>
      <c r="E2200" t="s">
        <v>4658</v>
      </c>
      <c r="F2200" t="s">
        <v>4659</v>
      </c>
      <c r="G2200" t="s">
        <v>14</v>
      </c>
      <c r="H2200">
             </c>
      <c r="I2200" t="s">
        <v>14</v>
      </c>
      <c r="J2200" t="s">
        <v>242</v>
      </c>
      <c r="K2200" t="s">
        <v>14</v>
      </c>
      <c r="L2200" t="s">
        <v>20</v>
      </c>
      <c r="M2200" t="s">
        <v>4644</v>
      </c>
      <c r="N2200" t="s">
        <v>14</v>
      </c>
    </row>
    <row r="2201" x14ac:dyDescent="0.25">
      <c r="A2201" t="n">
        <v>25</v>
      </c>
      <c r="B2201" t="s">
        <v>14</v>
      </c>
      <c r="C2201" t="s">
        <v>51</v>
      </c>
      <c r="D2201" s="2" t="s">
        <f>=HYPERLINK("https://main.knesset.gov.il/APPS/legislation/main/bills/2226618", "הצעת חוק מס ערך מוסף (תיקון - סובסידיה בגני ילדים), התשפ""ה-2025")</f>
        <v>4660</v>
      </c>
      <c r="E2201" t="s">
        <v>4660</v>
      </c>
      <c r="F2201" t="s">
        <v>4661</v>
      </c>
      <c r="G2201" t="s">
        <v>14</v>
      </c>
      <c r="H2201">
             </c>
      <c r="I2201" t="s">
        <v>14</v>
      </c>
      <c r="J2201" t="s">
        <v>242</v>
      </c>
      <c r="K2201" t="s">
        <v>14</v>
      </c>
      <c r="L2201" t="s">
        <v>20</v>
      </c>
      <c r="M2201" t="s">
        <v>4644</v>
      </c>
      <c r="N2201" t="s">
        <v>14</v>
      </c>
    </row>
    <row r="2202" x14ac:dyDescent="0.25">
      <c r="A2202" t="n">
        <v>25</v>
      </c>
      <c r="B2202" t="s">
        <v>14</v>
      </c>
      <c r="C2202" t="s">
        <v>51</v>
      </c>
      <c r="D2202" s="2" t="s">
        <f>=HYPERLINK("https://main.knesset.gov.il/APPS/legislation/main/bills/2225645", "הצעת חוק שחרור על-תנאי ממאסר (תיקון - העברת הסמכות לדון בעבירות מין מהיחידה למאסרים קצרים לוועדת השחרורים), התשפ""ה-2025")</f>
        <v>4662</v>
      </c>
      <c r="E2202" t="s">
        <v>4662</v>
      </c>
      <c r="F2202" t="s">
        <v>4663</v>
      </c>
      <c r="G2202" t="s">
        <v>14</v>
      </c>
      <c r="H2202">
             </c>
      <c r="I2202" t="s">
        <v>14</v>
      </c>
      <c r="J2202" t="s">
        <v>242</v>
      </c>
      <c r="K2202" t="s">
        <v>14</v>
      </c>
      <c r="L2202" t="s">
        <v>20</v>
      </c>
      <c r="M2202" t="s">
        <v>4644</v>
      </c>
      <c r="N2202" t="s">
        <v>14</v>
      </c>
    </row>
    <row r="2203" x14ac:dyDescent="0.25">
      <c r="A2203" t="n">
        <v>25</v>
      </c>
      <c r="B2203" t="s">
        <v>14</v>
      </c>
      <c r="C2203" t="s">
        <v>51</v>
      </c>
      <c r="D2203" s="2" t="s">
        <f>=HYPERLINK("https://main.knesset.gov.il/APPS/legislation/main/bills/2226030", "הצעת חוק האזרחות (תיקון - אזרחות לבן משפחה של חייל), התשפ""ה-2025")</f>
        <v>4664</v>
      </c>
      <c r="E2203" t="s">
        <v>4664</v>
      </c>
      <c r="F2203" t="s">
        <v>4665</v>
      </c>
      <c r="G2203" t="s">
        <v>14</v>
      </c>
      <c r="H2203">
             </c>
      <c r="I2203" t="s">
        <v>14</v>
      </c>
      <c r="J2203" t="s">
        <v>242</v>
      </c>
      <c r="K2203" t="s">
        <v>14</v>
      </c>
      <c r="L2203" t="s">
        <v>20</v>
      </c>
      <c r="M2203" t="s">
        <v>4644</v>
      </c>
      <c r="N2203" t="s">
        <v>14</v>
      </c>
    </row>
    <row r="2204" x14ac:dyDescent="0.25">
      <c r="A2204" t="n">
        <v>25</v>
      </c>
      <c r="B2204" t="s">
        <v>14</v>
      </c>
      <c r="C2204" t="s">
        <v>51</v>
      </c>
      <c r="D2204" s="2" t="s">
        <f>=HYPERLINK("https://main.knesset.gov.il/APPS/legislation/main/bills/2226180", "הצעת חוק-יסוד: משאל עם (תיקון - משאל עם בעניין פינוי התיישבות חוקית באזור יהודה והשומרון)")</f>
        <v>4666</v>
      </c>
      <c r="E2204" t="s">
        <v>4666</v>
      </c>
      <c r="F2204" t="s">
        <v>4667</v>
      </c>
      <c r="G2204" t="s">
        <v>14</v>
      </c>
      <c r="H2204">
             </c>
      <c r="I2204" t="s">
        <v>14</v>
      </c>
      <c r="J2204" t="s">
        <v>242</v>
      </c>
      <c r="K2204" t="s">
        <v>14</v>
      </c>
      <c r="L2204" t="s">
        <v>20</v>
      </c>
      <c r="M2204" t="s">
        <v>4644</v>
      </c>
      <c r="N2204" t="s">
        <v>14</v>
      </c>
    </row>
    <row r="2205" x14ac:dyDescent="0.25">
      <c r="A2205" t="n">
        <v>25</v>
      </c>
      <c r="B2205" t="s">
        <v>14</v>
      </c>
      <c r="C2205" t="s">
        <v>51</v>
      </c>
      <c r="D2205" s="2" t="s">
        <f>=HYPERLINK("https://main.knesset.gov.il/APPS/legislation/main/bills/2226093", "הצעת חוק השכירות והשאילה (תיקון - הארכת הסכמי חכירה לדורות), התשפ""ה-2025")</f>
        <v>4668</v>
      </c>
      <c r="E2205" t="s">
        <v>4668</v>
      </c>
      <c r="F2205" t="s">
        <v>4669</v>
      </c>
      <c r="G2205" t="s">
        <v>14</v>
      </c>
      <c r="H2205">
             </c>
      <c r="I2205" t="s">
        <v>14</v>
      </c>
      <c r="J2205" t="s">
        <v>242</v>
      </c>
      <c r="K2205" t="s">
        <v>14</v>
      </c>
      <c r="L2205" t="s">
        <v>20</v>
      </c>
      <c r="M2205" t="s">
        <v>4644</v>
      </c>
      <c r="N2205" t="s">
        <v>14</v>
      </c>
    </row>
    <row r="2206" x14ac:dyDescent="0.25">
      <c r="A2206" t="n">
        <v>25</v>
      </c>
      <c r="B2206" t="s">
        <v>14</v>
      </c>
      <c r="C2206" t="s">
        <v>51</v>
      </c>
      <c r="D2206" s="2" t="s">
        <f>=HYPERLINK("https://main.knesset.gov.il/APPS/legislation/main/bills/2226207", "הצעת חוק ליווי בני משפחות של משרתים בגופי ביטחון ששלחו יד בנפשם, התשפ""ה-2025")</f>
        <v>4670</v>
      </c>
      <c r="E2206" t="s">
        <v>4670</v>
      </c>
      <c r="F2206" t="s">
        <v>4671</v>
      </c>
      <c r="G2206" t="s">
        <v>14</v>
      </c>
      <c r="H2206">
             </c>
      <c r="I2206" t="s">
        <v>14</v>
      </c>
      <c r="J2206" t="s">
        <v>242</v>
      </c>
      <c r="K2206" t="s">
        <v>14</v>
      </c>
      <c r="L2206" t="s">
        <v>20</v>
      </c>
      <c r="M2206" t="s">
        <v>4644</v>
      </c>
      <c r="N2206" t="s">
        <v>14</v>
      </c>
    </row>
    <row r="2207" x14ac:dyDescent="0.25">
      <c r="A2207" t="n">
        <v>25</v>
      </c>
      <c r="B2207" t="s">
        <v>14</v>
      </c>
      <c r="C2207" t="s">
        <v>51</v>
      </c>
      <c r="D2207" s="2" t="s">
        <f>=HYPERLINK("https://main.knesset.gov.il/APPS/legislation/main/bills/2225423", "הצעת חוק הממשלה (תיקון - ועדת שרים לענייני חקיקה), התשפ""ה-2025")</f>
        <v>4672</v>
      </c>
      <c r="E2207" t="s">
        <v>4672</v>
      </c>
      <c r="F2207" t="s">
        <v>4673</v>
      </c>
      <c r="G2207" t="s">
        <v>14</v>
      </c>
      <c r="H2207">
             </c>
      <c r="I2207" t="s">
        <v>14</v>
      </c>
      <c r="J2207" t="s">
        <v>242</v>
      </c>
      <c r="K2207" t="s">
        <v>14</v>
      </c>
      <c r="L2207" t="s">
        <v>20</v>
      </c>
      <c r="M2207" t="s">
        <v>4644</v>
      </c>
      <c r="N2207" t="s">
        <v>14</v>
      </c>
    </row>
    <row r="2208" x14ac:dyDescent="0.25">
      <c r="A2208" t="n">
        <v>25</v>
      </c>
      <c r="B2208" t="s">
        <v>14</v>
      </c>
      <c r="C2208" t="s">
        <v>51</v>
      </c>
      <c r="D2208" s="2" t="s">
        <f>=HYPERLINK("https://main.knesset.gov.il/APPS/legislation/main/bills/2226485", "הצעת חוק לשכת עורכי הדין (תיקון - הורדת סף המעבר בבחינת ההתמחות של מועד דצמבר 2024), התשפ""ה-2025")</f>
        <v>4579</v>
      </c>
      <c r="E2208" t="s">
        <v>4579</v>
      </c>
      <c r="F2208" t="s">
        <v>4674</v>
      </c>
      <c r="G2208" t="s">
        <v>14</v>
      </c>
      <c r="H2208">
             </c>
      <c r="I2208" t="s">
        <v>14</v>
      </c>
      <c r="J2208" t="s">
        <v>242</v>
      </c>
      <c r="K2208" t="s">
        <v>14</v>
      </c>
      <c r="L2208" t="s">
        <v>20</v>
      </c>
      <c r="M2208" t="s">
        <v>4644</v>
      </c>
      <c r="N2208" t="s">
        <v>14</v>
      </c>
    </row>
    <row r="2209" x14ac:dyDescent="0.25">
      <c r="A2209" t="n">
        <v>25</v>
      </c>
      <c r="B2209" t="s">
        <v>14</v>
      </c>
      <c r="C2209" t="s">
        <v>51</v>
      </c>
      <c r="D2209" s="2" t="s">
        <f>=HYPERLINK("https://main.knesset.gov.il/APPS/legislation/main/bills/2226237", "הצעת חוק קבלת ילד של משרת מילואים למעון יום והשתתפות המדינה בעלות שכר הלימוד בו, התשפ""ה-2025")</f>
        <v>2015</v>
      </c>
      <c r="E2209" t="s">
        <v>2015</v>
      </c>
      <c r="F2209" t="s">
        <v>4675</v>
      </c>
      <c r="G2209" t="s">
        <v>14</v>
      </c>
      <c r="H2209">
             </c>
      <c r="I2209" t="s">
        <v>14</v>
      </c>
      <c r="J2209" t="s">
        <v>242</v>
      </c>
      <c r="K2209" t="s">
        <v>14</v>
      </c>
      <c r="L2209" t="s">
        <v>20</v>
      </c>
      <c r="M2209" t="s">
        <v>4644</v>
      </c>
      <c r="N2209" t="s">
        <v>14</v>
      </c>
    </row>
    <row r="2210" x14ac:dyDescent="0.25">
      <c r="A2210" t="n">
        <v>25</v>
      </c>
      <c r="B2210" t="s">
        <v>14</v>
      </c>
      <c r="C2210" t="s">
        <v>51</v>
      </c>
      <c r="D2210" s="2" t="s">
        <f>=HYPERLINK("https://main.knesset.gov.il/APPS/legislation/main/bills/2225659", "הצעת חוק הדרכונים (תיקון - הנפקת דרכון או תעודת מעבר לקטין שמלאו לו 16 שנים), התשפ""ה-2025")</f>
        <v>4676</v>
      </c>
      <c r="E2210" t="s">
        <v>4676</v>
      </c>
      <c r="F2210" t="s">
        <v>4677</v>
      </c>
      <c r="G2210" t="s">
        <v>14</v>
      </c>
      <c r="H2210">
             </c>
      <c r="I2210" t="s">
        <v>14</v>
      </c>
      <c r="J2210" t="s">
        <v>242</v>
      </c>
      <c r="K2210" t="s">
        <v>14</v>
      </c>
      <c r="L2210" t="s">
        <v>20</v>
      </c>
      <c r="M2210" t="s">
        <v>4644</v>
      </c>
      <c r="N2210" t="s">
        <v>14</v>
      </c>
    </row>
    <row r="2211" x14ac:dyDescent="0.25">
      <c r="A2211" t="n">
        <v>25</v>
      </c>
      <c r="B2211" t="s">
        <v>14</v>
      </c>
      <c r="C2211" t="s">
        <v>51</v>
      </c>
      <c r="D2211" s="2" t="s">
        <f>=HYPERLINK("https://main.knesset.gov.il/APPS/legislation/main/bills/2226293", "הצעת חוק הכניסה לישראל (תיקון - תוקף צווי הגבלת שימוש במקום וסמכויות תפיסה וחילוט), התשפ""ה-2025")</f>
        <v>4678</v>
      </c>
      <c r="E2211" t="s">
        <v>4678</v>
      </c>
      <c r="F2211" t="s">
        <v>4679</v>
      </c>
      <c r="G2211" t="s">
        <v>14</v>
      </c>
      <c r="H2211">
             </c>
      <c r="I2211" t="s">
        <v>14</v>
      </c>
      <c r="J2211" t="s">
        <v>242</v>
      </c>
      <c r="K2211" t="s">
        <v>14</v>
      </c>
      <c r="L2211" t="s">
        <v>20</v>
      </c>
      <c r="M2211" t="s">
        <v>4644</v>
      </c>
      <c r="N2211" t="s">
        <v>14</v>
      </c>
    </row>
    <row r="2212" x14ac:dyDescent="0.25">
      <c r="A2212" t="n">
        <v>25</v>
      </c>
      <c r="B2212" t="s">
        <v>14</v>
      </c>
      <c r="C2212" t="s">
        <v>51</v>
      </c>
      <c r="D2212" s="2" t="s">
        <f>=HYPERLINK("https://main.knesset.gov.il/APPS/legislation/main/bills/2226414", "הצעת חוק הבנקאות (שירות ללקוח) (תיקון - מתן שירותי הפקדה בכל כספומט בנקאי), התשפ""ה-2025")</f>
        <v>2900</v>
      </c>
      <c r="E2212" t="s">
        <v>2900</v>
      </c>
      <c r="F2212" t="s">
        <v>4680</v>
      </c>
      <c r="G2212" t="s">
        <v>14</v>
      </c>
      <c r="H2212">
             </c>
      <c r="I2212" t="s">
        <v>14</v>
      </c>
      <c r="J2212" t="s">
        <v>242</v>
      </c>
      <c r="K2212" t="s">
        <v>14</v>
      </c>
      <c r="L2212" t="s">
        <v>20</v>
      </c>
      <c r="M2212" t="s">
        <v>4644</v>
      </c>
      <c r="N2212" t="s">
        <v>14</v>
      </c>
    </row>
    <row r="2213" x14ac:dyDescent="0.25">
      <c r="A2213" t="n">
        <v>25</v>
      </c>
      <c r="B2213" t="s">
        <v>14</v>
      </c>
      <c r="C2213" t="s">
        <v>51</v>
      </c>
      <c r="D2213" s="2" t="s">
        <f>=HYPERLINK("https://main.knesset.gov.il/APPS/legislation/main/bills/2226204", "הצעת חוק שעות עבודה ומנוחה (תיקון - הגבלת שעות העסקה של מתמחה ברפואה), התשפ""ה-2025")</f>
        <v>4681</v>
      </c>
      <c r="E2213" t="s">
        <v>4681</v>
      </c>
      <c r="F2213" t="s">
        <v>4682</v>
      </c>
      <c r="G2213" t="s">
        <v>14</v>
      </c>
      <c r="H2213">
             </c>
      <c r="I2213" t="s">
        <v>14</v>
      </c>
      <c r="J2213" t="s">
        <v>242</v>
      </c>
      <c r="K2213" t="s">
        <v>14</v>
      </c>
      <c r="L2213" t="s">
        <v>20</v>
      </c>
      <c r="M2213" t="s">
        <v>4644</v>
      </c>
      <c r="N2213" t="s">
        <v>14</v>
      </c>
    </row>
    <row r="2214" x14ac:dyDescent="0.25">
      <c r="A2214" t="n">
        <v>25</v>
      </c>
      <c r="B2214" t="s">
        <v>14</v>
      </c>
      <c r="C2214" t="s">
        <v>51</v>
      </c>
      <c r="D2214" s="2" t="s">
        <f>=HYPERLINK("https://main.knesset.gov.il/APPS/legislation/main/bills/2226597", "הצעת חוק הגנת השכר (תיקון - תלוש שכר אחיד בשירות המדינה), התשפ""ה-2025")</f>
        <v>4498</v>
      </c>
      <c r="E2214" t="s">
        <v>4498</v>
      </c>
      <c r="F2214" t="s">
        <v>4683</v>
      </c>
      <c r="G2214" t="s">
        <v>14</v>
      </c>
      <c r="H2214">
             </c>
      <c r="I2214" t="s">
        <v>14</v>
      </c>
      <c r="J2214" t="s">
        <v>242</v>
      </c>
      <c r="K2214" t="s">
        <v>14</v>
      </c>
      <c r="L2214" t="s">
        <v>20</v>
      </c>
      <c r="M2214" t="s">
        <v>4644</v>
      </c>
      <c r="N2214" t="s">
        <v>14</v>
      </c>
    </row>
    <row r="2215" x14ac:dyDescent="0.25">
      <c r="A2215" t="n">
        <v>25</v>
      </c>
      <c r="B2215" t="s">
        <v>14</v>
      </c>
      <c r="C2215" t="s">
        <v>51</v>
      </c>
      <c r="D2215" s="2" t="s">
        <f>=HYPERLINK("https://main.knesset.gov.il/APPS/legislation/main/bills/2226614", "הצעת חוק זכויות הסטודנט (תיקון - איסור הפליה מחמת מוגבלות), התשפ""ה-2025")</f>
        <v>4487</v>
      </c>
      <c r="E2215" t="s">
        <v>4487</v>
      </c>
      <c r="F2215" t="s">
        <v>4684</v>
      </c>
      <c r="G2215" t="s">
        <v>14</v>
      </c>
      <c r="H2215">
             </c>
      <c r="I2215" t="s">
        <v>14</v>
      </c>
      <c r="J2215" t="s">
        <v>242</v>
      </c>
      <c r="K2215" t="s">
        <v>14</v>
      </c>
      <c r="L2215" t="s">
        <v>20</v>
      </c>
      <c r="M2215" t="s">
        <v>4644</v>
      </c>
      <c r="N2215" t="s">
        <v>14</v>
      </c>
    </row>
    <row r="2216" x14ac:dyDescent="0.25">
      <c r="A2216" t="n">
        <v>25</v>
      </c>
      <c r="B2216" t="s">
        <v>14</v>
      </c>
      <c r="C2216" t="s">
        <v>51</v>
      </c>
      <c r="D2216" s="2" t="s">
        <f>=HYPERLINK("https://main.knesset.gov.il/APPS/legislation/main/bills/2226024", "הצעת חוק-יסוד: הכנסת (תיקון - הצבעה מרחוק ונבצרות)")</f>
        <v>4685</v>
      </c>
      <c r="E2216" t="s">
        <v>4685</v>
      </c>
      <c r="F2216" t="s">
        <v>4686</v>
      </c>
      <c r="G2216" t="s">
        <v>14</v>
      </c>
      <c r="H2216">
             </c>
      <c r="I2216" t="s">
        <v>14</v>
      </c>
      <c r="J2216" t="s">
        <v>242</v>
      </c>
      <c r="K2216" t="s">
        <v>14</v>
      </c>
      <c r="L2216" t="s">
        <v>20</v>
      </c>
      <c r="M2216" t="s">
        <v>4644</v>
      </c>
      <c r="N2216" t="s">
        <v>14</v>
      </c>
    </row>
    <row r="2217" x14ac:dyDescent="0.25">
      <c r="A2217" t="n">
        <v>25</v>
      </c>
      <c r="B2217" t="s">
        <v>14</v>
      </c>
      <c r="C2217" t="s">
        <v>51</v>
      </c>
      <c r="D2217" s="2" t="s">
        <f>=HYPERLINK("https://main.knesset.gov.il/APPS/legislation/main/bills/2226598", "הצעת חוק משק החשמל (תיקון - טעינת רכב חשמלי באמצעות יישומון תשלום אחוד), התשפ""ה-2025")</f>
        <v>3968</v>
      </c>
      <c r="E2217" t="s">
        <v>3968</v>
      </c>
      <c r="F2217" t="s">
        <v>4687</v>
      </c>
      <c r="G2217" t="s">
        <v>14</v>
      </c>
      <c r="H2217">
             </c>
      <c r="I2217" t="s">
        <v>14</v>
      </c>
      <c r="J2217" t="s">
        <v>242</v>
      </c>
      <c r="K2217" t="s">
        <v>14</v>
      </c>
      <c r="L2217" t="s">
        <v>20</v>
      </c>
      <c r="M2217" t="s">
        <v>4644</v>
      </c>
      <c r="N2217" t="s">
        <v>14</v>
      </c>
    </row>
    <row r="2218" x14ac:dyDescent="0.25">
      <c r="A2218" t="n">
        <v>25</v>
      </c>
      <c r="B2218" t="s">
        <v>14</v>
      </c>
      <c r="C2218" t="s">
        <v>51</v>
      </c>
      <c r="D2218" s="2" t="s">
        <f>=HYPERLINK("https://main.knesset.gov.il/APPS/legislation/main/bills/2226177", "הצעת חוק לתיקון פקודת מס הכנסה (קרן השתלמות לחקלאי שומר שמיטה), התשפ""ה-2025")</f>
        <v>3842</v>
      </c>
      <c r="E2218" t="s">
        <v>3842</v>
      </c>
      <c r="F2218" t="s">
        <v>4688</v>
      </c>
      <c r="G2218" t="s">
        <v>14</v>
      </c>
      <c r="H2218">
             </c>
      <c r="I2218" t="s">
        <v>14</v>
      </c>
      <c r="J2218" t="s">
        <v>242</v>
      </c>
      <c r="K2218" t="s">
        <v>14</v>
      </c>
      <c r="L2218" t="s">
        <v>20</v>
      </c>
      <c r="M2218" t="s">
        <v>4644</v>
      </c>
      <c r="N2218" t="s">
        <v>14</v>
      </c>
    </row>
    <row r="2219" x14ac:dyDescent="0.25">
      <c r="A2219" t="n">
        <v>25</v>
      </c>
      <c r="B2219" t="s">
        <v>14</v>
      </c>
      <c r="C2219" t="s">
        <v>51</v>
      </c>
      <c r="D2219" s="2" t="s">
        <f>=HYPERLINK("https://main.knesset.gov.il/APPS/legislation/main/bills/2225656", "הצעת חוק תרגום תעודות ציבוריות, התשפ""ה-2025")</f>
        <v>4689</v>
      </c>
      <c r="E2219" t="s">
        <v>4689</v>
      </c>
      <c r="F2219" t="s">
        <v>4690</v>
      </c>
      <c r="G2219" t="s">
        <v>14</v>
      </c>
      <c r="H2219">
             </c>
      <c r="I2219" t="s">
        <v>14</v>
      </c>
      <c r="J2219" t="s">
        <v>242</v>
      </c>
      <c r="K2219" t="s">
        <v>14</v>
      </c>
      <c r="L2219" t="s">
        <v>20</v>
      </c>
      <c r="M2219" t="s">
        <v>4644</v>
      </c>
      <c r="N2219" t="s">
        <v>14</v>
      </c>
    </row>
    <row r="2220" x14ac:dyDescent="0.25">
      <c r="A2220" t="n">
        <v>25</v>
      </c>
      <c r="B2220" t="s">
        <v>14</v>
      </c>
      <c r="C2220" t="s">
        <v>51</v>
      </c>
      <c r="D2220" s="2" t="s">
        <f>=HYPERLINK("https://main.knesset.gov.il/APPS/legislation/main/bills/2225366", "הצעת חוק מס ערך מוסף (תיקון - מס בשיעור אפס במכירת מזונות המסייעים לקידום בריאות הציבור והביטחון התזונתי), התשפ""ה-2025")</f>
        <v>4691</v>
      </c>
      <c r="E2220" t="s">
        <v>4691</v>
      </c>
      <c r="F2220" t="s">
        <v>4692</v>
      </c>
      <c r="G2220" t="s">
        <v>14</v>
      </c>
      <c r="H2220">
             </c>
      <c r="I2220" t="s">
        <v>14</v>
      </c>
      <c r="J2220" t="s">
        <v>242</v>
      </c>
      <c r="K2220" t="s">
        <v>14</v>
      </c>
      <c r="L2220" t="s">
        <v>20</v>
      </c>
      <c r="M2220" t="s">
        <v>4644</v>
      </c>
      <c r="N2220" t="s">
        <v>14</v>
      </c>
    </row>
    <row r="2221" x14ac:dyDescent="0.25">
      <c r="A2221" t="n">
        <v>25</v>
      </c>
      <c r="B2221" t="s">
        <v>14</v>
      </c>
      <c r="C2221" t="s">
        <v>51</v>
      </c>
      <c r="D2221" s="2" t="s">
        <f>=HYPERLINK("https://main.knesset.gov.il/APPS/legislation/main/bills/2225298", "הצעת חוק התגמולים לנפגעי פעולות איבה (תיקון - זכאויות לבני משפחה נוספים), התשפ""ה-2025")</f>
        <v>4562</v>
      </c>
      <c r="E2221" t="s">
        <v>4562</v>
      </c>
      <c r="F2221" t="s">
        <v>4693</v>
      </c>
      <c r="G2221" t="s">
        <v>14</v>
      </c>
      <c r="H2221">
             </c>
      <c r="I2221" t="s">
        <v>14</v>
      </c>
      <c r="J2221" t="s">
        <v>242</v>
      </c>
      <c r="K2221" t="s">
        <v>14</v>
      </c>
      <c r="L2221" t="s">
        <v>20</v>
      </c>
      <c r="M2221" t="s">
        <v>4644</v>
      </c>
      <c r="N2221" t="s">
        <v>14</v>
      </c>
    </row>
    <row r="2222" x14ac:dyDescent="0.25">
      <c r="A2222" t="n">
        <v>25</v>
      </c>
      <c r="B2222" t="s">
        <v>14</v>
      </c>
      <c r="C2222" t="s">
        <v>51</v>
      </c>
      <c r="D2222" s="2" t="s">
        <f>=HYPERLINK("https://main.knesset.gov.il/APPS/legislation/main/bills/2226434", "הצעת חוק-יסוד: ישראל - מדינת הלאום של העם היהודי (תיקון - הוספת מחויבות לשוויון זכויות)")</f>
        <v>4694</v>
      </c>
      <c r="E2222" t="s">
        <v>4694</v>
      </c>
      <c r="F2222" t="s">
        <v>4695</v>
      </c>
      <c r="G2222" t="s">
        <v>14</v>
      </c>
      <c r="H2222">
             </c>
      <c r="I2222" t="s">
        <v>14</v>
      </c>
      <c r="J2222" t="s">
        <v>242</v>
      </c>
      <c r="K2222" t="s">
        <v>14</v>
      </c>
      <c r="L2222" t="s">
        <v>20</v>
      </c>
      <c r="M2222" t="s">
        <v>4644</v>
      </c>
      <c r="N2222" t="s">
        <v>14</v>
      </c>
    </row>
    <row r="2223" x14ac:dyDescent="0.25">
      <c r="A2223" t="n">
        <v>25</v>
      </c>
      <c r="B2223" t="s">
        <v>14</v>
      </c>
      <c r="C2223" t="s">
        <v>51</v>
      </c>
      <c r="D2223" s="2" t="s">
        <f>=HYPERLINK("https://main.knesset.gov.il/APPS/legislation/main/bills/2226353", "הצעת חוק סדר הדין הפלילי (תיקון - הגבלת משך זמן החקירה המשטרתית וחקירת הפרקליטות), התשפ""ה-2025")</f>
        <v>4696</v>
      </c>
      <c r="E2223" t="s">
        <v>4696</v>
      </c>
      <c r="F2223" t="s">
        <v>4697</v>
      </c>
      <c r="G2223" t="s">
        <v>14</v>
      </c>
      <c r="H2223">
             </c>
      <c r="I2223" t="s">
        <v>14</v>
      </c>
      <c r="J2223" t="s">
        <v>242</v>
      </c>
      <c r="K2223" t="s">
        <v>14</v>
      </c>
      <c r="L2223" t="s">
        <v>20</v>
      </c>
      <c r="M2223" t="s">
        <v>4644</v>
      </c>
      <c r="N2223" t="s">
        <v>14</v>
      </c>
    </row>
    <row r="2224" x14ac:dyDescent="0.25">
      <c r="A2224" t="n">
        <v>25</v>
      </c>
      <c r="B2224" t="s">
        <v>14</v>
      </c>
      <c r="C2224" t="s">
        <v>15</v>
      </c>
      <c r="D2224" s="2" t="s">
        <f>=HYPERLINK("https://main.knesset.gov.il/APPS/legislation/main/bills/2195309", "חוק הסדרת העיסוק בעבודה במערכת קירור או מיזוג אוויר, התשפ""ה-2025")</f>
        <v>4698</v>
      </c>
      <c r="E2224" t="s">
        <v>4698</v>
      </c>
      <c r="F2224" t="s">
        <v>14</v>
      </c>
      <c r="G2224" t="s">
        <v>4699</v>
      </c>
      <c r="H2224" t="n">
        <v>3349</v>
      </c>
      <c r="I2224" t="s">
        <v>14</v>
      </c>
      <c r="J2224" t="s">
        <v>18</v>
      </c>
      <c r="K2224" t="s">
        <v>46</v>
      </c>
      <c r="L2224" t="s">
        <v>20</v>
      </c>
      <c r="M2224" t="s">
        <v>4700</v>
      </c>
      <c r="N2224" t="s">
        <v>4701</v>
      </c>
    </row>
    <row r="2225" x14ac:dyDescent="0.25">
      <c r="A2225" t="n">
        <v>25</v>
      </c>
      <c r="B2225" t="s">
        <v>14</v>
      </c>
      <c r="C2225" t="s">
        <v>15</v>
      </c>
      <c r="D2225" s="2" t="s">
        <f>=HYPERLINK("https://main.knesset.gov.il/APPS/legislation/main/bills/2224755", "חוק העונשין (תיקון מס' 140 – הוראת שעה) (תיקון), התשפ""ה-2025")</f>
        <v>4702</v>
      </c>
      <c r="E2225" t="s">
        <v>4702</v>
      </c>
      <c r="F2225" t="s">
        <v>14</v>
      </c>
      <c r="G2225" t="s">
        <v>4703</v>
      </c>
      <c r="H2225" t="n">
        <v>3346</v>
      </c>
      <c r="I2225" t="s">
        <v>14</v>
      </c>
      <c r="J2225" t="s">
        <v>18</v>
      </c>
      <c r="K2225" t="s">
        <v>27</v>
      </c>
      <c r="L2225" t="s">
        <v>20</v>
      </c>
      <c r="M2225" t="s">
        <v>4700</v>
      </c>
      <c r="N2225" t="s">
        <v>4704</v>
      </c>
    </row>
    <row r="2226" x14ac:dyDescent="0.25">
      <c r="A2226" t="n">
        <v>25</v>
      </c>
      <c r="B2226" t="s">
        <v>14</v>
      </c>
      <c r="C2226" t="s">
        <v>51</v>
      </c>
      <c r="D2226" s="2" t="s">
        <f>=HYPERLINK("https://main.knesset.gov.il/APPS/legislation/main/bills/2223856", "הצעת חוק לתיקון פקודת מס הכנסה (פטור ממס על תגמול מילואים ונקודות זיכוי מס למשרת מילואים פעיל), התשפ""ה-2024")</f>
        <v>4705</v>
      </c>
      <c r="E2226" t="s">
        <v>4705</v>
      </c>
      <c r="F2226" t="s">
        <v>4706</v>
      </c>
      <c r="G2226" t="s">
        <v>14</v>
      </c>
      <c r="H2226">
             </c>
      <c r="I2226" t="s">
        <v>14</v>
      </c>
      <c r="J2226" t="s">
        <v>193</v>
      </c>
      <c r="K2226" t="s">
        <v>14</v>
      </c>
      <c r="L2226" t="s">
        <v>20</v>
      </c>
      <c r="M2226" t="s">
        <v>4700</v>
      </c>
      <c r="N2226" t="s">
        <v>14</v>
      </c>
    </row>
    <row r="2227" x14ac:dyDescent="0.25">
      <c r="A2227" t="n">
        <v>25</v>
      </c>
      <c r="B2227" t="s">
        <v>14</v>
      </c>
      <c r="C2227" t="s">
        <v>51</v>
      </c>
      <c r="D2227" s="2" t="s">
        <f>=HYPERLINK("https://main.knesset.gov.il/APPS/legislation/main/bills/2223880", "הצעת חוק לתיקון פקודת מס הכנסה (נקודת זיכוי בעד שירות מילואים), התשפ""ה-2024")</f>
        <v>4707</v>
      </c>
      <c r="E2227" t="s">
        <v>4707</v>
      </c>
      <c r="F2227" t="s">
        <v>4708</v>
      </c>
      <c r="G2227" t="s">
        <v>14</v>
      </c>
      <c r="H2227">
             </c>
      <c r="I2227" t="s">
        <v>14</v>
      </c>
      <c r="J2227" t="s">
        <v>193</v>
      </c>
      <c r="K2227" t="s">
        <v>14</v>
      </c>
      <c r="L2227" t="s">
        <v>20</v>
      </c>
      <c r="M2227" t="s">
        <v>4700</v>
      </c>
      <c r="N2227" t="s">
        <v>14</v>
      </c>
    </row>
    <row r="2228" x14ac:dyDescent="0.25">
      <c r="A2228" t="n">
        <v>25</v>
      </c>
      <c r="B2228" t="s">
        <v>14</v>
      </c>
      <c r="C2228" t="s">
        <v>51</v>
      </c>
      <c r="D2228" s="2" t="s">
        <f>=HYPERLINK("https://main.knesset.gov.il/APPS/legislation/main/bills/2223092", "הצעת חוק-יסוד: הכנסת (תיקון - הזכות להיבחר) ")</f>
        <v>4709</v>
      </c>
      <c r="E2228" t="s">
        <v>4709</v>
      </c>
      <c r="F2228" t="s">
        <v>4710</v>
      </c>
      <c r="G2228" t="s">
        <v>14</v>
      </c>
      <c r="H2228">
             </c>
      <c r="I2228" t="s">
        <v>14</v>
      </c>
      <c r="J2228" t="s">
        <v>193</v>
      </c>
      <c r="K2228" t="s">
        <v>14</v>
      </c>
      <c r="L2228" t="s">
        <v>20</v>
      </c>
      <c r="M2228" t="s">
        <v>4700</v>
      </c>
      <c r="N2228" t="s">
        <v>14</v>
      </c>
    </row>
    <row r="2229" x14ac:dyDescent="0.25">
      <c r="A2229" t="n">
        <v>25</v>
      </c>
      <c r="B2229" t="s">
        <v>14</v>
      </c>
      <c r="C2229" t="s">
        <v>51</v>
      </c>
      <c r="D2229" s="2" t="s">
        <f>=HYPERLINK("https://main.knesset.gov.il/APPS/legislation/main/bills/2219479", "הצעת חוק הרשות הלאומית לרפואה משפטית, התשפ""ד-2024")</f>
        <v>4711</v>
      </c>
      <c r="E2229" t="s">
        <v>4711</v>
      </c>
      <c r="F2229" t="s">
        <v>4712</v>
      </c>
      <c r="G2229" t="s">
        <v>14</v>
      </c>
      <c r="H2229">
             </c>
      <c r="I2229" t="s">
        <v>14</v>
      </c>
      <c r="J2229" t="s">
        <v>193</v>
      </c>
      <c r="K2229" t="s">
        <v>14</v>
      </c>
      <c r="L2229" t="s">
        <v>20</v>
      </c>
      <c r="M2229" t="s">
        <v>4700</v>
      </c>
      <c r="N2229" t="s">
        <v>14</v>
      </c>
    </row>
    <row r="2230" x14ac:dyDescent="0.25">
      <c r="A2230" t="n">
        <v>25</v>
      </c>
      <c r="B2230" t="s">
        <v>14</v>
      </c>
      <c r="C2230" t="s">
        <v>51</v>
      </c>
      <c r="D2230" s="2" t="s">
        <f>=HYPERLINK("https://main.knesset.gov.il/APPS/legislation/main/bills/2213777", "הצעת חוק הרשות הלאומית למאבק בסמים ובשימוש לרעה באלכוהול, התשפ""ד-2024")</f>
        <v>4713</v>
      </c>
      <c r="E2230" t="s">
        <v>4713</v>
      </c>
      <c r="F2230" t="s">
        <v>4714</v>
      </c>
      <c r="G2230" t="s">
        <v>14</v>
      </c>
      <c r="H2230">
             </c>
      <c r="I2230" t="s">
        <v>14</v>
      </c>
      <c r="J2230" t="s">
        <v>193</v>
      </c>
      <c r="K2230" t="s">
        <v>14</v>
      </c>
      <c r="L2230" t="s">
        <v>20</v>
      </c>
      <c r="M2230" t="s">
        <v>4700</v>
      </c>
      <c r="N2230" t="s">
        <v>14</v>
      </c>
    </row>
    <row r="2231" x14ac:dyDescent="0.25">
      <c r="A2231" t="n">
        <v>25</v>
      </c>
      <c r="B2231" t="s">
        <v>14</v>
      </c>
      <c r="C2231" t="s">
        <v>51</v>
      </c>
      <c r="D2231" s="2" t="s">
        <f>=HYPERLINK("https://main.knesset.gov.il/APPS/legislation/main/bills/2208519", "הצעת חוק חינוך ממלכתי (תיקון - חינוך ממלכתי חרדי), התשפ""ג-2023")</f>
        <v>4715</v>
      </c>
      <c r="E2231" t="s">
        <v>4715</v>
      </c>
      <c r="F2231" t="s">
        <v>4716</v>
      </c>
      <c r="G2231" t="s">
        <v>14</v>
      </c>
      <c r="H2231">
             </c>
      <c r="I2231" t="s">
        <v>14</v>
      </c>
      <c r="J2231" t="s">
        <v>193</v>
      </c>
      <c r="K2231" t="s">
        <v>14</v>
      </c>
      <c r="L2231" t="s">
        <v>20</v>
      </c>
      <c r="M2231" t="s">
        <v>4700</v>
      </c>
      <c r="N2231" t="s">
        <v>14</v>
      </c>
    </row>
    <row r="2232" x14ac:dyDescent="0.25">
      <c r="A2232" t="n">
        <v>25</v>
      </c>
      <c r="B2232" t="s">
        <v>14</v>
      </c>
      <c r="C2232" t="s">
        <v>51</v>
      </c>
      <c r="D2232" s="2" t="s">
        <f>=HYPERLINK("https://main.knesset.gov.il/APPS/legislation/main/bills/2198091", "הצעת חוק גנים לאומיים, שמורות טבע, אתרים לאומיים ואתרי הנצחה (תיקון - הגנה על סמלי הנצחה ומורשת), התשפ""ג-2023")</f>
        <v>4717</v>
      </c>
      <c r="E2232" t="s">
        <v>4717</v>
      </c>
      <c r="F2232" t="s">
        <v>4718</v>
      </c>
      <c r="G2232" t="s">
        <v>14</v>
      </c>
      <c r="H2232">
             </c>
      <c r="I2232" t="s">
        <v>14</v>
      </c>
      <c r="J2232" t="s">
        <v>152</v>
      </c>
      <c r="K2232" t="s">
        <v>39</v>
      </c>
      <c r="L2232" t="s">
        <v>20</v>
      </c>
      <c r="M2232" t="s">
        <v>4700</v>
      </c>
      <c r="N2232" t="s">
        <v>14</v>
      </c>
    </row>
    <row r="2233" x14ac:dyDescent="0.25">
      <c r="A2233" t="n">
        <v>25</v>
      </c>
      <c r="B2233" t="s">
        <v>14</v>
      </c>
      <c r="C2233" t="s">
        <v>51</v>
      </c>
      <c r="D2233" s="2" t="s">
        <f>=HYPERLINK("https://main.knesset.gov.il/APPS/legislation/main/bills/2202134", "הצעת חוק חובת המכרזים (תיקון - העדפה מתקנת לנכי צה""ל), התשפ""ג-2023")</f>
        <v>4719</v>
      </c>
      <c r="E2233" t="s">
        <v>4719</v>
      </c>
      <c r="F2233" t="s">
        <v>4720</v>
      </c>
      <c r="G2233" t="s">
        <v>14</v>
      </c>
      <c r="H2233">
             </c>
      <c r="I2233" t="s">
        <v>14</v>
      </c>
      <c r="J2233" t="s">
        <v>193</v>
      </c>
      <c r="K2233" t="s">
        <v>14</v>
      </c>
      <c r="L2233" t="s">
        <v>20</v>
      </c>
      <c r="M2233" t="s">
        <v>4700</v>
      </c>
      <c r="N2233" t="s">
        <v>14</v>
      </c>
    </row>
    <row r="2234" x14ac:dyDescent="0.25">
      <c r="A2234" t="n">
        <v>25</v>
      </c>
      <c r="B2234" t="s">
        <v>14</v>
      </c>
      <c r="C2234" t="s">
        <v>51</v>
      </c>
      <c r="D2234" s="2" t="s">
        <f>=HYPERLINK("https://main.knesset.gov.il/APPS/legislation/main/bills/2200526", "הצעת חוק החלת תקצוב מגדרי על תקציבים ציבוריים בישראל, התשפ""ג-2023")</f>
        <v>4721</v>
      </c>
      <c r="E2234" t="s">
        <v>4721</v>
      </c>
      <c r="F2234" t="s">
        <v>4722</v>
      </c>
      <c r="G2234" t="s">
        <v>14</v>
      </c>
      <c r="H2234">
             </c>
      <c r="I2234" t="s">
        <v>14</v>
      </c>
      <c r="J2234" t="s">
        <v>193</v>
      </c>
      <c r="K2234" t="s">
        <v>14</v>
      </c>
      <c r="L2234" t="s">
        <v>20</v>
      </c>
      <c r="M2234" t="s">
        <v>4700</v>
      </c>
      <c r="N2234" t="s">
        <v>14</v>
      </c>
    </row>
    <row r="2235" x14ac:dyDescent="0.25">
      <c r="A2235" t="n">
        <v>25</v>
      </c>
      <c r="B2235" t="s">
        <v>14</v>
      </c>
      <c r="C2235" t="s">
        <v>51</v>
      </c>
      <c r="D2235" s="2" t="s">
        <f>=HYPERLINK("https://main.knesset.gov.il/APPS/legislation/main/bills/2198745", "הצעת חוק מרשם האוכלוסין (תיקון - שינוי שם משפחה של קורבנות עבירת רצח שבוצעה על ידי בני משפחתם), התשפ""ג-2023")</f>
        <v>4723</v>
      </c>
      <c r="E2235" t="s">
        <v>4723</v>
      </c>
      <c r="F2235" t="s">
        <v>4724</v>
      </c>
      <c r="G2235" t="s">
        <v>14</v>
      </c>
      <c r="H2235">
             </c>
      <c r="I2235" t="s">
        <v>14</v>
      </c>
      <c r="J2235" t="s">
        <v>193</v>
      </c>
      <c r="K2235" t="s">
        <v>14</v>
      </c>
      <c r="L2235" t="s">
        <v>20</v>
      </c>
      <c r="M2235" t="s">
        <v>4700</v>
      </c>
      <c r="N2235" t="s">
        <v>14</v>
      </c>
    </row>
    <row r="2236" x14ac:dyDescent="0.25">
      <c r="A2236" t="n">
        <v>25</v>
      </c>
      <c r="B2236" t="s">
        <v>14</v>
      </c>
      <c r="C2236" t="s">
        <v>51</v>
      </c>
      <c r="D2236" s="2" t="s">
        <f>=HYPERLINK("https://main.knesset.gov.il/APPS/legislation/main/bills/2197756", "הצעת חוק שימוש בזרע של נפטר לשם הולדה, התשפ""ג-2022 ")</f>
        <v>4725</v>
      </c>
      <c r="E2236" t="s">
        <v>4725</v>
      </c>
      <c r="F2236" t="s">
        <v>4726</v>
      </c>
      <c r="G2236" t="s">
        <v>14</v>
      </c>
      <c r="H2236">
             </c>
      <c r="I2236" t="s">
        <v>14</v>
      </c>
      <c r="J2236" t="s">
        <v>152</v>
      </c>
      <c r="K2236" t="s">
        <v>42</v>
      </c>
      <c r="L2236" t="s">
        <v>20</v>
      </c>
      <c r="M2236" t="s">
        <v>4700</v>
      </c>
      <c r="N2236" t="s">
        <v>14</v>
      </c>
    </row>
    <row r="2237" x14ac:dyDescent="0.25">
      <c r="A2237" t="n">
        <v>25</v>
      </c>
      <c r="B2237" t="s">
        <v>14</v>
      </c>
      <c r="C2237" t="s">
        <v>51</v>
      </c>
      <c r="D2237" s="2" t="s">
        <f>=HYPERLINK("https://main.knesset.gov.il/APPS/legislation/main/bills/2196906", "הצעת חוק החלת תקצוב מגדרי על תקציבים ציבוריים בישראל, התשפ""ג-2022")</f>
        <v>4727</v>
      </c>
      <c r="E2237" t="s">
        <v>4727</v>
      </c>
      <c r="F2237" t="s">
        <v>4728</v>
      </c>
      <c r="G2237" t="s">
        <v>14</v>
      </c>
      <c r="H2237">
             </c>
      <c r="I2237" t="s">
        <v>14</v>
      </c>
      <c r="J2237" t="s">
        <v>193</v>
      </c>
      <c r="K2237" t="s">
        <v>14</v>
      </c>
      <c r="L2237" t="s">
        <v>20</v>
      </c>
      <c r="M2237" t="s">
        <v>4700</v>
      </c>
      <c r="N2237" t="s">
        <v>14</v>
      </c>
    </row>
    <row r="2238" x14ac:dyDescent="0.25">
      <c r="A2238" t="n">
        <v>25</v>
      </c>
      <c r="B2238" t="s">
        <v>14</v>
      </c>
      <c r="C2238" t="s">
        <v>51</v>
      </c>
      <c r="D2238" s="2" t="s">
        <f>=HYPERLINK("https://main.knesset.gov.il/APPS/legislation/main/bills/2211694", "הצעת חוק ההתגוננות האזרחית (תיקון - פיקוח על מקלטים משותפים), התשפ""ד-2024")</f>
        <v>4729</v>
      </c>
      <c r="E2238" t="s">
        <v>4729</v>
      </c>
      <c r="F2238" t="s">
        <v>4730</v>
      </c>
      <c r="G2238" t="s">
        <v>14</v>
      </c>
      <c r="H2238">
             </c>
      <c r="I2238" t="s">
        <v>14</v>
      </c>
      <c r="J2238" t="s">
        <v>152</v>
      </c>
      <c r="K2238" t="s">
        <v>30</v>
      </c>
      <c r="L2238" t="s">
        <v>20</v>
      </c>
      <c r="M2238" t="s">
        <v>4731</v>
      </c>
      <c r="N2238" t="s">
        <v>14</v>
      </c>
    </row>
    <row r="2239" x14ac:dyDescent="0.25">
      <c r="A2239" t="n">
        <v>25</v>
      </c>
      <c r="B2239" t="s">
        <v>14</v>
      </c>
      <c r="C2239" t="s">
        <v>15</v>
      </c>
      <c r="D2239" s="2" t="s">
        <f>=HYPERLINK("https://main.knesset.gov.il/APPS/legislation/main/bills/2224855", "חוק מרשם האוכלוסין (תיקון מס' 22), התשפ""ה-2025")</f>
        <v>4732</v>
      </c>
      <c r="E2239" t="s">
        <v>4732</v>
      </c>
      <c r="F2239" t="s">
        <v>14</v>
      </c>
      <c r="G2239" t="s">
        <v>4733</v>
      </c>
      <c r="H2239" t="n">
        <v>3345</v>
      </c>
      <c r="I2239" t="s">
        <v>14</v>
      </c>
      <c r="J2239" t="s">
        <v>18</v>
      </c>
      <c r="K2239" t="s">
        <v>30</v>
      </c>
      <c r="L2239" t="s">
        <v>20</v>
      </c>
      <c r="M2239" t="s">
        <v>4731</v>
      </c>
      <c r="N2239" t="s">
        <v>4734</v>
      </c>
    </row>
    <row r="2240" x14ac:dyDescent="0.25">
      <c r="A2240" t="n">
        <v>25</v>
      </c>
      <c r="B2240" t="s">
        <v>14</v>
      </c>
      <c r="C2240" t="s">
        <v>15</v>
      </c>
      <c r="D2240" s="2" t="s">
        <f>=HYPERLINK("https://main.knesset.gov.il/APPS/legislation/main/bills/2224368", "חוק שחרור על־תנאי ממאסר (תיקון מס' 17 – הוראת שעה) (תיקון מס' 4), התשפ""ה-2025 ")</f>
        <v>4735</v>
      </c>
      <c r="E2240" t="s">
        <v>4735</v>
      </c>
      <c r="F2240" t="s">
        <v>14</v>
      </c>
      <c r="G2240" t="s">
        <v>4736</v>
      </c>
      <c r="H2240" t="n">
        <v>3344</v>
      </c>
      <c r="I2240" t="s">
        <v>14</v>
      </c>
      <c r="J2240" t="s">
        <v>18</v>
      </c>
      <c r="K2240" t="s">
        <v>19</v>
      </c>
      <c r="L2240" t="s">
        <v>20</v>
      </c>
      <c r="M2240" t="s">
        <v>4737</v>
      </c>
      <c r="N2240" t="s">
        <v>4738</v>
      </c>
    </row>
    <row r="2241" x14ac:dyDescent="0.25">
      <c r="A2241" t="n">
        <v>25</v>
      </c>
      <c r="B2241" t="s">
        <v>14</v>
      </c>
      <c r="C2241" t="s">
        <v>51</v>
      </c>
      <c r="D2241" s="2" t="s">
        <f>=HYPERLINK("https://main.knesset.gov.il/APPS/legislation/main/bills/2222702", "הצעת חוק רישוי שירותים ומקצועות בענף הרכב (תיקון - קידום תחרות בשוק שירותי הרכב), התשפ""ה-2025")</f>
        <v>4739</v>
      </c>
      <c r="E2241" t="s">
        <v>4739</v>
      </c>
      <c r="F2241" t="s">
        <v>4740</v>
      </c>
      <c r="G2241" t="s">
        <v>14</v>
      </c>
      <c r="H2241">
             </c>
      <c r="I2241" t="s">
        <v>14</v>
      </c>
      <c r="J2241" t="s">
        <v>242</v>
      </c>
      <c r="K2241" t="s">
        <v>14</v>
      </c>
      <c r="L2241" t="s">
        <v>20</v>
      </c>
      <c r="M2241" t="s">
        <v>4737</v>
      </c>
      <c r="N2241" t="s">
        <v>14</v>
      </c>
    </row>
    <row r="2242" x14ac:dyDescent="0.25">
      <c r="A2242" t="n">
        <v>25</v>
      </c>
      <c r="B2242" t="s">
        <v>14</v>
      </c>
      <c r="C2242" t="s">
        <v>51</v>
      </c>
      <c r="D2242" s="2" t="s">
        <f>=HYPERLINK("https://main.knesset.gov.il/APPS/legislation/main/bills/2226288", "הצעת חוק חסינות חברי הכנסת, זכויותיהם וחובותיהם (תיקון - חובת גילוי של מסחר בניירות ערך לחבר בוועדת הכספים או הכלכלה של הכנסת), התשפ""ה-2025")</f>
        <v>4741</v>
      </c>
      <c r="E2242" t="s">
        <v>4741</v>
      </c>
      <c r="F2242" t="s">
        <v>4742</v>
      </c>
      <c r="G2242" t="s">
        <v>14</v>
      </c>
      <c r="H2242">
             </c>
      <c r="I2242" t="s">
        <v>14</v>
      </c>
      <c r="J2242" t="s">
        <v>242</v>
      </c>
      <c r="K2242" t="s">
        <v>14</v>
      </c>
      <c r="L2242" t="s">
        <v>20</v>
      </c>
      <c r="M2242" t="s">
        <v>4737</v>
      </c>
      <c r="N2242" t="s">
        <v>14</v>
      </c>
    </row>
    <row r="2243" x14ac:dyDescent="0.25">
      <c r="A2243" t="n">
        <v>25</v>
      </c>
      <c r="B2243" t="s">
        <v>14</v>
      </c>
      <c r="C2243" t="s">
        <v>51</v>
      </c>
      <c r="D2243" s="2" t="s">
        <f>=HYPERLINK("https://main.knesset.gov.il/APPS/legislation/main/bills/2225286", "הצעת חוק למניעת הסתננות (עבירות ושיפוט) (תיקון - מניעת שחרור בעירבון כספי), התשפ""ה-2025")</f>
        <v>4658</v>
      </c>
      <c r="E2243" t="s">
        <v>4658</v>
      </c>
      <c r="F2243" t="s">
        <v>4743</v>
      </c>
      <c r="G2243" t="s">
        <v>14</v>
      </c>
      <c r="H2243">
             </c>
      <c r="I2243" t="s">
        <v>14</v>
      </c>
      <c r="J2243" t="s">
        <v>242</v>
      </c>
      <c r="K2243" t="s">
        <v>14</v>
      </c>
      <c r="L2243" t="s">
        <v>20</v>
      </c>
      <c r="M2243" t="s">
        <v>4737</v>
      </c>
      <c r="N2243" t="s">
        <v>14</v>
      </c>
    </row>
    <row r="2244" x14ac:dyDescent="0.25">
      <c r="A2244" t="n">
        <v>25</v>
      </c>
      <c r="B2244" t="s">
        <v>14</v>
      </c>
      <c r="C2244" t="s">
        <v>51</v>
      </c>
      <c r="D2244" s="2" t="s">
        <f>=HYPERLINK("https://main.knesset.gov.il/APPS/legislation/main/bills/2225767", "הצעת חוק למניעת אלימות במשפחה (תיקון - מתן צו הגנה בהליך פלילי), התשפ""ה-2025")</f>
        <v>4744</v>
      </c>
      <c r="E2244" t="s">
        <v>4744</v>
      </c>
      <c r="F2244" t="s">
        <v>4745</v>
      </c>
      <c r="G2244" t="s">
        <v>14</v>
      </c>
      <c r="H2244">
             </c>
      <c r="I2244" t="s">
        <v>14</v>
      </c>
      <c r="J2244" t="s">
        <v>242</v>
      </c>
      <c r="K2244" t="s">
        <v>14</v>
      </c>
      <c r="L2244" t="s">
        <v>20</v>
      </c>
      <c r="M2244" t="s">
        <v>4737</v>
      </c>
      <c r="N2244" t="s">
        <v>14</v>
      </c>
    </row>
    <row r="2245" x14ac:dyDescent="0.25">
      <c r="A2245" t="n">
        <v>25</v>
      </c>
      <c r="B2245" t="s">
        <v>14</v>
      </c>
      <c r="C2245" t="s">
        <v>51</v>
      </c>
      <c r="D2245" s="2" t="s">
        <f>=HYPERLINK("https://main.knesset.gov.il/APPS/legislation/main/bills/2224175", "הצעת חוק סיירות ביטחון ברשויות המקומיות (הוראת שעה), התשפ""ה-2025")</f>
        <v>4746</v>
      </c>
      <c r="E2245" t="s">
        <v>4746</v>
      </c>
      <c r="F2245" t="s">
        <v>4747</v>
      </c>
      <c r="G2245" t="s">
        <v>14</v>
      </c>
      <c r="H2245">
             </c>
      <c r="I2245" t="s">
        <v>14</v>
      </c>
      <c r="J2245" t="s">
        <v>242</v>
      </c>
      <c r="K2245" t="s">
        <v>14</v>
      </c>
      <c r="L2245" t="s">
        <v>20</v>
      </c>
      <c r="M2245" t="s">
        <v>4737</v>
      </c>
      <c r="N2245" t="s">
        <v>14</v>
      </c>
    </row>
    <row r="2246" x14ac:dyDescent="0.25">
      <c r="A2246" t="n">
        <v>25</v>
      </c>
      <c r="B2246" t="s">
        <v>14</v>
      </c>
      <c r="C2246" t="s">
        <v>51</v>
      </c>
      <c r="D2246" s="2" t="s">
        <f>=HYPERLINK("https://main.knesset.gov.il/APPS/legislation/main/bills/2225560", "הצעת חוק הגנת השכר (תיקון - תלוש שכר אחיד בשירות המדינה), התשפ""ה-2025")</f>
        <v>4498</v>
      </c>
      <c r="E2246" t="s">
        <v>4498</v>
      </c>
      <c r="F2246" t="s">
        <v>4748</v>
      </c>
      <c r="G2246" t="s">
        <v>14</v>
      </c>
      <c r="H2246">
             </c>
      <c r="I2246" t="s">
        <v>14</v>
      </c>
      <c r="J2246" t="s">
        <v>242</v>
      </c>
      <c r="K2246" t="s">
        <v>14</v>
      </c>
      <c r="L2246" t="s">
        <v>20</v>
      </c>
      <c r="M2246" t="s">
        <v>4737</v>
      </c>
      <c r="N2246" t="s">
        <v>14</v>
      </c>
    </row>
    <row r="2247" x14ac:dyDescent="0.25">
      <c r="A2247" t="n">
        <v>25</v>
      </c>
      <c r="B2247" t="s">
        <v>14</v>
      </c>
      <c r="C2247" t="s">
        <v>51</v>
      </c>
      <c r="D2247" s="2" t="s">
        <f>=HYPERLINK("https://main.knesset.gov.il/APPS/legislation/main/bills/2226209", "הצעת חוק חינוך ממלכתי (תיקון - חינוך ממלכתי חרדי), התשפ""ה-2025")</f>
        <v>4749</v>
      </c>
      <c r="E2247" t="s">
        <v>4749</v>
      </c>
      <c r="F2247" t="s">
        <v>4750</v>
      </c>
      <c r="G2247" t="s">
        <v>14</v>
      </c>
      <c r="H2247">
             </c>
      <c r="I2247" t="s">
        <v>14</v>
      </c>
      <c r="J2247" t="s">
        <v>242</v>
      </c>
      <c r="K2247" t="s">
        <v>14</v>
      </c>
      <c r="L2247" t="s">
        <v>20</v>
      </c>
      <c r="M2247" t="s">
        <v>4737</v>
      </c>
      <c r="N2247" t="s">
        <v>14</v>
      </c>
    </row>
    <row r="2248" x14ac:dyDescent="0.25">
      <c r="A2248" t="n">
        <v>25</v>
      </c>
      <c r="B2248" t="s">
        <v>14</v>
      </c>
      <c r="C2248" t="s">
        <v>51</v>
      </c>
      <c r="D2248" s="2" t="s">
        <f>=HYPERLINK("https://main.knesset.gov.il/APPS/legislation/main/bills/2198587", "הצעת חוק העונשין (תיקון - עונש מינימום על החזקת נשק בלתי חוקי), התשפ''ה-2025")</f>
        <v>4751</v>
      </c>
      <c r="E2248" t="s">
        <v>4751</v>
      </c>
      <c r="F2248" t="s">
        <v>4752</v>
      </c>
      <c r="G2248" t="s">
        <v>14</v>
      </c>
      <c r="H2248">
             </c>
      <c r="I2248" t="s">
        <v>14</v>
      </c>
      <c r="J2248" t="s">
        <v>242</v>
      </c>
      <c r="K2248" t="s">
        <v>14</v>
      </c>
      <c r="L2248" t="s">
        <v>20</v>
      </c>
      <c r="M2248" t="s">
        <v>4737</v>
      </c>
      <c r="N2248" t="s">
        <v>14</v>
      </c>
    </row>
    <row r="2249" x14ac:dyDescent="0.25">
      <c r="A2249" t="n">
        <v>25</v>
      </c>
      <c r="B2249" t="s">
        <v>14</v>
      </c>
      <c r="C2249" t="s">
        <v>51</v>
      </c>
      <c r="D2249" s="2" t="s">
        <f>=HYPERLINK("https://main.knesset.gov.il/APPS/legislation/main/bills/2226264", "הצעת חוק הגנת הצרכן (תיקון - משלוח חשבונית ושובר זיכוי לצרכן בדרך מקוונת), התשפ""ה-2025")</f>
        <v>4753</v>
      </c>
      <c r="E2249" t="s">
        <v>4753</v>
      </c>
      <c r="F2249" t="s">
        <v>4754</v>
      </c>
      <c r="G2249" t="s">
        <v>14</v>
      </c>
      <c r="H2249">
             </c>
      <c r="I2249" t="s">
        <v>14</v>
      </c>
      <c r="J2249" t="s">
        <v>242</v>
      </c>
      <c r="K2249" t="s">
        <v>14</v>
      </c>
      <c r="L2249" t="s">
        <v>20</v>
      </c>
      <c r="M2249" t="s">
        <v>4737</v>
      </c>
      <c r="N2249" t="s">
        <v>14</v>
      </c>
    </row>
    <row r="2250" x14ac:dyDescent="0.25">
      <c r="A2250" t="n">
        <v>25</v>
      </c>
      <c r="B2250" t="s">
        <v>14</v>
      </c>
      <c r="C2250" t="s">
        <v>51</v>
      </c>
      <c r="D2250" s="2" t="s">
        <f>=HYPERLINK("https://main.knesset.gov.il/APPS/legislation/main/bills/2211244", "הצעת חוק-יסוד: ישראל - מדינת הלאום של העם היהודי (תיקון - עיגון מעמדה של העדה הדרוזית)")</f>
        <v>4755</v>
      </c>
      <c r="E2250" t="s">
        <v>4755</v>
      </c>
      <c r="F2250" t="s">
        <v>4756</v>
      </c>
      <c r="G2250" t="s">
        <v>14</v>
      </c>
      <c r="H2250">
             </c>
      <c r="I2250" t="s">
        <v>14</v>
      </c>
      <c r="J2250" t="s">
        <v>242</v>
      </c>
      <c r="K2250" t="s">
        <v>14</v>
      </c>
      <c r="L2250" t="s">
        <v>20</v>
      </c>
      <c r="M2250" t="s">
        <v>4737</v>
      </c>
      <c r="N2250" t="s">
        <v>14</v>
      </c>
    </row>
    <row r="2251" x14ac:dyDescent="0.25">
      <c r="A2251" t="n">
        <v>25</v>
      </c>
      <c r="B2251" t="s">
        <v>14</v>
      </c>
      <c r="C2251" t="s">
        <v>51</v>
      </c>
      <c r="D2251" s="2" t="s">
        <f>=HYPERLINK("https://main.knesset.gov.il/APPS/legislation/main/bills/2224654", "הצעת חוק חובת פרסום הודעות באינטרנט, התשפ""ה-2025 ")</f>
        <v>4757</v>
      </c>
      <c r="E2251" t="s">
        <v>4757</v>
      </c>
      <c r="F2251" t="s">
        <v>4758</v>
      </c>
      <c r="G2251" t="s">
        <v>14</v>
      </c>
      <c r="H2251">
             </c>
      <c r="I2251" t="s">
        <v>14</v>
      </c>
      <c r="J2251" t="s">
        <v>242</v>
      </c>
      <c r="K2251" t="s">
        <v>14</v>
      </c>
      <c r="L2251" t="s">
        <v>20</v>
      </c>
      <c r="M2251" t="s">
        <v>4737</v>
      </c>
      <c r="N2251" t="s">
        <v>14</v>
      </c>
    </row>
    <row r="2252" x14ac:dyDescent="0.25">
      <c r="A2252" t="n">
        <v>25</v>
      </c>
      <c r="B2252" t="s">
        <v>14</v>
      </c>
      <c r="C2252" t="s">
        <v>51</v>
      </c>
      <c r="D2252" s="2" t="s">
        <f>=HYPERLINK("https://main.knesset.gov.il/APPS/legislation/main/bills/2226205", "הצעת חוק הגנת הפרטיות (תיקון - איסור פרסום שמו של נפגע), התשפ""ה-2025")</f>
        <v>4759</v>
      </c>
      <c r="E2252" t="s">
        <v>4759</v>
      </c>
      <c r="F2252" t="s">
        <v>4760</v>
      </c>
      <c r="G2252" t="s">
        <v>14</v>
      </c>
      <c r="H2252">
             </c>
      <c r="I2252" t="s">
        <v>14</v>
      </c>
      <c r="J2252" t="s">
        <v>242</v>
      </c>
      <c r="K2252" t="s">
        <v>14</v>
      </c>
      <c r="L2252" t="s">
        <v>20</v>
      </c>
      <c r="M2252" t="s">
        <v>4737</v>
      </c>
      <c r="N2252" t="s">
        <v>14</v>
      </c>
    </row>
    <row r="2253" x14ac:dyDescent="0.25">
      <c r="A2253" t="n">
        <v>25</v>
      </c>
      <c r="B2253" t="s">
        <v>14</v>
      </c>
      <c r="C2253" t="s">
        <v>51</v>
      </c>
      <c r="D2253" s="2" t="s">
        <f>=HYPERLINK("https://main.knesset.gov.il/APPS/legislation/main/bills/2226203", "הצעת חוק הממשלה (תיקון - דיווח שר בדבר אי-התקנת תקנות במועד), התשפ""ה-2025")</f>
        <v>2795</v>
      </c>
      <c r="E2253" t="s">
        <v>2795</v>
      </c>
      <c r="F2253" t="s">
        <v>4761</v>
      </c>
      <c r="G2253" t="s">
        <v>14</v>
      </c>
      <c r="H2253">
             </c>
      <c r="I2253" t="s">
        <v>14</v>
      </c>
      <c r="J2253" t="s">
        <v>242</v>
      </c>
      <c r="K2253" t="s">
        <v>14</v>
      </c>
      <c r="L2253" t="s">
        <v>20</v>
      </c>
      <c r="M2253" t="s">
        <v>4737</v>
      </c>
      <c r="N2253" t="s">
        <v>14</v>
      </c>
    </row>
    <row r="2254" x14ac:dyDescent="0.25">
      <c r="A2254" t="n">
        <v>25</v>
      </c>
      <c r="B2254" t="s">
        <v>14</v>
      </c>
      <c r="C2254" t="s">
        <v>51</v>
      </c>
      <c r="D2254" s="2" t="s">
        <f>=HYPERLINK("https://main.knesset.gov.il/APPS/legislation/main/bills/2225840", "הצעת חוק מימון מפלגות (תיקון - ייצוג לנשים ברשימת המועמדים), התשפ""ה-2025")</f>
        <v>2785</v>
      </c>
      <c r="E2254" t="s">
        <v>2785</v>
      </c>
      <c r="F2254" t="s">
        <v>4762</v>
      </c>
      <c r="G2254" t="s">
        <v>14</v>
      </c>
      <c r="H2254">
             </c>
      <c r="I2254" t="s">
        <v>14</v>
      </c>
      <c r="J2254" t="s">
        <v>242</v>
      </c>
      <c r="K2254" t="s">
        <v>14</v>
      </c>
      <c r="L2254" t="s">
        <v>20</v>
      </c>
      <c r="M2254" t="s">
        <v>4737</v>
      </c>
      <c r="N2254" t="s">
        <v>14</v>
      </c>
    </row>
    <row r="2255" x14ac:dyDescent="0.25">
      <c r="A2255" t="n">
        <v>25</v>
      </c>
      <c r="B2255" t="s">
        <v>14</v>
      </c>
      <c r="C2255" t="s">
        <v>51</v>
      </c>
      <c r="D2255" s="2" t="s">
        <f>=HYPERLINK("https://main.knesset.gov.il/APPS/legislation/main/bills/2225558", "הצעת חוק בנק ישראל (תיקון - הרחבת שיקול הדעת של הוועדה המוניטרית), התשפ""ה-2025")</f>
        <v>4589</v>
      </c>
      <c r="E2255" t="s">
        <v>4589</v>
      </c>
      <c r="F2255" t="s">
        <v>4763</v>
      </c>
      <c r="G2255" t="s">
        <v>14</v>
      </c>
      <c r="H2255">
             </c>
      <c r="I2255" t="s">
        <v>14</v>
      </c>
      <c r="J2255" t="s">
        <v>242</v>
      </c>
      <c r="K2255" t="s">
        <v>14</v>
      </c>
      <c r="L2255" t="s">
        <v>20</v>
      </c>
      <c r="M2255" t="s">
        <v>4737</v>
      </c>
      <c r="N2255" t="s">
        <v>14</v>
      </c>
    </row>
    <row r="2256" x14ac:dyDescent="0.25">
      <c r="A2256" t="n">
        <v>25</v>
      </c>
      <c r="B2256" t="s">
        <v>14</v>
      </c>
      <c r="C2256" t="s">
        <v>51</v>
      </c>
      <c r="D2256" s="2" t="s">
        <f>=HYPERLINK("https://main.knesset.gov.il/APPS/legislation/main/bills/2221836", "הצעת חוק סדר הדין הפלילי (סמכויות אכיפה - מעצרים) (תיקון - מעצר עד תום ההליכים בגין עבירה של סחיטה באיומים), התשפ""ה-2025")</f>
        <v>4764</v>
      </c>
      <c r="E2256" t="s">
        <v>4764</v>
      </c>
      <c r="F2256" t="s">
        <v>4765</v>
      </c>
      <c r="G2256" t="s">
        <v>14</v>
      </c>
      <c r="H2256">
             </c>
      <c r="I2256" t="s">
        <v>14</v>
      </c>
      <c r="J2256" t="s">
        <v>242</v>
      </c>
      <c r="K2256" t="s">
        <v>14</v>
      </c>
      <c r="L2256" t="s">
        <v>20</v>
      </c>
      <c r="M2256" t="s">
        <v>4737</v>
      </c>
      <c r="N2256" t="s">
        <v>14</v>
      </c>
    </row>
    <row r="2257" x14ac:dyDescent="0.25">
      <c r="A2257" t="n">
        <v>25</v>
      </c>
      <c r="B2257" t="s">
        <v>14</v>
      </c>
      <c r="C2257" t="s">
        <v>51</v>
      </c>
      <c r="D2257" s="2" t="s">
        <f>=HYPERLINK("https://main.knesset.gov.il/APPS/legislation/main/bills/2224622", "הצעת חוק הביטוח הלאומי (תיקון - מענק חודשי לתושבי הצפון שלא פונו מבתיהם) (הוראת שעה), התשפ""ה-2025")</f>
        <v>4766</v>
      </c>
      <c r="E2257" t="s">
        <v>4766</v>
      </c>
      <c r="F2257" t="s">
        <v>4767</v>
      </c>
      <c r="G2257" t="s">
        <v>14</v>
      </c>
      <c r="H2257">
             </c>
      <c r="I2257" t="s">
        <v>14</v>
      </c>
      <c r="J2257" t="s">
        <v>242</v>
      </c>
      <c r="K2257" t="s">
        <v>14</v>
      </c>
      <c r="L2257" t="s">
        <v>20</v>
      </c>
      <c r="M2257" t="s">
        <v>4737</v>
      </c>
      <c r="N2257" t="s">
        <v>14</v>
      </c>
    </row>
    <row r="2258" x14ac:dyDescent="0.25">
      <c r="A2258" t="n">
        <v>25</v>
      </c>
      <c r="B2258" t="s">
        <v>14</v>
      </c>
      <c r="C2258" t="s">
        <v>51</v>
      </c>
      <c r="D2258" s="2" t="s">
        <f>=HYPERLINK("https://main.knesset.gov.il/APPS/legislation/main/bills/2216198", "הצעת חוק סמכויות שעת חירום (מעצרים) (תיקון - מעצרים מינהליים בגין חברות בארגון טרור), התשפ""ד-2024")</f>
        <v>4768</v>
      </c>
      <c r="E2258" t="s">
        <v>4768</v>
      </c>
      <c r="F2258" t="s">
        <v>4769</v>
      </c>
      <c r="G2258" t="s">
        <v>14</v>
      </c>
      <c r="H2258">
             </c>
      <c r="I2258" t="s">
        <v>14</v>
      </c>
      <c r="J2258" t="s">
        <v>152</v>
      </c>
      <c r="K2258" t="s">
        <v>27</v>
      </c>
      <c r="L2258" t="s">
        <v>20</v>
      </c>
      <c r="M2258" t="s">
        <v>4770</v>
      </c>
      <c r="N2258" t="s">
        <v>14</v>
      </c>
    </row>
    <row r="2259" x14ac:dyDescent="0.25">
      <c r="A2259" t="n">
        <v>25</v>
      </c>
      <c r="B2259" t="s">
        <v>14</v>
      </c>
      <c r="C2259" t="s">
        <v>51</v>
      </c>
      <c r="D2259" s="2" t="s">
        <f>=HYPERLINK("https://main.knesset.gov.il/APPS/legislation/main/bills/2222509", "הצעת חוק מעמד המשרת בשירות צבאי או לאומי, התשפ""ה-2024")</f>
        <v>4771</v>
      </c>
      <c r="E2259" t="s">
        <v>4771</v>
      </c>
      <c r="F2259" t="s">
        <v>4772</v>
      </c>
      <c r="G2259" t="s">
        <v>14</v>
      </c>
      <c r="H2259">
             </c>
      <c r="I2259" t="s">
        <v>14</v>
      </c>
      <c r="J2259" t="s">
        <v>193</v>
      </c>
      <c r="K2259" t="s">
        <v>14</v>
      </c>
      <c r="L2259" t="s">
        <v>20</v>
      </c>
      <c r="M2259" t="s">
        <v>4770</v>
      </c>
      <c r="N2259" t="s">
        <v>14</v>
      </c>
    </row>
    <row r="2260" x14ac:dyDescent="0.25">
      <c r="A2260" t="n">
        <v>25</v>
      </c>
      <c r="B2260" t="s">
        <v>14</v>
      </c>
      <c r="C2260" t="s">
        <v>51</v>
      </c>
      <c r="D2260" s="2" t="s">
        <f>=HYPERLINK("https://main.knesset.gov.il/APPS/legislation/main/bills/2222918", "הצעת חוק-יסוד: ישראל - מדינת הלאום של העם היהודי (תיקון - הוספת מחויבות לשוויון זכויות)")</f>
        <v>4694</v>
      </c>
      <c r="E2260" t="s">
        <v>4694</v>
      </c>
      <c r="F2260" t="s">
        <v>4773</v>
      </c>
      <c r="G2260" t="s">
        <v>14</v>
      </c>
      <c r="H2260">
             </c>
      <c r="I2260" t="s">
        <v>14</v>
      </c>
      <c r="J2260" t="s">
        <v>193</v>
      </c>
      <c r="K2260" t="s">
        <v>14</v>
      </c>
      <c r="L2260" t="s">
        <v>20</v>
      </c>
      <c r="M2260" t="s">
        <v>4770</v>
      </c>
      <c r="N2260" t="s">
        <v>14</v>
      </c>
    </row>
    <row r="2261" x14ac:dyDescent="0.25">
      <c r="A2261" t="n">
        <v>25</v>
      </c>
      <c r="B2261" t="s">
        <v>14</v>
      </c>
      <c r="C2261" t="s">
        <v>51</v>
      </c>
      <c r="D2261" s="2" t="s">
        <f>=HYPERLINK("https://main.knesset.gov.il/APPS/legislation/main/bills/2218701", "הצעת חוק רשות מקרקעי ישראל (תיקון - העדפת רכישת קרקע בפריפריה לחיילי מילואים), התשפ""ד-2024")</f>
        <v>1076</v>
      </c>
      <c r="E2261" t="s">
        <v>1076</v>
      </c>
      <c r="F2261" t="s">
        <v>4774</v>
      </c>
      <c r="G2261" t="s">
        <v>14</v>
      </c>
      <c r="H2261">
             </c>
      <c r="I2261" t="s">
        <v>14</v>
      </c>
      <c r="J2261" t="s">
        <v>193</v>
      </c>
      <c r="K2261" t="s">
        <v>14</v>
      </c>
      <c r="L2261" t="s">
        <v>20</v>
      </c>
      <c r="M2261" t="s">
        <v>4770</v>
      </c>
      <c r="N2261" t="s">
        <v>14</v>
      </c>
    </row>
    <row r="2262" x14ac:dyDescent="0.25">
      <c r="A2262" t="n">
        <v>25</v>
      </c>
      <c r="B2262" t="s">
        <v>14</v>
      </c>
      <c r="C2262" t="s">
        <v>51</v>
      </c>
      <c r="D2262" s="2" t="s">
        <f>=HYPERLINK("https://main.knesset.gov.il/APPS/legislation/main/bills/2213808", "הצעת חוק החיילים המשוחררים (החזרה לעבודה) (תיקון - הרחבת ההגנה מפני פיטורין), התשפ""ד-2024")</f>
        <v>4775</v>
      </c>
      <c r="E2262" t="s">
        <v>4775</v>
      </c>
      <c r="F2262" t="s">
        <v>4776</v>
      </c>
      <c r="G2262" t="s">
        <v>14</v>
      </c>
      <c r="H2262">
             </c>
      <c r="I2262" t="s">
        <v>14</v>
      </c>
      <c r="J2262" t="s">
        <v>202</v>
      </c>
      <c r="K2262" t="s">
        <v>14</v>
      </c>
      <c r="L2262" t="s">
        <v>20</v>
      </c>
      <c r="M2262" t="s">
        <v>4770</v>
      </c>
      <c r="N2262" t="s">
        <v>14</v>
      </c>
    </row>
    <row r="2263" x14ac:dyDescent="0.25">
      <c r="A2263" t="n">
        <v>25</v>
      </c>
      <c r="B2263" t="s">
        <v>14</v>
      </c>
      <c r="C2263" t="s">
        <v>51</v>
      </c>
      <c r="D2263" s="2" t="s">
        <f>=HYPERLINK("https://main.knesset.gov.il/APPS/legislation/main/bills/2208972", "הצעת חוק-יסוד: מניעת חקיקה למטרות יחיד או קבוצות קטנות")</f>
        <v>4777</v>
      </c>
      <c r="E2263" t="s">
        <v>4777</v>
      </c>
      <c r="F2263" t="s">
        <v>4778</v>
      </c>
      <c r="G2263" t="s">
        <v>14</v>
      </c>
      <c r="H2263">
             </c>
      <c r="I2263" t="s">
        <v>14</v>
      </c>
      <c r="J2263" t="s">
        <v>193</v>
      </c>
      <c r="K2263" t="s">
        <v>14</v>
      </c>
      <c r="L2263" t="s">
        <v>20</v>
      </c>
      <c r="M2263" t="s">
        <v>4770</v>
      </c>
      <c r="N2263" t="s">
        <v>14</v>
      </c>
    </row>
    <row r="2264" x14ac:dyDescent="0.25">
      <c r="A2264" t="n">
        <v>25</v>
      </c>
      <c r="B2264" t="s">
        <v>14</v>
      </c>
      <c r="C2264" t="s">
        <v>51</v>
      </c>
      <c r="D2264" s="2" t="s">
        <f>=HYPERLINK("https://main.knesset.gov.il/APPS/legislation/main/bills/2208955", "הצעת חוק חינוך ממלכתי (תיקון - חינוך פיננסי), התשפ""ג-2023")</f>
        <v>4779</v>
      </c>
      <c r="E2264" t="s">
        <v>4779</v>
      </c>
      <c r="F2264" t="s">
        <v>4780</v>
      </c>
      <c r="G2264" t="s">
        <v>14</v>
      </c>
      <c r="H2264">
             </c>
      <c r="I2264" t="s">
        <v>14</v>
      </c>
      <c r="J2264" t="s">
        <v>193</v>
      </c>
      <c r="K2264" t="s">
        <v>14</v>
      </c>
      <c r="L2264" t="s">
        <v>20</v>
      </c>
      <c r="M2264" t="s">
        <v>4770</v>
      </c>
      <c r="N2264" t="s">
        <v>14</v>
      </c>
    </row>
    <row r="2265" x14ac:dyDescent="0.25">
      <c r="A2265" t="n">
        <v>25</v>
      </c>
      <c r="B2265" t="s">
        <v>14</v>
      </c>
      <c r="C2265" t="s">
        <v>51</v>
      </c>
      <c r="D2265" s="2" t="s">
        <f>=HYPERLINK("https://main.knesset.gov.il/APPS/legislation/main/bills/2198801", "הצעת חוק הביטוח הלאומי (תיקון - השוואת קצבת אזרח ותיק וקצבת נכות לשכר מינימום), התשפ""ג-2023")</f>
        <v>4781</v>
      </c>
      <c r="E2265" t="s">
        <v>4781</v>
      </c>
      <c r="F2265" t="s">
        <v>4782</v>
      </c>
      <c r="G2265" t="s">
        <v>14</v>
      </c>
      <c r="H2265">
             </c>
      <c r="I2265" t="s">
        <v>14</v>
      </c>
      <c r="J2265" t="s">
        <v>202</v>
      </c>
      <c r="K2265" t="s">
        <v>14</v>
      </c>
      <c r="L2265" t="s">
        <v>20</v>
      </c>
      <c r="M2265" t="s">
        <v>4770</v>
      </c>
      <c r="N2265" t="s">
        <v>14</v>
      </c>
    </row>
    <row r="2266" x14ac:dyDescent="0.25">
      <c r="A2266" t="n">
        <v>25</v>
      </c>
      <c r="B2266" t="s">
        <v>14</v>
      </c>
      <c r="C2266" t="s">
        <v>15</v>
      </c>
      <c r="D2266" s="2" t="s">
        <f>=HYPERLINK("https://main.knesset.gov.il/APPS/legislation/main/bills/2223566", "חוק ההתייעלות הכלכלית (תיקוני חקיקה להשגת יעדי התקציב לשנת 2025) (מיסוי רווחים לא מחולקים), התשפ""ה-2024 ")</f>
        <v>4783</v>
      </c>
      <c r="E2266" t="s">
        <v>4783</v>
      </c>
      <c r="F2266" t="s">
        <v>14</v>
      </c>
      <c r="G2266" t="s">
        <v>4784</v>
      </c>
      <c r="H2266" t="n">
        <v>3343</v>
      </c>
      <c r="I2266" t="s">
        <v>14</v>
      </c>
      <c r="J2266" t="s">
        <v>18</v>
      </c>
      <c r="K2266" t="s">
        <v>24</v>
      </c>
      <c r="L2266" t="s">
        <v>20</v>
      </c>
      <c r="M2266" t="s">
        <v>4785</v>
      </c>
      <c r="N2266" t="s">
        <v>4786</v>
      </c>
    </row>
    <row r="2267" x14ac:dyDescent="0.25">
      <c r="A2267" t="n">
        <v>25</v>
      </c>
      <c r="B2267" t="s">
        <v>14</v>
      </c>
      <c r="C2267" t="s">
        <v>51</v>
      </c>
      <c r="D2267" s="2" t="s">
        <f>=HYPERLINK("https://main.knesset.gov.il/APPS/legislation/main/bills/2225581", "הצעת חוק העונשין (תיקון - עונש מינימום על עבירת אונס וביטול סייג הקלה מטעמים מיוחדים), התשפ""ה-2024")</f>
        <v>4787</v>
      </c>
      <c r="E2267" t="s">
        <v>4787</v>
      </c>
      <c r="F2267" t="s">
        <v>4788</v>
      </c>
      <c r="G2267" t="s">
        <v>14</v>
      </c>
      <c r="H2267">
             </c>
      <c r="I2267" t="s">
        <v>14</v>
      </c>
      <c r="J2267" t="s">
        <v>242</v>
      </c>
      <c r="K2267" t="s">
        <v>14</v>
      </c>
      <c r="L2267" t="s">
        <v>20</v>
      </c>
      <c r="M2267" t="s">
        <v>4789</v>
      </c>
      <c r="N2267" t="s">
        <v>14</v>
      </c>
    </row>
    <row r="2268" x14ac:dyDescent="0.25">
      <c r="A2268" t="n">
        <v>25</v>
      </c>
      <c r="B2268" t="s">
        <v>14</v>
      </c>
      <c r="C2268" t="s">
        <v>51</v>
      </c>
      <c r="D2268" s="2" t="s">
        <f>=HYPERLINK("https://main.knesset.gov.il/APPS/legislation/main/bills/2225586", "הצעת חוק חסינות חברי הכנסת, זכויותיהם וחובותיהם (תיקון - ביקור במוסדות ובמתקנים סגורים ותחולה באזור), התשפ""ה-2024")</f>
        <v>4790</v>
      </c>
      <c r="E2268" t="s">
        <v>4790</v>
      </c>
      <c r="F2268" t="s">
        <v>4791</v>
      </c>
      <c r="G2268" t="s">
        <v>14</v>
      </c>
      <c r="H2268">
             </c>
      <c r="I2268" t="s">
        <v>14</v>
      </c>
      <c r="J2268" t="s">
        <v>242</v>
      </c>
      <c r="K2268" t="s">
        <v>14</v>
      </c>
      <c r="L2268" t="s">
        <v>20</v>
      </c>
      <c r="M2268" t="s">
        <v>4789</v>
      </c>
      <c r="N2268" t="s">
        <v>14</v>
      </c>
    </row>
    <row r="2269" x14ac:dyDescent="0.25">
      <c r="A2269" t="n">
        <v>25</v>
      </c>
      <c r="B2269" t="s">
        <v>14</v>
      </c>
      <c r="C2269" t="s">
        <v>51</v>
      </c>
      <c r="D2269" s="2" t="s">
        <f>=HYPERLINK("https://main.knesset.gov.il/APPS/legislation/main/bills/2222216", "הצעת חוק זיהוי קורבנות אסון (זק""א), התשפ""ה-2024")</f>
        <v>4792</v>
      </c>
      <c r="E2269" t="s">
        <v>4792</v>
      </c>
      <c r="F2269" t="s">
        <v>4793</v>
      </c>
      <c r="G2269" t="s">
        <v>14</v>
      </c>
      <c r="H2269">
             </c>
      <c r="I2269" t="s">
        <v>14</v>
      </c>
      <c r="J2269" t="s">
        <v>242</v>
      </c>
      <c r="K2269" t="s">
        <v>14</v>
      </c>
      <c r="L2269" t="s">
        <v>20</v>
      </c>
      <c r="M2269" t="s">
        <v>4789</v>
      </c>
      <c r="N2269" t="s">
        <v>14</v>
      </c>
    </row>
    <row r="2270" x14ac:dyDescent="0.25">
      <c r="A2270" t="n">
        <v>25</v>
      </c>
      <c r="B2270" t="s">
        <v>14</v>
      </c>
      <c r="C2270" t="s">
        <v>51</v>
      </c>
      <c r="D2270" s="2" t="s">
        <f>=HYPERLINK("https://main.knesset.gov.il/APPS/legislation/main/bills/2223639", "הצעת חוק האזורים הימיים, התשפ""ה-2024")</f>
        <v>4794</v>
      </c>
      <c r="E2270" t="s">
        <v>4794</v>
      </c>
      <c r="F2270" t="s">
        <v>4795</v>
      </c>
      <c r="G2270" t="s">
        <v>14</v>
      </c>
      <c r="H2270">
             </c>
      <c r="I2270" t="s">
        <v>14</v>
      </c>
      <c r="J2270" t="s">
        <v>242</v>
      </c>
      <c r="K2270" t="s">
        <v>14</v>
      </c>
      <c r="L2270" t="s">
        <v>20</v>
      </c>
      <c r="M2270" t="s">
        <v>4789</v>
      </c>
      <c r="N2270" t="s">
        <v>14</v>
      </c>
    </row>
    <row r="2271" x14ac:dyDescent="0.25">
      <c r="A2271" t="n">
        <v>25</v>
      </c>
      <c r="B2271" t="s">
        <v>14</v>
      </c>
      <c r="C2271" t="s">
        <v>51</v>
      </c>
      <c r="D2271" s="2" t="s">
        <f>=HYPERLINK("https://main.knesset.gov.il/APPS/legislation/main/bills/2225465", "הצעת חוק מרכזי חירום ושליטה ביישובים סמוכי גבול, התשפ""ה-2024")</f>
        <v>4796</v>
      </c>
      <c r="E2271" t="s">
        <v>4796</v>
      </c>
      <c r="F2271" t="s">
        <v>4797</v>
      </c>
      <c r="G2271" t="s">
        <v>14</v>
      </c>
      <c r="H2271">
             </c>
      <c r="I2271" t="s">
        <v>14</v>
      </c>
      <c r="J2271" t="s">
        <v>242</v>
      </c>
      <c r="K2271" t="s">
        <v>14</v>
      </c>
      <c r="L2271" t="s">
        <v>20</v>
      </c>
      <c r="M2271" t="s">
        <v>4789</v>
      </c>
      <c r="N2271" t="s">
        <v>14</v>
      </c>
    </row>
    <row r="2272" x14ac:dyDescent="0.25">
      <c r="A2272" t="n">
        <v>25</v>
      </c>
      <c r="B2272" t="s">
        <v>14</v>
      </c>
      <c r="C2272" t="s">
        <v>51</v>
      </c>
      <c r="D2272" s="2" t="s">
        <f>=HYPERLINK("https://main.knesset.gov.il/APPS/legislation/main/bills/2224939", "הצעת חוק שירות המילואים (תיקון - חייל מילואים בודד), התשפ""ה-2024")</f>
        <v>4798</v>
      </c>
      <c r="E2272" t="s">
        <v>4798</v>
      </c>
      <c r="F2272" t="s">
        <v>4799</v>
      </c>
      <c r="G2272" t="s">
        <v>14</v>
      </c>
      <c r="H2272">
             </c>
      <c r="I2272" t="s">
        <v>14</v>
      </c>
      <c r="J2272" t="s">
        <v>242</v>
      </c>
      <c r="K2272" t="s">
        <v>14</v>
      </c>
      <c r="L2272" t="s">
        <v>20</v>
      </c>
      <c r="M2272" t="s">
        <v>4789</v>
      </c>
      <c r="N2272" t="s">
        <v>14</v>
      </c>
    </row>
    <row r="2273" x14ac:dyDescent="0.25">
      <c r="A2273" t="n">
        <v>25</v>
      </c>
      <c r="B2273" t="s">
        <v>14</v>
      </c>
      <c r="C2273" t="s">
        <v>51</v>
      </c>
      <c r="D2273" s="2" t="s">
        <f>=HYPERLINK("https://main.knesset.gov.il/APPS/legislation/main/bills/2198586", "הצעת חוק הדחת נציג ציבור התומך במאבק מזוין נגד מדינת ישראל (תיקוני חקיקה), התשפ''ה-2024 ")</f>
        <v>4800</v>
      </c>
      <c r="E2273" t="s">
        <v>4800</v>
      </c>
      <c r="F2273" t="s">
        <v>4801</v>
      </c>
      <c r="G2273" t="s">
        <v>14</v>
      </c>
      <c r="H2273">
             </c>
      <c r="I2273" t="s">
        <v>14</v>
      </c>
      <c r="J2273" t="s">
        <v>242</v>
      </c>
      <c r="K2273" t="s">
        <v>14</v>
      </c>
      <c r="L2273" t="s">
        <v>20</v>
      </c>
      <c r="M2273" t="s">
        <v>4789</v>
      </c>
      <c r="N2273" t="s">
        <v>14</v>
      </c>
    </row>
    <row r="2274" x14ac:dyDescent="0.25">
      <c r="A2274" t="n">
        <v>25</v>
      </c>
      <c r="B2274" t="s">
        <v>14</v>
      </c>
      <c r="C2274" t="s">
        <v>51</v>
      </c>
      <c r="D2274" s="2" t="s">
        <f>=HYPERLINK("https://main.knesset.gov.il/APPS/legislation/main/bills/2224779", "הצעת חוק שלילת הטבות מבכירים במערכת הביטחון, התשפ""ה-2024 ")</f>
        <v>4802</v>
      </c>
      <c r="E2274" t="s">
        <v>4802</v>
      </c>
      <c r="F2274" t="s">
        <v>4803</v>
      </c>
      <c r="G2274" t="s">
        <v>14</v>
      </c>
      <c r="H2274">
             </c>
      <c r="I2274" t="s">
        <v>14</v>
      </c>
      <c r="J2274" t="s">
        <v>242</v>
      </c>
      <c r="K2274" t="s">
        <v>14</v>
      </c>
      <c r="L2274" t="s">
        <v>20</v>
      </c>
      <c r="M2274" t="s">
        <v>4789</v>
      </c>
      <c r="N2274" t="s">
        <v>14</v>
      </c>
    </row>
    <row r="2275" x14ac:dyDescent="0.25">
      <c r="A2275" t="n">
        <v>25</v>
      </c>
      <c r="B2275" t="s">
        <v>14</v>
      </c>
      <c r="C2275" t="s">
        <v>51</v>
      </c>
      <c r="D2275" s="2" t="s">
        <f>=HYPERLINK("https://main.knesset.gov.il/APPS/legislation/main/bills/2225467", "הצעת חוק שירות המילואים (תיקון - הפחתת שיעור המס שחל על תגמולים למשרתי מילואים), התשפ""ה-2024")</f>
        <v>4804</v>
      </c>
      <c r="E2275" t="s">
        <v>4804</v>
      </c>
      <c r="F2275" t="s">
        <v>4805</v>
      </c>
      <c r="G2275" t="s">
        <v>14</v>
      </c>
      <c r="H2275">
             </c>
      <c r="I2275" t="s">
        <v>14</v>
      </c>
      <c r="J2275" t="s">
        <v>242</v>
      </c>
      <c r="K2275" t="s">
        <v>14</v>
      </c>
      <c r="L2275" t="s">
        <v>20</v>
      </c>
      <c r="M2275" t="s">
        <v>4789</v>
      </c>
      <c r="N2275" t="s">
        <v>14</v>
      </c>
    </row>
    <row r="2276" x14ac:dyDescent="0.25">
      <c r="A2276" t="n">
        <v>25</v>
      </c>
      <c r="B2276" t="s">
        <v>14</v>
      </c>
      <c r="C2276" t="s">
        <v>51</v>
      </c>
      <c r="D2276" s="2" t="s">
        <f>=HYPERLINK("https://main.knesset.gov.il/APPS/legislation/main/bills/2225525", "הצעת חוק הרשות הארצית לכבאות והצלה (תיקון - איסור התארגנות), התשפ""ה-2024 ")</f>
        <v>4806</v>
      </c>
      <c r="E2276" t="s">
        <v>4806</v>
      </c>
      <c r="F2276" t="s">
        <v>4807</v>
      </c>
      <c r="G2276" t="s">
        <v>14</v>
      </c>
      <c r="H2276">
             </c>
      <c r="I2276" t="s">
        <v>14</v>
      </c>
      <c r="J2276" t="s">
        <v>242</v>
      </c>
      <c r="K2276" t="s">
        <v>14</v>
      </c>
      <c r="L2276" t="s">
        <v>20</v>
      </c>
      <c r="M2276" t="s">
        <v>4789</v>
      </c>
      <c r="N2276" t="s">
        <v>14</v>
      </c>
    </row>
    <row r="2277" x14ac:dyDescent="0.25">
      <c r="A2277" t="n">
        <v>25</v>
      </c>
      <c r="B2277" t="s">
        <v>14</v>
      </c>
      <c r="C2277" t="s">
        <v>51</v>
      </c>
      <c r="D2277" s="2" t="s">
        <f>=HYPERLINK("https://main.knesset.gov.il/APPS/legislation/main/bills/2225290", "הצעת חוק להגדלת היצע הדיור ברשויות מקומיות (תיקוני חקיקה), התשפ""ה-2024")</f>
        <v>4808</v>
      </c>
      <c r="E2277" t="s">
        <v>4808</v>
      </c>
      <c r="F2277" t="s">
        <v>4809</v>
      </c>
      <c r="G2277" t="s">
        <v>14</v>
      </c>
      <c r="H2277">
             </c>
      <c r="I2277" t="s">
        <v>14</v>
      </c>
      <c r="J2277" t="s">
        <v>242</v>
      </c>
      <c r="K2277" t="s">
        <v>14</v>
      </c>
      <c r="L2277" t="s">
        <v>20</v>
      </c>
      <c r="M2277" t="s">
        <v>4789</v>
      </c>
      <c r="N2277" t="s">
        <v>14</v>
      </c>
    </row>
    <row r="2278" x14ac:dyDescent="0.25">
      <c r="A2278" t="n">
        <v>25</v>
      </c>
      <c r="B2278" t="s">
        <v>14</v>
      </c>
      <c r="C2278" t="s">
        <v>51</v>
      </c>
      <c r="D2278" s="2" t="s">
        <f>=HYPERLINK("https://main.knesset.gov.il/APPS/legislation/main/bills/2225835", "הצעת חוק-יסוד: משאל עם (תיקון - חובת אישור החלת ריבונות במשאל עם)")</f>
        <v>4810</v>
      </c>
      <c r="E2278" t="s">
        <v>4810</v>
      </c>
      <c r="F2278" t="s">
        <v>4811</v>
      </c>
      <c r="G2278" t="s">
        <v>14</v>
      </c>
      <c r="H2278">
             </c>
      <c r="I2278" t="s">
        <v>14</v>
      </c>
      <c r="J2278" t="s">
        <v>242</v>
      </c>
      <c r="K2278" t="s">
        <v>14</v>
      </c>
      <c r="L2278" t="s">
        <v>20</v>
      </c>
      <c r="M2278" t="s">
        <v>4789</v>
      </c>
      <c r="N2278" t="s">
        <v>14</v>
      </c>
    </row>
    <row r="2279" x14ac:dyDescent="0.25">
      <c r="A2279" t="n">
        <v>25</v>
      </c>
      <c r="B2279" t="s">
        <v>14</v>
      </c>
      <c r="C2279" t="s">
        <v>51</v>
      </c>
      <c r="D2279" s="2" t="s">
        <f>=HYPERLINK("https://main.knesset.gov.il/APPS/legislation/main/bills/2226026", "הצעת חוק גירוש מיידי של מסתננים התומכים במשטר מדינתם, התשפ""ה-2024")</f>
        <v>4812</v>
      </c>
      <c r="E2279" t="s">
        <v>4812</v>
      </c>
      <c r="F2279" t="s">
        <v>4813</v>
      </c>
      <c r="G2279" t="s">
        <v>14</v>
      </c>
      <c r="H2279">
             </c>
      <c r="I2279" t="s">
        <v>14</v>
      </c>
      <c r="J2279" t="s">
        <v>242</v>
      </c>
      <c r="K2279" t="s">
        <v>14</v>
      </c>
      <c r="L2279" t="s">
        <v>20</v>
      </c>
      <c r="M2279" t="s">
        <v>4789</v>
      </c>
      <c r="N2279" t="s">
        <v>14</v>
      </c>
    </row>
    <row r="2280" x14ac:dyDescent="0.25">
      <c r="A2280" t="n">
        <v>25</v>
      </c>
      <c r="B2280" t="s">
        <v>14</v>
      </c>
      <c r="C2280" t="s">
        <v>51</v>
      </c>
      <c r="D2280" s="2" t="s">
        <f>=HYPERLINK("https://main.knesset.gov.il/APPS/legislation/main/bills/2225700", "הצעת חוק העונשין (תיקון - תקיפת עיתונאי או איש תקשורת), התשפ""ה-2024")</f>
        <v>4814</v>
      </c>
      <c r="E2280" t="s">
        <v>4814</v>
      </c>
      <c r="F2280" t="s">
        <v>4815</v>
      </c>
      <c r="G2280" t="s">
        <v>14</v>
      </c>
      <c r="H2280">
             </c>
      <c r="I2280" t="s">
        <v>14</v>
      </c>
      <c r="J2280" t="s">
        <v>242</v>
      </c>
      <c r="K2280" t="s">
        <v>14</v>
      </c>
      <c r="L2280" t="s">
        <v>20</v>
      </c>
      <c r="M2280" t="s">
        <v>4789</v>
      </c>
      <c r="N2280" t="s">
        <v>14</v>
      </c>
    </row>
    <row r="2281" x14ac:dyDescent="0.25">
      <c r="A2281" t="n">
        <v>25</v>
      </c>
      <c r="B2281" t="s">
        <v>14</v>
      </c>
      <c r="C2281" t="s">
        <v>51</v>
      </c>
      <c r="D2281" s="2" t="s">
        <f>=HYPERLINK("https://main.knesset.gov.il/APPS/legislation/main/bills/2225488", "הצעת חוק שירות המדינה (מינויים) (תיקון - שקיפות בתהליך קבלה לעבודה), התשפ""ה-2024")</f>
        <v>4816</v>
      </c>
      <c r="E2281" t="s">
        <v>4816</v>
      </c>
      <c r="F2281" t="s">
        <v>4817</v>
      </c>
      <c r="G2281" t="s">
        <v>14</v>
      </c>
      <c r="H2281">
             </c>
      <c r="I2281" t="s">
        <v>14</v>
      </c>
      <c r="J2281" t="s">
        <v>242</v>
      </c>
      <c r="K2281" t="s">
        <v>14</v>
      </c>
      <c r="L2281" t="s">
        <v>20</v>
      </c>
      <c r="M2281" t="s">
        <v>4789</v>
      </c>
      <c r="N2281" t="s">
        <v>14</v>
      </c>
    </row>
    <row r="2282" x14ac:dyDescent="0.25">
      <c r="A2282" t="n">
        <v>25</v>
      </c>
      <c r="B2282" t="s">
        <v>14</v>
      </c>
      <c r="C2282" t="s">
        <v>51</v>
      </c>
      <c r="D2282" s="2" t="s">
        <f>=HYPERLINK("https://main.knesset.gov.il/APPS/legislation/main/bills/2224134", "הצעת חוק האפוטרופוס הכללי (תיקון - ניהול נכסי מקרקעין), התשפ""ה-2024 ")</f>
        <v>4818</v>
      </c>
      <c r="E2282" t="s">
        <v>4818</v>
      </c>
      <c r="F2282" t="s">
        <v>4819</v>
      </c>
      <c r="G2282" t="s">
        <v>14</v>
      </c>
      <c r="H2282">
             </c>
      <c r="I2282" t="s">
        <v>14</v>
      </c>
      <c r="J2282" t="s">
        <v>242</v>
      </c>
      <c r="K2282" t="s">
        <v>14</v>
      </c>
      <c r="L2282" t="s">
        <v>20</v>
      </c>
      <c r="M2282" t="s">
        <v>4789</v>
      </c>
      <c r="N2282" t="s">
        <v>14</v>
      </c>
    </row>
    <row r="2283" x14ac:dyDescent="0.25">
      <c r="A2283" t="n">
        <v>25</v>
      </c>
      <c r="B2283" t="s">
        <v>14</v>
      </c>
      <c r="C2283" t="s">
        <v>51</v>
      </c>
      <c r="D2283" s="2" t="s">
        <f>=HYPERLINK("https://main.knesset.gov.il/APPS/legislation/main/bills/2225420", "הצעת חוק שוויון יישובים דרוזיים וצ'רקסיים, התשפ""ה-2024")</f>
        <v>4820</v>
      </c>
      <c r="E2283" t="s">
        <v>4820</v>
      </c>
      <c r="F2283" t="s">
        <v>4821</v>
      </c>
      <c r="G2283" t="s">
        <v>14</v>
      </c>
      <c r="H2283">
             </c>
      <c r="I2283" t="s">
        <v>14</v>
      </c>
      <c r="J2283" t="s">
        <v>242</v>
      </c>
      <c r="K2283" t="s">
        <v>14</v>
      </c>
      <c r="L2283" t="s">
        <v>20</v>
      </c>
      <c r="M2283" t="s">
        <v>4789</v>
      </c>
      <c r="N2283" t="s">
        <v>14</v>
      </c>
    </row>
    <row r="2284" x14ac:dyDescent="0.25">
      <c r="A2284" t="n">
        <v>25</v>
      </c>
      <c r="B2284" t="s">
        <v>14</v>
      </c>
      <c r="C2284" t="s">
        <v>51</v>
      </c>
      <c r="D2284" s="2" t="s">
        <f>=HYPERLINK("https://main.knesset.gov.il/APPS/legislation/main/bills/2225629", "הצעת חוק התובע הכללי, התשפ""ה-2024")</f>
        <v>4822</v>
      </c>
      <c r="E2284" t="s">
        <v>4822</v>
      </c>
      <c r="F2284" t="s">
        <v>4823</v>
      </c>
      <c r="G2284" t="s">
        <v>14</v>
      </c>
      <c r="H2284">
             </c>
      <c r="I2284" t="s">
        <v>14</v>
      </c>
      <c r="J2284" t="s">
        <v>242</v>
      </c>
      <c r="K2284" t="s">
        <v>14</v>
      </c>
      <c r="L2284" t="s">
        <v>20</v>
      </c>
      <c r="M2284" t="s">
        <v>4789</v>
      </c>
      <c r="N2284" t="s">
        <v>14</v>
      </c>
    </row>
    <row r="2285" x14ac:dyDescent="0.25">
      <c r="A2285" t="n">
        <v>25</v>
      </c>
      <c r="B2285" t="s">
        <v>14</v>
      </c>
      <c r="C2285" t="s">
        <v>51</v>
      </c>
      <c r="D2285" s="2" t="s">
        <f>=HYPERLINK("https://main.knesset.gov.il/APPS/legislation/main/bills/2226120", "הצעת חוק הבנקאות (שירות ללקוח) (תיקון - ניוד פקדונות ללקוחות הבנקים ללא העברת חשבון בנק), התשפ""ה-2024")</f>
        <v>4824</v>
      </c>
      <c r="E2285" t="s">
        <v>4824</v>
      </c>
      <c r="F2285" t="s">
        <v>4825</v>
      </c>
      <c r="G2285" t="s">
        <v>14</v>
      </c>
      <c r="H2285">
             </c>
      <c r="I2285" t="s">
        <v>14</v>
      </c>
      <c r="J2285" t="s">
        <v>242</v>
      </c>
      <c r="K2285" t="s">
        <v>14</v>
      </c>
      <c r="L2285" t="s">
        <v>20</v>
      </c>
      <c r="M2285" t="s">
        <v>4789</v>
      </c>
      <c r="N2285" t="s">
        <v>14</v>
      </c>
    </row>
    <row r="2286" x14ac:dyDescent="0.25">
      <c r="A2286" t="n">
        <v>25</v>
      </c>
      <c r="B2286" t="s">
        <v>14</v>
      </c>
      <c r="C2286" t="s">
        <v>51</v>
      </c>
      <c r="D2286" s="2" t="s">
        <f>=HYPERLINK("https://main.knesset.gov.il/APPS/legislation/main/bills/2224516", "הצעת חוק צער בעלי חיים (הגנה על בעלי חיים) (תיקון - המעמד המשפטי של בעלי חיים), התשפ""ה-2024")</f>
        <v>4826</v>
      </c>
      <c r="E2286" t="s">
        <v>4826</v>
      </c>
      <c r="F2286" t="s">
        <v>4827</v>
      </c>
      <c r="G2286" t="s">
        <v>14</v>
      </c>
      <c r="H2286">
             </c>
      <c r="I2286" t="s">
        <v>14</v>
      </c>
      <c r="J2286" t="s">
        <v>242</v>
      </c>
      <c r="K2286" t="s">
        <v>14</v>
      </c>
      <c r="L2286" t="s">
        <v>20</v>
      </c>
      <c r="M2286" t="s">
        <v>4789</v>
      </c>
      <c r="N2286" t="s">
        <v>14</v>
      </c>
    </row>
    <row r="2287" x14ac:dyDescent="0.25">
      <c r="A2287" t="n">
        <v>25</v>
      </c>
      <c r="B2287" t="s">
        <v>14</v>
      </c>
      <c r="C2287" t="s">
        <v>51</v>
      </c>
      <c r="D2287" s="2" t="s">
        <f>=HYPERLINK("https://main.knesset.gov.il/APPS/legislation/main/bills/2225646", "הצעת חוק תשלומים לפדויי שבי ולחטופים ששוחררו (תיקון - החזר הוצאות לקרוב של פדוי שבי מאושפז או של פדוי שבי שנדרש להשגחה צמודה), התשפ""ה-2024")</f>
        <v>4828</v>
      </c>
      <c r="E2287" t="s">
        <v>4828</v>
      </c>
      <c r="F2287" t="s">
        <v>4829</v>
      </c>
      <c r="G2287" t="s">
        <v>14</v>
      </c>
      <c r="H2287">
             </c>
      <c r="I2287" t="s">
        <v>14</v>
      </c>
      <c r="J2287" t="s">
        <v>242</v>
      </c>
      <c r="K2287" t="s">
        <v>14</v>
      </c>
      <c r="L2287" t="s">
        <v>20</v>
      </c>
      <c r="M2287" t="s">
        <v>4789</v>
      </c>
      <c r="N2287" t="s">
        <v>14</v>
      </c>
    </row>
    <row r="2288" x14ac:dyDescent="0.25">
      <c r="A2288" t="n">
        <v>25</v>
      </c>
      <c r="B2288" t="s">
        <v>14</v>
      </c>
      <c r="C2288" t="s">
        <v>51</v>
      </c>
      <c r="D2288" s="2" t="s">
        <f>=HYPERLINK("https://main.knesset.gov.il/APPS/legislation/main/bills/2226017", "הצעת חוק התגמולים לנפגעי פעולות איבה (תיקון - משפחה מלווה ליתומים בגירים), התשפ""ה-2024")</f>
        <v>4830</v>
      </c>
      <c r="E2288" t="s">
        <v>4830</v>
      </c>
      <c r="F2288" t="s">
        <v>4831</v>
      </c>
      <c r="G2288" t="s">
        <v>14</v>
      </c>
      <c r="H2288">
             </c>
      <c r="I2288" t="s">
        <v>14</v>
      </c>
      <c r="J2288" t="s">
        <v>242</v>
      </c>
      <c r="K2288" t="s">
        <v>14</v>
      </c>
      <c r="L2288" t="s">
        <v>20</v>
      </c>
      <c r="M2288" t="s">
        <v>4789</v>
      </c>
      <c r="N2288" t="s">
        <v>14</v>
      </c>
    </row>
    <row r="2289" x14ac:dyDescent="0.25">
      <c r="A2289" t="n">
        <v>25</v>
      </c>
      <c r="B2289" t="s">
        <v>14</v>
      </c>
      <c r="C2289" t="s">
        <v>51</v>
      </c>
      <c r="D2289" s="2" t="s">
        <f>=HYPERLINK("https://main.knesset.gov.il/APPS/legislation/main/bills/2225125", "הצעת חוק תקשורת דיגיטלית עם גופים ציבוריים (תיקון - אישור קבלה ועדכון על מצב הטיפול בפנייה), התשפ""ה-2024 ")</f>
        <v>4832</v>
      </c>
      <c r="E2289" t="s">
        <v>4832</v>
      </c>
      <c r="F2289" t="s">
        <v>4833</v>
      </c>
      <c r="G2289" t="s">
        <v>14</v>
      </c>
      <c r="H2289">
             </c>
      <c r="I2289" t="s">
        <v>14</v>
      </c>
      <c r="J2289" t="s">
        <v>242</v>
      </c>
      <c r="K2289" t="s">
        <v>14</v>
      </c>
      <c r="L2289" t="s">
        <v>20</v>
      </c>
      <c r="M2289" t="s">
        <v>4789</v>
      </c>
      <c r="N2289" t="s">
        <v>14</v>
      </c>
    </row>
    <row r="2290" x14ac:dyDescent="0.25">
      <c r="A2290" t="n">
        <v>25</v>
      </c>
      <c r="B2290" t="s">
        <v>14</v>
      </c>
      <c r="C2290" t="s">
        <v>51</v>
      </c>
      <c r="D2290" s="2" t="s">
        <f>=HYPERLINK("https://main.knesset.gov.il/APPS/legislation/main/bills/2225839", "הצעת חוק הבחירות לכנסת (תיקון - הצבעה על ידי אזרחים בחוץ לארץ), התשפ""ה-2024")</f>
        <v>4834</v>
      </c>
      <c r="E2290" t="s">
        <v>4834</v>
      </c>
      <c r="F2290" t="s">
        <v>4835</v>
      </c>
      <c r="G2290" t="s">
        <v>14</v>
      </c>
      <c r="H2290">
             </c>
      <c r="I2290" t="s">
        <v>14</v>
      </c>
      <c r="J2290" t="s">
        <v>242</v>
      </c>
      <c r="K2290" t="s">
        <v>14</v>
      </c>
      <c r="L2290" t="s">
        <v>20</v>
      </c>
      <c r="M2290" t="s">
        <v>4789</v>
      </c>
      <c r="N2290" t="s">
        <v>14</v>
      </c>
    </row>
    <row r="2291" x14ac:dyDescent="0.25">
      <c r="A2291" t="n">
        <v>25</v>
      </c>
      <c r="B2291" t="s">
        <v>14</v>
      </c>
      <c r="C2291" t="s">
        <v>51</v>
      </c>
      <c r="D2291" s="2" t="s">
        <f>=HYPERLINK("https://main.knesset.gov.il/APPS/legislation/main/bills/2226089", "הצעת חוק הקמת שדה תעופה בנבטים, התשפ""ה-2024")</f>
        <v>4072</v>
      </c>
      <c r="E2291" t="s">
        <v>4072</v>
      </c>
      <c r="F2291" t="s">
        <v>4836</v>
      </c>
      <c r="G2291" t="s">
        <v>14</v>
      </c>
      <c r="H2291">
             </c>
      <c r="I2291" t="s">
        <v>14</v>
      </c>
      <c r="J2291" t="s">
        <v>242</v>
      </c>
      <c r="K2291" t="s">
        <v>14</v>
      </c>
      <c r="L2291" t="s">
        <v>20</v>
      </c>
      <c r="M2291" t="s">
        <v>4789</v>
      </c>
      <c r="N2291" t="s">
        <v>14</v>
      </c>
    </row>
    <row r="2292" x14ac:dyDescent="0.25">
      <c r="A2292" t="n">
        <v>25</v>
      </c>
      <c r="B2292" t="s">
        <v>14</v>
      </c>
      <c r="C2292" t="s">
        <v>51</v>
      </c>
      <c r="D2292" s="2" t="s">
        <f>=HYPERLINK("https://main.knesset.gov.il/APPS/legislation/main/bills/2224793", "הצעת חוק למתן הטבות למשרתים במילואים (קדימות בתור לטיפולי בריאות הפה והשיניים - הוראת שעה - חרבות ברזל), התשפ""ה-2024 ")</f>
        <v>4837</v>
      </c>
      <c r="E2292" t="s">
        <v>4837</v>
      </c>
      <c r="F2292" t="s">
        <v>4838</v>
      </c>
      <c r="G2292" t="s">
        <v>14</v>
      </c>
      <c r="H2292">
             </c>
      <c r="I2292" t="s">
        <v>14</v>
      </c>
      <c r="J2292" t="s">
        <v>242</v>
      </c>
      <c r="K2292" t="s">
        <v>14</v>
      </c>
      <c r="L2292" t="s">
        <v>20</v>
      </c>
      <c r="M2292" t="s">
        <v>4789</v>
      </c>
      <c r="N2292" t="s">
        <v>14</v>
      </c>
    </row>
    <row r="2293" x14ac:dyDescent="0.25">
      <c r="A2293" t="n">
        <v>25</v>
      </c>
      <c r="B2293" t="s">
        <v>14</v>
      </c>
      <c r="C2293" t="s">
        <v>51</v>
      </c>
      <c r="D2293" s="2" t="s">
        <f>=HYPERLINK("https://main.knesset.gov.il/APPS/legislation/main/bills/2225221", "הצעת חוק לידה שקטה (תיקוני חקיקה), התשפ""ה-2024")</f>
        <v>4839</v>
      </c>
      <c r="E2293" t="s">
        <v>4839</v>
      </c>
      <c r="F2293" t="s">
        <v>4840</v>
      </c>
      <c r="G2293" t="s">
        <v>14</v>
      </c>
      <c r="H2293">
             </c>
      <c r="I2293" t="s">
        <v>14</v>
      </c>
      <c r="J2293" t="s">
        <v>242</v>
      </c>
      <c r="K2293" t="s">
        <v>14</v>
      </c>
      <c r="L2293" t="s">
        <v>20</v>
      </c>
      <c r="M2293" t="s">
        <v>4789</v>
      </c>
      <c r="N2293" t="s">
        <v>14</v>
      </c>
    </row>
    <row r="2294" x14ac:dyDescent="0.25">
      <c r="A2294" t="n">
        <v>25</v>
      </c>
      <c r="B2294" t="s">
        <v>14</v>
      </c>
      <c r="C2294" t="s">
        <v>51</v>
      </c>
      <c r="D2294" s="2" t="s">
        <f>=HYPERLINK("https://main.knesset.gov.il/APPS/legislation/main/bills/2225168", "הצעת חוק זכויות הסטודנט (תיקון - הקלות בקבלה ללימודים אקדמיים למי ששירת כלוחם), התשפ""ה-2024")</f>
        <v>4841</v>
      </c>
      <c r="E2294" t="s">
        <v>4841</v>
      </c>
      <c r="F2294" t="s">
        <v>4842</v>
      </c>
      <c r="G2294" t="s">
        <v>14</v>
      </c>
      <c r="H2294">
             </c>
      <c r="I2294" t="s">
        <v>14</v>
      </c>
      <c r="J2294" t="s">
        <v>242</v>
      </c>
      <c r="K2294" t="s">
        <v>14</v>
      </c>
      <c r="L2294" t="s">
        <v>20</v>
      </c>
      <c r="M2294" t="s">
        <v>4789</v>
      </c>
      <c r="N2294" t="s">
        <v>14</v>
      </c>
    </row>
    <row r="2295" x14ac:dyDescent="0.25">
      <c r="A2295" t="n">
        <v>25</v>
      </c>
      <c r="B2295" t="s">
        <v>14</v>
      </c>
      <c r="C2295" t="s">
        <v>51</v>
      </c>
      <c r="D2295" s="2" t="s">
        <f>=HYPERLINK("https://main.knesset.gov.il/APPS/legislation/main/bills/2224604", "הצעת חוק שירות המילואים (תיקון - הקצאת מקומות למשרתי מילואים באירועי תרבות וספורט), התשפ""ה-2024")</f>
        <v>4843</v>
      </c>
      <c r="E2295" t="s">
        <v>4843</v>
      </c>
      <c r="F2295" t="s">
        <v>4844</v>
      </c>
      <c r="G2295" t="s">
        <v>14</v>
      </c>
      <c r="H2295">
             </c>
      <c r="I2295" t="s">
        <v>14</v>
      </c>
      <c r="J2295" t="s">
        <v>242</v>
      </c>
      <c r="K2295" t="s">
        <v>14</v>
      </c>
      <c r="L2295" t="s">
        <v>20</v>
      </c>
      <c r="M2295" t="s">
        <v>4789</v>
      </c>
      <c r="N2295" t="s">
        <v>14</v>
      </c>
    </row>
    <row r="2296" x14ac:dyDescent="0.25">
      <c r="A2296" t="n">
        <v>25</v>
      </c>
      <c r="B2296" t="s">
        <v>14</v>
      </c>
      <c r="C2296" t="s">
        <v>51</v>
      </c>
      <c r="D2296" s="2" t="s">
        <f>=HYPERLINK("https://main.knesset.gov.il/APPS/legislation/main/bills/2225222", "הצעת חוק לתיקון פקודת התעבורה (חובת הפעלת קווי תחבורה ציבורית ישירים לבתי חולים), התשפ""ה-2024")</f>
        <v>4845</v>
      </c>
      <c r="E2296" t="s">
        <v>4845</v>
      </c>
      <c r="F2296" t="s">
        <v>4846</v>
      </c>
      <c r="G2296" t="s">
        <v>14</v>
      </c>
      <c r="H2296">
             </c>
      <c r="I2296" t="s">
        <v>14</v>
      </c>
      <c r="J2296" t="s">
        <v>242</v>
      </c>
      <c r="K2296" t="s">
        <v>14</v>
      </c>
      <c r="L2296" t="s">
        <v>20</v>
      </c>
      <c r="M2296" t="s">
        <v>4789</v>
      </c>
      <c r="N2296" t="s">
        <v>14</v>
      </c>
    </row>
    <row r="2297" x14ac:dyDescent="0.25">
      <c r="A2297" t="n">
        <v>25</v>
      </c>
      <c r="B2297" t="s">
        <v>14</v>
      </c>
      <c r="C2297" t="s">
        <v>51</v>
      </c>
      <c r="D2297" s="2" t="s">
        <f>=HYPERLINK("https://main.knesset.gov.il/APPS/legislation/main/bills/2225573", "הצעת חוק הבנקאות (שירות ללקוח) (תיקון - מתן שירותי הפקדה בכל כספומט בנקאי), התשפ""ה-2024")</f>
        <v>4847</v>
      </c>
      <c r="E2297" t="s">
        <v>4847</v>
      </c>
      <c r="F2297" t="s">
        <v>4848</v>
      </c>
      <c r="G2297" t="s">
        <v>14</v>
      </c>
      <c r="H2297">
             </c>
      <c r="I2297" t="s">
        <v>14</v>
      </c>
      <c r="J2297" t="s">
        <v>242</v>
      </c>
      <c r="K2297" t="s">
        <v>14</v>
      </c>
      <c r="L2297" t="s">
        <v>20</v>
      </c>
      <c r="M2297" t="s">
        <v>4789</v>
      </c>
      <c r="N2297" t="s">
        <v>14</v>
      </c>
    </row>
    <row r="2298" x14ac:dyDescent="0.25">
      <c r="A2298" t="n">
        <v>25</v>
      </c>
      <c r="B2298" t="s">
        <v>14</v>
      </c>
      <c r="C2298" t="s">
        <v>51</v>
      </c>
      <c r="D2298" s="2" t="s">
        <f>=HYPERLINK("https://main.knesset.gov.il/APPS/legislation/main/bills/2223128", "הצעת חוק קבלת ילד של משרת מילואים למעון יום והשתתפות המדינה בעלות שכר הלימוד בו, התשפ""ה-2024")</f>
        <v>4849</v>
      </c>
      <c r="E2298" t="s">
        <v>4849</v>
      </c>
      <c r="F2298" t="s">
        <v>4850</v>
      </c>
      <c r="G2298" t="s">
        <v>14</v>
      </c>
      <c r="H2298">
             </c>
      <c r="I2298" t="s">
        <v>14</v>
      </c>
      <c r="J2298" t="s">
        <v>193</v>
      </c>
      <c r="K2298" t="s">
        <v>14</v>
      </c>
      <c r="L2298" t="s">
        <v>20</v>
      </c>
      <c r="M2298" t="s">
        <v>4851</v>
      </c>
      <c r="N2298" t="s">
        <v>14</v>
      </c>
    </row>
    <row r="2299" x14ac:dyDescent="0.25">
      <c r="A2299" t="n">
        <v>25</v>
      </c>
      <c r="B2299" t="s">
        <v>14</v>
      </c>
      <c r="C2299" t="s">
        <v>51</v>
      </c>
      <c r="D2299" s="2" t="s">
        <f>=HYPERLINK("https://main.knesset.gov.il/APPS/legislation/main/bills/2223113", "הצעת חוק קבלת ילד של משרת מילואים למעון יום והשתתפות המדינה בעלות שכר הלימוד בו, התשפ""ה-2024")</f>
        <v>4849</v>
      </c>
      <c r="E2299" t="s">
        <v>4849</v>
      </c>
      <c r="F2299" t="s">
        <v>4852</v>
      </c>
      <c r="G2299" t="s">
        <v>14</v>
      </c>
      <c r="H2299">
             </c>
      <c r="I2299" t="s">
        <v>14</v>
      </c>
      <c r="J2299" t="s">
        <v>193</v>
      </c>
      <c r="K2299" t="s">
        <v>14</v>
      </c>
      <c r="L2299" t="s">
        <v>20</v>
      </c>
      <c r="M2299" t="s">
        <v>4851</v>
      </c>
      <c r="N2299" t="s">
        <v>14</v>
      </c>
    </row>
    <row r="2300" x14ac:dyDescent="0.25">
      <c r="A2300" t="n">
        <v>25</v>
      </c>
      <c r="B2300" t="s">
        <v>14</v>
      </c>
      <c r="C2300" t="s">
        <v>51</v>
      </c>
      <c r="D2300" s="2" t="s">
        <f>=HYPERLINK("https://main.knesset.gov.il/APPS/legislation/main/bills/2222431", "הצעת חוק העונשין (תיקון - פריצה למיתקן ביטחוני), התשפ""ה-2024")</f>
        <v>4853</v>
      </c>
      <c r="E2300" t="s">
        <v>4853</v>
      </c>
      <c r="F2300" t="s">
        <v>4854</v>
      </c>
      <c r="G2300" t="s">
        <v>14</v>
      </c>
      <c r="H2300">
             </c>
      <c r="I2300" t="s">
        <v>14</v>
      </c>
      <c r="J2300" t="s">
        <v>193</v>
      </c>
      <c r="K2300" t="s">
        <v>14</v>
      </c>
      <c r="L2300" t="s">
        <v>20</v>
      </c>
      <c r="M2300" t="s">
        <v>4851</v>
      </c>
      <c r="N2300" t="s">
        <v>14</v>
      </c>
    </row>
    <row r="2301" x14ac:dyDescent="0.25">
      <c r="A2301" t="n">
        <v>25</v>
      </c>
      <c r="B2301" t="s">
        <v>14</v>
      </c>
      <c r="C2301" t="s">
        <v>51</v>
      </c>
      <c r="D2301" s="2" t="s">
        <f>=HYPERLINK("https://main.knesset.gov.il/APPS/legislation/main/bills/2202188", "הצעת חוק הביטוח הלאומי (תיקון - משלוח הודעה בדבר זכאות המבוטח), התשפ""ג-2023")</f>
        <v>4855</v>
      </c>
      <c r="E2301" t="s">
        <v>4855</v>
      </c>
      <c r="F2301" t="s">
        <v>4856</v>
      </c>
      <c r="G2301" t="s">
        <v>14</v>
      </c>
      <c r="H2301">
             </c>
      <c r="I2301" t="s">
        <v>14</v>
      </c>
      <c r="J2301" t="s">
        <v>193</v>
      </c>
      <c r="K2301" t="s">
        <v>14</v>
      </c>
      <c r="L2301" t="s">
        <v>20</v>
      </c>
      <c r="M2301" t="s">
        <v>4851</v>
      </c>
      <c r="N2301" t="s">
        <v>14</v>
      </c>
    </row>
    <row r="2302" x14ac:dyDescent="0.25">
      <c r="A2302" t="n">
        <v>25</v>
      </c>
      <c r="B2302" t="s">
        <v>14</v>
      </c>
      <c r="C2302" t="s">
        <v>51</v>
      </c>
      <c r="D2302" s="2" t="s">
        <f>=HYPERLINK("https://main.knesset.gov.il/APPS/legislation/main/bills/2197177", "הצעת חוק-יסוד: הכנסת (תיקון - הרחבת העילות למניעת השתתפות בבחירות)")</f>
        <v>2695</v>
      </c>
      <c r="E2302" t="s">
        <v>2695</v>
      </c>
      <c r="F2302" t="s">
        <v>4857</v>
      </c>
      <c r="G2302" t="s">
        <v>14</v>
      </c>
      <c r="H2302">
             </c>
      <c r="I2302" t="s">
        <v>14</v>
      </c>
      <c r="J2302" t="s">
        <v>152</v>
      </c>
      <c r="K2302" t="s">
        <v>42</v>
      </c>
      <c r="L2302" t="s">
        <v>20</v>
      </c>
      <c r="M2302" t="s">
        <v>4858</v>
      </c>
      <c r="N2302" t="s">
        <v>14</v>
      </c>
    </row>
    <row r="2303" x14ac:dyDescent="0.25">
      <c r="A2303" t="n">
        <v>25</v>
      </c>
      <c r="B2303" t="s">
        <v>14</v>
      </c>
      <c r="C2303" t="s">
        <v>15</v>
      </c>
      <c r="D2303" s="2" t="s">
        <f>=HYPERLINK("https://main.knesset.gov.il/APPS/legislation/main/bills/2223234", "חוק ההתייעלות הכלכלית (תיקוני חקיקה להשגת יעדי התקציב לשנת התקציב 2025) (הקפאת עדכוני מס ומס יסף), התשפ""ה-2024")</f>
        <v>4859</v>
      </c>
      <c r="E2303" t="s">
        <v>4859</v>
      </c>
      <c r="F2303" t="s">
        <v>14</v>
      </c>
      <c r="G2303" t="s">
        <v>4440</v>
      </c>
      <c r="H2303" t="n">
        <v>3342</v>
      </c>
      <c r="I2303" t="s">
        <v>14</v>
      </c>
      <c r="J2303" t="s">
        <v>18</v>
      </c>
      <c r="K2303" t="s">
        <v>24</v>
      </c>
      <c r="L2303" t="s">
        <v>20</v>
      </c>
      <c r="M2303" t="s">
        <v>4858</v>
      </c>
      <c r="N2303" t="s">
        <v>4860</v>
      </c>
    </row>
    <row r="2304" x14ac:dyDescent="0.25">
      <c r="A2304" t="n">
        <v>25</v>
      </c>
      <c r="B2304" t="s">
        <v>14</v>
      </c>
      <c r="C2304" t="s">
        <v>15</v>
      </c>
      <c r="D2304" s="2" t="s">
        <f>=HYPERLINK("https://main.knesset.gov.il/APPS/legislation/main/bills/2225476", "חוק הסמכת צבא הגנה לישראל ושירות הביטחון הכללי לביצוע חדירה לחומר מחשב המשמש להפעלת מצלמה נייחת ופעולה בו (הוראת שעה – חרבות ברזל) (תיקון מס' 3), התשפ""ה-2024")</f>
        <v>4861</v>
      </c>
      <c r="E2304" t="s">
        <v>4861</v>
      </c>
      <c r="F2304" t="s">
        <v>14</v>
      </c>
      <c r="G2304" t="s">
        <v>4862</v>
      </c>
      <c r="H2304" t="n">
        <v>3340</v>
      </c>
      <c r="I2304" t="s">
        <v>14</v>
      </c>
      <c r="J2304" t="s">
        <v>18</v>
      </c>
      <c r="K2304" t="s">
        <v>39</v>
      </c>
      <c r="L2304" t="s">
        <v>20</v>
      </c>
      <c r="M2304" t="s">
        <v>4858</v>
      </c>
      <c r="N2304" t="s">
        <v>4863</v>
      </c>
    </row>
    <row r="2305" x14ac:dyDescent="0.25">
      <c r="A2305" t="n">
        <v>25</v>
      </c>
      <c r="B2305" t="s">
        <v>14</v>
      </c>
      <c r="C2305" t="s">
        <v>15</v>
      </c>
      <c r="D2305" s="2" t="s">
        <f>=HYPERLINK("https://main.knesset.gov.il/APPS/legislation/main/bills/2225486", "חוק לתיקון פקודת בתי הסוהר (מס' 64 – הוראת שעה – חרבות ברזל) (מצב חירום כליאתי) (תיקון מס' 3), התשפ""ה-2024 ")</f>
        <v>4864</v>
      </c>
      <c r="E2305" t="s">
        <v>4864</v>
      </c>
      <c r="F2305" t="s">
        <v>14</v>
      </c>
      <c r="G2305" t="s">
        <v>4865</v>
      </c>
      <c r="H2305" t="n">
        <v>3341</v>
      </c>
      <c r="I2305" t="s">
        <v>14</v>
      </c>
      <c r="J2305" t="s">
        <v>18</v>
      </c>
      <c r="K2305" t="s">
        <v>19</v>
      </c>
      <c r="L2305" t="s">
        <v>20</v>
      </c>
      <c r="M2305" t="s">
        <v>4858</v>
      </c>
      <c r="N2305" t="s">
        <v>4866</v>
      </c>
    </row>
    <row r="2306" x14ac:dyDescent="0.25">
      <c r="A2306" t="n">
        <v>25</v>
      </c>
      <c r="B2306" t="s">
        <v>14</v>
      </c>
      <c r="C2306" t="s">
        <v>15</v>
      </c>
      <c r="D2306" s="2" t="s">
        <f>=HYPERLINK("https://main.knesset.gov.il/APPS/legislation/main/bills/2224341", "חוק הפחתת הגירעון והגבלת ההוצאה התקציבית (תיקון מס' 27), התשפ""ה-2024")</f>
        <v>4867</v>
      </c>
      <c r="E2306" t="s">
        <v>4867</v>
      </c>
      <c r="F2306" t="s">
        <v>14</v>
      </c>
      <c r="G2306" t="s">
        <v>4868</v>
      </c>
      <c r="H2306" t="n">
        <v>3339</v>
      </c>
      <c r="I2306" t="s">
        <v>14</v>
      </c>
      <c r="J2306" t="s">
        <v>18</v>
      </c>
      <c r="K2306" t="s">
        <v>24</v>
      </c>
      <c r="L2306" t="s">
        <v>20</v>
      </c>
      <c r="M2306" t="s">
        <v>4869</v>
      </c>
      <c r="N2306" t="s">
        <v>4870</v>
      </c>
    </row>
    <row r="2307" x14ac:dyDescent="0.25">
      <c r="A2307" t="n">
        <v>25</v>
      </c>
      <c r="B2307" t="s">
        <v>14</v>
      </c>
      <c r="C2307" t="s">
        <v>15</v>
      </c>
      <c r="D2307" s="2" t="s">
        <f>=HYPERLINK("https://main.knesset.gov.il/APPS/legislation/main/bills/2224519", "חוק תקציב נוסף לשנת הכספים 2024 (מס' 3), התשפ""ה-2024")</f>
        <v>4871</v>
      </c>
      <c r="E2307" t="s">
        <v>4871</v>
      </c>
      <c r="F2307" t="s">
        <v>14</v>
      </c>
      <c r="G2307" t="s">
        <v>4872</v>
      </c>
      <c r="H2307" t="n">
        <v>3338</v>
      </c>
      <c r="I2307" t="s">
        <v>14</v>
      </c>
      <c r="J2307" t="s">
        <v>18</v>
      </c>
      <c r="K2307" t="s">
        <v>24</v>
      </c>
      <c r="L2307" t="s">
        <v>20</v>
      </c>
      <c r="M2307" t="s">
        <v>4869</v>
      </c>
      <c r="N2307" t="s">
        <v>4873</v>
      </c>
    </row>
    <row r="2308" x14ac:dyDescent="0.25">
      <c r="A2308" t="n">
        <v>25</v>
      </c>
      <c r="B2308" t="s">
        <v>14</v>
      </c>
      <c r="C2308" t="s">
        <v>51</v>
      </c>
      <c r="D2308" s="2" t="s">
        <f>=HYPERLINK("https://main.knesset.gov.il/APPS/legislation/main/bills/2221933", "הצעת חוק הפיקוח על שירותים פיננסיים (ביטוח) (תיקון - חברות זרות), התשפ""ה-2024")</f>
        <v>4874</v>
      </c>
      <c r="E2308" t="s">
        <v>4874</v>
      </c>
      <c r="F2308" t="s">
        <v>4875</v>
      </c>
      <c r="G2308" t="s">
        <v>14</v>
      </c>
      <c r="H2308">
             </c>
      <c r="I2308" t="s">
        <v>14</v>
      </c>
      <c r="J2308" t="s">
        <v>242</v>
      </c>
      <c r="K2308" t="s">
        <v>14</v>
      </c>
      <c r="L2308" t="s">
        <v>20</v>
      </c>
      <c r="M2308" t="s">
        <v>4869</v>
      </c>
      <c r="N2308" t="s">
        <v>14</v>
      </c>
    </row>
    <row r="2309" x14ac:dyDescent="0.25">
      <c r="A2309" t="n">
        <v>25</v>
      </c>
      <c r="B2309" t="s">
        <v>14</v>
      </c>
      <c r="C2309" t="s">
        <v>51</v>
      </c>
      <c r="D2309" s="2" t="s">
        <f>=HYPERLINK("https://main.knesset.gov.il/APPS/legislation/main/bills/2224717", "הצעת חוק הצמדת שכר שוטרים וסוהרים לשכר משרתי קבע בצה""ל (תיקוני חקיקה), התשפ""ה-2024")</f>
        <v>4876</v>
      </c>
      <c r="E2309" t="s">
        <v>4876</v>
      </c>
      <c r="F2309" t="s">
        <v>4877</v>
      </c>
      <c r="G2309" t="s">
        <v>14</v>
      </c>
      <c r="H2309">
             </c>
      <c r="I2309" t="s">
        <v>14</v>
      </c>
      <c r="J2309" t="s">
        <v>242</v>
      </c>
      <c r="K2309" t="s">
        <v>14</v>
      </c>
      <c r="L2309" t="s">
        <v>20</v>
      </c>
      <c r="M2309" t="s">
        <v>4869</v>
      </c>
      <c r="N2309" t="s">
        <v>14</v>
      </c>
    </row>
    <row r="2310" x14ac:dyDescent="0.25">
      <c r="A2310" t="n">
        <v>25</v>
      </c>
      <c r="B2310" t="s">
        <v>14</v>
      </c>
      <c r="C2310" t="s">
        <v>51</v>
      </c>
      <c r="D2310" s="2" t="s">
        <f>=HYPERLINK("https://main.knesset.gov.il/APPS/legislation/main/bills/2225421", "הצעת חוק הממשלה (תיקון - ביצוע בדיקת פוליגרף לחברי ועדת השרים לענייני ביטחון לאומי), התשפ""ה-2024")</f>
        <v>4878</v>
      </c>
      <c r="E2310" t="s">
        <v>4878</v>
      </c>
      <c r="F2310" t="s">
        <v>4879</v>
      </c>
      <c r="G2310" t="s">
        <v>14</v>
      </c>
      <c r="H2310">
             </c>
      <c r="I2310" t="s">
        <v>14</v>
      </c>
      <c r="J2310" t="s">
        <v>242</v>
      </c>
      <c r="K2310" t="s">
        <v>14</v>
      </c>
      <c r="L2310" t="s">
        <v>20</v>
      </c>
      <c r="M2310" t="s">
        <v>4869</v>
      </c>
      <c r="N2310" t="s">
        <v>14</v>
      </c>
    </row>
    <row r="2311" x14ac:dyDescent="0.25">
      <c r="A2311" t="n">
        <v>25</v>
      </c>
      <c r="B2311" t="s">
        <v>14</v>
      </c>
      <c r="C2311" t="s">
        <v>51</v>
      </c>
      <c r="D2311" s="2" t="s">
        <f>=HYPERLINK("https://main.knesset.gov.il/APPS/legislation/main/bills/2224233", "הצעת חוק גנים לאומיים, שמורות טבע, אתרים לאומיים ואתרי הנצחה (תיקון - כניסת חתן וכלה ללא תשלום), התשפ""ה-2024")</f>
        <v>4880</v>
      </c>
      <c r="E2311" t="s">
        <v>4880</v>
      </c>
      <c r="F2311" t="s">
        <v>4881</v>
      </c>
      <c r="G2311" t="s">
        <v>14</v>
      </c>
      <c r="H2311">
             </c>
      <c r="I2311" t="s">
        <v>14</v>
      </c>
      <c r="J2311" t="s">
        <v>242</v>
      </c>
      <c r="K2311" t="s">
        <v>14</v>
      </c>
      <c r="L2311" t="s">
        <v>20</v>
      </c>
      <c r="M2311" t="s">
        <v>4869</v>
      </c>
      <c r="N2311" t="s">
        <v>14</v>
      </c>
    </row>
    <row r="2312" x14ac:dyDescent="0.25">
      <c r="A2312" t="n">
        <v>25</v>
      </c>
      <c r="B2312" t="s">
        <v>14</v>
      </c>
      <c r="C2312" t="s">
        <v>51</v>
      </c>
      <c r="D2312" s="2" t="s">
        <f>=HYPERLINK("https://main.knesset.gov.il/APPS/legislation/main/bills/2225424", "הצעת חוק מסירת מידע לחברי הכנסת ולוועדות הכנסת (תיקוני חקיקה), התשפ""ה-2024")</f>
        <v>4882</v>
      </c>
      <c r="E2312" t="s">
        <v>4882</v>
      </c>
      <c r="F2312" t="s">
        <v>4883</v>
      </c>
      <c r="G2312" t="s">
        <v>14</v>
      </c>
      <c r="H2312">
             </c>
      <c r="I2312" t="s">
        <v>14</v>
      </c>
      <c r="J2312" t="s">
        <v>242</v>
      </c>
      <c r="K2312" t="s">
        <v>14</v>
      </c>
      <c r="L2312" t="s">
        <v>20</v>
      </c>
      <c r="M2312" t="s">
        <v>4869</v>
      </c>
      <c r="N2312" t="s">
        <v>14</v>
      </c>
    </row>
    <row r="2313" x14ac:dyDescent="0.25">
      <c r="A2313" t="n">
        <v>25</v>
      </c>
      <c r="B2313" t="s">
        <v>14</v>
      </c>
      <c r="C2313" t="s">
        <v>51</v>
      </c>
      <c r="D2313" s="2" t="s">
        <f>=HYPERLINK("https://main.knesset.gov.il/APPS/legislation/main/bills/2223879", "הצעת חוק שירות המדינה (מינויים) (תיקון - מניעת העסקת קרובי משפחה בשירות הציבורי), התשפ""ה-2024")</f>
        <v>4884</v>
      </c>
      <c r="E2313" t="s">
        <v>4884</v>
      </c>
      <c r="F2313" t="s">
        <v>4885</v>
      </c>
      <c r="G2313" t="s">
        <v>14</v>
      </c>
      <c r="H2313">
             </c>
      <c r="I2313" t="s">
        <v>14</v>
      </c>
      <c r="J2313" t="s">
        <v>242</v>
      </c>
      <c r="K2313" t="s">
        <v>14</v>
      </c>
      <c r="L2313" t="s">
        <v>20</v>
      </c>
      <c r="M2313" t="s">
        <v>4869</v>
      </c>
      <c r="N2313" t="s">
        <v>14</v>
      </c>
    </row>
    <row r="2314" x14ac:dyDescent="0.25">
      <c r="A2314" t="n">
        <v>25</v>
      </c>
      <c r="B2314" t="s">
        <v>14</v>
      </c>
      <c r="C2314" t="s">
        <v>51</v>
      </c>
      <c r="D2314" s="2" t="s">
        <f>=HYPERLINK("https://main.knesset.gov.il/APPS/legislation/main/bills/2224878", "הצעת חוק קידום התחרות בענפי המזון והפארם (תיקון - עדכון הגדרת קמעונאי גדול), התשפ""ה-2024")</f>
        <v>4886</v>
      </c>
      <c r="E2314" t="s">
        <v>4886</v>
      </c>
      <c r="F2314" t="s">
        <v>4887</v>
      </c>
      <c r="G2314" t="s">
        <v>14</v>
      </c>
      <c r="H2314">
             </c>
      <c r="I2314" t="s">
        <v>14</v>
      </c>
      <c r="J2314" t="s">
        <v>242</v>
      </c>
      <c r="K2314" t="s">
        <v>14</v>
      </c>
      <c r="L2314" t="s">
        <v>20</v>
      </c>
      <c r="M2314" t="s">
        <v>4869</v>
      </c>
      <c r="N2314" t="s">
        <v>14</v>
      </c>
    </row>
    <row r="2315" x14ac:dyDescent="0.25">
      <c r="A2315" t="n">
        <v>25</v>
      </c>
      <c r="B2315" t="s">
        <v>14</v>
      </c>
      <c r="C2315" t="s">
        <v>51</v>
      </c>
      <c r="D2315" s="2" t="s">
        <f>=HYPERLINK("https://main.knesset.gov.il/APPS/legislation/main/bills/2225662", "הצעת חוק הנגישות הלשונית, התשפ""ה-2024")</f>
        <v>4888</v>
      </c>
      <c r="E2315" t="s">
        <v>4888</v>
      </c>
      <c r="F2315" t="s">
        <v>4889</v>
      </c>
      <c r="G2315" t="s">
        <v>14</v>
      </c>
      <c r="H2315">
             </c>
      <c r="I2315" t="s">
        <v>14</v>
      </c>
      <c r="J2315" t="s">
        <v>242</v>
      </c>
      <c r="K2315" t="s">
        <v>14</v>
      </c>
      <c r="L2315" t="s">
        <v>20</v>
      </c>
      <c r="M2315" t="s">
        <v>4869</v>
      </c>
      <c r="N2315" t="s">
        <v>14</v>
      </c>
    </row>
    <row r="2316" x14ac:dyDescent="0.25">
      <c r="A2316" t="n">
        <v>25</v>
      </c>
      <c r="B2316" t="s">
        <v>14</v>
      </c>
      <c r="C2316" t="s">
        <v>51</v>
      </c>
      <c r="D2316" s="2" t="s">
        <f>=HYPERLINK("https://main.knesset.gov.il/APPS/legislation/main/bills/2224771", "הצעת חוק הדגל, הסמל והמנון המדינה (תיקון - הצבת דגל המדינה בכל כיתות הלימוד בבתי הספר היסודיים והתיכוניים במדינת ישראל), התשפ""ה-2024")</f>
        <v>4890</v>
      </c>
      <c r="E2316" t="s">
        <v>4890</v>
      </c>
      <c r="F2316" t="s">
        <v>4891</v>
      </c>
      <c r="G2316" t="s">
        <v>14</v>
      </c>
      <c r="H2316">
             </c>
      <c r="I2316" t="s">
        <v>14</v>
      </c>
      <c r="J2316" t="s">
        <v>242</v>
      </c>
      <c r="K2316" t="s">
        <v>14</v>
      </c>
      <c r="L2316" t="s">
        <v>20</v>
      </c>
      <c r="M2316" t="s">
        <v>4869</v>
      </c>
      <c r="N2316" t="s">
        <v>14</v>
      </c>
    </row>
    <row r="2317" x14ac:dyDescent="0.25">
      <c r="A2317" t="n">
        <v>25</v>
      </c>
      <c r="B2317" t="s">
        <v>14</v>
      </c>
      <c r="C2317" t="s">
        <v>51</v>
      </c>
      <c r="D2317" s="2" t="s">
        <f>=HYPERLINK("https://main.knesset.gov.il/APPS/legislation/main/bills/2223956", "הצעת חוק העונשין (תיקון - איסור מכירה והחזקה של צעצועים מסוכנים), התשפ""ה-2024")</f>
        <v>4892</v>
      </c>
      <c r="E2317" t="s">
        <v>4892</v>
      </c>
      <c r="F2317" t="s">
        <v>4893</v>
      </c>
      <c r="G2317" t="s">
        <v>14</v>
      </c>
      <c r="H2317">
             </c>
      <c r="I2317" t="s">
        <v>14</v>
      </c>
      <c r="J2317" t="s">
        <v>242</v>
      </c>
      <c r="K2317" t="s">
        <v>14</v>
      </c>
      <c r="L2317" t="s">
        <v>20</v>
      </c>
      <c r="M2317" t="s">
        <v>4869</v>
      </c>
      <c r="N2317" t="s">
        <v>14</v>
      </c>
    </row>
    <row r="2318" x14ac:dyDescent="0.25">
      <c r="A2318" t="n">
        <v>25</v>
      </c>
      <c r="B2318" t="s">
        <v>14</v>
      </c>
      <c r="C2318" t="s">
        <v>51</v>
      </c>
      <c r="D2318" s="2" t="s">
        <f>=HYPERLINK("https://main.knesset.gov.il/APPS/legislation/main/bills/2225690", "הצעת חוק-יסוד: השפיטה (תיקון - סמכויות שיפוט ותקנות סדרי דין באישור ועדה)")</f>
        <v>2129</v>
      </c>
      <c r="E2318" t="s">
        <v>2129</v>
      </c>
      <c r="F2318" t="s">
        <v>4894</v>
      </c>
      <c r="G2318" t="s">
        <v>14</v>
      </c>
      <c r="H2318">
             </c>
      <c r="I2318" t="s">
        <v>14</v>
      </c>
      <c r="J2318" t="s">
        <v>242</v>
      </c>
      <c r="K2318" t="s">
        <v>14</v>
      </c>
      <c r="L2318" t="s">
        <v>20</v>
      </c>
      <c r="M2318" t="s">
        <v>4869</v>
      </c>
      <c r="N2318" t="s">
        <v>14</v>
      </c>
    </row>
    <row r="2319" x14ac:dyDescent="0.25">
      <c r="A2319" t="n">
        <v>25</v>
      </c>
      <c r="B2319" t="s">
        <v>14</v>
      </c>
      <c r="C2319" t="s">
        <v>51</v>
      </c>
      <c r="D2319" s="2" t="s">
        <f>=HYPERLINK("https://main.knesset.gov.il/APPS/legislation/main/bills/2225464", "הצעת חוק הביטוח הלאומי (תיקון - דמי ביטוח מופחתים למעסיק קולט עלייה), התשפ""ה-2024")</f>
        <v>4895</v>
      </c>
      <c r="E2319" t="s">
        <v>4895</v>
      </c>
      <c r="F2319" t="s">
        <v>4896</v>
      </c>
      <c r="G2319" t="s">
        <v>14</v>
      </c>
      <c r="H2319">
             </c>
      <c r="I2319" t="s">
        <v>14</v>
      </c>
      <c r="J2319" t="s">
        <v>242</v>
      </c>
      <c r="K2319" t="s">
        <v>14</v>
      </c>
      <c r="L2319" t="s">
        <v>20</v>
      </c>
      <c r="M2319" t="s">
        <v>4869</v>
      </c>
      <c r="N2319" t="s">
        <v>14</v>
      </c>
    </row>
    <row r="2320" x14ac:dyDescent="0.25">
      <c r="A2320" t="n">
        <v>25</v>
      </c>
      <c r="B2320" t="s">
        <v>14</v>
      </c>
      <c r="C2320" t="s">
        <v>51</v>
      </c>
      <c r="D2320" s="2" t="s">
        <f>=HYPERLINK("https://main.knesset.gov.il/APPS/legislation/main/bills/2225345", "הצעת חוק הביטוח הלאומי (תיקון - הקלות בניידות), התשפ""ה-2024")</f>
        <v>4897</v>
      </c>
      <c r="E2320" t="s">
        <v>4897</v>
      </c>
      <c r="F2320" t="s">
        <v>4898</v>
      </c>
      <c r="G2320" t="s">
        <v>14</v>
      </c>
      <c r="H2320">
             </c>
      <c r="I2320" t="s">
        <v>14</v>
      </c>
      <c r="J2320" t="s">
        <v>242</v>
      </c>
      <c r="K2320" t="s">
        <v>14</v>
      </c>
      <c r="L2320" t="s">
        <v>20</v>
      </c>
      <c r="M2320" t="s">
        <v>4869</v>
      </c>
      <c r="N2320" t="s">
        <v>14</v>
      </c>
    </row>
    <row r="2321" x14ac:dyDescent="0.25">
      <c r="A2321" t="n">
        <v>25</v>
      </c>
      <c r="B2321" t="s">
        <v>14</v>
      </c>
      <c r="C2321" t="s">
        <v>51</v>
      </c>
      <c r="D2321" s="2" t="s">
        <f>=HYPERLINK("https://main.knesset.gov.il/APPS/legislation/main/bills/2225626", "הצעת חוק הסיוע המשפטי (תיקון - סיוע משפטי למטופל סיעודי), התשפ""ה-2024")</f>
        <v>4899</v>
      </c>
      <c r="E2321" t="s">
        <v>4899</v>
      </c>
      <c r="F2321" t="s">
        <v>4900</v>
      </c>
      <c r="G2321" t="s">
        <v>14</v>
      </c>
      <c r="H2321">
             </c>
      <c r="I2321" t="s">
        <v>14</v>
      </c>
      <c r="J2321" t="s">
        <v>242</v>
      </c>
      <c r="K2321" t="s">
        <v>14</v>
      </c>
      <c r="L2321" t="s">
        <v>20</v>
      </c>
      <c r="M2321" t="s">
        <v>4869</v>
      </c>
      <c r="N2321" t="s">
        <v>14</v>
      </c>
    </row>
    <row r="2322" x14ac:dyDescent="0.25">
      <c r="A2322" t="n">
        <v>25</v>
      </c>
      <c r="B2322" t="s">
        <v>14</v>
      </c>
      <c r="C2322" t="s">
        <v>51</v>
      </c>
      <c r="D2322" s="2" t="s">
        <f>=HYPERLINK("https://main.knesset.gov.il/APPS/legislation/main/bills/2225203", "הצעת חוק הקמת שדה תעופה בנבטים, התשפ""ה-2024")</f>
        <v>4072</v>
      </c>
      <c r="E2322" t="s">
        <v>4072</v>
      </c>
      <c r="F2322" t="s">
        <v>4901</v>
      </c>
      <c r="G2322" t="s">
        <v>14</v>
      </c>
      <c r="H2322">
             </c>
      <c r="I2322" t="s">
        <v>14</v>
      </c>
      <c r="J2322" t="s">
        <v>242</v>
      </c>
      <c r="K2322" t="s">
        <v>14</v>
      </c>
      <c r="L2322" t="s">
        <v>20</v>
      </c>
      <c r="M2322" t="s">
        <v>4869</v>
      </c>
      <c r="N2322" t="s">
        <v>14</v>
      </c>
    </row>
    <row r="2323" x14ac:dyDescent="0.25">
      <c r="A2323" t="n">
        <v>25</v>
      </c>
      <c r="B2323" t="s">
        <v>14</v>
      </c>
      <c r="C2323" t="s">
        <v>51</v>
      </c>
      <c r="D2323" s="2" t="s">
        <f>=HYPERLINK("https://main.knesset.gov.il/APPS/legislation/main/bills/2224582", "הצעת חוק חינוך טכנולוגי חובה, התשפ""ה-2024")</f>
        <v>4902</v>
      </c>
      <c r="E2323" t="s">
        <v>4902</v>
      </c>
      <c r="F2323" t="s">
        <v>4903</v>
      </c>
      <c r="G2323" t="s">
        <v>14</v>
      </c>
      <c r="H2323">
             </c>
      <c r="I2323" t="s">
        <v>14</v>
      </c>
      <c r="J2323" t="s">
        <v>242</v>
      </c>
      <c r="K2323" t="s">
        <v>14</v>
      </c>
      <c r="L2323" t="s">
        <v>20</v>
      </c>
      <c r="M2323" t="s">
        <v>4869</v>
      </c>
      <c r="N2323" t="s">
        <v>14</v>
      </c>
    </row>
    <row r="2324" x14ac:dyDescent="0.25">
      <c r="A2324" t="n">
        <v>25</v>
      </c>
      <c r="B2324" t="s">
        <v>14</v>
      </c>
      <c r="C2324" t="s">
        <v>51</v>
      </c>
      <c r="D2324" s="2" t="s">
        <f>=HYPERLINK("https://main.knesset.gov.il/APPS/legislation/main/bills/2225000", "הצעת חוק חינוך חינם לילדים חולים (תיקון - חלופות אשפוז), התשפ""ה-2024")</f>
        <v>4904</v>
      </c>
      <c r="E2324" t="s">
        <v>4904</v>
      </c>
      <c r="F2324" t="s">
        <v>4905</v>
      </c>
      <c r="G2324" t="s">
        <v>14</v>
      </c>
      <c r="H2324">
             </c>
      <c r="I2324" t="s">
        <v>14</v>
      </c>
      <c r="J2324" t="s">
        <v>242</v>
      </c>
      <c r="K2324" t="s">
        <v>14</v>
      </c>
      <c r="L2324" t="s">
        <v>20</v>
      </c>
      <c r="M2324" t="s">
        <v>4869</v>
      </c>
      <c r="N2324" t="s">
        <v>14</v>
      </c>
    </row>
    <row r="2325" x14ac:dyDescent="0.25">
      <c r="A2325" t="n">
        <v>25</v>
      </c>
      <c r="B2325" t="s">
        <v>14</v>
      </c>
      <c r="C2325" t="s">
        <v>51</v>
      </c>
      <c r="D2325" s="2" t="s">
        <f>=HYPERLINK("https://main.knesset.gov.il/APPS/legislation/main/bills/2223372", "הצעת חוק הביטוח הלאומי (תיקון - תיאום דמי ביטוח), התשפ""ה-2024")</f>
        <v>4906</v>
      </c>
      <c r="E2325" t="s">
        <v>4906</v>
      </c>
      <c r="F2325" t="s">
        <v>4907</v>
      </c>
      <c r="G2325" t="s">
        <v>14</v>
      </c>
      <c r="H2325">
             </c>
      <c r="I2325" t="s">
        <v>14</v>
      </c>
      <c r="J2325" t="s">
        <v>242</v>
      </c>
      <c r="K2325" t="s">
        <v>14</v>
      </c>
      <c r="L2325" t="s">
        <v>20</v>
      </c>
      <c r="M2325" t="s">
        <v>4869</v>
      </c>
      <c r="N2325" t="s">
        <v>14</v>
      </c>
    </row>
    <row r="2326" x14ac:dyDescent="0.25">
      <c r="A2326" t="n">
        <v>25</v>
      </c>
      <c r="B2326" t="s">
        <v>14</v>
      </c>
      <c r="C2326" t="s">
        <v>51</v>
      </c>
      <c r="D2326" s="2" t="s">
        <f>=HYPERLINK("https://main.knesset.gov.il/APPS/legislation/main/bills/2215370", "הצעת חוק הכניסה לישראל (תיקון - הרחקת מבצעי עבירת פשע), התשפ""ה-2024")</f>
        <v>4908</v>
      </c>
      <c r="E2326" t="s">
        <v>4908</v>
      </c>
      <c r="F2326" t="s">
        <v>4909</v>
      </c>
      <c r="G2326" t="s">
        <v>14</v>
      </c>
      <c r="H2326">
             </c>
      <c r="I2326" t="s">
        <v>14</v>
      </c>
      <c r="J2326" t="s">
        <v>242</v>
      </c>
      <c r="K2326" t="s">
        <v>14</v>
      </c>
      <c r="L2326" t="s">
        <v>20</v>
      </c>
      <c r="M2326" t="s">
        <v>4869</v>
      </c>
      <c r="N2326" t="s">
        <v>14</v>
      </c>
    </row>
    <row r="2327" x14ac:dyDescent="0.25">
      <c r="A2327" t="n">
        <v>25</v>
      </c>
      <c r="B2327" t="s">
        <v>14</v>
      </c>
      <c r="C2327" t="s">
        <v>51</v>
      </c>
      <c r="D2327" s="2" t="s">
        <f>=HYPERLINK("https://main.knesset.gov.il/APPS/legislation/main/bills/2224219", "הצעת חוק פיקוח על מחירי מצרכים ושירותים (תיקון - פיקוח על מחיר מלח מועשר ביוד), התשפ""ה-2024")</f>
        <v>4910</v>
      </c>
      <c r="E2327" t="s">
        <v>4910</v>
      </c>
      <c r="F2327" t="s">
        <v>4911</v>
      </c>
      <c r="G2327" t="s">
        <v>14</v>
      </c>
      <c r="H2327">
             </c>
      <c r="I2327" t="s">
        <v>14</v>
      </c>
      <c r="J2327" t="s">
        <v>242</v>
      </c>
      <c r="K2327" t="s">
        <v>14</v>
      </c>
      <c r="L2327" t="s">
        <v>20</v>
      </c>
      <c r="M2327" t="s">
        <v>4869</v>
      </c>
      <c r="N2327" t="s">
        <v>14</v>
      </c>
    </row>
    <row r="2328" x14ac:dyDescent="0.25">
      <c r="A2328" t="n">
        <v>25</v>
      </c>
      <c r="B2328" t="s">
        <v>14</v>
      </c>
      <c r="C2328" t="s">
        <v>51</v>
      </c>
      <c r="D2328" s="2" t="s">
        <f>=HYPERLINK("https://main.knesset.gov.il/APPS/legislation/main/bills/2225368", "הצעת חוק פטור מאגרה ללוחמים בשירות מילואים בנסיעה בכבישי אגרה ובנתיבים מהירים (תיקוני חקיקה), התשפ""ה-2024 ")</f>
        <v>4912</v>
      </c>
      <c r="E2328" t="s">
        <v>4912</v>
      </c>
      <c r="F2328" t="s">
        <v>4913</v>
      </c>
      <c r="G2328" t="s">
        <v>14</v>
      </c>
      <c r="H2328">
             </c>
      <c r="I2328" t="s">
        <v>14</v>
      </c>
      <c r="J2328" t="s">
        <v>242</v>
      </c>
      <c r="K2328" t="s">
        <v>14</v>
      </c>
      <c r="L2328" t="s">
        <v>20</v>
      </c>
      <c r="M2328" t="s">
        <v>4869</v>
      </c>
      <c r="N2328" t="s">
        <v>14</v>
      </c>
    </row>
    <row r="2329" x14ac:dyDescent="0.25">
      <c r="A2329" t="n">
        <v>25</v>
      </c>
      <c r="B2329" t="s">
        <v>14</v>
      </c>
      <c r="C2329" t="s">
        <v>51</v>
      </c>
      <c r="D2329" s="2" t="s">
        <f>=HYPERLINK("https://main.knesset.gov.il/APPS/legislation/main/bills/2225528", "הצעת חוק מסירת מידע לחברי הכנסת ולוועדות הכנסת (תיקוני חקיקה), התשפ""ה-2024")</f>
        <v>4882</v>
      </c>
      <c r="E2329" t="s">
        <v>4882</v>
      </c>
      <c r="F2329" t="s">
        <v>4914</v>
      </c>
      <c r="G2329" t="s">
        <v>14</v>
      </c>
      <c r="H2329">
             </c>
      <c r="I2329" t="s">
        <v>14</v>
      </c>
      <c r="J2329" t="s">
        <v>242</v>
      </c>
      <c r="K2329" t="s">
        <v>14</v>
      </c>
      <c r="L2329" t="s">
        <v>20</v>
      </c>
      <c r="M2329" t="s">
        <v>4869</v>
      </c>
      <c r="N2329" t="s">
        <v>14</v>
      </c>
    </row>
    <row r="2330" x14ac:dyDescent="0.25">
      <c r="A2330" t="n">
        <v>25</v>
      </c>
      <c r="B2330" t="s">
        <v>14</v>
      </c>
      <c r="C2330" t="s">
        <v>51</v>
      </c>
      <c r="D2330" s="2" t="s">
        <f>=HYPERLINK("https://main.knesset.gov.il/APPS/legislation/main/bills/2224019", "הצעת חוק פיקוח על מחירי מצרכים ושירותים (תיקון - פיקוח על מחיר מלח מועשר ביוד), התשפ""ה-2024")</f>
        <v>4910</v>
      </c>
      <c r="E2330" t="s">
        <v>4910</v>
      </c>
      <c r="F2330" t="s">
        <v>4915</v>
      </c>
      <c r="G2330" t="s">
        <v>14</v>
      </c>
      <c r="H2330">
             </c>
      <c r="I2330" t="s">
        <v>14</v>
      </c>
      <c r="J2330" t="s">
        <v>242</v>
      </c>
      <c r="K2330" t="s">
        <v>14</v>
      </c>
      <c r="L2330" t="s">
        <v>20</v>
      </c>
      <c r="M2330" t="s">
        <v>4869</v>
      </c>
      <c r="N2330" t="s">
        <v>14</v>
      </c>
    </row>
    <row r="2331" x14ac:dyDescent="0.25">
      <c r="A2331" t="n">
        <v>25</v>
      </c>
      <c r="B2331" t="s">
        <v>14</v>
      </c>
      <c r="C2331" t="s">
        <v>15</v>
      </c>
      <c r="D2331" s="2" t="s">
        <f>=HYPERLINK("https://main.knesset.gov.il/APPS/legislation/main/bills/2223826", "חוק ההתייעלות הכלכלית (תיקוני חקיקה להשגת יעדי התקציב לשנת התקציב 2025) (הקפאת שכר נושאי משרה ברשויות השלטון וברשויות מקומיות בשנת 2025), התשפ""ה–2024")</f>
        <v>4916</v>
      </c>
      <c r="E2331" t="s">
        <v>4916</v>
      </c>
      <c r="F2331" t="s">
        <v>14</v>
      </c>
      <c r="G2331" t="s">
        <v>4648</v>
      </c>
      <c r="H2331" t="n">
        <v>3337</v>
      </c>
      <c r="I2331" t="s">
        <v>14</v>
      </c>
      <c r="J2331" t="s">
        <v>18</v>
      </c>
      <c r="K2331" t="s">
        <v>24</v>
      </c>
      <c r="L2331" t="s">
        <v>20</v>
      </c>
      <c r="M2331" t="s">
        <v>4917</v>
      </c>
      <c r="N2331" t="s">
        <v>4918</v>
      </c>
    </row>
    <row r="2332" x14ac:dyDescent="0.25">
      <c r="A2332" t="n">
        <v>25</v>
      </c>
      <c r="B2332" t="s">
        <v>14</v>
      </c>
      <c r="C2332" t="s">
        <v>15</v>
      </c>
      <c r="D2332" s="2" t="s">
        <f>=HYPERLINK("https://main.knesset.gov.il/APPS/legislation/main/bills/2225386", "חוק לתיקון פקודת מס הכנסה (מס' 275), התשפ""ה–2024")</f>
        <v>4919</v>
      </c>
      <c r="E2332" t="s">
        <v>4919</v>
      </c>
      <c r="F2332" t="s">
        <v>14</v>
      </c>
      <c r="G2332" t="s">
        <v>4440</v>
      </c>
      <c r="H2332" t="n">
        <v>3336</v>
      </c>
      <c r="I2332" t="s">
        <v>14</v>
      </c>
      <c r="J2332" t="s">
        <v>18</v>
      </c>
      <c r="K2332" t="s">
        <v>24</v>
      </c>
      <c r="L2332" t="s">
        <v>20</v>
      </c>
      <c r="M2332" t="s">
        <v>4917</v>
      </c>
      <c r="N2332" t="s">
        <v>4920</v>
      </c>
    </row>
    <row r="2333" x14ac:dyDescent="0.25">
      <c r="A2333" t="n">
        <v>25</v>
      </c>
      <c r="B2333" t="s">
        <v>14</v>
      </c>
      <c r="C2333" t="s">
        <v>15</v>
      </c>
      <c r="D2333" s="2" t="s">
        <f>=HYPERLINK("https://main.knesset.gov.il/APPS/legislation/main/bills/2225247", "חוק לייעול האכיפה והפיקוח העירוניים ברשויות המקומיות (הוראת שעה) (תיקון מס' 14), התשפ""ה-2024")</f>
        <v>4921</v>
      </c>
      <c r="E2333" t="s">
        <v>4921</v>
      </c>
      <c r="F2333" t="s">
        <v>14</v>
      </c>
      <c r="G2333" t="s">
        <v>2852</v>
      </c>
      <c r="H2333" t="n">
        <v>3335</v>
      </c>
      <c r="I2333" t="s">
        <v>14</v>
      </c>
      <c r="J2333" t="s">
        <v>18</v>
      </c>
      <c r="K2333" t="s">
        <v>19</v>
      </c>
      <c r="L2333" t="s">
        <v>20</v>
      </c>
      <c r="M2333" t="s">
        <v>4917</v>
      </c>
      <c r="N2333" t="s">
        <v>4922</v>
      </c>
    </row>
    <row r="2334" x14ac:dyDescent="0.25">
      <c r="A2334" t="n">
        <v>25</v>
      </c>
      <c r="B2334" t="s">
        <v>14</v>
      </c>
      <c r="C2334" t="s">
        <v>51</v>
      </c>
      <c r="D2334" s="2" t="s">
        <f>=HYPERLINK("https://main.knesset.gov.il/APPS/legislation/main/bills/2219982", "הצעת חוק מעמד המשרת בשירות סדיר או בשירות אזרחי, התשפ""ד-2024")</f>
        <v>4923</v>
      </c>
      <c r="E2334" t="s">
        <v>4923</v>
      </c>
      <c r="F2334" t="s">
        <v>4924</v>
      </c>
      <c r="G2334" t="s">
        <v>14</v>
      </c>
      <c r="H2334">
             </c>
      <c r="I2334" t="s">
        <v>14</v>
      </c>
      <c r="J2334" t="s">
        <v>152</v>
      </c>
      <c r="K2334" t="s">
        <v>42</v>
      </c>
      <c r="L2334" t="s">
        <v>20</v>
      </c>
      <c r="M2334" t="s">
        <v>4917</v>
      </c>
      <c r="N2334" t="s">
        <v>14</v>
      </c>
    </row>
    <row r="2335" x14ac:dyDescent="0.25">
      <c r="A2335" t="n">
        <v>25</v>
      </c>
      <c r="B2335" t="s">
        <v>14</v>
      </c>
      <c r="C2335" t="s">
        <v>51</v>
      </c>
      <c r="D2335" s="2" t="s">
        <f>=HYPERLINK("https://main.knesset.gov.il/APPS/legislation/main/bills/2214799", "הצעת חוק קדימות בתור לחיילים, התשפ""ד-2024 ")</f>
        <v>4925</v>
      </c>
      <c r="E2335" t="s">
        <v>4925</v>
      </c>
      <c r="F2335" t="s">
        <v>4926</v>
      </c>
      <c r="G2335" t="s">
        <v>14</v>
      </c>
      <c r="H2335">
             </c>
      <c r="I2335" t="s">
        <v>14</v>
      </c>
      <c r="J2335" t="s">
        <v>152</v>
      </c>
      <c r="K2335" t="s">
        <v>42</v>
      </c>
      <c r="L2335" t="s">
        <v>20</v>
      </c>
      <c r="M2335" t="s">
        <v>4917</v>
      </c>
      <c r="N2335" t="s">
        <v>14</v>
      </c>
    </row>
    <row r="2336" x14ac:dyDescent="0.25">
      <c r="A2336" t="n">
        <v>25</v>
      </c>
      <c r="B2336" t="s">
        <v>14</v>
      </c>
      <c r="C2336" t="s">
        <v>51</v>
      </c>
      <c r="D2336" s="2" t="s">
        <f>=HYPERLINK("https://main.knesset.gov.il/APPS/legislation/main/bills/2202135", "הצעת חוק שירות המדינה (מינויים) (תיקון - מתן העדפה למשרתים בהעדפה מתקנת), התשפ""ג-2023")</f>
        <v>4927</v>
      </c>
      <c r="E2336" t="s">
        <v>4927</v>
      </c>
      <c r="F2336" t="s">
        <v>4928</v>
      </c>
      <c r="G2336" t="s">
        <v>14</v>
      </c>
      <c r="H2336">
             </c>
      <c r="I2336" t="s">
        <v>14</v>
      </c>
      <c r="J2336" t="s">
        <v>152</v>
      </c>
      <c r="K2336" t="s">
        <v>42</v>
      </c>
      <c r="L2336" t="s">
        <v>20</v>
      </c>
      <c r="M2336" t="s">
        <v>4917</v>
      </c>
      <c r="N2336" t="s">
        <v>14</v>
      </c>
    </row>
    <row r="2337" x14ac:dyDescent="0.25">
      <c r="A2337" t="n">
        <v>25</v>
      </c>
      <c r="B2337" t="s">
        <v>14</v>
      </c>
      <c r="C2337" t="s">
        <v>51</v>
      </c>
      <c r="D2337" s="2" t="s">
        <f>=HYPERLINK("https://main.knesset.gov.il/APPS/legislation/main/bills/2198088", "הצעת חוק זכויות התורמים למדינה, התשפ""ג-2023")</f>
        <v>4929</v>
      </c>
      <c r="E2337" t="s">
        <v>4929</v>
      </c>
      <c r="F2337" t="s">
        <v>4930</v>
      </c>
      <c r="G2337" t="s">
        <v>14</v>
      </c>
      <c r="H2337">
             </c>
      <c r="I2337" t="s">
        <v>14</v>
      </c>
      <c r="J2337" t="s">
        <v>152</v>
      </c>
      <c r="K2337" t="s">
        <v>42</v>
      </c>
      <c r="L2337" t="s">
        <v>20</v>
      </c>
      <c r="M2337" t="s">
        <v>4917</v>
      </c>
      <c r="N2337" t="s">
        <v>14</v>
      </c>
    </row>
    <row r="2338" x14ac:dyDescent="0.25">
      <c r="A2338" t="n">
        <v>25</v>
      </c>
      <c r="B2338" t="s">
        <v>14</v>
      </c>
      <c r="C2338" t="s">
        <v>51</v>
      </c>
      <c r="D2338" s="2" t="s">
        <f>=HYPERLINK("https://main.knesset.gov.il/APPS/legislation/main/bills/2197013", "הצעת חוק למתן הטבות למשרתים במילואים, התשפ""ה-2024")</f>
        <v>4931</v>
      </c>
      <c r="E2338" t="s">
        <v>4931</v>
      </c>
      <c r="F2338" t="s">
        <v>1787</v>
      </c>
      <c r="G2338" t="s">
        <v>14</v>
      </c>
      <c r="H2338">
             </c>
      <c r="I2338" t="s">
        <v>14</v>
      </c>
      <c r="J2338" t="s">
        <v>152</v>
      </c>
      <c r="K2338" t="s">
        <v>42</v>
      </c>
      <c r="L2338" t="s">
        <v>20</v>
      </c>
      <c r="M2338" t="s">
        <v>4917</v>
      </c>
      <c r="N2338" t="s">
        <v>14</v>
      </c>
    </row>
    <row r="2339" x14ac:dyDescent="0.25">
      <c r="A2339" t="n">
        <v>25</v>
      </c>
      <c r="B2339" t="s">
        <v>14</v>
      </c>
      <c r="C2339" t="s">
        <v>51</v>
      </c>
      <c r="D2339" s="2" t="s">
        <f>=HYPERLINK("https://main.knesset.gov.il/APPS/legislation/main/bills/2210667", "הצעת חוק לימוד חובה (תיקון - ביטול גביית תשלומי הורים והשתתפות עצמית), התשפ""ד-2024")</f>
        <v>4932</v>
      </c>
      <c r="E2339" t="s">
        <v>4932</v>
      </c>
      <c r="F2339" t="s">
        <v>4933</v>
      </c>
      <c r="G2339" t="s">
        <v>14</v>
      </c>
      <c r="H2339">
             </c>
      <c r="I2339" t="s">
        <v>14</v>
      </c>
      <c r="J2339" t="s">
        <v>193</v>
      </c>
      <c r="K2339" t="s">
        <v>14</v>
      </c>
      <c r="L2339" t="s">
        <v>20</v>
      </c>
      <c r="M2339" t="s">
        <v>4917</v>
      </c>
      <c r="N2339" t="s">
        <v>14</v>
      </c>
    </row>
    <row r="2340" x14ac:dyDescent="0.25">
      <c r="A2340" t="n">
        <v>25</v>
      </c>
      <c r="B2340" t="s">
        <v>14</v>
      </c>
      <c r="C2340" t="s">
        <v>51</v>
      </c>
      <c r="D2340" s="2" t="s">
        <f>=HYPERLINK("https://main.knesset.gov.il/APPS/legislation/main/bills/2215899", "הצעת חוק העונשין (תיקון - איסור מכירה והחזקה של צעצועים מסוכנים), התשפ""ד-2024")</f>
        <v>4934</v>
      </c>
      <c r="E2340" t="s">
        <v>4934</v>
      </c>
      <c r="F2340" t="s">
        <v>4935</v>
      </c>
      <c r="G2340" t="s">
        <v>14</v>
      </c>
      <c r="H2340">
             </c>
      <c r="I2340" t="s">
        <v>14</v>
      </c>
      <c r="J2340" t="s">
        <v>152</v>
      </c>
      <c r="K2340" t="s">
        <v>27</v>
      </c>
      <c r="L2340" t="s">
        <v>20</v>
      </c>
      <c r="M2340" t="s">
        <v>4917</v>
      </c>
      <c r="N2340" t="s">
        <v>14</v>
      </c>
    </row>
    <row r="2341" x14ac:dyDescent="0.25">
      <c r="A2341" t="n">
        <v>25</v>
      </c>
      <c r="B2341" t="s">
        <v>14</v>
      </c>
      <c r="C2341" t="s">
        <v>51</v>
      </c>
      <c r="D2341" s="2" t="s">
        <f>=HYPERLINK("https://main.knesset.gov.il/APPS/legislation/main/bills/2206220", "הצעת חוק חינוך ממלכתי (תיקון - מועצה לחינוך ממלכתי כללי), התשפ""ד-2024")</f>
        <v>4936</v>
      </c>
      <c r="E2341" t="s">
        <v>4936</v>
      </c>
      <c r="F2341" t="s">
        <v>4937</v>
      </c>
      <c r="G2341" t="s">
        <v>14</v>
      </c>
      <c r="H2341">
             </c>
      <c r="I2341" t="s">
        <v>14</v>
      </c>
      <c r="J2341" t="s">
        <v>193</v>
      </c>
      <c r="K2341" t="s">
        <v>14</v>
      </c>
      <c r="L2341" t="s">
        <v>20</v>
      </c>
      <c r="M2341" t="s">
        <v>4917</v>
      </c>
      <c r="N2341" t="s">
        <v>14</v>
      </c>
    </row>
    <row r="2342" x14ac:dyDescent="0.25">
      <c r="A2342" t="n">
        <v>25</v>
      </c>
      <c r="B2342" t="s">
        <v>14</v>
      </c>
      <c r="C2342" t="s">
        <v>51</v>
      </c>
      <c r="D2342" s="2" t="s">
        <f>=HYPERLINK("https://main.knesset.gov.il/APPS/legislation/main/bills/2198155", "הצעת חוק-יסוד: ישראל - מדינת הלאום של העם היהודי (תיקון - ביטול החוק)")</f>
        <v>4938</v>
      </c>
      <c r="E2342" t="s">
        <v>4938</v>
      </c>
      <c r="F2342" t="s">
        <v>4939</v>
      </c>
      <c r="G2342" t="s">
        <v>14</v>
      </c>
      <c r="H2342">
             </c>
      <c r="I2342" t="s">
        <v>14</v>
      </c>
      <c r="J2342" t="s">
        <v>193</v>
      </c>
      <c r="K2342" t="s">
        <v>14</v>
      </c>
      <c r="L2342" t="s">
        <v>20</v>
      </c>
      <c r="M2342" t="s">
        <v>4917</v>
      </c>
      <c r="N2342" t="s">
        <v>14</v>
      </c>
    </row>
    <row r="2343" x14ac:dyDescent="0.25">
      <c r="A2343" t="n">
        <v>25</v>
      </c>
      <c r="B2343" t="s">
        <v>14</v>
      </c>
      <c r="C2343" t="s">
        <v>51</v>
      </c>
      <c r="D2343" s="2" t="s">
        <f>=HYPERLINK("https://main.knesset.gov.il/APPS/legislation/main/bills/2197961", "הצעת חוק זכויות התלמיד (תיקון - הנפקת תעודות בגרות), התשפ""ג-2022")</f>
        <v>4940</v>
      </c>
      <c r="E2343" t="s">
        <v>4940</v>
      </c>
      <c r="F2343" t="s">
        <v>4941</v>
      </c>
      <c r="G2343" t="s">
        <v>14</v>
      </c>
      <c r="H2343">
             </c>
      <c r="I2343" t="s">
        <v>14</v>
      </c>
      <c r="J2343" t="s">
        <v>193</v>
      </c>
      <c r="K2343" t="s">
        <v>14</v>
      </c>
      <c r="L2343" t="s">
        <v>20</v>
      </c>
      <c r="M2343" t="s">
        <v>4917</v>
      </c>
      <c r="N2343" t="s">
        <v>14</v>
      </c>
    </row>
    <row r="2344" x14ac:dyDescent="0.25">
      <c r="A2344" t="n">
        <v>25</v>
      </c>
      <c r="B2344" t="s">
        <v>14</v>
      </c>
      <c r="C2344" t="s">
        <v>51</v>
      </c>
      <c r="D2344" s="2" t="s">
        <f>=HYPERLINK("https://main.knesset.gov.il/APPS/legislation/main/bills/2206768", "הצעת חוק איסור לכידת בעלי חיים באמצעות מלכודות, התשפ""ג-2023")</f>
        <v>4942</v>
      </c>
      <c r="E2344" t="s">
        <v>4942</v>
      </c>
      <c r="F2344" t="s">
        <v>4943</v>
      </c>
      <c r="G2344" t="s">
        <v>14</v>
      </c>
      <c r="H2344">
             </c>
      <c r="I2344" t="s">
        <v>14</v>
      </c>
      <c r="J2344" t="s">
        <v>183</v>
      </c>
      <c r="K2344" t="s">
        <v>79</v>
      </c>
      <c r="L2344" t="s">
        <v>20</v>
      </c>
      <c r="M2344" t="s">
        <v>4944</v>
      </c>
      <c r="N2344" t="s">
        <v>14</v>
      </c>
    </row>
    <row r="2345" x14ac:dyDescent="0.25">
      <c r="A2345" t="n">
        <v>25</v>
      </c>
      <c r="B2345" t="s">
        <v>14</v>
      </c>
      <c r="C2345" t="s">
        <v>51</v>
      </c>
      <c r="D2345" s="2" t="s">
        <f>=HYPERLINK("https://main.knesset.gov.il/APPS/legislation/main/bills/2219934", "חוק משפחות חיילים שנספו במערכה (תגמולים ושיקום) (תיקון מס' 45), התשפ""ה–2024")</f>
        <v>4945</v>
      </c>
      <c r="E2345" t="s">
        <v>4945</v>
      </c>
      <c r="F2345" t="s">
        <v>4946</v>
      </c>
      <c r="G2345" t="s">
        <v>4947</v>
      </c>
      <c r="H2345" t="n">
        <v>3334</v>
      </c>
      <c r="I2345" t="s">
        <v>14</v>
      </c>
      <c r="J2345" t="s">
        <v>18</v>
      </c>
      <c r="K2345" t="s">
        <v>46</v>
      </c>
      <c r="L2345" t="s">
        <v>20</v>
      </c>
      <c r="M2345" t="s">
        <v>4944</v>
      </c>
      <c r="N2345" t="s">
        <v>4948</v>
      </c>
    </row>
    <row r="2346" x14ac:dyDescent="0.25">
      <c r="A2346" t="n">
        <v>25</v>
      </c>
      <c r="B2346" t="s">
        <v>14</v>
      </c>
      <c r="C2346" t="s">
        <v>51</v>
      </c>
      <c r="D2346" s="2" t="s">
        <f>=HYPERLINK("https://main.knesset.gov.il/APPS/legislation/main/bills/2224081", "הצעת חוק מס ערך מוסף (תיקון - סובסידיה בגני ילדים), התשפ""ה-2024")</f>
        <v>4949</v>
      </c>
      <c r="E2346" t="s">
        <v>4949</v>
      </c>
      <c r="F2346" t="s">
        <v>4950</v>
      </c>
      <c r="G2346" t="s">
        <v>14</v>
      </c>
      <c r="H2346">
             </c>
      <c r="I2346" t="s">
        <v>14</v>
      </c>
      <c r="J2346" t="s">
        <v>242</v>
      </c>
      <c r="K2346" t="s">
        <v>14</v>
      </c>
      <c r="L2346" t="s">
        <v>20</v>
      </c>
      <c r="M2346" t="s">
        <v>4951</v>
      </c>
      <c r="N2346" t="s">
        <v>14</v>
      </c>
    </row>
    <row r="2347" x14ac:dyDescent="0.25">
      <c r="A2347" t="n">
        <v>25</v>
      </c>
      <c r="B2347" t="s">
        <v>14</v>
      </c>
      <c r="C2347" t="s">
        <v>51</v>
      </c>
      <c r="D2347" s="2" t="s">
        <f>=HYPERLINK("https://main.knesset.gov.il/APPS/legislation/main/bills/2224431", "הצעת חוק רשות מקרקעי ישראל (תיקון - הקצאת קרקע בלא תמורה באזורי עדיפות לאומית לחיילים וחיילות בתפקידי לוחמה ולמשרתי מילואים), התשפ""ה-2024")</f>
        <v>4952</v>
      </c>
      <c r="E2347" t="s">
        <v>4952</v>
      </c>
      <c r="F2347" t="s">
        <v>4953</v>
      </c>
      <c r="G2347" t="s">
        <v>14</v>
      </c>
      <c r="H2347">
             </c>
      <c r="I2347" t="s">
        <v>14</v>
      </c>
      <c r="J2347" t="s">
        <v>242</v>
      </c>
      <c r="K2347" t="s">
        <v>14</v>
      </c>
      <c r="L2347" t="s">
        <v>20</v>
      </c>
      <c r="M2347" t="s">
        <v>4951</v>
      </c>
      <c r="N2347" t="s">
        <v>14</v>
      </c>
    </row>
    <row r="2348" x14ac:dyDescent="0.25">
      <c r="A2348" t="n">
        <v>25</v>
      </c>
      <c r="B2348" t="s">
        <v>14</v>
      </c>
      <c r="C2348" t="s">
        <v>51</v>
      </c>
      <c r="D2348" s="2" t="s">
        <f>=HYPERLINK("https://main.knesset.gov.il/APPS/legislation/main/bills/2224557", "הצעת חוק חינוך פיננסי חובה, התשפ""ה-2024")</f>
        <v>4954</v>
      </c>
      <c r="E2348" t="s">
        <v>4954</v>
      </c>
      <c r="F2348" t="s">
        <v>4955</v>
      </c>
      <c r="G2348" t="s">
        <v>14</v>
      </c>
      <c r="H2348">
             </c>
      <c r="I2348" t="s">
        <v>14</v>
      </c>
      <c r="J2348" t="s">
        <v>242</v>
      </c>
      <c r="K2348" t="s">
        <v>14</v>
      </c>
      <c r="L2348" t="s">
        <v>20</v>
      </c>
      <c r="M2348" t="s">
        <v>4951</v>
      </c>
      <c r="N2348" t="s">
        <v>14</v>
      </c>
    </row>
    <row r="2349" x14ac:dyDescent="0.25">
      <c r="A2349" t="n">
        <v>25</v>
      </c>
      <c r="B2349" t="s">
        <v>14</v>
      </c>
      <c r="C2349" t="s">
        <v>51</v>
      </c>
      <c r="D2349" s="2" t="s">
        <f>=HYPERLINK("https://main.knesset.gov.il/APPS/legislation/main/bills/2224164", "הצעת חוק מגבלות על חזרתו של מורשע בעבירת אלימות חמורה לסביבת נפגעי העבירה, התשפ""ה-2024")</f>
        <v>4956</v>
      </c>
      <c r="E2349" t="s">
        <v>4956</v>
      </c>
      <c r="F2349" t="s">
        <v>4957</v>
      </c>
      <c r="G2349" t="s">
        <v>14</v>
      </c>
      <c r="H2349">
             </c>
      <c r="I2349" t="s">
        <v>14</v>
      </c>
      <c r="J2349" t="s">
        <v>242</v>
      </c>
      <c r="K2349" t="s">
        <v>14</v>
      </c>
      <c r="L2349" t="s">
        <v>20</v>
      </c>
      <c r="M2349" t="s">
        <v>4951</v>
      </c>
      <c r="N2349" t="s">
        <v>14</v>
      </c>
    </row>
    <row r="2350" x14ac:dyDescent="0.25">
      <c r="A2350" t="n">
        <v>25</v>
      </c>
      <c r="B2350" t="s">
        <v>14</v>
      </c>
      <c r="C2350" t="s">
        <v>51</v>
      </c>
      <c r="D2350" s="2" t="s">
        <f>=HYPERLINK("https://main.knesset.gov.il/APPS/legislation/main/bills/2224471", "הצעת חוק מסירת מידע סודי לראש הממשלה ולשרים (תיקוני חקיקה), התשפ""ה-2024")</f>
        <v>1631</v>
      </c>
      <c r="E2350" t="s">
        <v>1631</v>
      </c>
      <c r="F2350" t="s">
        <v>4958</v>
      </c>
      <c r="G2350" t="s">
        <v>14</v>
      </c>
      <c r="H2350">
             </c>
      <c r="I2350" t="s">
        <v>14</v>
      </c>
      <c r="J2350" t="s">
        <v>242</v>
      </c>
      <c r="K2350" t="s">
        <v>14</v>
      </c>
      <c r="L2350" t="s">
        <v>20</v>
      </c>
      <c r="M2350" t="s">
        <v>4951</v>
      </c>
      <c r="N2350" t="s">
        <v>14</v>
      </c>
    </row>
    <row r="2351" x14ac:dyDescent="0.25">
      <c r="A2351" t="n">
        <v>25</v>
      </c>
      <c r="B2351" t="s">
        <v>14</v>
      </c>
      <c r="C2351" t="s">
        <v>51</v>
      </c>
      <c r="D2351" s="2" t="s">
        <f>=HYPERLINK("https://main.knesset.gov.il/APPS/legislation/main/bills/2224616", "הצעת חוק רשות מקרקעי ישראל (תיקון - הקצאת קרקע בלא תמורה בנגב או בגליל למשרת מילואים), התשפ""ה-2024")</f>
        <v>4959</v>
      </c>
      <c r="E2351" t="s">
        <v>4959</v>
      </c>
      <c r="F2351" t="s">
        <v>4960</v>
      </c>
      <c r="G2351" t="s">
        <v>14</v>
      </c>
      <c r="H2351">
             </c>
      <c r="I2351" t="s">
        <v>14</v>
      </c>
      <c r="J2351" t="s">
        <v>242</v>
      </c>
      <c r="K2351" t="s">
        <v>14</v>
      </c>
      <c r="L2351" t="s">
        <v>20</v>
      </c>
      <c r="M2351" t="s">
        <v>4951</v>
      </c>
      <c r="N2351" t="s">
        <v>14</v>
      </c>
    </row>
    <row r="2352" x14ac:dyDescent="0.25">
      <c r="A2352" t="n">
        <v>25</v>
      </c>
      <c r="B2352" t="s">
        <v>14</v>
      </c>
      <c r="C2352" t="s">
        <v>51</v>
      </c>
      <c r="D2352" s="2" t="s">
        <f>=HYPERLINK("https://main.knesset.gov.il/APPS/legislation/main/bills/2224676", "הצעת חוק המאבק בטרור (תיקון - העלאת רף ענישה לנותני שירות או מידע לארגוני טרור או מדינות אויב המממנות פעילויות טרור), התשפ""ה-2024")</f>
        <v>4961</v>
      </c>
      <c r="E2352" t="s">
        <v>4961</v>
      </c>
      <c r="F2352" t="s">
        <v>4962</v>
      </c>
      <c r="G2352" t="s">
        <v>14</v>
      </c>
      <c r="H2352">
             </c>
      <c r="I2352" t="s">
        <v>14</v>
      </c>
      <c r="J2352" t="s">
        <v>242</v>
      </c>
      <c r="K2352" t="s">
        <v>14</v>
      </c>
      <c r="L2352" t="s">
        <v>20</v>
      </c>
      <c r="M2352" t="s">
        <v>4951</v>
      </c>
      <c r="N2352" t="s">
        <v>14</v>
      </c>
    </row>
    <row r="2353" x14ac:dyDescent="0.25">
      <c r="A2353" t="n">
        <v>25</v>
      </c>
      <c r="B2353" t="s">
        <v>14</v>
      </c>
      <c r="C2353" t="s">
        <v>51</v>
      </c>
      <c r="D2353" s="2" t="s">
        <f>=HYPERLINK("https://main.knesset.gov.il/APPS/legislation/main/bills/2223032", "הצעת חוק העונשין (תיקון - עונש מנימום והחמרת הענישה בעבירת הסתה לגזענות שנעברה בידי עובד ציבור), התשפ""ה-2024")</f>
        <v>4963</v>
      </c>
      <c r="E2353" t="s">
        <v>4963</v>
      </c>
      <c r="F2353" t="s">
        <v>4964</v>
      </c>
      <c r="G2353" t="s">
        <v>14</v>
      </c>
      <c r="H2353">
             </c>
      <c r="I2353" t="s">
        <v>14</v>
      </c>
      <c r="J2353" t="s">
        <v>242</v>
      </c>
      <c r="K2353" t="s">
        <v>14</v>
      </c>
      <c r="L2353" t="s">
        <v>20</v>
      </c>
      <c r="M2353" t="s">
        <v>4951</v>
      </c>
      <c r="N2353" t="s">
        <v>14</v>
      </c>
    </row>
    <row r="2354" x14ac:dyDescent="0.25">
      <c r="A2354" t="n">
        <v>25</v>
      </c>
      <c r="B2354" t="s">
        <v>14</v>
      </c>
      <c r="C2354" t="s">
        <v>51</v>
      </c>
      <c r="D2354" s="2" t="s">
        <f>=HYPERLINK("https://main.knesset.gov.il/APPS/legislation/main/bills/2224246", "הצעת חוק המאבק בטרור (תיקון - החמרת ענישה), התשפ""ה-2024")</f>
        <v>4965</v>
      </c>
      <c r="E2354" t="s">
        <v>4965</v>
      </c>
      <c r="F2354" t="s">
        <v>4966</v>
      </c>
      <c r="G2354" t="s">
        <v>14</v>
      </c>
      <c r="H2354">
             </c>
      <c r="I2354" t="s">
        <v>14</v>
      </c>
      <c r="J2354" t="s">
        <v>242</v>
      </c>
      <c r="K2354" t="s">
        <v>14</v>
      </c>
      <c r="L2354" t="s">
        <v>20</v>
      </c>
      <c r="M2354" t="s">
        <v>4951</v>
      </c>
      <c r="N2354" t="s">
        <v>14</v>
      </c>
    </row>
    <row r="2355" x14ac:dyDescent="0.25">
      <c r="A2355" t="n">
        <v>25</v>
      </c>
      <c r="B2355" t="s">
        <v>14</v>
      </c>
      <c r="C2355" t="s">
        <v>51</v>
      </c>
      <c r="D2355" s="2" t="s">
        <f>=HYPERLINK("https://main.knesset.gov.il/APPS/legislation/main/bills/2225223", "הצעת חוק פטור מאגרה ללוחמים בשירות מילואים בנסיעה בכבישי אגרה ובנתיבים מהירים (תיקוני חקיקה), התשפ""ה-2024 ")</f>
        <v>4912</v>
      </c>
      <c r="E2355" t="s">
        <v>4912</v>
      </c>
      <c r="F2355" t="s">
        <v>4967</v>
      </c>
      <c r="G2355" t="s">
        <v>14</v>
      </c>
      <c r="H2355">
             </c>
      <c r="I2355" t="s">
        <v>14</v>
      </c>
      <c r="J2355" t="s">
        <v>242</v>
      </c>
      <c r="K2355" t="s">
        <v>14</v>
      </c>
      <c r="L2355" t="s">
        <v>20</v>
      </c>
      <c r="M2355" t="s">
        <v>4951</v>
      </c>
      <c r="N2355" t="s">
        <v>14</v>
      </c>
    </row>
    <row r="2356" x14ac:dyDescent="0.25">
      <c r="A2356" t="n">
        <v>25</v>
      </c>
      <c r="B2356" t="s">
        <v>14</v>
      </c>
      <c r="C2356" t="s">
        <v>51</v>
      </c>
      <c r="D2356" s="2" t="s">
        <f>=HYPERLINK("https://main.knesset.gov.il/APPS/legislation/main/bills/2225250", "הצעת חוק הבנקאות (שירות ללקוח) (תיקון - מסירת מידע על פוליסות ביטוח), התשפ""ה-2024")</f>
        <v>4968</v>
      </c>
      <c r="E2356" t="s">
        <v>4968</v>
      </c>
      <c r="F2356" t="s">
        <v>4969</v>
      </c>
      <c r="G2356" t="s">
        <v>14</v>
      </c>
      <c r="H2356">
             </c>
      <c r="I2356" t="s">
        <v>14</v>
      </c>
      <c r="J2356" t="s">
        <v>242</v>
      </c>
      <c r="K2356" t="s">
        <v>14</v>
      </c>
      <c r="L2356" t="s">
        <v>20</v>
      </c>
      <c r="M2356" t="s">
        <v>4951</v>
      </c>
      <c r="N2356" t="s">
        <v>14</v>
      </c>
    </row>
    <row r="2357" x14ac:dyDescent="0.25">
      <c r="A2357" t="n">
        <v>25</v>
      </c>
      <c r="B2357" t="s">
        <v>14</v>
      </c>
      <c r="C2357" t="s">
        <v>51</v>
      </c>
      <c r="D2357" s="2" t="s">
        <f>=HYPERLINK("https://main.knesset.gov.il/APPS/legislation/main/bills/2225049", "הצעת חוק עוסק בכלכלת הפלטפורמה, התשפ""ה-2024")</f>
        <v>4970</v>
      </c>
      <c r="E2357" t="s">
        <v>4970</v>
      </c>
      <c r="F2357" t="s">
        <v>4971</v>
      </c>
      <c r="G2357" t="s">
        <v>14</v>
      </c>
      <c r="H2357">
             </c>
      <c r="I2357" t="s">
        <v>14</v>
      </c>
      <c r="J2357" t="s">
        <v>242</v>
      </c>
      <c r="K2357" t="s">
        <v>14</v>
      </c>
      <c r="L2357" t="s">
        <v>20</v>
      </c>
      <c r="M2357" t="s">
        <v>4951</v>
      </c>
      <c r="N2357" t="s">
        <v>14</v>
      </c>
    </row>
    <row r="2358" x14ac:dyDescent="0.25">
      <c r="A2358" t="n">
        <v>25</v>
      </c>
      <c r="B2358" t="s">
        <v>14</v>
      </c>
      <c r="C2358" t="s">
        <v>51</v>
      </c>
      <c r="D2358" s="2" t="s">
        <f>=HYPERLINK("https://main.knesset.gov.il/APPS/legislation/main/bills/2225248", "הצעת חוק שיקים ללא כיסוי (תיקון - הודעה על אי-כיבוד הרשאה לחיוב חשבון), התשפ""ה-2024")</f>
        <v>4972</v>
      </c>
      <c r="E2358" t="s">
        <v>4972</v>
      </c>
      <c r="F2358" t="s">
        <v>4973</v>
      </c>
      <c r="G2358" t="s">
        <v>14</v>
      </c>
      <c r="H2358">
             </c>
      <c r="I2358" t="s">
        <v>14</v>
      </c>
      <c r="J2358" t="s">
        <v>242</v>
      </c>
      <c r="K2358" t="s">
        <v>14</v>
      </c>
      <c r="L2358" t="s">
        <v>20</v>
      </c>
      <c r="M2358" t="s">
        <v>4951</v>
      </c>
      <c r="N2358" t="s">
        <v>14</v>
      </c>
    </row>
    <row r="2359" x14ac:dyDescent="0.25">
      <c r="A2359" t="n">
        <v>25</v>
      </c>
      <c r="B2359" t="s">
        <v>14</v>
      </c>
      <c r="C2359" t="s">
        <v>51</v>
      </c>
      <c r="D2359" s="2" t="s">
        <f>=HYPERLINK("https://main.knesset.gov.il/APPS/legislation/main/bills/2222525", "הצעת חוק הבנקאות (שירות ללקוח) (תיקון - מסירת מידע על עמלות וריביות בשל פירעון מוקדם של הלוואה), התשפ""ה-2024")</f>
        <v>4974</v>
      </c>
      <c r="E2359" t="s">
        <v>4974</v>
      </c>
      <c r="F2359" t="s">
        <v>4975</v>
      </c>
      <c r="G2359" t="s">
        <v>14</v>
      </c>
      <c r="H2359">
             </c>
      <c r="I2359" t="s">
        <v>14</v>
      </c>
      <c r="J2359" t="s">
        <v>242</v>
      </c>
      <c r="K2359" t="s">
        <v>14</v>
      </c>
      <c r="L2359" t="s">
        <v>20</v>
      </c>
      <c r="M2359" t="s">
        <v>4951</v>
      </c>
      <c r="N2359" t="s">
        <v>14</v>
      </c>
    </row>
    <row r="2360" x14ac:dyDescent="0.25">
      <c r="A2360" t="n">
        <v>25</v>
      </c>
      <c r="B2360" t="s">
        <v>14</v>
      </c>
      <c r="C2360" t="s">
        <v>51</v>
      </c>
      <c r="D2360" s="2" t="s">
        <f>=HYPERLINK("https://main.knesset.gov.il/APPS/legislation/main/bills/2224487", "הצעת חוק שירות המילואים (תיקון - ביטוח פנסיוני), התשפ""ה-2024")</f>
        <v>4976</v>
      </c>
      <c r="E2360" t="s">
        <v>4976</v>
      </c>
      <c r="F2360" t="s">
        <v>4977</v>
      </c>
      <c r="G2360" t="s">
        <v>14</v>
      </c>
      <c r="H2360">
             </c>
      <c r="I2360" t="s">
        <v>14</v>
      </c>
      <c r="J2360" t="s">
        <v>242</v>
      </c>
      <c r="K2360" t="s">
        <v>14</v>
      </c>
      <c r="L2360" t="s">
        <v>20</v>
      </c>
      <c r="M2360" t="s">
        <v>4951</v>
      </c>
      <c r="N2360" t="s">
        <v>14</v>
      </c>
    </row>
    <row r="2361" x14ac:dyDescent="0.25">
      <c r="A2361" t="n">
        <v>25</v>
      </c>
      <c r="B2361" t="s">
        <v>14</v>
      </c>
      <c r="C2361" t="s">
        <v>51</v>
      </c>
      <c r="D2361" s="2" t="s">
        <f>=HYPERLINK("https://main.knesset.gov.il/APPS/legislation/main/bills/2225244", "הצעת חוק הביטוח הלאומי (תיקון - מסלול ברירת מחדל בהפקדות לחיסכון ארוך טווח לילד), התשפ""ה-2024")</f>
        <v>4978</v>
      </c>
      <c r="E2361" t="s">
        <v>4978</v>
      </c>
      <c r="F2361" t="s">
        <v>4979</v>
      </c>
      <c r="G2361" t="s">
        <v>14</v>
      </c>
      <c r="H2361">
             </c>
      <c r="I2361" t="s">
        <v>14</v>
      </c>
      <c r="J2361" t="s">
        <v>242</v>
      </c>
      <c r="K2361" t="s">
        <v>14</v>
      </c>
      <c r="L2361" t="s">
        <v>20</v>
      </c>
      <c r="M2361" t="s">
        <v>4951</v>
      </c>
      <c r="N2361" t="s">
        <v>14</v>
      </c>
    </row>
    <row r="2362" x14ac:dyDescent="0.25">
      <c r="A2362" t="n">
        <v>25</v>
      </c>
      <c r="B2362" t="s">
        <v>14</v>
      </c>
      <c r="C2362" t="s">
        <v>51</v>
      </c>
      <c r="D2362" s="2" t="s">
        <f>=HYPERLINK("https://main.knesset.gov.il/APPS/legislation/main/bills/2224473", "הצעת חוק ההתנתקות והפיצויים לנפגעיה (תיקון - נוכחות וחופש תנועה לישראלים בחבל עזה), התשפ""ה-2024 ")</f>
        <v>4980</v>
      </c>
      <c r="E2362" t="s">
        <v>4980</v>
      </c>
      <c r="F2362" t="s">
        <v>4981</v>
      </c>
      <c r="G2362" t="s">
        <v>14</v>
      </c>
      <c r="H2362">
             </c>
      <c r="I2362" t="s">
        <v>14</v>
      </c>
      <c r="J2362" t="s">
        <v>242</v>
      </c>
      <c r="K2362" t="s">
        <v>14</v>
      </c>
      <c r="L2362" t="s">
        <v>20</v>
      </c>
      <c r="M2362" t="s">
        <v>4951</v>
      </c>
      <c r="N2362" t="s">
        <v>14</v>
      </c>
    </row>
    <row r="2363" x14ac:dyDescent="0.25">
      <c r="A2363" t="n">
        <v>25</v>
      </c>
      <c r="B2363" t="s">
        <v>14</v>
      </c>
      <c r="C2363" t="s">
        <v>51</v>
      </c>
      <c r="D2363" s="2" t="s">
        <f>=HYPERLINK("https://main.knesset.gov.il/APPS/legislation/main/bills/2224403", "הצעת חוק מס ערך מוסף (תיקון - העברת חובות לתשלום מס ערך מוסף בייבוא שירותים דיגיטליים), התשפ""ה-2024")</f>
        <v>4982</v>
      </c>
      <c r="E2363" t="s">
        <v>4982</v>
      </c>
      <c r="F2363" t="s">
        <v>4983</v>
      </c>
      <c r="G2363" t="s">
        <v>14</v>
      </c>
      <c r="H2363">
             </c>
      <c r="I2363" t="s">
        <v>14</v>
      </c>
      <c r="J2363" t="s">
        <v>242</v>
      </c>
      <c r="K2363" t="s">
        <v>14</v>
      </c>
      <c r="L2363" t="s">
        <v>20</v>
      </c>
      <c r="M2363" t="s">
        <v>4951</v>
      </c>
      <c r="N2363" t="s">
        <v>14</v>
      </c>
    </row>
    <row r="2364" x14ac:dyDescent="0.25">
      <c r="A2364" t="n">
        <v>25</v>
      </c>
      <c r="B2364" t="s">
        <v>14</v>
      </c>
      <c r="C2364" t="s">
        <v>51</v>
      </c>
      <c r="D2364" s="2" t="s">
        <f>=HYPERLINK("https://main.knesset.gov.il/APPS/legislation/main/bills/2225246", "הצעת חוק טיפול בפעוט עם מוגבלות (תיקוני חקיקה), התשפ""ה-2024")</f>
        <v>4984</v>
      </c>
      <c r="E2364" t="s">
        <v>4984</v>
      </c>
      <c r="F2364" t="s">
        <v>4985</v>
      </c>
      <c r="G2364" t="s">
        <v>14</v>
      </c>
      <c r="H2364">
             </c>
      <c r="I2364" t="s">
        <v>14</v>
      </c>
      <c r="J2364" t="s">
        <v>242</v>
      </c>
      <c r="K2364" t="s">
        <v>14</v>
      </c>
      <c r="L2364" t="s">
        <v>20</v>
      </c>
      <c r="M2364" t="s">
        <v>4951</v>
      </c>
      <c r="N2364" t="s">
        <v>14</v>
      </c>
    </row>
    <row r="2365" x14ac:dyDescent="0.25">
      <c r="A2365" t="n">
        <v>25</v>
      </c>
      <c r="B2365" t="s">
        <v>14</v>
      </c>
      <c r="C2365" t="s">
        <v>51</v>
      </c>
      <c r="D2365" s="2" t="s">
        <f>=HYPERLINK("https://main.knesset.gov.il/APPS/legislation/main/bills/2225066", "הצעת חוק פיתוח והתחדשות של יישובים באזור חבל תקומה (תיקוני חקיקה, פיצויים, הטבות, הנצחה והוראת שעה), התשפ""ה-2024")</f>
        <v>4986</v>
      </c>
      <c r="E2365" t="s">
        <v>4986</v>
      </c>
      <c r="F2365" t="s">
        <v>4987</v>
      </c>
      <c r="G2365" t="s">
        <v>14</v>
      </c>
      <c r="H2365">
             </c>
      <c r="I2365" t="s">
        <v>14</v>
      </c>
      <c r="J2365" t="s">
        <v>242</v>
      </c>
      <c r="K2365" t="s">
        <v>14</v>
      </c>
      <c r="L2365" t="s">
        <v>20</v>
      </c>
      <c r="M2365" t="s">
        <v>4951</v>
      </c>
      <c r="N2365" t="s">
        <v>14</v>
      </c>
    </row>
    <row r="2366" x14ac:dyDescent="0.25">
      <c r="A2366" t="n">
        <v>25</v>
      </c>
      <c r="B2366" t="s">
        <v>14</v>
      </c>
      <c r="C2366" t="s">
        <v>51</v>
      </c>
      <c r="D2366" s="2" t="s">
        <f>=HYPERLINK("https://main.knesset.gov.il/APPS/legislation/main/bills/2225119", "הצעת חוק תקצוב מיוחד לרשויות חינוך מקומיות מרוחקות, התשפ""ה-2024")</f>
        <v>4988</v>
      </c>
      <c r="E2366" t="s">
        <v>4988</v>
      </c>
      <c r="F2366" t="s">
        <v>4989</v>
      </c>
      <c r="G2366" t="s">
        <v>14</v>
      </c>
      <c r="H2366">
             </c>
      <c r="I2366" t="s">
        <v>14</v>
      </c>
      <c r="J2366" t="s">
        <v>242</v>
      </c>
      <c r="K2366" t="s">
        <v>14</v>
      </c>
      <c r="L2366" t="s">
        <v>20</v>
      </c>
      <c r="M2366" t="s">
        <v>4951</v>
      </c>
      <c r="N2366" t="s">
        <v>14</v>
      </c>
    </row>
    <row r="2367" x14ac:dyDescent="0.25">
      <c r="A2367" t="n">
        <v>25</v>
      </c>
      <c r="B2367" t="s">
        <v>14</v>
      </c>
      <c r="C2367" t="s">
        <v>51</v>
      </c>
      <c r="D2367" s="2" t="s">
        <f>=HYPERLINK("https://main.knesset.gov.il/APPS/legislation/main/bills/2224145", "הצעת חוק הרשות לגיל הרך, התשפ""ה-2024")</f>
        <v>4990</v>
      </c>
      <c r="E2367" t="s">
        <v>4990</v>
      </c>
      <c r="F2367" t="s">
        <v>4991</v>
      </c>
      <c r="G2367" t="s">
        <v>14</v>
      </c>
      <c r="H2367">
             </c>
      <c r="I2367" t="s">
        <v>14</v>
      </c>
      <c r="J2367" t="s">
        <v>242</v>
      </c>
      <c r="K2367" t="s">
        <v>14</v>
      </c>
      <c r="L2367" t="s">
        <v>20</v>
      </c>
      <c r="M2367" t="s">
        <v>4951</v>
      </c>
      <c r="N2367" t="s">
        <v>14</v>
      </c>
    </row>
    <row r="2368" x14ac:dyDescent="0.25">
      <c r="A2368" t="n">
        <v>25</v>
      </c>
      <c r="B2368" t="s">
        <v>14</v>
      </c>
      <c r="C2368" t="s">
        <v>51</v>
      </c>
      <c r="D2368" s="2" t="s">
        <f>=HYPERLINK("https://main.knesset.gov.il/APPS/legislation/main/bills/2225279", "הצעת חוק חינוך ממלכתי (תיקון - חינוך פיננסי), התשפ""ה-2024")</f>
        <v>4992</v>
      </c>
      <c r="E2368" t="s">
        <v>4992</v>
      </c>
      <c r="F2368" t="s">
        <v>4993</v>
      </c>
      <c r="G2368" t="s">
        <v>14</v>
      </c>
      <c r="H2368">
             </c>
      <c r="I2368" t="s">
        <v>14</v>
      </c>
      <c r="J2368" t="s">
        <v>242</v>
      </c>
      <c r="K2368" t="s">
        <v>14</v>
      </c>
      <c r="L2368" t="s">
        <v>20</v>
      </c>
      <c r="M2368" t="s">
        <v>4951</v>
      </c>
      <c r="N2368" t="s">
        <v>14</v>
      </c>
    </row>
    <row r="2369" x14ac:dyDescent="0.25">
      <c r="A2369" t="n">
        <v>25</v>
      </c>
      <c r="B2369" t="s">
        <v>14</v>
      </c>
      <c r="C2369" t="s">
        <v>51</v>
      </c>
      <c r="D2369" s="2" t="s">
        <f>=HYPERLINK("https://main.knesset.gov.il/APPS/legislation/main/bills/2224485", "הצעת חוק לתיקון פקודת מס הכנסה (זיכוי למעסיק שעובדיו משרתים במילואים), התשפ""ה-2024")</f>
        <v>4994</v>
      </c>
      <c r="E2369" t="s">
        <v>4994</v>
      </c>
      <c r="F2369" t="s">
        <v>4995</v>
      </c>
      <c r="G2369" t="s">
        <v>14</v>
      </c>
      <c r="H2369">
             </c>
      <c r="I2369" t="s">
        <v>14</v>
      </c>
      <c r="J2369" t="s">
        <v>202</v>
      </c>
      <c r="K2369" t="s">
        <v>14</v>
      </c>
      <c r="L2369" t="s">
        <v>20</v>
      </c>
      <c r="M2369" t="s">
        <v>4951</v>
      </c>
      <c r="N2369" t="s">
        <v>14</v>
      </c>
    </row>
    <row r="2370" x14ac:dyDescent="0.25">
      <c r="A2370" t="n">
        <v>25</v>
      </c>
      <c r="B2370" t="s">
        <v>14</v>
      </c>
      <c r="C2370" t="s">
        <v>51</v>
      </c>
      <c r="D2370" s="2" t="s">
        <f>=HYPERLINK("https://main.knesset.gov.il/APPS/legislation/main/bills/2224765", "הצעת חוק החברות (תיקון - פרסום דוחות כספיים של מונופול), התשפ""ה-2024")</f>
        <v>4996</v>
      </c>
      <c r="E2370" t="s">
        <v>4996</v>
      </c>
      <c r="F2370" t="s">
        <v>4997</v>
      </c>
      <c r="G2370" t="s">
        <v>14</v>
      </c>
      <c r="H2370">
             </c>
      <c r="I2370" t="s">
        <v>14</v>
      </c>
      <c r="J2370" t="s">
        <v>242</v>
      </c>
      <c r="K2370" t="s">
        <v>14</v>
      </c>
      <c r="L2370" t="s">
        <v>20</v>
      </c>
      <c r="M2370" t="s">
        <v>4951</v>
      </c>
      <c r="N2370" t="s">
        <v>14</v>
      </c>
    </row>
    <row r="2371" x14ac:dyDescent="0.25">
      <c r="A2371" t="n">
        <v>25</v>
      </c>
      <c r="B2371" t="s">
        <v>14</v>
      </c>
      <c r="C2371" t="s">
        <v>51</v>
      </c>
      <c r="D2371" s="2" t="s">
        <f>=HYPERLINK("https://main.knesset.gov.il/APPS/legislation/main/bills/2225110", "הצעת חוק אסדרת שוק הקנאביס לצריכה עצמית, התשפ""ה-2024")</f>
        <v>4998</v>
      </c>
      <c r="E2371" t="s">
        <v>4998</v>
      </c>
      <c r="F2371" t="s">
        <v>4999</v>
      </c>
      <c r="G2371" t="s">
        <v>14</v>
      </c>
      <c r="H2371">
             </c>
      <c r="I2371" t="s">
        <v>14</v>
      </c>
      <c r="J2371" t="s">
        <v>242</v>
      </c>
      <c r="K2371" t="s">
        <v>14</v>
      </c>
      <c r="L2371" t="s">
        <v>20</v>
      </c>
      <c r="M2371" t="s">
        <v>4951</v>
      </c>
      <c r="N2371" t="s">
        <v>14</v>
      </c>
    </row>
    <row r="2372" x14ac:dyDescent="0.25">
      <c r="A2372" t="n">
        <v>25</v>
      </c>
      <c r="B2372" t="s">
        <v>14</v>
      </c>
      <c r="C2372" t="s">
        <v>51</v>
      </c>
      <c r="D2372" s="2" t="s">
        <f>=HYPERLINK("https://main.knesset.gov.il/APPS/legislation/main/bills/2223720", "הצעת חוק הרשות לפיתוח הנגב (תיקון - הגדרת הנגב), התשפ""ה-2024")</f>
        <v>5000</v>
      </c>
      <c r="E2372" t="s">
        <v>5000</v>
      </c>
      <c r="F2372" t="s">
        <v>5001</v>
      </c>
      <c r="G2372" t="s">
        <v>14</v>
      </c>
      <c r="H2372">
             </c>
      <c r="I2372" t="s">
        <v>14</v>
      </c>
      <c r="J2372" t="s">
        <v>242</v>
      </c>
      <c r="K2372" t="s">
        <v>14</v>
      </c>
      <c r="L2372" t="s">
        <v>20</v>
      </c>
      <c r="M2372" t="s">
        <v>4951</v>
      </c>
      <c r="N2372" t="s">
        <v>14</v>
      </c>
    </row>
    <row r="2373" x14ac:dyDescent="0.25">
      <c r="A2373" t="n">
        <v>25</v>
      </c>
      <c r="B2373" t="s">
        <v>14</v>
      </c>
      <c r="C2373" t="s">
        <v>51</v>
      </c>
      <c r="D2373" s="2" t="s">
        <f>=HYPERLINK("https://main.knesset.gov.il/APPS/legislation/main/bills/2225012", "הצעת חוק הסיוע המשפטי (תיקון - סיוע משפטי למטופל סיעודי), התשפ""ה-2024")</f>
        <v>4899</v>
      </c>
      <c r="E2373" t="s">
        <v>4899</v>
      </c>
      <c r="F2373" t="s">
        <v>5002</v>
      </c>
      <c r="G2373" t="s">
        <v>14</v>
      </c>
      <c r="H2373">
             </c>
      <c r="I2373" t="s">
        <v>14</v>
      </c>
      <c r="J2373" t="s">
        <v>242</v>
      </c>
      <c r="K2373" t="s">
        <v>14</v>
      </c>
      <c r="L2373" t="s">
        <v>20</v>
      </c>
      <c r="M2373" t="s">
        <v>4951</v>
      </c>
      <c r="N2373" t="s">
        <v>14</v>
      </c>
    </row>
    <row r="2374" x14ac:dyDescent="0.25">
      <c r="A2374" t="n">
        <v>25</v>
      </c>
      <c r="B2374" t="s">
        <v>14</v>
      </c>
      <c r="C2374" t="s">
        <v>51</v>
      </c>
      <c r="D2374" s="2" t="s">
        <f>=HYPERLINK("https://main.knesset.gov.il/APPS/legislation/main/bills/2224617", "הצעת חוק חסינות חברי הכנסת, זכויותיהם וחובותיהם (תיקון - התנהגות חברי הכנסת במליאה ובוועדות), התשפ""ה-2024")</f>
        <v>5003</v>
      </c>
      <c r="E2374" t="s">
        <v>5003</v>
      </c>
      <c r="F2374" t="s">
        <v>5004</v>
      </c>
      <c r="G2374" t="s">
        <v>14</v>
      </c>
      <c r="H2374">
             </c>
      <c r="I2374" t="s">
        <v>14</v>
      </c>
      <c r="J2374" t="s">
        <v>242</v>
      </c>
      <c r="K2374" t="s">
        <v>14</v>
      </c>
      <c r="L2374" t="s">
        <v>20</v>
      </c>
      <c r="M2374" t="s">
        <v>4951</v>
      </c>
      <c r="N2374" t="s">
        <v>14</v>
      </c>
    </row>
    <row r="2375" x14ac:dyDescent="0.25">
      <c r="A2375" t="n">
        <v>25</v>
      </c>
      <c r="B2375" t="s">
        <v>14</v>
      </c>
      <c r="C2375" t="s">
        <v>51</v>
      </c>
      <c r="D2375" s="2" t="s">
        <f>=HYPERLINK("https://main.knesset.gov.il/APPS/legislation/main/bills/2225153", "הצעת חוק חינוך ממלכתי (תיקון - חינוך פיננסי), התשפ""ה-2024")</f>
        <v>4992</v>
      </c>
      <c r="E2375" t="s">
        <v>4992</v>
      </c>
      <c r="F2375" t="s">
        <v>5005</v>
      </c>
      <c r="G2375" t="s">
        <v>14</v>
      </c>
      <c r="H2375">
             </c>
      <c r="I2375" t="s">
        <v>14</v>
      </c>
      <c r="J2375" t="s">
        <v>242</v>
      </c>
      <c r="K2375" t="s">
        <v>14</v>
      </c>
      <c r="L2375" t="s">
        <v>20</v>
      </c>
      <c r="M2375" t="s">
        <v>4951</v>
      </c>
      <c r="N2375" t="s">
        <v>14</v>
      </c>
    </row>
    <row r="2376" x14ac:dyDescent="0.25">
      <c r="A2376" t="n">
        <v>25</v>
      </c>
      <c r="B2376" t="s">
        <v>14</v>
      </c>
      <c r="C2376" t="s">
        <v>51</v>
      </c>
      <c r="D2376" s="2" t="s">
        <f>=HYPERLINK("https://main.knesset.gov.il/APPS/legislation/main/bills/2225048", "הצעת חוק חינוך ממלכתי (תיקון - חינוך פיננסי), התשפ""ה-2024")</f>
        <v>4992</v>
      </c>
      <c r="E2376" t="s">
        <v>4992</v>
      </c>
      <c r="F2376" t="s">
        <v>5006</v>
      </c>
      <c r="G2376" t="s">
        <v>14</v>
      </c>
      <c r="H2376">
             </c>
      <c r="I2376" t="s">
        <v>14</v>
      </c>
      <c r="J2376" t="s">
        <v>242</v>
      </c>
      <c r="K2376" t="s">
        <v>14</v>
      </c>
      <c r="L2376" t="s">
        <v>20</v>
      </c>
      <c r="M2376" t="s">
        <v>4951</v>
      </c>
      <c r="N2376" t="s">
        <v>14</v>
      </c>
    </row>
    <row r="2377" x14ac:dyDescent="0.25">
      <c r="A2377" t="n">
        <v>25</v>
      </c>
      <c r="B2377" t="s">
        <v>14</v>
      </c>
      <c r="C2377" t="s">
        <v>51</v>
      </c>
      <c r="D2377" s="2" t="s">
        <f>=HYPERLINK("https://main.knesset.gov.il/APPS/legislation/main/bills/2218124", "הצעת חוק הרשויות המקומיות (בחירת ראש הרשות וסגניו וכהונתם) (תיקון מס' 40), התשפ""ה-2024")</f>
        <v>5007</v>
      </c>
      <c r="E2377" t="s">
        <v>5007</v>
      </c>
      <c r="F2377" t="s">
        <v>5008</v>
      </c>
      <c r="G2377" t="s">
        <v>5009</v>
      </c>
      <c r="H2377">
             </c>
      <c r="I2377" t="s">
        <v>14</v>
      </c>
      <c r="J2377" t="s">
        <v>232</v>
      </c>
      <c r="K2377" t="s">
        <v>30</v>
      </c>
      <c r="L2377" t="s">
        <v>20</v>
      </c>
      <c r="M2377" t="s">
        <v>4951</v>
      </c>
      <c r="N2377" t="s">
        <v>14</v>
      </c>
    </row>
    <row r="2378" x14ac:dyDescent="0.25">
      <c r="A2378" t="n">
        <v>25</v>
      </c>
      <c r="B2378" t="s">
        <v>14</v>
      </c>
      <c r="C2378" t="s">
        <v>51</v>
      </c>
      <c r="D2378" s="2" t="s">
        <f>=HYPERLINK("https://main.knesset.gov.il/APPS/legislation/main/bills/2214419", "חוק הגנה על הציבור מפני ארגוני פשיעה, התשפ""ה-2024")</f>
        <v>5010</v>
      </c>
      <c r="E2378" t="s">
        <v>5010</v>
      </c>
      <c r="F2378" t="s">
        <v>5011</v>
      </c>
      <c r="G2378" t="s">
        <v>5012</v>
      </c>
      <c r="H2378" t="n">
        <v>3333</v>
      </c>
      <c r="I2378" t="s">
        <v>14</v>
      </c>
      <c r="J2378" t="s">
        <v>18</v>
      </c>
      <c r="K2378" t="s">
        <v>19</v>
      </c>
      <c r="L2378" t="s">
        <v>20</v>
      </c>
      <c r="M2378" t="s">
        <v>5013</v>
      </c>
      <c r="N2378" t="s">
        <v>5014</v>
      </c>
    </row>
    <row r="2379" x14ac:dyDescent="0.25">
      <c r="A2379" t="n">
        <v>25</v>
      </c>
      <c r="B2379" t="s">
        <v>14</v>
      </c>
      <c r="C2379" t="s">
        <v>51</v>
      </c>
      <c r="D2379" s="2" t="s">
        <f>=HYPERLINK("https://main.knesset.gov.il/APPS/legislation/main/bills/2211439", "חוק מניעת מימון לייצוג משפטי בידי מדינת ישראל (חשוד, נאשם או מורשע בעבירת ביטחון - חרבות ברזל), התשפ""ה–2024")</f>
        <v>5015</v>
      </c>
      <c r="E2379" t="s">
        <v>5015</v>
      </c>
      <c r="F2379" t="s">
        <v>5016</v>
      </c>
      <c r="G2379" t="s">
        <v>5017</v>
      </c>
      <c r="H2379" t="n">
        <v>3332</v>
      </c>
      <c r="I2379" t="s">
        <v>14</v>
      </c>
      <c r="J2379" t="s">
        <v>18</v>
      </c>
      <c r="K2379" t="s">
        <v>27</v>
      </c>
      <c r="L2379" t="s">
        <v>20</v>
      </c>
      <c r="M2379" t="s">
        <v>5013</v>
      </c>
      <c r="N2379" t="s">
        <v>5018</v>
      </c>
    </row>
    <row r="2380" x14ac:dyDescent="0.25">
      <c r="A2380" t="n">
        <v>25</v>
      </c>
      <c r="B2380" t="s">
        <v>14</v>
      </c>
      <c r="C2380" t="s">
        <v>51</v>
      </c>
      <c r="D2380" s="2" t="s">
        <f>=HYPERLINK("https://main.knesset.gov.il/APPS/legislation/main/bills/2217793", "הצעת חוק הכניסה לישראל (תיקון - אי-מתן אשרה ורישיון ישיבה לקורא להשמדתה של מדינת ישראל או אזרחיה), התשפ""ד-2024")</f>
        <v>5019</v>
      </c>
      <c r="E2380" t="s">
        <v>5019</v>
      </c>
      <c r="F2380" t="s">
        <v>5020</v>
      </c>
      <c r="G2380" t="s">
        <v>14</v>
      </c>
      <c r="H2380">
             </c>
      <c r="I2380" t="s">
        <v>14</v>
      </c>
      <c r="J2380" t="s">
        <v>202</v>
      </c>
      <c r="K2380" t="s">
        <v>14</v>
      </c>
      <c r="L2380" t="s">
        <v>20</v>
      </c>
      <c r="M2380" t="s">
        <v>5013</v>
      </c>
      <c r="N2380" t="s">
        <v>14</v>
      </c>
    </row>
    <row r="2381" x14ac:dyDescent="0.25">
      <c r="A2381" t="n">
        <v>25</v>
      </c>
      <c r="B2381" t="s">
        <v>14</v>
      </c>
      <c r="C2381" t="s">
        <v>51</v>
      </c>
      <c r="D2381" s="2" t="s">
        <f>=HYPERLINK("https://main.knesset.gov.il/APPS/legislation/main/bills/2213778", "הצעת חוק דמי מחלה (היעדרות בשל מחלת ילד) (תיקון - ימי מחלה נוספים בשל מחלת ילד לבני זוג של משרתי מילואים), התשפ""ד-2024")</f>
        <v>5021</v>
      </c>
      <c r="E2381" t="s">
        <v>5021</v>
      </c>
      <c r="F2381" t="s">
        <v>5022</v>
      </c>
      <c r="G2381" t="s">
        <v>14</v>
      </c>
      <c r="H2381">
             </c>
      <c r="I2381" t="s">
        <v>14</v>
      </c>
      <c r="J2381" t="s">
        <v>193</v>
      </c>
      <c r="K2381" t="s">
        <v>14</v>
      </c>
      <c r="L2381" t="s">
        <v>20</v>
      </c>
      <c r="M2381" t="s">
        <v>5013</v>
      </c>
      <c r="N2381" t="s">
        <v>14</v>
      </c>
    </row>
    <row r="2382" x14ac:dyDescent="0.25">
      <c r="A2382" t="n">
        <v>25</v>
      </c>
      <c r="B2382" t="s">
        <v>14</v>
      </c>
      <c r="C2382" t="s">
        <v>51</v>
      </c>
      <c r="D2382" s="2" t="s">
        <f>=HYPERLINK("https://main.knesset.gov.il/APPS/legislation/main/bills/2209742", "הצעת חוק לתיקון פקודת מס הכנסה (נקודות זיכוי להורי חיילים), התשפ""ד-2023")</f>
        <v>5023</v>
      </c>
      <c r="E2382" t="s">
        <v>5023</v>
      </c>
      <c r="F2382" t="s">
        <v>5024</v>
      </c>
      <c r="G2382" t="s">
        <v>14</v>
      </c>
      <c r="H2382">
             </c>
      <c r="I2382" t="s">
        <v>14</v>
      </c>
      <c r="J2382" t="s">
        <v>193</v>
      </c>
      <c r="K2382" t="s">
        <v>14</v>
      </c>
      <c r="L2382" t="s">
        <v>20</v>
      </c>
      <c r="M2382" t="s">
        <v>5013</v>
      </c>
      <c r="N2382" t="s">
        <v>14</v>
      </c>
    </row>
    <row r="2383" x14ac:dyDescent="0.25">
      <c r="A2383" t="n">
        <v>25</v>
      </c>
      <c r="B2383" t="s">
        <v>14</v>
      </c>
      <c r="C2383" t="s">
        <v>51</v>
      </c>
      <c r="D2383" s="2" t="s">
        <f>=HYPERLINK("https://main.knesset.gov.il/APPS/legislation/main/bills/2201102", "הצעת חוק בתי המשפט (תיקון - שקיפות בארגונים נתמכים), התשפ""ג-2023")</f>
        <v>5025</v>
      </c>
      <c r="E2383" t="s">
        <v>5025</v>
      </c>
      <c r="F2383" t="s">
        <v>5026</v>
      </c>
      <c r="G2383" t="s">
        <v>14</v>
      </c>
      <c r="H2383">
             </c>
      <c r="I2383" t="s">
        <v>14</v>
      </c>
      <c r="J2383" t="s">
        <v>152</v>
      </c>
      <c r="K2383" t="s">
        <v>27</v>
      </c>
      <c r="L2383" t="s">
        <v>20</v>
      </c>
      <c r="M2383" t="s">
        <v>5013</v>
      </c>
      <c r="N2383" t="s">
        <v>14</v>
      </c>
    </row>
    <row r="2384" x14ac:dyDescent="0.25">
      <c r="A2384" t="n">
        <v>25</v>
      </c>
      <c r="B2384" t="s">
        <v>14</v>
      </c>
      <c r="C2384" t="s">
        <v>51</v>
      </c>
      <c r="D2384" s="2" t="s">
        <f>=HYPERLINK("https://main.knesset.gov.il/APPS/legislation/main/bills/2201638", "הצעת חוק איסור הפליה במוצרים, בשירותים ובכניסה למקומות בידור ולמקומות ציבוריים (תיקון - הגדלת סכום הפיצוי בלא הוכחת נזק), התשפ""ג-2023")</f>
        <v>5027</v>
      </c>
      <c r="E2384" t="s">
        <v>5027</v>
      </c>
      <c r="F2384" t="s">
        <v>5028</v>
      </c>
      <c r="G2384" t="s">
        <v>14</v>
      </c>
      <c r="H2384">
             </c>
      <c r="I2384" t="s">
        <v>14</v>
      </c>
      <c r="J2384" t="s">
        <v>193</v>
      </c>
      <c r="K2384" t="s">
        <v>14</v>
      </c>
      <c r="L2384" t="s">
        <v>20</v>
      </c>
      <c r="M2384" t="s">
        <v>5013</v>
      </c>
      <c r="N2384" t="s">
        <v>14</v>
      </c>
    </row>
    <row r="2385" x14ac:dyDescent="0.25">
      <c r="A2385" t="n">
        <v>25</v>
      </c>
      <c r="B2385" t="s">
        <v>14</v>
      </c>
      <c r="C2385" t="s">
        <v>51</v>
      </c>
      <c r="D2385" s="2" t="s">
        <f>=HYPERLINK("https://main.knesset.gov.il/APPS/legislation/main/bills/2200149", "הצעת חוק לתיקון פקודת תעריף המכס והפטורים (העלאת רף הפטור ממכס על חפצים ל-400 דולר), התשפ""ג-2023")</f>
        <v>5029</v>
      </c>
      <c r="E2385" t="s">
        <v>5029</v>
      </c>
      <c r="F2385" t="s">
        <v>5030</v>
      </c>
      <c r="G2385" t="s">
        <v>14</v>
      </c>
      <c r="H2385">
             </c>
      <c r="I2385" t="s">
        <v>14</v>
      </c>
      <c r="J2385" t="s">
        <v>202</v>
      </c>
      <c r="K2385" t="s">
        <v>14</v>
      </c>
      <c r="L2385" t="s">
        <v>20</v>
      </c>
      <c r="M2385" t="s">
        <v>5013</v>
      </c>
      <c r="N2385" t="s">
        <v>14</v>
      </c>
    </row>
    <row r="2386" x14ac:dyDescent="0.25">
      <c r="A2386" t="n">
        <v>25</v>
      </c>
      <c r="B2386" t="s">
        <v>14</v>
      </c>
      <c r="C2386" t="s">
        <v>51</v>
      </c>
      <c r="D2386" s="2" t="s">
        <f>=HYPERLINK("https://main.knesset.gov.il/APPS/legislation/main/bills/2196827", "הצעת חוק המאבק בטרור (תיקון - אי-החזרת גופות מחבלים), התשפ""ג-2023")</f>
        <v>5031</v>
      </c>
      <c r="E2386" t="s">
        <v>5031</v>
      </c>
      <c r="F2386" t="s">
        <v>5032</v>
      </c>
      <c r="G2386" t="s">
        <v>14</v>
      </c>
      <c r="H2386">
             </c>
      <c r="I2386" t="s">
        <v>14</v>
      </c>
      <c r="J2386" t="s">
        <v>152</v>
      </c>
      <c r="K2386" t="s">
        <v>39</v>
      </c>
      <c r="L2386" t="s">
        <v>20</v>
      </c>
      <c r="M2386" t="s">
        <v>5013</v>
      </c>
      <c r="N2386" t="s">
        <v>14</v>
      </c>
    </row>
    <row r="2387" x14ac:dyDescent="0.25">
      <c r="A2387" t="n">
        <v>25</v>
      </c>
      <c r="B2387" t="s">
        <v>14</v>
      </c>
      <c r="C2387" t="s">
        <v>51</v>
      </c>
      <c r="D2387" s="2" t="s">
        <f>=HYPERLINK("https://main.knesset.gov.il/APPS/legislation/main/bills/2217236", "הצעת חוק-יסוד: שירות מילואים")</f>
        <v>5033</v>
      </c>
      <c r="E2387" t="s">
        <v>5033</v>
      </c>
      <c r="F2387" t="s">
        <v>5034</v>
      </c>
      <c r="G2387" t="s">
        <v>14</v>
      </c>
      <c r="H2387">
             </c>
      <c r="I2387" t="s">
        <v>14</v>
      </c>
      <c r="J2387" t="s">
        <v>152</v>
      </c>
      <c r="K2387" t="s">
        <v>39</v>
      </c>
      <c r="L2387" t="s">
        <v>20</v>
      </c>
      <c r="M2387" t="s">
        <v>5035</v>
      </c>
      <c r="N2387" t="s">
        <v>14</v>
      </c>
    </row>
    <row r="2388" x14ac:dyDescent="0.25">
      <c r="A2388" t="n">
        <v>25</v>
      </c>
      <c r="B2388" t="s">
        <v>14</v>
      </c>
      <c r="C2388" t="s">
        <v>51</v>
      </c>
      <c r="D2388" s="2" t="s">
        <f>=HYPERLINK("https://main.knesset.gov.il/APPS/legislation/main/bills/2214928", "הצעת חוק הקפאת כספים ששילמה הרשות הפלסטינית בזיקה לטרור מהכספים המועברים אליה מממשלת ישראל (תיקון - חילוט הכספים וניהולם), התשפ""ד-2024")</f>
        <v>5036</v>
      </c>
      <c r="E2388" t="s">
        <v>5036</v>
      </c>
      <c r="F2388" t="s">
        <v>5037</v>
      </c>
      <c r="G2388" t="s">
        <v>14</v>
      </c>
      <c r="H2388">
             </c>
      <c r="I2388" t="s">
        <v>14</v>
      </c>
      <c r="J2388" t="s">
        <v>152</v>
      </c>
      <c r="K2388" t="s">
        <v>39</v>
      </c>
      <c r="L2388" t="s">
        <v>20</v>
      </c>
      <c r="M2388" t="s">
        <v>5035</v>
      </c>
      <c r="N2388" t="s">
        <v>14</v>
      </c>
    </row>
    <row r="2389" x14ac:dyDescent="0.25">
      <c r="A2389" t="n">
        <v>25</v>
      </c>
      <c r="B2389" t="s">
        <v>14</v>
      </c>
      <c r="C2389" t="s">
        <v>51</v>
      </c>
      <c r="D2389" s="2" t="s">
        <f>=HYPERLINK("https://main.knesset.gov.il/APPS/legislation/main/bills/2201437", "הצעת חוק הקפאת כספים ששילמה הרשות הפלסטינית בזיקה לטרור מהכספים המועברים אליה מממשלת ישראל (תיקון - חילוט הכספים וניהולם), התשפ""ג-2023")</f>
        <v>5038</v>
      </c>
      <c r="E2389" t="s">
        <v>5038</v>
      </c>
      <c r="F2389" t="s">
        <v>5039</v>
      </c>
      <c r="G2389" t="s">
        <v>14</v>
      </c>
      <c r="H2389">
             </c>
      <c r="I2389" t="s">
        <v>14</v>
      </c>
      <c r="J2389" t="s">
        <v>152</v>
      </c>
      <c r="K2389" t="s">
        <v>39</v>
      </c>
      <c r="L2389" t="s">
        <v>20</v>
      </c>
      <c r="M2389" t="s">
        <v>5035</v>
      </c>
      <c r="N2389" t="s">
        <v>14</v>
      </c>
    </row>
    <row r="2390" x14ac:dyDescent="0.25">
      <c r="A2390" t="n">
        <v>25</v>
      </c>
      <c r="B2390" t="s">
        <v>14</v>
      </c>
      <c r="C2390" t="s">
        <v>15</v>
      </c>
      <c r="D2390" s="2" t="s">
        <f>=HYPERLINK("https://main.knesset.gov.il/APPS/legislation/main/bills/2221133", "חוק רישום קבלנים לעבודות הנדסה בנאיות (תיקון מס' 8), התשפ""ה-2024")</f>
        <v>5040</v>
      </c>
      <c r="E2390" t="s">
        <v>5040</v>
      </c>
      <c r="F2390" t="s">
        <v>14</v>
      </c>
      <c r="G2390" t="s">
        <v>5041</v>
      </c>
      <c r="H2390" t="n">
        <v>3331</v>
      </c>
      <c r="I2390" t="s">
        <v>14</v>
      </c>
      <c r="J2390" t="s">
        <v>18</v>
      </c>
      <c r="K2390" t="s">
        <v>30</v>
      </c>
      <c r="L2390" t="s">
        <v>20</v>
      </c>
      <c r="M2390" t="s">
        <v>5042</v>
      </c>
      <c r="N2390" t="s">
        <v>5043</v>
      </c>
    </row>
    <row r="2391" x14ac:dyDescent="0.25">
      <c r="A2391" t="n">
        <v>25</v>
      </c>
      <c r="B2391" t="s">
        <v>14</v>
      </c>
      <c r="C2391" t="s">
        <v>15</v>
      </c>
      <c r="D2391" s="2" t="s">
        <f>=HYPERLINK("https://main.knesset.gov.il/APPS/legislation/main/bills/2224337", "חוק להסדרת הפיקוח על כלבים (תיקון מס' 6 – הוראת שעה – חרבות ברזל) (תיקון), התשפ""ה-2024")</f>
        <v>5044</v>
      </c>
      <c r="E2391" t="s">
        <v>5044</v>
      </c>
      <c r="F2391" t="s">
        <v>14</v>
      </c>
      <c r="G2391" t="s">
        <v>5045</v>
      </c>
      <c r="H2391" t="n">
        <v>3330</v>
      </c>
      <c r="I2391" t="s">
        <v>14</v>
      </c>
      <c r="J2391" t="s">
        <v>18</v>
      </c>
      <c r="K2391" t="s">
        <v>84</v>
      </c>
      <c r="L2391" t="s">
        <v>20</v>
      </c>
      <c r="M2391" t="s">
        <v>5042</v>
      </c>
      <c r="N2391" t="s">
        <v>5046</v>
      </c>
    </row>
    <row r="2392" x14ac:dyDescent="0.25">
      <c r="A2392" t="n">
        <v>25</v>
      </c>
      <c r="B2392" t="s">
        <v>14</v>
      </c>
      <c r="C2392" t="s">
        <v>51</v>
      </c>
      <c r="D2392" s="2" t="s">
        <f>=HYPERLINK("https://main.knesset.gov.il/APPS/legislation/main/bills/2224733", "הצעת חוק-יסוד: השפיטה (תיקון - מינוי נשיא לבית המשפט העליון)")</f>
        <v>5047</v>
      </c>
      <c r="E2392" t="s">
        <v>5047</v>
      </c>
      <c r="F2392" t="s">
        <v>5048</v>
      </c>
      <c r="G2392" t="s">
        <v>14</v>
      </c>
      <c r="H2392">
             </c>
      <c r="I2392" t="s">
        <v>14</v>
      </c>
      <c r="J2392" t="s">
        <v>242</v>
      </c>
      <c r="K2392" t="s">
        <v>14</v>
      </c>
      <c r="L2392" t="s">
        <v>20</v>
      </c>
      <c r="M2392" t="s">
        <v>5042</v>
      </c>
      <c r="N2392" t="s">
        <v>14</v>
      </c>
    </row>
    <row r="2393" x14ac:dyDescent="0.25">
      <c r="A2393" t="n">
        <v>25</v>
      </c>
      <c r="B2393" t="s">
        <v>14</v>
      </c>
      <c r="C2393" t="s">
        <v>51</v>
      </c>
      <c r="D2393" s="2" t="s">
        <f>=HYPERLINK("https://main.knesset.gov.il/APPS/legislation/main/bills/2224399", "הצעת חוק משפחות חיילים שנספו במערכה (תגמולים ושיקום) (תיקון - פטור מתשלום בתחבורה ציבורית), התשפ""ה-2024")</f>
        <v>5049</v>
      </c>
      <c r="E2393" t="s">
        <v>5049</v>
      </c>
      <c r="F2393" t="s">
        <v>5050</v>
      </c>
      <c r="G2393" t="s">
        <v>14</v>
      </c>
      <c r="H2393">
             </c>
      <c r="I2393" t="s">
        <v>14</v>
      </c>
      <c r="J2393" t="s">
        <v>242</v>
      </c>
      <c r="K2393" t="s">
        <v>14</v>
      </c>
      <c r="L2393" t="s">
        <v>20</v>
      </c>
      <c r="M2393" t="s">
        <v>5042</v>
      </c>
      <c r="N2393" t="s">
        <v>14</v>
      </c>
    </row>
    <row r="2394" x14ac:dyDescent="0.25">
      <c r="A2394" t="n">
        <v>25</v>
      </c>
      <c r="B2394" t="s">
        <v>14</v>
      </c>
      <c r="C2394" t="s">
        <v>51</v>
      </c>
      <c r="D2394" s="2" t="s">
        <f>=HYPERLINK("https://main.knesset.gov.il/APPS/legislation/main/bills/2208999", "הצעת חוק התכנון והבנייה (תיקון - האצת פיתוח תשתיות מלונאות) (הוראת שעה), התשפ""ה-2024")</f>
        <v>5051</v>
      </c>
      <c r="E2394" t="s">
        <v>5051</v>
      </c>
      <c r="F2394" t="s">
        <v>5052</v>
      </c>
      <c r="G2394" t="s">
        <v>14</v>
      </c>
      <c r="H2394">
             </c>
      <c r="I2394" t="s">
        <v>14</v>
      </c>
      <c r="J2394" t="s">
        <v>242</v>
      </c>
      <c r="K2394" t="s">
        <v>14</v>
      </c>
      <c r="L2394" t="s">
        <v>20</v>
      </c>
      <c r="M2394" t="s">
        <v>5042</v>
      </c>
      <c r="N2394" t="s">
        <v>14</v>
      </c>
    </row>
    <row r="2395" x14ac:dyDescent="0.25">
      <c r="A2395" t="n">
        <v>25</v>
      </c>
      <c r="B2395" t="s">
        <v>14</v>
      </c>
      <c r="C2395" t="s">
        <v>51</v>
      </c>
      <c r="D2395" s="2" t="s">
        <f>=HYPERLINK("https://main.knesset.gov.il/APPS/legislation/main/bills/2223518", "הצעת חוק-יסוד: הממשלה (תיקון - ייצוג הממשלה בערכאות משפטיות)")</f>
        <v>5053</v>
      </c>
      <c r="E2395" t="s">
        <v>5053</v>
      </c>
      <c r="F2395" t="s">
        <v>5054</v>
      </c>
      <c r="G2395" t="s">
        <v>14</v>
      </c>
      <c r="H2395">
             </c>
      <c r="I2395" t="s">
        <v>14</v>
      </c>
      <c r="J2395" t="s">
        <v>242</v>
      </c>
      <c r="K2395" t="s">
        <v>14</v>
      </c>
      <c r="L2395" t="s">
        <v>20</v>
      </c>
      <c r="M2395" t="s">
        <v>5042</v>
      </c>
      <c r="N2395" t="s">
        <v>14</v>
      </c>
    </row>
    <row r="2396" x14ac:dyDescent="0.25">
      <c r="A2396" t="n">
        <v>25</v>
      </c>
      <c r="B2396" t="s">
        <v>14</v>
      </c>
      <c r="C2396" t="s">
        <v>51</v>
      </c>
      <c r="D2396" s="2" t="s">
        <f>=HYPERLINK("https://main.knesset.gov.il/APPS/legislation/main/bills/2224184", "הצעת חוק לייעול הפיקוח של ועדת החוץ והביטחון של הכנסת, התשפ""ה-2024")</f>
        <v>5055</v>
      </c>
      <c r="E2396" t="s">
        <v>5055</v>
      </c>
      <c r="F2396" t="s">
        <v>5056</v>
      </c>
      <c r="G2396" t="s">
        <v>14</v>
      </c>
      <c r="H2396">
             </c>
      <c r="I2396" t="s">
        <v>14</v>
      </c>
      <c r="J2396" t="s">
        <v>242</v>
      </c>
      <c r="K2396" t="s">
        <v>14</v>
      </c>
      <c r="L2396" t="s">
        <v>20</v>
      </c>
      <c r="M2396" t="s">
        <v>5042</v>
      </c>
      <c r="N2396" t="s">
        <v>14</v>
      </c>
    </row>
    <row r="2397" x14ac:dyDescent="0.25">
      <c r="A2397" t="n">
        <v>25</v>
      </c>
      <c r="B2397" t="s">
        <v>14</v>
      </c>
      <c r="C2397" t="s">
        <v>51</v>
      </c>
      <c r="D2397" s="2" t="s">
        <f>=HYPERLINK("https://main.knesset.gov.il/APPS/legislation/main/bills/2223917", "הצעת חוק שירות המילואים (תיקון - חובת יידוע חיילי מילואים בלתי מועסקים בדבר אחריות להפקדות פנסיוניות), התשפ""ה-2024")</f>
        <v>5057</v>
      </c>
      <c r="E2397" t="s">
        <v>5057</v>
      </c>
      <c r="F2397" t="s">
        <v>5058</v>
      </c>
      <c r="G2397" t="s">
        <v>14</v>
      </c>
      <c r="H2397">
             </c>
      <c r="I2397" t="s">
        <v>14</v>
      </c>
      <c r="J2397" t="s">
        <v>242</v>
      </c>
      <c r="K2397" t="s">
        <v>14</v>
      </c>
      <c r="L2397" t="s">
        <v>20</v>
      </c>
      <c r="M2397" t="s">
        <v>5042</v>
      </c>
      <c r="N2397" t="s">
        <v>14</v>
      </c>
    </row>
    <row r="2398" x14ac:dyDescent="0.25">
      <c r="A2398" t="n">
        <v>25</v>
      </c>
      <c r="B2398" t="s">
        <v>14</v>
      </c>
      <c r="C2398" t="s">
        <v>51</v>
      </c>
      <c r="D2398" s="2" t="s">
        <f>=HYPERLINK("https://main.knesset.gov.il/APPS/legislation/main/bills/2223966", "הצעת חוק הסדרים במשק המדינה (תיקוני חקיקה להשגת יעדי התקציב) (תיקון - זכאות כפולה להנחה בארנונה למשרת מילואים שהוא הורה לילד נכה), התשפ""ה-2024")</f>
        <v>5059</v>
      </c>
      <c r="E2398" t="s">
        <v>5059</v>
      </c>
      <c r="F2398" t="s">
        <v>5060</v>
      </c>
      <c r="G2398" t="s">
        <v>14</v>
      </c>
      <c r="H2398">
             </c>
      <c r="I2398" t="s">
        <v>14</v>
      </c>
      <c r="J2398" t="s">
        <v>242</v>
      </c>
      <c r="K2398" t="s">
        <v>14</v>
      </c>
      <c r="L2398" t="s">
        <v>20</v>
      </c>
      <c r="M2398" t="s">
        <v>5042</v>
      </c>
      <c r="N2398" t="s">
        <v>14</v>
      </c>
    </row>
    <row r="2399" x14ac:dyDescent="0.25">
      <c r="A2399" t="n">
        <v>25</v>
      </c>
      <c r="B2399" t="s">
        <v>14</v>
      </c>
      <c r="C2399" t="s">
        <v>51</v>
      </c>
      <c r="D2399" s="2" t="s">
        <f>=HYPERLINK("https://main.knesset.gov.il/APPS/legislation/main/bills/2224061", "הצעת חוק הממשלה (תיקון - ועדת שרים לענייני ביטחון לאומי), התשפ""ה-2024")</f>
        <v>5061</v>
      </c>
      <c r="E2399" t="s">
        <v>5061</v>
      </c>
      <c r="F2399" t="s">
        <v>5062</v>
      </c>
      <c r="G2399" t="s">
        <v>14</v>
      </c>
      <c r="H2399">
             </c>
      <c r="I2399" t="s">
        <v>14</v>
      </c>
      <c r="J2399" t="s">
        <v>242</v>
      </c>
      <c r="K2399" t="s">
        <v>14</v>
      </c>
      <c r="L2399" t="s">
        <v>20</v>
      </c>
      <c r="M2399" t="s">
        <v>5042</v>
      </c>
      <c r="N2399" t="s">
        <v>14</v>
      </c>
    </row>
    <row r="2400" x14ac:dyDescent="0.25">
      <c r="A2400" t="n">
        <v>25</v>
      </c>
      <c r="B2400" t="s">
        <v>14</v>
      </c>
      <c r="C2400" t="s">
        <v>51</v>
      </c>
      <c r="D2400" s="2" t="s">
        <f>=HYPERLINK("https://main.knesset.gov.il/APPS/legislation/main/bills/2224877", "הצעת חוק תגמול למשרתים בשירות צבאי או אזרחי באקדמיה, התשפ""ה-2024")</f>
        <v>1146</v>
      </c>
      <c r="E2400" t="s">
        <v>1146</v>
      </c>
      <c r="F2400" t="s">
        <v>5063</v>
      </c>
      <c r="G2400" t="s">
        <v>14</v>
      </c>
      <c r="H2400">
             </c>
      <c r="I2400" t="s">
        <v>14</v>
      </c>
      <c r="J2400" t="s">
        <v>242</v>
      </c>
      <c r="K2400" t="s">
        <v>14</v>
      </c>
      <c r="L2400" t="s">
        <v>20</v>
      </c>
      <c r="M2400" t="s">
        <v>5042</v>
      </c>
      <c r="N2400" t="s">
        <v>14</v>
      </c>
    </row>
    <row r="2401" x14ac:dyDescent="0.25">
      <c r="A2401" t="n">
        <v>25</v>
      </c>
      <c r="B2401" t="s">
        <v>14</v>
      </c>
      <c r="C2401" t="s">
        <v>51</v>
      </c>
      <c r="D2401" s="2" t="s">
        <f>=HYPERLINK("https://main.knesset.gov.il/APPS/legislation/main/bills/2221751", "הצעת חוק התקשורת (בזק ושידורים) (תיקון - איסור על שליחת מסרוני פלאש), התשפ""ה-2024")</f>
        <v>5064</v>
      </c>
      <c r="E2401" t="s">
        <v>5064</v>
      </c>
      <c r="F2401" t="s">
        <v>5065</v>
      </c>
      <c r="G2401" t="s">
        <v>14</v>
      </c>
      <c r="H2401">
             </c>
      <c r="I2401" t="s">
        <v>14</v>
      </c>
      <c r="J2401" t="s">
        <v>242</v>
      </c>
      <c r="K2401" t="s">
        <v>14</v>
      </c>
      <c r="L2401" t="s">
        <v>20</v>
      </c>
      <c r="M2401" t="s">
        <v>5042</v>
      </c>
      <c r="N2401" t="s">
        <v>14</v>
      </c>
    </row>
    <row r="2402" x14ac:dyDescent="0.25">
      <c r="A2402" t="n">
        <v>25</v>
      </c>
      <c r="B2402" t="s">
        <v>14</v>
      </c>
      <c r="C2402" t="s">
        <v>51</v>
      </c>
      <c r="D2402" s="2" t="s">
        <f>=HYPERLINK("https://main.knesset.gov.il/APPS/legislation/main/bills/2220462", "הצעת חוק שיקים ללא כיסוי (תיקון - הודעה על אי-כיבוד הרשאה לחיוב חשבון), התשפ""ה-2024")</f>
        <v>4972</v>
      </c>
      <c r="E2402" t="s">
        <v>4972</v>
      </c>
      <c r="F2402" t="s">
        <v>5066</v>
      </c>
      <c r="G2402" t="s">
        <v>14</v>
      </c>
      <c r="H2402">
             </c>
      <c r="I2402" t="s">
        <v>14</v>
      </c>
      <c r="J2402" t="s">
        <v>242</v>
      </c>
      <c r="K2402" t="s">
        <v>14</v>
      </c>
      <c r="L2402" t="s">
        <v>20</v>
      </c>
      <c r="M2402" t="s">
        <v>5042</v>
      </c>
      <c r="N2402" t="s">
        <v>14</v>
      </c>
    </row>
    <row r="2403" x14ac:dyDescent="0.25">
      <c r="A2403" t="n">
        <v>25</v>
      </c>
      <c r="B2403" t="s">
        <v>14</v>
      </c>
      <c r="C2403" t="s">
        <v>51</v>
      </c>
      <c r="D2403" s="2" t="s">
        <f>=HYPERLINK("https://main.knesset.gov.il/APPS/legislation/main/bills/2221934", "הצעת חוק מסירת מידע לחברי הכנסת ולוועדות הכנסת (תיקוני חקיקה), התשפ""ה-2024")</f>
        <v>4882</v>
      </c>
      <c r="E2403" t="s">
        <v>4882</v>
      </c>
      <c r="F2403" t="s">
        <v>5067</v>
      </c>
      <c r="G2403" t="s">
        <v>14</v>
      </c>
      <c r="H2403">
             </c>
      <c r="I2403" t="s">
        <v>14</v>
      </c>
      <c r="J2403" t="s">
        <v>242</v>
      </c>
      <c r="K2403" t="s">
        <v>14</v>
      </c>
      <c r="L2403" t="s">
        <v>20</v>
      </c>
      <c r="M2403" t="s">
        <v>5042</v>
      </c>
      <c r="N2403" t="s">
        <v>14</v>
      </c>
    </row>
    <row r="2404" x14ac:dyDescent="0.25">
      <c r="A2404" t="n">
        <v>25</v>
      </c>
      <c r="B2404" t="s">
        <v>14</v>
      </c>
      <c r="C2404" t="s">
        <v>51</v>
      </c>
      <c r="D2404" s="2" t="s">
        <f>=HYPERLINK("https://main.knesset.gov.il/APPS/legislation/main/bills/2224721", "הצעת חוק-יסוד: הכנסת (תיקון - סמכויות ועדת חקירה פרלמנטרית)")</f>
        <v>5068</v>
      </c>
      <c r="E2404" t="s">
        <v>5068</v>
      </c>
      <c r="F2404" t="s">
        <v>5069</v>
      </c>
      <c r="G2404" t="s">
        <v>14</v>
      </c>
      <c r="H2404">
             </c>
      <c r="I2404" t="s">
        <v>14</v>
      </c>
      <c r="J2404" t="s">
        <v>242</v>
      </c>
      <c r="K2404" t="s">
        <v>14</v>
      </c>
      <c r="L2404" t="s">
        <v>20</v>
      </c>
      <c r="M2404" t="s">
        <v>5042</v>
      </c>
      <c r="N2404" t="s">
        <v>14</v>
      </c>
    </row>
    <row r="2405" x14ac:dyDescent="0.25">
      <c r="A2405" t="n">
        <v>25</v>
      </c>
      <c r="B2405" t="s">
        <v>14</v>
      </c>
      <c r="C2405" t="s">
        <v>51</v>
      </c>
      <c r="D2405" s="2" t="s">
        <f>=HYPERLINK("https://main.knesset.gov.il/APPS/legislation/main/bills/2222706", "הצעת חוק הפצת שידורים באמצעות תחנות שידור ספרתיות (תיקון מס' 7 - הוראת שעה) (תיקון - הארכת הוראת השעה), התשפ""ה-2024")</f>
        <v>5070</v>
      </c>
      <c r="E2405" t="s">
        <v>5070</v>
      </c>
      <c r="F2405" t="s">
        <v>5071</v>
      </c>
      <c r="G2405" t="s">
        <v>14</v>
      </c>
      <c r="H2405">
             </c>
      <c r="I2405" t="s">
        <v>14</v>
      </c>
      <c r="J2405" t="s">
        <v>242</v>
      </c>
      <c r="K2405" t="s">
        <v>14</v>
      </c>
      <c r="L2405" t="s">
        <v>20</v>
      </c>
      <c r="M2405" t="s">
        <v>5042</v>
      </c>
      <c r="N2405" t="s">
        <v>14</v>
      </c>
    </row>
    <row r="2406" x14ac:dyDescent="0.25">
      <c r="A2406" t="n">
        <v>25</v>
      </c>
      <c r="B2406" t="s">
        <v>14</v>
      </c>
      <c r="C2406" t="s">
        <v>51</v>
      </c>
      <c r="D2406" s="2" t="s">
        <f>=HYPERLINK("https://main.knesset.gov.il/APPS/legislation/main/bills/2224645", "הצעת חוק הביטוח הלאומי (תיקון מס' 231) (תיקון - הפיכת הוראת השעה לעניין תשלום דמי ביטוח לסטודנטים הלומדים בחוץ לארץ להוראת קבע), התשפ""ה-2024")</f>
        <v>5072</v>
      </c>
      <c r="E2406" t="s">
        <v>5072</v>
      </c>
      <c r="F2406" t="s">
        <v>5073</v>
      </c>
      <c r="G2406" t="s">
        <v>14</v>
      </c>
      <c r="H2406">
             </c>
      <c r="I2406" t="s">
        <v>14</v>
      </c>
      <c r="J2406" t="s">
        <v>242</v>
      </c>
      <c r="K2406" t="s">
        <v>14</v>
      </c>
      <c r="L2406" t="s">
        <v>20</v>
      </c>
      <c r="M2406" t="s">
        <v>5042</v>
      </c>
      <c r="N2406" t="s">
        <v>14</v>
      </c>
    </row>
    <row r="2407" x14ac:dyDescent="0.25">
      <c r="A2407" t="n">
        <v>25</v>
      </c>
      <c r="B2407" t="s">
        <v>14</v>
      </c>
      <c r="C2407" t="s">
        <v>51</v>
      </c>
      <c r="D2407" s="2" t="s">
        <f>=HYPERLINK("https://main.knesset.gov.il/APPS/legislation/main/bills/2222047", "הצעת חוק-יסוד: הממשלה (תיקון - חובת מינוי ממלא מקום ראש הממשלה)")</f>
        <v>2707</v>
      </c>
      <c r="E2407" t="s">
        <v>2707</v>
      </c>
      <c r="F2407" t="s">
        <v>5074</v>
      </c>
      <c r="G2407" t="s">
        <v>14</v>
      </c>
      <c r="H2407">
             </c>
      <c r="I2407" t="s">
        <v>14</v>
      </c>
      <c r="J2407" t="s">
        <v>242</v>
      </c>
      <c r="K2407" t="s">
        <v>14</v>
      </c>
      <c r="L2407" t="s">
        <v>20</v>
      </c>
      <c r="M2407" t="s">
        <v>5042</v>
      </c>
      <c r="N2407" t="s">
        <v>14</v>
      </c>
    </row>
    <row r="2408" x14ac:dyDescent="0.25">
      <c r="A2408" t="n">
        <v>25</v>
      </c>
      <c r="B2408" t="s">
        <v>14</v>
      </c>
      <c r="C2408" t="s">
        <v>51</v>
      </c>
      <c r="D2408" s="2" t="s">
        <f>=HYPERLINK("https://main.knesset.gov.il/APPS/legislation/main/bills/2224180", "הצעת חוק בתי קברות צבאיים (תיקון מס' 5) (תיקון - תחולה למפרע), התשפ""ה-2024")</f>
        <v>2817</v>
      </c>
      <c r="E2408" t="s">
        <v>2817</v>
      </c>
      <c r="F2408" t="s">
        <v>5075</v>
      </c>
      <c r="G2408" t="s">
        <v>14</v>
      </c>
      <c r="H2408">
             </c>
      <c r="I2408" t="s">
        <v>14</v>
      </c>
      <c r="J2408" t="s">
        <v>242</v>
      </c>
      <c r="K2408" t="s">
        <v>14</v>
      </c>
      <c r="L2408" t="s">
        <v>20</v>
      </c>
      <c r="M2408" t="s">
        <v>5042</v>
      </c>
      <c r="N2408" t="s">
        <v>14</v>
      </c>
    </row>
    <row r="2409" x14ac:dyDescent="0.25">
      <c r="A2409" t="n">
        <v>25</v>
      </c>
      <c r="B2409" t="s">
        <v>14</v>
      </c>
      <c r="C2409" t="s">
        <v>51</v>
      </c>
      <c r="D2409" s="2" t="s">
        <f>=HYPERLINK("https://main.knesset.gov.il/APPS/legislation/main/bills/2223444", "הצעת חוק פטור מאגרה ללוחמים בשירות מילואים בנסיעה בכבישי אגרה ובנתיבים מהירים (תיקוני חקיקה), התשפ""ה-2024 ")</f>
        <v>4912</v>
      </c>
      <c r="E2409" t="s">
        <v>4912</v>
      </c>
      <c r="F2409" t="s">
        <v>5076</v>
      </c>
      <c r="G2409" t="s">
        <v>14</v>
      </c>
      <c r="H2409">
             </c>
      <c r="I2409" t="s">
        <v>14</v>
      </c>
      <c r="J2409" t="s">
        <v>242</v>
      </c>
      <c r="K2409" t="s">
        <v>14</v>
      </c>
      <c r="L2409" t="s">
        <v>20</v>
      </c>
      <c r="M2409" t="s">
        <v>5042</v>
      </c>
      <c r="N2409" t="s">
        <v>14</v>
      </c>
    </row>
    <row r="2410" x14ac:dyDescent="0.25">
      <c r="A2410" t="n">
        <v>25</v>
      </c>
      <c r="B2410" t="s">
        <v>14</v>
      </c>
      <c r="C2410" t="s">
        <v>51</v>
      </c>
      <c r="D2410" s="2" t="s">
        <f>=HYPERLINK("https://main.knesset.gov.il/APPS/legislation/main/bills/2223703", "הצעת חוק האזרחות והכניסה לישראל (הוראת שעה) (תיקון - הפיכת הוראת השעה להוראת קבע), התשפ""ה-2024 ")</f>
        <v>5077</v>
      </c>
      <c r="E2410" t="s">
        <v>5077</v>
      </c>
      <c r="F2410" t="s">
        <v>5078</v>
      </c>
      <c r="G2410" t="s">
        <v>14</v>
      </c>
      <c r="H2410">
             </c>
      <c r="I2410" t="s">
        <v>14</v>
      </c>
      <c r="J2410" t="s">
        <v>242</v>
      </c>
      <c r="K2410" t="s">
        <v>14</v>
      </c>
      <c r="L2410" t="s">
        <v>20</v>
      </c>
      <c r="M2410" t="s">
        <v>5042</v>
      </c>
      <c r="N2410" t="s">
        <v>14</v>
      </c>
    </row>
    <row r="2411" x14ac:dyDescent="0.25">
      <c r="A2411" t="n">
        <v>25</v>
      </c>
      <c r="B2411" t="s">
        <v>14</v>
      </c>
      <c r="C2411" t="s">
        <v>51</v>
      </c>
      <c r="D2411" s="2" t="s">
        <f>=HYPERLINK("https://main.knesset.gov.il/APPS/legislation/main/bills/2223949", "הצעת חוק סיירות ביטחון ברשויות המקומיות (הוראת שעה), התשפ""ה-2024")</f>
        <v>5079</v>
      </c>
      <c r="E2411" t="s">
        <v>5079</v>
      </c>
      <c r="F2411" t="s">
        <v>5080</v>
      </c>
      <c r="G2411" t="s">
        <v>14</v>
      </c>
      <c r="H2411">
             </c>
      <c r="I2411" t="s">
        <v>14</v>
      </c>
      <c r="J2411" t="s">
        <v>242</v>
      </c>
      <c r="K2411" t="s">
        <v>14</v>
      </c>
      <c r="L2411" t="s">
        <v>20</v>
      </c>
      <c r="M2411" t="s">
        <v>5042</v>
      </c>
      <c r="N2411" t="s">
        <v>14</v>
      </c>
    </row>
    <row r="2412" x14ac:dyDescent="0.25">
      <c r="A2412" t="n">
        <v>25</v>
      </c>
      <c r="B2412" t="s">
        <v>14</v>
      </c>
      <c r="C2412" t="s">
        <v>51</v>
      </c>
      <c r="D2412" s="2" t="s">
        <f>=HYPERLINK("https://main.knesset.gov.il/APPS/legislation/main/bills/2223745", "הצעת חוק לתיקון פקודת התעבורה (אישור שימוש לרכב מנועי דו-גלגלי בנתיב תחבורה ציבורית), התשפ""ה-2024")</f>
        <v>5081</v>
      </c>
      <c r="E2412" t="s">
        <v>5081</v>
      </c>
      <c r="F2412" t="s">
        <v>5082</v>
      </c>
      <c r="G2412" t="s">
        <v>14</v>
      </c>
      <c r="H2412">
             </c>
      <c r="I2412" t="s">
        <v>14</v>
      </c>
      <c r="J2412" t="s">
        <v>242</v>
      </c>
      <c r="K2412" t="s">
        <v>14</v>
      </c>
      <c r="L2412" t="s">
        <v>20</v>
      </c>
      <c r="M2412" t="s">
        <v>5042</v>
      </c>
      <c r="N2412" t="s">
        <v>14</v>
      </c>
    </row>
    <row r="2413" x14ac:dyDescent="0.25">
      <c r="A2413" t="n">
        <v>25</v>
      </c>
      <c r="B2413" t="s">
        <v>14</v>
      </c>
      <c r="C2413" t="s">
        <v>51</v>
      </c>
      <c r="D2413" s="2" t="s">
        <f>=HYPERLINK("https://main.knesset.gov.il/APPS/legislation/main/bills/2223229", "הצעת חוק לתיקון פקודת הרופאים (תנאים לקבלה ללימודי רפואה בעיר אילת), התשפ""ה-2024")</f>
        <v>5083</v>
      </c>
      <c r="E2413" t="s">
        <v>5083</v>
      </c>
      <c r="F2413" t="s">
        <v>5084</v>
      </c>
      <c r="G2413" t="s">
        <v>14</v>
      </c>
      <c r="H2413">
             </c>
      <c r="I2413" t="s">
        <v>14</v>
      </c>
      <c r="J2413" t="s">
        <v>242</v>
      </c>
      <c r="K2413" t="s">
        <v>14</v>
      </c>
      <c r="L2413" t="s">
        <v>20</v>
      </c>
      <c r="M2413" t="s">
        <v>5042</v>
      </c>
      <c r="N2413" t="s">
        <v>14</v>
      </c>
    </row>
    <row r="2414" x14ac:dyDescent="0.25">
      <c r="A2414" t="n">
        <v>25</v>
      </c>
      <c r="B2414" t="s">
        <v>14</v>
      </c>
      <c r="C2414" t="s">
        <v>51</v>
      </c>
      <c r="D2414" s="2" t="s">
        <f>=HYPERLINK("https://main.knesset.gov.il/APPS/legislation/main/bills/2222349", "הצעת חוק פיקוח על מחירי מצרכים ושירותים (תיקון - הוספת נציגי משרד הבריאות לוועדה לפיקוח על המחירים), התשפ""ה-2024 ")</f>
        <v>5085</v>
      </c>
      <c r="E2414" t="s">
        <v>5085</v>
      </c>
      <c r="F2414" t="s">
        <v>5086</v>
      </c>
      <c r="G2414" t="s">
        <v>14</v>
      </c>
      <c r="H2414">
             </c>
      <c r="I2414" t="s">
        <v>14</v>
      </c>
      <c r="J2414" t="s">
        <v>242</v>
      </c>
      <c r="K2414" t="s">
        <v>14</v>
      </c>
      <c r="L2414" t="s">
        <v>20</v>
      </c>
      <c r="M2414" t="s">
        <v>5042</v>
      </c>
      <c r="N2414" t="s">
        <v>14</v>
      </c>
    </row>
    <row r="2415" x14ac:dyDescent="0.25">
      <c r="A2415" t="n">
        <v>25</v>
      </c>
      <c r="B2415" t="s">
        <v>14</v>
      </c>
      <c r="C2415" t="s">
        <v>51</v>
      </c>
      <c r="D2415" s="2" t="s">
        <f>=HYPERLINK("https://main.knesset.gov.il/APPS/legislation/main/bills/2224715", "הצעת חוק שירות המדינה (מינויים) (תיקון - ייצוג הולם ללוחמים), התשפ""ה-2024")</f>
        <v>5087</v>
      </c>
      <c r="E2415" t="s">
        <v>5087</v>
      </c>
      <c r="F2415" t="s">
        <v>5088</v>
      </c>
      <c r="G2415" t="s">
        <v>14</v>
      </c>
      <c r="H2415">
             </c>
      <c r="I2415" t="s">
        <v>14</v>
      </c>
      <c r="J2415" t="s">
        <v>242</v>
      </c>
      <c r="K2415" t="s">
        <v>14</v>
      </c>
      <c r="L2415" t="s">
        <v>20</v>
      </c>
      <c r="M2415" t="s">
        <v>5042</v>
      </c>
      <c r="N2415" t="s">
        <v>14</v>
      </c>
    </row>
    <row r="2416" x14ac:dyDescent="0.25">
      <c r="A2416" t="n">
        <v>25</v>
      </c>
      <c r="B2416" t="s">
        <v>14</v>
      </c>
      <c r="C2416" t="s">
        <v>51</v>
      </c>
      <c r="D2416" s="2" t="s">
        <f>=HYPERLINK("https://main.knesset.gov.il/APPS/legislation/main/bills/2224043", "הצעת חוק-יסוד: ישראל - מדינת הלאום של העם היהודי (תיקון - קביעת מעמד מגילת העצמאות)")</f>
        <v>5089</v>
      </c>
      <c r="E2416" t="s">
        <v>5089</v>
      </c>
      <c r="F2416" t="s">
        <v>5090</v>
      </c>
      <c r="G2416" t="s">
        <v>14</v>
      </c>
      <c r="H2416">
             </c>
      <c r="I2416" t="s">
        <v>14</v>
      </c>
      <c r="J2416" t="s">
        <v>242</v>
      </c>
      <c r="K2416" t="s">
        <v>14</v>
      </c>
      <c r="L2416" t="s">
        <v>20</v>
      </c>
      <c r="M2416" t="s">
        <v>5042</v>
      </c>
      <c r="N2416" t="s">
        <v>14</v>
      </c>
    </row>
    <row r="2417" x14ac:dyDescent="0.25">
      <c r="A2417" t="n">
        <v>25</v>
      </c>
      <c r="B2417" t="s">
        <v>14</v>
      </c>
      <c r="C2417" t="s">
        <v>51</v>
      </c>
      <c r="D2417" s="2" t="s">
        <f>=HYPERLINK("https://main.knesset.gov.il/APPS/legislation/main/bills/2224667", "הצעת חוק לתיקון פקודת המסים (גבייה) (חובת איתור חייבים), התשפ""ה-2024")</f>
        <v>5091</v>
      </c>
      <c r="E2417" t="s">
        <v>5091</v>
      </c>
      <c r="F2417" t="s">
        <v>5092</v>
      </c>
      <c r="G2417" t="s">
        <v>14</v>
      </c>
      <c r="H2417">
             </c>
      <c r="I2417" t="s">
        <v>14</v>
      </c>
      <c r="J2417" t="s">
        <v>242</v>
      </c>
      <c r="K2417" t="s">
        <v>14</v>
      </c>
      <c r="L2417" t="s">
        <v>20</v>
      </c>
      <c r="M2417" t="s">
        <v>5042</v>
      </c>
      <c r="N2417" t="s">
        <v>14</v>
      </c>
    </row>
    <row r="2418" x14ac:dyDescent="0.25">
      <c r="A2418" t="n">
        <v>25</v>
      </c>
      <c r="B2418" t="s">
        <v>14</v>
      </c>
      <c r="C2418" t="s">
        <v>51</v>
      </c>
      <c r="D2418" s="2" t="s">
        <f>=HYPERLINK("https://main.knesset.gov.il/APPS/legislation/main/bills/2224511", "הצעת חוק תאגידי מים וביוב (תיקון - פטור ממס חברות, מס דיבידנד ומס ריבית על הלוואה לשנים 2024 עד 2026), התשפ""ה-2024")</f>
        <v>5093</v>
      </c>
      <c r="E2418" t="s">
        <v>5093</v>
      </c>
      <c r="F2418" t="s">
        <v>5094</v>
      </c>
      <c r="G2418" t="s">
        <v>14</v>
      </c>
      <c r="H2418">
             </c>
      <c r="I2418" t="s">
        <v>14</v>
      </c>
      <c r="J2418" t="s">
        <v>242</v>
      </c>
      <c r="K2418" t="s">
        <v>14</v>
      </c>
      <c r="L2418" t="s">
        <v>20</v>
      </c>
      <c r="M2418" t="s">
        <v>5042</v>
      </c>
      <c r="N2418" t="s">
        <v>14</v>
      </c>
    </row>
    <row r="2419" x14ac:dyDescent="0.25">
      <c r="A2419" t="n">
        <v>25</v>
      </c>
      <c r="B2419" t="s">
        <v>14</v>
      </c>
      <c r="C2419" t="s">
        <v>51</v>
      </c>
      <c r="D2419" s="2" t="s">
        <f>=HYPERLINK("https://main.knesset.gov.il/APPS/legislation/main/bills/2224050", "הצעת חוק הפרטת תאגיד השידור הציבורי הישראלי, התשפ""ה-2024")</f>
        <v>5095</v>
      </c>
      <c r="E2419" t="s">
        <v>5095</v>
      </c>
      <c r="F2419" t="s">
        <v>5096</v>
      </c>
      <c r="G2419" t="s">
        <v>14</v>
      </c>
      <c r="H2419">
             </c>
      <c r="I2419" t="s">
        <v>14</v>
      </c>
      <c r="J2419" t="s">
        <v>242</v>
      </c>
      <c r="K2419" t="s">
        <v>14</v>
      </c>
      <c r="L2419" t="s">
        <v>20</v>
      </c>
      <c r="M2419" t="s">
        <v>5042</v>
      </c>
      <c r="N2419" t="s">
        <v>14</v>
      </c>
    </row>
    <row r="2420" x14ac:dyDescent="0.25">
      <c r="A2420" t="n">
        <v>25</v>
      </c>
      <c r="B2420" t="s">
        <v>14</v>
      </c>
      <c r="C2420" t="s">
        <v>51</v>
      </c>
      <c r="D2420" s="2" t="s">
        <f>=HYPERLINK("https://main.knesset.gov.il/APPS/legislation/main/bills/2224078", "הצעת חוק הפרטת גלי צה""ל, התשפ""ה-2024")</f>
        <v>5097</v>
      </c>
      <c r="E2420" t="s">
        <v>5097</v>
      </c>
      <c r="F2420" t="s">
        <v>5098</v>
      </c>
      <c r="G2420" t="s">
        <v>14</v>
      </c>
      <c r="H2420">
             </c>
      <c r="I2420" t="s">
        <v>14</v>
      </c>
      <c r="J2420" t="s">
        <v>242</v>
      </c>
      <c r="K2420" t="s">
        <v>14</v>
      </c>
      <c r="L2420" t="s">
        <v>20</v>
      </c>
      <c r="M2420" t="s">
        <v>5042</v>
      </c>
      <c r="N2420" t="s">
        <v>14</v>
      </c>
    </row>
    <row r="2421" x14ac:dyDescent="0.25">
      <c r="A2421" t="n">
        <v>25</v>
      </c>
      <c r="B2421" t="s">
        <v>14</v>
      </c>
      <c r="C2421" t="s">
        <v>51</v>
      </c>
      <c r="D2421" s="2" t="s">
        <f>=HYPERLINK("https://main.knesset.gov.il/APPS/legislation/main/bills/2224879", "הצעת חוק התגמולים לנפגעי פעולות איבה (תיקון - משפחה מלווה ליתומים בגירים), התשפ""ה-2024")</f>
        <v>4830</v>
      </c>
      <c r="E2421" t="s">
        <v>4830</v>
      </c>
      <c r="F2421" t="s">
        <v>5099</v>
      </c>
      <c r="G2421" t="s">
        <v>14</v>
      </c>
      <c r="H2421">
             </c>
      <c r="I2421" t="s">
        <v>14</v>
      </c>
      <c r="J2421" t="s">
        <v>242</v>
      </c>
      <c r="K2421" t="s">
        <v>14</v>
      </c>
      <c r="L2421" t="s">
        <v>20</v>
      </c>
      <c r="M2421" t="s">
        <v>5042</v>
      </c>
      <c r="N2421" t="s">
        <v>14</v>
      </c>
    </row>
    <row r="2422" x14ac:dyDescent="0.25">
      <c r="A2422" t="n">
        <v>25</v>
      </c>
      <c r="B2422" t="s">
        <v>14</v>
      </c>
      <c r="C2422" t="s">
        <v>51</v>
      </c>
      <c r="D2422" s="2" t="s">
        <f>=HYPERLINK("https://main.knesset.gov.il/APPS/legislation/main/bills/2222122", "הצעת חוק הגנה על עובדים בשעת חירום (תיקון - זכות לשכר בהיעדרות בשעת חירום), התשפ""ה-2024")</f>
        <v>5100</v>
      </c>
      <c r="E2422" t="s">
        <v>5100</v>
      </c>
      <c r="F2422" t="s">
        <v>5101</v>
      </c>
      <c r="G2422" t="s">
        <v>14</v>
      </c>
      <c r="H2422">
             </c>
      <c r="I2422" t="s">
        <v>14</v>
      </c>
      <c r="J2422" t="s">
        <v>202</v>
      </c>
      <c r="K2422" t="s">
        <v>14</v>
      </c>
      <c r="L2422" t="s">
        <v>20</v>
      </c>
      <c r="M2422" t="s">
        <v>5042</v>
      </c>
      <c r="N2422" t="s">
        <v>14</v>
      </c>
    </row>
    <row r="2423" x14ac:dyDescent="0.25">
      <c r="A2423" t="n">
        <v>25</v>
      </c>
      <c r="B2423" t="s">
        <v>14</v>
      </c>
      <c r="C2423" t="s">
        <v>51</v>
      </c>
      <c r="D2423" s="2" t="s">
        <f>=HYPERLINK("https://main.knesset.gov.il/APPS/legislation/main/bills/2224281", "הצעת חוק שירות אזרחי (תיקון - מתנדב בודד או חסר עורף משפחתי), התשפ""ה-2024")</f>
        <v>5102</v>
      </c>
      <c r="E2423" t="s">
        <v>5102</v>
      </c>
      <c r="F2423" t="s">
        <v>5103</v>
      </c>
      <c r="G2423" t="s">
        <v>14</v>
      </c>
      <c r="H2423">
             </c>
      <c r="I2423" t="s">
        <v>14</v>
      </c>
      <c r="J2423" t="s">
        <v>242</v>
      </c>
      <c r="K2423" t="s">
        <v>14</v>
      </c>
      <c r="L2423" t="s">
        <v>20</v>
      </c>
      <c r="M2423" t="s">
        <v>5042</v>
      </c>
      <c r="N2423" t="s">
        <v>14</v>
      </c>
    </row>
    <row r="2424" x14ac:dyDescent="0.25">
      <c r="A2424" t="n">
        <v>25</v>
      </c>
      <c r="B2424" t="s">
        <v>14</v>
      </c>
      <c r="C2424" t="s">
        <v>51</v>
      </c>
      <c r="D2424" s="2" t="s">
        <f>=HYPERLINK("https://main.knesset.gov.il/APPS/legislation/main/bills/2224638", "הצעת חוק לתיקון פקודת מס הכנסה (פטור ממס על תגמול מילואים ונקודות זיכוי מס למשרת מילואים פעיל), התשפ""ה-2024")</f>
        <v>4705</v>
      </c>
      <c r="E2424" t="s">
        <v>4705</v>
      </c>
      <c r="F2424" t="s">
        <v>5104</v>
      </c>
      <c r="G2424" t="s">
        <v>14</v>
      </c>
      <c r="H2424">
             </c>
      <c r="I2424" t="s">
        <v>14</v>
      </c>
      <c r="J2424" t="s">
        <v>242</v>
      </c>
      <c r="K2424" t="s">
        <v>14</v>
      </c>
      <c r="L2424" t="s">
        <v>20</v>
      </c>
      <c r="M2424" t="s">
        <v>5042</v>
      </c>
      <c r="N2424" t="s">
        <v>14</v>
      </c>
    </row>
    <row r="2425" x14ac:dyDescent="0.25">
      <c r="A2425" t="n">
        <v>25</v>
      </c>
      <c r="B2425" t="s">
        <v>14</v>
      </c>
      <c r="C2425" t="s">
        <v>51</v>
      </c>
      <c r="D2425" s="2" t="s">
        <f>=HYPERLINK("https://main.knesset.gov.il/APPS/legislation/main/bills/2223337", "הצעת חוק זכויות הסטודנט (תיקון - שוויון בתקציב מלגות לסטודנטים במוסדות), התשפ""ה-2024")</f>
        <v>5105</v>
      </c>
      <c r="E2425" t="s">
        <v>5105</v>
      </c>
      <c r="F2425" t="s">
        <v>5106</v>
      </c>
      <c r="G2425" t="s">
        <v>14</v>
      </c>
      <c r="H2425">
             </c>
      <c r="I2425" t="s">
        <v>14</v>
      </c>
      <c r="J2425" t="s">
        <v>242</v>
      </c>
      <c r="K2425" t="s">
        <v>14</v>
      </c>
      <c r="L2425" t="s">
        <v>20</v>
      </c>
      <c r="M2425" t="s">
        <v>5042</v>
      </c>
      <c r="N2425" t="s">
        <v>14</v>
      </c>
    </row>
    <row r="2426" x14ac:dyDescent="0.25">
      <c r="A2426" t="n">
        <v>25</v>
      </c>
      <c r="B2426" t="s">
        <v>14</v>
      </c>
      <c r="C2426" t="s">
        <v>51</v>
      </c>
      <c r="D2426" s="2" t="s">
        <f>=HYPERLINK("https://main.knesset.gov.il/APPS/legislation/main/bills/2224659", "הצעת חוק ליישוב תחת איום מיידי (הוראת שעה), התשפ""ה-2024")</f>
        <v>5107</v>
      </c>
      <c r="E2426" t="s">
        <v>5107</v>
      </c>
      <c r="F2426" t="s">
        <v>5108</v>
      </c>
      <c r="G2426" t="s">
        <v>14</v>
      </c>
      <c r="H2426">
             </c>
      <c r="I2426" t="s">
        <v>14</v>
      </c>
      <c r="J2426" t="s">
        <v>242</v>
      </c>
      <c r="K2426" t="s">
        <v>14</v>
      </c>
      <c r="L2426" t="s">
        <v>20</v>
      </c>
      <c r="M2426" t="s">
        <v>5042</v>
      </c>
      <c r="N2426" t="s">
        <v>14</v>
      </c>
    </row>
    <row r="2427" x14ac:dyDescent="0.25">
      <c r="A2427" t="n">
        <v>25</v>
      </c>
      <c r="B2427" t="s">
        <v>14</v>
      </c>
      <c r="C2427" t="s">
        <v>51</v>
      </c>
      <c r="D2427" s="2" t="s">
        <f>=HYPERLINK("https://main.knesset.gov.il/APPS/legislation/main/bills/2224641", "הצעת חוק העונשין (תיקון - החמרת ענישה על סיוע לאויב במלחמה), התשפ""ה-2024")</f>
        <v>2073</v>
      </c>
      <c r="E2427" t="s">
        <v>2073</v>
      </c>
      <c r="F2427" t="s">
        <v>5109</v>
      </c>
      <c r="G2427" t="s">
        <v>14</v>
      </c>
      <c r="H2427">
             </c>
      <c r="I2427" t="s">
        <v>14</v>
      </c>
      <c r="J2427" t="s">
        <v>242</v>
      </c>
      <c r="K2427" t="s">
        <v>14</v>
      </c>
      <c r="L2427" t="s">
        <v>20</v>
      </c>
      <c r="M2427" t="s">
        <v>5042</v>
      </c>
      <c r="N2427" t="s">
        <v>14</v>
      </c>
    </row>
    <row r="2428" x14ac:dyDescent="0.25">
      <c r="A2428" t="n">
        <v>25</v>
      </c>
      <c r="B2428" t="s">
        <v>14</v>
      </c>
      <c r="C2428" t="s">
        <v>51</v>
      </c>
      <c r="D2428" s="2" t="s">
        <f>=HYPERLINK("https://main.knesset.gov.il/APPS/legislation/main/bills/2224639", "הצעת חוק לתיקון פקודת מס הכנסה (נקודת זיכוי בעד שירות מילואים), התשפ""ה-2024")</f>
        <v>4707</v>
      </c>
      <c r="E2428" t="s">
        <v>4707</v>
      </c>
      <c r="F2428" t="s">
        <v>5110</v>
      </c>
      <c r="G2428" t="s">
        <v>14</v>
      </c>
      <c r="H2428">
             </c>
      <c r="I2428" t="s">
        <v>14</v>
      </c>
      <c r="J2428" t="s">
        <v>242</v>
      </c>
      <c r="K2428" t="s">
        <v>14</v>
      </c>
      <c r="L2428" t="s">
        <v>20</v>
      </c>
      <c r="M2428" t="s">
        <v>5042</v>
      </c>
      <c r="N2428" t="s">
        <v>14</v>
      </c>
    </row>
    <row r="2429" x14ac:dyDescent="0.25">
      <c r="A2429" t="n">
        <v>25</v>
      </c>
      <c r="B2429" t="s">
        <v>14</v>
      </c>
      <c r="C2429" t="s">
        <v>51</v>
      </c>
      <c r="D2429" s="2" t="s">
        <f>=HYPERLINK("https://main.knesset.gov.il/APPS/legislation/main/bills/2224637", "הצעת חוק זכויות הסטודנט (תיקון - העדפה מתקנת ללוחמים), התשפ""ה-2024")</f>
        <v>5111</v>
      </c>
      <c r="E2429" t="s">
        <v>5111</v>
      </c>
      <c r="F2429" t="s">
        <v>5112</v>
      </c>
      <c r="G2429" t="s">
        <v>14</v>
      </c>
      <c r="H2429">
             </c>
      <c r="I2429" t="s">
        <v>14</v>
      </c>
      <c r="J2429" t="s">
        <v>242</v>
      </c>
      <c r="K2429" t="s">
        <v>14</v>
      </c>
      <c r="L2429" t="s">
        <v>20</v>
      </c>
      <c r="M2429" t="s">
        <v>5042</v>
      </c>
      <c r="N2429" t="s">
        <v>14</v>
      </c>
    </row>
    <row r="2430" x14ac:dyDescent="0.25">
      <c r="A2430" t="n">
        <v>25</v>
      </c>
      <c r="B2430" t="s">
        <v>14</v>
      </c>
      <c r="C2430" t="s">
        <v>51</v>
      </c>
      <c r="D2430" s="2" t="s">
        <f>=HYPERLINK("https://main.knesset.gov.il/APPS/legislation/main/bills/2224631", "הצעת חוק להקמת אוניברסיטה בעיר אשדוד, התשפ""ה-2024")</f>
        <v>5113</v>
      </c>
      <c r="E2430" t="s">
        <v>5113</v>
      </c>
      <c r="F2430" t="s">
        <v>5114</v>
      </c>
      <c r="G2430" t="s">
        <v>14</v>
      </c>
      <c r="H2430">
             </c>
      <c r="I2430" t="s">
        <v>14</v>
      </c>
      <c r="J2430" t="s">
        <v>242</v>
      </c>
      <c r="K2430" t="s">
        <v>14</v>
      </c>
      <c r="L2430" t="s">
        <v>20</v>
      </c>
      <c r="M2430" t="s">
        <v>5042</v>
      </c>
      <c r="N2430" t="s">
        <v>14</v>
      </c>
    </row>
    <row r="2431" x14ac:dyDescent="0.25">
      <c r="A2431" t="n">
        <v>25</v>
      </c>
      <c r="B2431" t="s">
        <v>14</v>
      </c>
      <c r="C2431" t="s">
        <v>51</v>
      </c>
      <c r="D2431" s="2" t="s">
        <f>=HYPERLINK("https://main.knesset.gov.il/APPS/legislation/main/bills/2224513", "הצעת חוק הביטוח הלאומי (תיקון - חישוב התגמול למשרתים במילואים), התשפ""ה-2024")</f>
        <v>5115</v>
      </c>
      <c r="E2431" t="s">
        <v>5115</v>
      </c>
      <c r="F2431" t="s">
        <v>5116</v>
      </c>
      <c r="G2431" t="s">
        <v>14</v>
      </c>
      <c r="H2431">
             </c>
      <c r="I2431" t="s">
        <v>14</v>
      </c>
      <c r="J2431" t="s">
        <v>242</v>
      </c>
      <c r="K2431" t="s">
        <v>14</v>
      </c>
      <c r="L2431" t="s">
        <v>20</v>
      </c>
      <c r="M2431" t="s">
        <v>5042</v>
      </c>
      <c r="N2431" t="s">
        <v>14</v>
      </c>
    </row>
    <row r="2432" x14ac:dyDescent="0.25">
      <c r="A2432" t="n">
        <v>25</v>
      </c>
      <c r="B2432" t="s">
        <v>14</v>
      </c>
      <c r="C2432" t="s">
        <v>51</v>
      </c>
      <c r="D2432" s="2" t="s">
        <f>=HYPERLINK("https://main.knesset.gov.il/APPS/legislation/main/bills/2224432", "הצעת חוק לתיקון פקודת מס הכנסה (מס למשתכרים בשכר נמוך), התשפ""ה-2024")</f>
        <v>5117</v>
      </c>
      <c r="E2432" t="s">
        <v>5117</v>
      </c>
      <c r="F2432" t="s">
        <v>5118</v>
      </c>
      <c r="G2432" t="s">
        <v>14</v>
      </c>
      <c r="H2432">
             </c>
      <c r="I2432" t="s">
        <v>14</v>
      </c>
      <c r="J2432" t="s">
        <v>242</v>
      </c>
      <c r="K2432" t="s">
        <v>14</v>
      </c>
      <c r="L2432" t="s">
        <v>20</v>
      </c>
      <c r="M2432" t="s">
        <v>5042</v>
      </c>
      <c r="N2432" t="s">
        <v>14</v>
      </c>
    </row>
    <row r="2433" x14ac:dyDescent="0.25">
      <c r="A2433" t="n">
        <v>25</v>
      </c>
      <c r="B2433" t="s">
        <v>14</v>
      </c>
      <c r="C2433" t="s">
        <v>51</v>
      </c>
      <c r="D2433" s="2" t="s">
        <f>=HYPERLINK("https://main.knesset.gov.il/APPS/legislation/main/bills/2224665", "הצעת חוק שירות התעסוקה (תיקון - הקמת לשכות תעסוקה), התשפ""ה-2024")</f>
        <v>5119</v>
      </c>
      <c r="E2433" t="s">
        <v>5119</v>
      </c>
      <c r="F2433" t="s">
        <v>5120</v>
      </c>
      <c r="G2433" t="s">
        <v>14</v>
      </c>
      <c r="H2433">
             </c>
      <c r="I2433" t="s">
        <v>14</v>
      </c>
      <c r="J2433" t="s">
        <v>242</v>
      </c>
      <c r="K2433" t="s">
        <v>14</v>
      </c>
      <c r="L2433" t="s">
        <v>20</v>
      </c>
      <c r="M2433" t="s">
        <v>5042</v>
      </c>
      <c r="N2433" t="s">
        <v>14</v>
      </c>
    </row>
    <row r="2434" x14ac:dyDescent="0.25">
      <c r="A2434" t="n">
        <v>25</v>
      </c>
      <c r="B2434" t="s">
        <v>14</v>
      </c>
      <c r="C2434" t="s">
        <v>51</v>
      </c>
      <c r="D2434" s="2" t="s">
        <f>=HYPERLINK("https://main.knesset.gov.il/APPS/legislation/main/bills/2224720", "הצעת חוק יסודות התקציב (תיקון - תקציב המשטרה), התשפ""ה-2024")</f>
        <v>5121</v>
      </c>
      <c r="E2434" t="s">
        <v>5121</v>
      </c>
      <c r="F2434" t="s">
        <v>5122</v>
      </c>
      <c r="G2434" t="s">
        <v>14</v>
      </c>
      <c r="H2434">
             </c>
      <c r="I2434" t="s">
        <v>14</v>
      </c>
      <c r="J2434" t="s">
        <v>242</v>
      </c>
      <c r="K2434" t="s">
        <v>14</v>
      </c>
      <c r="L2434" t="s">
        <v>20</v>
      </c>
      <c r="M2434" t="s">
        <v>5042</v>
      </c>
      <c r="N2434" t="s">
        <v>14</v>
      </c>
    </row>
    <row r="2435" x14ac:dyDescent="0.25">
      <c r="A2435" t="n">
        <v>25</v>
      </c>
      <c r="B2435" t="s">
        <v>14</v>
      </c>
      <c r="C2435" t="s">
        <v>51</v>
      </c>
      <c r="D2435" s="2" t="s">
        <f>=HYPERLINK("https://main.knesset.gov.il/APPS/legislation/main/bills/2224798", "הצעת חוק העברת הודעת פטירה, התשפ""ה-2024")</f>
        <v>5123</v>
      </c>
      <c r="E2435" t="s">
        <v>5123</v>
      </c>
      <c r="F2435" t="s">
        <v>5124</v>
      </c>
      <c r="G2435" t="s">
        <v>14</v>
      </c>
      <c r="H2435">
             </c>
      <c r="I2435" t="s">
        <v>14</v>
      </c>
      <c r="J2435" t="s">
        <v>242</v>
      </c>
      <c r="K2435" t="s">
        <v>14</v>
      </c>
      <c r="L2435" t="s">
        <v>20</v>
      </c>
      <c r="M2435" t="s">
        <v>5042</v>
      </c>
      <c r="N2435" t="s">
        <v>14</v>
      </c>
    </row>
    <row r="2436" x14ac:dyDescent="0.25">
      <c r="A2436" t="n">
        <v>25</v>
      </c>
      <c r="B2436" t="s">
        <v>14</v>
      </c>
      <c r="C2436" t="s">
        <v>51</v>
      </c>
      <c r="D2436" s="2" t="s">
        <f>=HYPERLINK("https://main.knesset.gov.il/APPS/legislation/main/bills/2223299", "הצעת חוק טיפול בפעוט עם מוגבלות (תיקוני חקיקה), התשפ""ה-2024")</f>
        <v>4984</v>
      </c>
      <c r="E2436" t="s">
        <v>4984</v>
      </c>
      <c r="F2436" t="s">
        <v>5125</v>
      </c>
      <c r="G2436" t="s">
        <v>14</v>
      </c>
      <c r="H2436">
             </c>
      <c r="I2436" t="s">
        <v>14</v>
      </c>
      <c r="J2436" t="s">
        <v>242</v>
      </c>
      <c r="K2436" t="s">
        <v>14</v>
      </c>
      <c r="L2436" t="s">
        <v>20</v>
      </c>
      <c r="M2436" t="s">
        <v>5042</v>
      </c>
      <c r="N2436" t="s">
        <v>14</v>
      </c>
    </row>
    <row r="2437" x14ac:dyDescent="0.25">
      <c r="A2437" t="n">
        <v>25</v>
      </c>
      <c r="B2437" t="s">
        <v>14</v>
      </c>
      <c r="C2437" t="s">
        <v>51</v>
      </c>
      <c r="D2437" s="2" t="s">
        <f>=HYPERLINK("https://main.knesset.gov.il/APPS/legislation/main/bills/2220189", "הצעת חוק המרכז לגביית קנסות, אגרות והוצאות (תיקון - פיצויים שהוטלו על ידי בית משפט צבאי), התשפ""ד-2024")</f>
        <v>5126</v>
      </c>
      <c r="E2437" t="s">
        <v>5126</v>
      </c>
      <c r="F2437" t="s">
        <v>5127</v>
      </c>
      <c r="G2437" t="s">
        <v>14</v>
      </c>
      <c r="H2437">
             </c>
      <c r="I2437" t="s">
        <v>14</v>
      </c>
      <c r="J2437" t="s">
        <v>183</v>
      </c>
      <c r="K2437" t="s">
        <v>27</v>
      </c>
      <c r="L2437" t="s">
        <v>20</v>
      </c>
      <c r="M2437" t="s">
        <v>5128</v>
      </c>
      <c r="N2437" t="s">
        <v>14</v>
      </c>
    </row>
    <row r="2438" x14ac:dyDescent="0.25">
      <c r="A2438" t="n">
        <v>25</v>
      </c>
      <c r="B2438" t="s">
        <v>14</v>
      </c>
      <c r="C2438" t="s">
        <v>51</v>
      </c>
      <c r="D2438" s="2" t="s">
        <f>=HYPERLINK("https://main.knesset.gov.il/APPS/legislation/main/bills/2218838", "הצעת חוק המים (תיקון - קביעת תעריפי מים לחקלאות), התשפ""ד-2024")</f>
        <v>5129</v>
      </c>
      <c r="E2438" t="s">
        <v>5129</v>
      </c>
      <c r="F2438" t="s">
        <v>5130</v>
      </c>
      <c r="G2438" t="s">
        <v>14</v>
      </c>
      <c r="H2438">
             </c>
      <c r="I2438" t="s">
        <v>14</v>
      </c>
      <c r="J2438" t="s">
        <v>183</v>
      </c>
      <c r="K2438" t="s">
        <v>84</v>
      </c>
      <c r="L2438" t="s">
        <v>20</v>
      </c>
      <c r="M2438" t="s">
        <v>5128</v>
      </c>
      <c r="N2438" t="s">
        <v>14</v>
      </c>
    </row>
    <row r="2439" x14ac:dyDescent="0.25">
      <c r="A2439" t="n">
        <v>25</v>
      </c>
      <c r="B2439" t="s">
        <v>14</v>
      </c>
      <c r="C2439" t="s">
        <v>51</v>
      </c>
      <c r="D2439" s="2" t="s">
        <f>=HYPERLINK("https://main.knesset.gov.il/APPS/legislation/main/bills/2216305", "הצעת חוק המים (תיקון - קביעת תעריפי מים לחקלאות), התשפ""ד-2024")</f>
        <v>5129</v>
      </c>
      <c r="E2439" t="s">
        <v>5129</v>
      </c>
      <c r="F2439" t="s">
        <v>5131</v>
      </c>
      <c r="G2439" t="s">
        <v>14</v>
      </c>
      <c r="H2439">
             </c>
      <c r="I2439" t="s">
        <v>14</v>
      </c>
      <c r="J2439" t="s">
        <v>183</v>
      </c>
      <c r="K2439" t="s">
        <v>84</v>
      </c>
      <c r="L2439" t="s">
        <v>20</v>
      </c>
      <c r="M2439" t="s">
        <v>5128</v>
      </c>
      <c r="N2439" t="s">
        <v>14</v>
      </c>
    </row>
    <row r="2440" x14ac:dyDescent="0.25">
      <c r="A2440" t="n">
        <v>25</v>
      </c>
      <c r="B2440" t="s">
        <v>14</v>
      </c>
      <c r="C2440" t="s">
        <v>15</v>
      </c>
      <c r="D2440" s="2" t="s">
        <f>=HYPERLINK("https://main.knesset.gov.il/APPS/legislation/main/bills/2223611", "חוק התכנון והבנייה (תיקון מס' 159), התשפ""ה-2024 ")</f>
        <v>5132</v>
      </c>
      <c r="E2440" t="s">
        <v>5132</v>
      </c>
      <c r="F2440" t="s">
        <v>14</v>
      </c>
      <c r="G2440" t="s">
        <v>5133</v>
      </c>
      <c r="H2440" t="n">
        <v>3328</v>
      </c>
      <c r="I2440" t="s">
        <v>14</v>
      </c>
      <c r="J2440" t="s">
        <v>18</v>
      </c>
      <c r="K2440" t="s">
        <v>30</v>
      </c>
      <c r="L2440" t="s">
        <v>20</v>
      </c>
      <c r="M2440" t="s">
        <v>5128</v>
      </c>
      <c r="N2440" t="s">
        <v>5134</v>
      </c>
    </row>
    <row r="2441" x14ac:dyDescent="0.25">
      <c r="A2441" t="n">
        <v>25</v>
      </c>
      <c r="B2441" t="s">
        <v>14</v>
      </c>
      <c r="C2441" t="s">
        <v>15</v>
      </c>
      <c r="D2441" s="2" t="s">
        <f>=HYPERLINK("https://main.knesset.gov.il/APPS/legislation/main/bills/2222384", "חוק הרבנות הראשית לישראל (תיקון מס' 8), התשפ""ה-2024")</f>
        <v>5135</v>
      </c>
      <c r="E2441" t="s">
        <v>5135</v>
      </c>
      <c r="F2441" t="s">
        <v>14</v>
      </c>
      <c r="G2441" t="s">
        <v>5136</v>
      </c>
      <c r="H2441" t="n">
        <v>3327</v>
      </c>
      <c r="I2441" t="s">
        <v>14</v>
      </c>
      <c r="J2441" t="s">
        <v>18</v>
      </c>
      <c r="K2441" t="s">
        <v>27</v>
      </c>
      <c r="L2441" t="s">
        <v>20</v>
      </c>
      <c r="M2441" t="s">
        <v>5128</v>
      </c>
      <c r="N2441" t="s">
        <v>5137</v>
      </c>
    </row>
    <row r="2442" x14ac:dyDescent="0.25">
      <c r="A2442" t="n">
        <v>25</v>
      </c>
      <c r="B2442" t="s">
        <v>14</v>
      </c>
      <c r="C2442" t="s">
        <v>51</v>
      </c>
      <c r="D2442" s="2" t="s">
        <f>=HYPERLINK("https://main.knesset.gov.il/APPS/legislation/main/bills/2219609", "הצעת חוק מנהלת מילואים, התשפ""ד-2024")</f>
        <v>5138</v>
      </c>
      <c r="E2442" t="s">
        <v>5138</v>
      </c>
      <c r="F2442" t="s">
        <v>5139</v>
      </c>
      <c r="G2442" t="s">
        <v>14</v>
      </c>
      <c r="H2442">
             </c>
      <c r="I2442" t="s">
        <v>14</v>
      </c>
      <c r="J2442" t="s">
        <v>193</v>
      </c>
      <c r="K2442" t="s">
        <v>14</v>
      </c>
      <c r="L2442" t="s">
        <v>20</v>
      </c>
      <c r="M2442" t="s">
        <v>5128</v>
      </c>
      <c r="N2442" t="s">
        <v>14</v>
      </c>
    </row>
    <row r="2443" x14ac:dyDescent="0.25">
      <c r="A2443" t="n">
        <v>25</v>
      </c>
      <c r="B2443" t="s">
        <v>14</v>
      </c>
      <c r="C2443" t="s">
        <v>51</v>
      </c>
      <c r="D2443" s="2" t="s">
        <f>=HYPERLINK("https://main.knesset.gov.il/APPS/legislation/main/bills/2215479", "הצעת חוק סנקציות על תומכי טרור, התשפ""ד-2024")</f>
        <v>5140</v>
      </c>
      <c r="E2443" t="s">
        <v>5140</v>
      </c>
      <c r="F2443" t="s">
        <v>5141</v>
      </c>
      <c r="G2443" t="s">
        <v>14</v>
      </c>
      <c r="H2443">
             </c>
      <c r="I2443" t="s">
        <v>14</v>
      </c>
      <c r="J2443" t="s">
        <v>152</v>
      </c>
      <c r="K2443" t="s">
        <v>39</v>
      </c>
      <c r="L2443" t="s">
        <v>20</v>
      </c>
      <c r="M2443" t="s">
        <v>5128</v>
      </c>
      <c r="N2443" t="s">
        <v>14</v>
      </c>
    </row>
    <row r="2444" x14ac:dyDescent="0.25">
      <c r="A2444" t="n">
        <v>25</v>
      </c>
      <c r="B2444" t="s">
        <v>14</v>
      </c>
      <c r="C2444" t="s">
        <v>51</v>
      </c>
      <c r="D2444" s="2" t="s">
        <f>=HYPERLINK("https://main.knesset.gov.il/APPS/legislation/main/bills/2213786", "הצעת חוק הרשויות המקומיות (פטור חיילים, נפגעי מלחמה ושוטרים מארנונה) (תיקון - הנחה בארנונה למשרת בשירות מילואים פעיל) (הוראת שעה), התשפ""ד-2024")</f>
        <v>5142</v>
      </c>
      <c r="E2444" t="s">
        <v>5142</v>
      </c>
      <c r="F2444" t="s">
        <v>5143</v>
      </c>
      <c r="G2444" t="s">
        <v>14</v>
      </c>
      <c r="H2444">
             </c>
      <c r="I2444" t="s">
        <v>14</v>
      </c>
      <c r="J2444" t="s">
        <v>193</v>
      </c>
      <c r="K2444" t="s">
        <v>14</v>
      </c>
      <c r="L2444" t="s">
        <v>20</v>
      </c>
      <c r="M2444" t="s">
        <v>5128</v>
      </c>
      <c r="N2444" t="s">
        <v>14</v>
      </c>
    </row>
    <row r="2445" x14ac:dyDescent="0.25">
      <c r="A2445" t="n">
        <v>25</v>
      </c>
      <c r="B2445" t="s">
        <v>14</v>
      </c>
      <c r="C2445" t="s">
        <v>51</v>
      </c>
      <c r="D2445" s="2" t="s">
        <f>=HYPERLINK("https://main.knesset.gov.il/APPS/legislation/main/bills/2211449", "הצעת חוק הביטוח הלאומי (תיקון - עבודה מועדפת ביישובי עוטף הגבול הדרומי והצפוני) (הוראת שעה), התשפ""ד-2024")</f>
        <v>5144</v>
      </c>
      <c r="E2445" t="s">
        <v>5144</v>
      </c>
      <c r="F2445" t="s">
        <v>5145</v>
      </c>
      <c r="G2445" t="s">
        <v>14</v>
      </c>
      <c r="H2445">
             </c>
      <c r="I2445" t="s">
        <v>14</v>
      </c>
      <c r="J2445" t="s">
        <v>193</v>
      </c>
      <c r="K2445" t="s">
        <v>14</v>
      </c>
      <c r="L2445" t="s">
        <v>20</v>
      </c>
      <c r="M2445" t="s">
        <v>5128</v>
      </c>
      <c r="N2445" t="s">
        <v>14</v>
      </c>
    </row>
    <row r="2446" x14ac:dyDescent="0.25">
      <c r="A2446" t="n">
        <v>25</v>
      </c>
      <c r="B2446" t="s">
        <v>14</v>
      </c>
      <c r="C2446" t="s">
        <v>51</v>
      </c>
      <c r="D2446" s="2" t="s">
        <f>=HYPERLINK("https://main.knesset.gov.il/APPS/legislation/main/bills/2211580", "הצעת חוק התגמולים לנפגעי פעולות איבה (תיקון - תגמול לכל החיים ליתום מהורה אחד), התשפ""ד-2023")</f>
        <v>5146</v>
      </c>
      <c r="E2446" t="s">
        <v>5146</v>
      </c>
      <c r="F2446" t="s">
        <v>5147</v>
      </c>
      <c r="G2446" t="s">
        <v>14</v>
      </c>
      <c r="H2446">
             </c>
      <c r="I2446" t="s">
        <v>14</v>
      </c>
      <c r="J2446" t="s">
        <v>193</v>
      </c>
      <c r="K2446" t="s">
        <v>14</v>
      </c>
      <c r="L2446" t="s">
        <v>20</v>
      </c>
      <c r="M2446" t="s">
        <v>5128</v>
      </c>
      <c r="N2446" t="s">
        <v>14</v>
      </c>
    </row>
    <row r="2447" x14ac:dyDescent="0.25">
      <c r="A2447" t="n">
        <v>25</v>
      </c>
      <c r="B2447" t="s">
        <v>14</v>
      </c>
      <c r="C2447" t="s">
        <v>51</v>
      </c>
      <c r="D2447" s="2" t="s">
        <f>=HYPERLINK("https://main.knesset.gov.il/APPS/legislation/main/bills/2203427", "הצעת חוק לעידוד השקעות הון (תיקון - תחולה על מפעל תעשייתי ביישובים הסמוכים לגבול העימות בצפון, בשדרות וביישובי עוטף עזה), התשפ""ג-2023")</f>
        <v>5148</v>
      </c>
      <c r="E2447" t="s">
        <v>5148</v>
      </c>
      <c r="F2447" t="s">
        <v>5149</v>
      </c>
      <c r="G2447" t="s">
        <v>14</v>
      </c>
      <c r="H2447">
             </c>
      <c r="I2447" t="s">
        <v>14</v>
      </c>
      <c r="J2447" t="s">
        <v>193</v>
      </c>
      <c r="K2447" t="s">
        <v>14</v>
      </c>
      <c r="L2447" t="s">
        <v>20</v>
      </c>
      <c r="M2447" t="s">
        <v>5128</v>
      </c>
      <c r="N2447" t="s">
        <v>14</v>
      </c>
    </row>
    <row r="2448" x14ac:dyDescent="0.25">
      <c r="A2448" t="n">
        <v>25</v>
      </c>
      <c r="B2448" t="s">
        <v>14</v>
      </c>
      <c r="C2448" t="s">
        <v>15</v>
      </c>
      <c r="D2448" s="2" t="s">
        <f>=HYPERLINK("https://main.knesset.gov.il/APPS/legislation/main/bills/2216841", "הצעת חוק האקלים, התשפ""ד-2024")</f>
        <v>5150</v>
      </c>
      <c r="E2448" t="s">
        <v>5150</v>
      </c>
      <c r="F2448" t="s">
        <v>14</v>
      </c>
      <c r="G2448" t="s">
        <v>5151</v>
      </c>
      <c r="H2448">
             </c>
      <c r="I2448" t="s">
        <v>14</v>
      </c>
      <c r="J2448" t="s">
        <v>38</v>
      </c>
      <c r="K2448" t="s">
        <v>30</v>
      </c>
      <c r="L2448" t="s">
        <v>20</v>
      </c>
      <c r="M2448" t="s">
        <v>5152</v>
      </c>
      <c r="N2448" t="s">
        <v>14</v>
      </c>
    </row>
    <row r="2449" x14ac:dyDescent="0.25">
      <c r="A2449" t="n">
        <v>25</v>
      </c>
      <c r="B2449" t="s">
        <v>14</v>
      </c>
      <c r="C2449" t="s">
        <v>15</v>
      </c>
      <c r="D2449" s="2" t="s">
        <f>=HYPERLINK("https://main.knesset.gov.il/APPS/legislation/main/bills/2222778", "חוק מכוני כושר (רישוי ופיקוח) (תיקון מס' 4), התשפ""ה-2024")</f>
        <v>5153</v>
      </c>
      <c r="E2449" t="s">
        <v>5153</v>
      </c>
      <c r="F2449" t="s">
        <v>14</v>
      </c>
      <c r="G2449" t="s">
        <v>5154</v>
      </c>
      <c r="H2449" t="n">
        <v>3329</v>
      </c>
      <c r="I2449" t="s">
        <v>14</v>
      </c>
      <c r="J2449" t="s">
        <v>18</v>
      </c>
      <c r="K2449" t="s">
        <v>79</v>
      </c>
      <c r="L2449" t="s">
        <v>20</v>
      </c>
      <c r="M2449" t="s">
        <v>5155</v>
      </c>
      <c r="N2449" t="s">
        <v>5156</v>
      </c>
    </row>
    <row r="2450" x14ac:dyDescent="0.25">
      <c r="A2450" t="n">
        <v>25</v>
      </c>
      <c r="B2450" t="s">
        <v>14</v>
      </c>
      <c r="C2450" t="s">
        <v>51</v>
      </c>
      <c r="D2450" s="2" t="s">
        <f>=HYPERLINK("https://main.knesset.gov.il/APPS/legislation/main/bills/2222860", "הצעת חוק חידוש ופיתוח חבל התקומה (תיקוני חקיקה) (הוראת שעה), התשפ""ה-2024 ")</f>
        <v>5157</v>
      </c>
      <c r="E2450" t="s">
        <v>5157</v>
      </c>
      <c r="F2450" t="s">
        <v>5158</v>
      </c>
      <c r="G2450" t="s">
        <v>14</v>
      </c>
      <c r="H2450">
             </c>
      <c r="I2450" t="s">
        <v>14</v>
      </c>
      <c r="J2450" t="s">
        <v>242</v>
      </c>
      <c r="K2450" t="s">
        <v>14</v>
      </c>
      <c r="L2450" t="s">
        <v>20</v>
      </c>
      <c r="M2450" t="s">
        <v>5155</v>
      </c>
      <c r="N2450" t="s">
        <v>14</v>
      </c>
    </row>
    <row r="2451" x14ac:dyDescent="0.25">
      <c r="A2451" t="n">
        <v>25</v>
      </c>
      <c r="B2451" t="s">
        <v>14</v>
      </c>
      <c r="C2451" t="s">
        <v>51</v>
      </c>
      <c r="D2451" s="2" t="s">
        <f>=HYPERLINK("https://main.knesset.gov.il/APPS/legislation/main/bills/2222530", "הצעת חוק חידוש ופיתוח חבל התקומה, התשפ""ה-2024")</f>
        <v>5159</v>
      </c>
      <c r="E2451" t="s">
        <v>5159</v>
      </c>
      <c r="F2451" t="s">
        <v>5160</v>
      </c>
      <c r="G2451" t="s">
        <v>14</v>
      </c>
      <c r="H2451">
             </c>
      <c r="I2451" t="s">
        <v>14</v>
      </c>
      <c r="J2451" t="s">
        <v>242</v>
      </c>
      <c r="K2451" t="s">
        <v>14</v>
      </c>
      <c r="L2451" t="s">
        <v>20</v>
      </c>
      <c r="M2451" t="s">
        <v>5155</v>
      </c>
      <c r="N2451" t="s">
        <v>14</v>
      </c>
    </row>
    <row r="2452" x14ac:dyDescent="0.25">
      <c r="A2452" t="n">
        <v>25</v>
      </c>
      <c r="B2452" t="s">
        <v>14</v>
      </c>
      <c r="C2452" t="s">
        <v>51</v>
      </c>
      <c r="D2452" s="2" t="s">
        <f>=HYPERLINK("https://main.knesset.gov.il/APPS/legislation/main/bills/2220569", "הצעת חוק הבנקאות (שירות ללקוח) (תיקון - מסירת מידע על פוליסות ביטוח), התשפ""ה-2024")</f>
        <v>4968</v>
      </c>
      <c r="E2452" t="s">
        <v>4968</v>
      </c>
      <c r="F2452" t="s">
        <v>5161</v>
      </c>
      <c r="G2452" t="s">
        <v>14</v>
      </c>
      <c r="H2452">
             </c>
      <c r="I2452" t="s">
        <v>14</v>
      </c>
      <c r="J2452" t="s">
        <v>242</v>
      </c>
      <c r="K2452" t="s">
        <v>14</v>
      </c>
      <c r="L2452" t="s">
        <v>20</v>
      </c>
      <c r="M2452" t="s">
        <v>5155</v>
      </c>
      <c r="N2452" t="s">
        <v>14</v>
      </c>
    </row>
    <row r="2453" x14ac:dyDescent="0.25">
      <c r="A2453" t="n">
        <v>25</v>
      </c>
      <c r="B2453" t="s">
        <v>14</v>
      </c>
      <c r="C2453" t="s">
        <v>51</v>
      </c>
      <c r="D2453" s="2" t="s">
        <f>=HYPERLINK("https://main.knesset.gov.il/APPS/legislation/main/bills/2223435", "הצעת חוק מתן עדיפות בהשכרה לטווח ארוך למשרתי מילואים פעילים בתפקידי לחימה (תיקוני חקיקה), התשפ""ה-2024")</f>
        <v>5162</v>
      </c>
      <c r="E2453" t="s">
        <v>5162</v>
      </c>
      <c r="F2453" t="s">
        <v>5163</v>
      </c>
      <c r="G2453" t="s">
        <v>14</v>
      </c>
      <c r="H2453">
             </c>
      <c r="I2453" t="s">
        <v>14</v>
      </c>
      <c r="J2453" t="s">
        <v>242</v>
      </c>
      <c r="K2453" t="s">
        <v>14</v>
      </c>
      <c r="L2453" t="s">
        <v>20</v>
      </c>
      <c r="M2453" t="s">
        <v>5155</v>
      </c>
      <c r="N2453" t="s">
        <v>14</v>
      </c>
    </row>
    <row r="2454" x14ac:dyDescent="0.25">
      <c r="A2454" t="n">
        <v>25</v>
      </c>
      <c r="B2454" t="s">
        <v>14</v>
      </c>
      <c r="C2454" t="s">
        <v>51</v>
      </c>
      <c r="D2454" s="2" t="s">
        <f>=HYPERLINK("https://main.knesset.gov.il/APPS/legislation/main/bills/2223816", "הצעת חוק התאמות בבחינת השתתפות המדינה בעלות שכר הלימוד במעון יום למשרתי מילואים, התשפ""ה-2024")</f>
        <v>5164</v>
      </c>
      <c r="E2454" t="s">
        <v>5164</v>
      </c>
      <c r="F2454" t="s">
        <v>5165</v>
      </c>
      <c r="G2454" t="s">
        <v>14</v>
      </c>
      <c r="H2454">
             </c>
      <c r="I2454" t="s">
        <v>14</v>
      </c>
      <c r="J2454" t="s">
        <v>242</v>
      </c>
      <c r="K2454" t="s">
        <v>14</v>
      </c>
      <c r="L2454" t="s">
        <v>20</v>
      </c>
      <c r="M2454" t="s">
        <v>5155</v>
      </c>
      <c r="N2454" t="s">
        <v>14</v>
      </c>
    </row>
    <row r="2455" x14ac:dyDescent="0.25">
      <c r="A2455" t="n">
        <v>25</v>
      </c>
      <c r="B2455" t="s">
        <v>14</v>
      </c>
      <c r="C2455" t="s">
        <v>51</v>
      </c>
      <c r="D2455" s="2" t="s">
        <f>=HYPERLINK("https://main.knesset.gov.il/APPS/legislation/main/bills/2224115", "הצעת חוק-יסוד: הממשלה (תיקון - התפטרות ראש הממשלה או שר עקב הגשת כתב אישום)")</f>
        <v>5166</v>
      </c>
      <c r="E2455" t="s">
        <v>5166</v>
      </c>
      <c r="F2455" t="s">
        <v>5167</v>
      </c>
      <c r="G2455" t="s">
        <v>14</v>
      </c>
      <c r="H2455">
             </c>
      <c r="I2455" t="s">
        <v>14</v>
      </c>
      <c r="J2455" t="s">
        <v>242</v>
      </c>
      <c r="K2455" t="s">
        <v>14</v>
      </c>
      <c r="L2455" t="s">
        <v>20</v>
      </c>
      <c r="M2455" t="s">
        <v>5155</v>
      </c>
      <c r="N2455" t="s">
        <v>14</v>
      </c>
    </row>
    <row r="2456" x14ac:dyDescent="0.25">
      <c r="A2456" t="n">
        <v>25</v>
      </c>
      <c r="B2456" t="s">
        <v>14</v>
      </c>
      <c r="C2456" t="s">
        <v>51</v>
      </c>
      <c r="D2456" s="2" t="s">
        <f>=HYPERLINK("https://main.knesset.gov.il/APPS/legislation/main/bills/2222698", "הצעת חוק הנגישות הלשונית, התשפ""ה-2024")</f>
        <v>4888</v>
      </c>
      <c r="E2456" t="s">
        <v>4888</v>
      </c>
      <c r="F2456" t="s">
        <v>5168</v>
      </c>
      <c r="G2456" t="s">
        <v>14</v>
      </c>
      <c r="H2456">
             </c>
      <c r="I2456" t="s">
        <v>14</v>
      </c>
      <c r="J2456" t="s">
        <v>242</v>
      </c>
      <c r="K2456" t="s">
        <v>14</v>
      </c>
      <c r="L2456" t="s">
        <v>20</v>
      </c>
      <c r="M2456" t="s">
        <v>5155</v>
      </c>
      <c r="N2456" t="s">
        <v>14</v>
      </c>
    </row>
    <row r="2457" x14ac:dyDescent="0.25">
      <c r="A2457" t="n">
        <v>25</v>
      </c>
      <c r="B2457" t="s">
        <v>14</v>
      </c>
      <c r="C2457" t="s">
        <v>51</v>
      </c>
      <c r="D2457" s="2" t="s">
        <f>=HYPERLINK("https://main.knesset.gov.il/APPS/legislation/main/bills/2223717", "הצעת חוק הטבות למשרתים בשירות צבאי או אזרחי, התשפ""ה-2024")</f>
        <v>5169</v>
      </c>
      <c r="E2457" t="s">
        <v>5169</v>
      </c>
      <c r="F2457" t="s">
        <v>5170</v>
      </c>
      <c r="G2457" t="s">
        <v>14</v>
      </c>
      <c r="H2457">
             </c>
      <c r="I2457" t="s">
        <v>14</v>
      </c>
      <c r="J2457" t="s">
        <v>242</v>
      </c>
      <c r="K2457" t="s">
        <v>14</v>
      </c>
      <c r="L2457" t="s">
        <v>20</v>
      </c>
      <c r="M2457" t="s">
        <v>5155</v>
      </c>
      <c r="N2457" t="s">
        <v>14</v>
      </c>
    </row>
    <row r="2458" x14ac:dyDescent="0.25">
      <c r="A2458" t="n">
        <v>25</v>
      </c>
      <c r="B2458" t="s">
        <v>14</v>
      </c>
      <c r="C2458" t="s">
        <v>51</v>
      </c>
      <c r="D2458" s="2" t="s">
        <f>=HYPERLINK("https://main.knesset.gov.il/APPS/legislation/main/bills/2223688", "הצעת חוק להקפאת קצבאות שמשולמות לפעיל טרור ומשפחתו מקופת המדינה, התשפ""ה-2024")</f>
        <v>5171</v>
      </c>
      <c r="E2458" t="s">
        <v>5171</v>
      </c>
      <c r="F2458" t="s">
        <v>5172</v>
      </c>
      <c r="G2458" t="s">
        <v>14</v>
      </c>
      <c r="H2458">
             </c>
      <c r="I2458" t="s">
        <v>14</v>
      </c>
      <c r="J2458" t="s">
        <v>242</v>
      </c>
      <c r="K2458" t="s">
        <v>14</v>
      </c>
      <c r="L2458" t="s">
        <v>20</v>
      </c>
      <c r="M2458" t="s">
        <v>5155</v>
      </c>
      <c r="N2458" t="s">
        <v>14</v>
      </c>
    </row>
    <row r="2459" x14ac:dyDescent="0.25">
      <c r="A2459" t="n">
        <v>25</v>
      </c>
      <c r="B2459" t="s">
        <v>14</v>
      </c>
      <c r="C2459" t="s">
        <v>51</v>
      </c>
      <c r="D2459" s="2" t="s">
        <f>=HYPERLINK("https://main.knesset.gov.il/APPS/legislation/main/bills/2223175", "הצעת חוק להסדר ההימורים בספורט (תיקון - שימוש ביתרת ההכנסות על ידי המועצה), התשפ""ה-2024")</f>
        <v>5173</v>
      </c>
      <c r="E2459" t="s">
        <v>5173</v>
      </c>
      <c r="F2459" t="s">
        <v>5174</v>
      </c>
      <c r="G2459" t="s">
        <v>14</v>
      </c>
      <c r="H2459">
             </c>
      <c r="I2459" t="s">
        <v>14</v>
      </c>
      <c r="J2459" t="s">
        <v>242</v>
      </c>
      <c r="K2459" t="s">
        <v>14</v>
      </c>
      <c r="L2459" t="s">
        <v>20</v>
      </c>
      <c r="M2459" t="s">
        <v>5155</v>
      </c>
      <c r="N2459" t="s">
        <v>14</v>
      </c>
    </row>
    <row r="2460" x14ac:dyDescent="0.25">
      <c r="A2460" t="n">
        <v>25</v>
      </c>
      <c r="B2460" t="s">
        <v>14</v>
      </c>
      <c r="C2460" t="s">
        <v>51</v>
      </c>
      <c r="D2460" s="2" t="s">
        <f>=HYPERLINK("https://main.knesset.gov.il/APPS/legislation/main/bills/2223726", "הצעת חוק התגמולים לנפגעי פעולות איבה (תיקון - משפחה מלווה ליתומים בגירים), התשפ""ה-2024")</f>
        <v>4830</v>
      </c>
      <c r="E2460" t="s">
        <v>4830</v>
      </c>
      <c r="F2460" t="s">
        <v>5175</v>
      </c>
      <c r="G2460" t="s">
        <v>14</v>
      </c>
      <c r="H2460">
             </c>
      <c r="I2460" t="s">
        <v>14</v>
      </c>
      <c r="J2460" t="s">
        <v>242</v>
      </c>
      <c r="K2460" t="s">
        <v>14</v>
      </c>
      <c r="L2460" t="s">
        <v>20</v>
      </c>
      <c r="M2460" t="s">
        <v>5155</v>
      </c>
      <c r="N2460" t="s">
        <v>14</v>
      </c>
    </row>
    <row r="2461" x14ac:dyDescent="0.25">
      <c r="A2461" t="n">
        <v>25</v>
      </c>
      <c r="B2461" t="s">
        <v>14</v>
      </c>
      <c r="C2461" t="s">
        <v>51</v>
      </c>
      <c r="D2461" s="2" t="s">
        <f>=HYPERLINK("https://main.knesset.gov.il/APPS/legislation/main/bills/2224510", "הצעת חוק מס ערך מוסף (תיקון - פטור ממס על בניית מרחב מוגן ביישוב צמוד גדר), התשפ""ה-2024")</f>
        <v>5176</v>
      </c>
      <c r="E2461" t="s">
        <v>5176</v>
      </c>
      <c r="F2461" t="s">
        <v>5177</v>
      </c>
      <c r="G2461" t="s">
        <v>14</v>
      </c>
      <c r="H2461">
             </c>
      <c r="I2461" t="s">
        <v>14</v>
      </c>
      <c r="J2461" t="s">
        <v>242</v>
      </c>
      <c r="K2461" t="s">
        <v>14</v>
      </c>
      <c r="L2461" t="s">
        <v>20</v>
      </c>
      <c r="M2461" t="s">
        <v>5155</v>
      </c>
      <c r="N2461" t="s">
        <v>14</v>
      </c>
    </row>
    <row r="2462" x14ac:dyDescent="0.25">
      <c r="A2462" t="n">
        <v>25</v>
      </c>
      <c r="B2462" t="s">
        <v>14</v>
      </c>
      <c r="C2462" t="s">
        <v>51</v>
      </c>
      <c r="D2462" s="2" t="s">
        <f>=HYPERLINK("https://main.knesset.gov.il/APPS/legislation/main/bills/2224483", "הצעת חוק הצבת מכשירי החייאה במקומות ציבוריים (תיקון - הוספת רכבת לתוספת), התשפ""ה-2024")</f>
        <v>5178</v>
      </c>
      <c r="E2462" t="s">
        <v>5178</v>
      </c>
      <c r="F2462" t="s">
        <v>5179</v>
      </c>
      <c r="G2462" t="s">
        <v>14</v>
      </c>
      <c r="H2462">
             </c>
      <c r="I2462" t="s">
        <v>14</v>
      </c>
      <c r="J2462" t="s">
        <v>242</v>
      </c>
      <c r="K2462" t="s">
        <v>14</v>
      </c>
      <c r="L2462" t="s">
        <v>20</v>
      </c>
      <c r="M2462" t="s">
        <v>5155</v>
      </c>
      <c r="N2462" t="s">
        <v>14</v>
      </c>
    </row>
    <row r="2463" x14ac:dyDescent="0.25">
      <c r="A2463" t="n">
        <v>25</v>
      </c>
      <c r="B2463" t="s">
        <v>14</v>
      </c>
      <c r="C2463" t="s">
        <v>51</v>
      </c>
      <c r="D2463" s="2" t="s">
        <f>=HYPERLINK("https://main.knesset.gov.il/APPS/legislation/main/bills/2224480", "הצעת חוק האזרחים הוותיקים (תיקון - הנחה בארנונה לאזרח ותיק המתגורר בדירה שאינה בהחזקתו), התשפ""ה-2024")</f>
        <v>5180</v>
      </c>
      <c r="E2463" t="s">
        <v>5180</v>
      </c>
      <c r="F2463" t="s">
        <v>5181</v>
      </c>
      <c r="G2463" t="s">
        <v>14</v>
      </c>
      <c r="H2463">
             </c>
      <c r="I2463" t="s">
        <v>14</v>
      </c>
      <c r="J2463" t="s">
        <v>242</v>
      </c>
      <c r="K2463" t="s">
        <v>14</v>
      </c>
      <c r="L2463" t="s">
        <v>20</v>
      </c>
      <c r="M2463" t="s">
        <v>5155</v>
      </c>
      <c r="N2463" t="s">
        <v>14</v>
      </c>
    </row>
    <row r="2464" x14ac:dyDescent="0.25">
      <c r="A2464" t="n">
        <v>25</v>
      </c>
      <c r="B2464" t="s">
        <v>14</v>
      </c>
      <c r="C2464" t="s">
        <v>51</v>
      </c>
      <c r="D2464" s="2" t="s">
        <f>=HYPERLINK("https://main.knesset.gov.il/APPS/legislation/main/bills/2224179", "הצעת חוק לתיקון פקודת מס הכנסה (פטור ממס למשרת מילואים פעיל) (הוראת שעה - חרבות ברזל), התשפ""ה-2024")</f>
        <v>5182</v>
      </c>
      <c r="E2464" t="s">
        <v>5182</v>
      </c>
      <c r="F2464" t="s">
        <v>5183</v>
      </c>
      <c r="G2464" t="s">
        <v>14</v>
      </c>
      <c r="H2464">
             </c>
      <c r="I2464" t="s">
        <v>14</v>
      </c>
      <c r="J2464" t="s">
        <v>242</v>
      </c>
      <c r="K2464" t="s">
        <v>14</v>
      </c>
      <c r="L2464" t="s">
        <v>20</v>
      </c>
      <c r="M2464" t="s">
        <v>5155</v>
      </c>
      <c r="N2464" t="s">
        <v>14</v>
      </c>
    </row>
    <row r="2465" x14ac:dyDescent="0.25">
      <c r="A2465" t="n">
        <v>25</v>
      </c>
      <c r="B2465" t="s">
        <v>14</v>
      </c>
      <c r="C2465" t="s">
        <v>51</v>
      </c>
      <c r="D2465" s="2" t="s">
        <f>=HYPERLINK("https://main.knesset.gov.il/APPS/legislation/main/bills/2224176", "הצעת חוק עידוד שירות צבאי, לאומי או לאומי-אזרחי במוסדות להשכלה גבוהה, התשפ""ה-2024")</f>
        <v>1148</v>
      </c>
      <c r="E2465" t="s">
        <v>1148</v>
      </c>
      <c r="F2465" t="s">
        <v>5184</v>
      </c>
      <c r="G2465" t="s">
        <v>14</v>
      </c>
      <c r="H2465">
             </c>
      <c r="I2465" t="s">
        <v>14</v>
      </c>
      <c r="J2465" t="s">
        <v>242</v>
      </c>
      <c r="K2465" t="s">
        <v>14</v>
      </c>
      <c r="L2465" t="s">
        <v>20</v>
      </c>
      <c r="M2465" t="s">
        <v>5155</v>
      </c>
      <c r="N2465" t="s">
        <v>14</v>
      </c>
    </row>
    <row r="2466" x14ac:dyDescent="0.25">
      <c r="A2466" t="n">
        <v>25</v>
      </c>
      <c r="B2466" t="s">
        <v>14</v>
      </c>
      <c r="C2466" t="s">
        <v>51</v>
      </c>
      <c r="D2466" s="2" t="s">
        <f>=HYPERLINK("https://main.knesset.gov.il/APPS/legislation/main/bills/2224247", "הצעת חוק-יסוד: השפיטה (תיקון - שלילת זכות עמידה למתגמל טרור)")</f>
        <v>5185</v>
      </c>
      <c r="E2466" t="s">
        <v>5185</v>
      </c>
      <c r="F2466" t="s">
        <v>5186</v>
      </c>
      <c r="G2466" t="s">
        <v>14</v>
      </c>
      <c r="H2466">
             </c>
      <c r="I2466" t="s">
        <v>14</v>
      </c>
      <c r="J2466" t="s">
        <v>242</v>
      </c>
      <c r="K2466" t="s">
        <v>14</v>
      </c>
      <c r="L2466" t="s">
        <v>20</v>
      </c>
      <c r="M2466" t="s">
        <v>5155</v>
      </c>
      <c r="N2466" t="s">
        <v>14</v>
      </c>
    </row>
    <row r="2467" x14ac:dyDescent="0.25">
      <c r="A2467" t="n">
        <v>25</v>
      </c>
      <c r="B2467" t="s">
        <v>14</v>
      </c>
      <c r="C2467" t="s">
        <v>51</v>
      </c>
      <c r="D2467" s="2" t="s">
        <f>=HYPERLINK("https://main.knesset.gov.il/APPS/legislation/main/bills/2223995", "הצעת חוק הגבלת השימוש ורישום פעולות בחלקי רכב משומשים (מניעת גניבות) (תיקון - חובות החלות בעת רכישה או מכירה של רכב ניזוק), התשפ""ה-2024")</f>
        <v>5187</v>
      </c>
      <c r="E2467" t="s">
        <v>5187</v>
      </c>
      <c r="F2467" t="s">
        <v>5188</v>
      </c>
      <c r="G2467" t="s">
        <v>14</v>
      </c>
      <c r="H2467">
             </c>
      <c r="I2467" t="s">
        <v>14</v>
      </c>
      <c r="J2467" t="s">
        <v>242</v>
      </c>
      <c r="K2467" t="s">
        <v>14</v>
      </c>
      <c r="L2467" t="s">
        <v>20</v>
      </c>
      <c r="M2467" t="s">
        <v>5155</v>
      </c>
      <c r="N2467" t="s">
        <v>14</v>
      </c>
    </row>
    <row r="2468" x14ac:dyDescent="0.25">
      <c r="A2468" t="n">
        <v>25</v>
      </c>
      <c r="B2468" t="s">
        <v>14</v>
      </c>
      <c r="C2468" t="s">
        <v>51</v>
      </c>
      <c r="D2468" s="2" t="s">
        <f>=HYPERLINK("https://main.knesset.gov.il/APPS/legislation/main/bills/2223986", "הצעת חוק לתיקון פקודת הדיג (איסור דיג מכמורת), התשפ""ה-2024")</f>
        <v>5189</v>
      </c>
      <c r="E2468" t="s">
        <v>5189</v>
      </c>
      <c r="F2468" t="s">
        <v>5190</v>
      </c>
      <c r="G2468" t="s">
        <v>14</v>
      </c>
      <c r="H2468">
             </c>
      <c r="I2468" t="s">
        <v>14</v>
      </c>
      <c r="J2468" t="s">
        <v>242</v>
      </c>
      <c r="K2468" t="s">
        <v>14</v>
      </c>
      <c r="L2468" t="s">
        <v>20</v>
      </c>
      <c r="M2468" t="s">
        <v>5155</v>
      </c>
      <c r="N2468" t="s">
        <v>14</v>
      </c>
    </row>
    <row r="2469" x14ac:dyDescent="0.25">
      <c r="A2469" t="n">
        <v>25</v>
      </c>
      <c r="B2469" t="s">
        <v>14</v>
      </c>
      <c r="C2469" t="s">
        <v>51</v>
      </c>
      <c r="D2469" s="2" t="s">
        <f>=HYPERLINK("https://main.knesset.gov.il/APPS/legislation/main/bills/2224168", "הצעת חוק הביטוח הלאומי (תיקון - חישוב התגמול לעצמאים בשירות מילואים), התשפ""ה-2024")</f>
        <v>5191</v>
      </c>
      <c r="E2469" t="s">
        <v>5191</v>
      </c>
      <c r="F2469" t="s">
        <v>5192</v>
      </c>
      <c r="G2469" t="s">
        <v>14</v>
      </c>
      <c r="H2469">
             </c>
      <c r="I2469" t="s">
        <v>14</v>
      </c>
      <c r="J2469" t="s">
        <v>242</v>
      </c>
      <c r="K2469" t="s">
        <v>14</v>
      </c>
      <c r="L2469" t="s">
        <v>20</v>
      </c>
      <c r="M2469" t="s">
        <v>5155</v>
      </c>
      <c r="N2469" t="s">
        <v>14</v>
      </c>
    </row>
    <row r="2470" x14ac:dyDescent="0.25">
      <c r="A2470" t="n">
        <v>25</v>
      </c>
      <c r="B2470" t="s">
        <v>14</v>
      </c>
      <c r="C2470" t="s">
        <v>51</v>
      </c>
      <c r="D2470" s="2" t="s">
        <f>=HYPERLINK("https://main.knesset.gov.il/APPS/legislation/main/bills/2222549", "הצעת חוק לתיקון פקודת העיריות (עובדים משטחי הרשות הפלסטינית), התשפ""ה-2024")</f>
        <v>5193</v>
      </c>
      <c r="E2470" t="s">
        <v>5193</v>
      </c>
      <c r="F2470" t="s">
        <v>5194</v>
      </c>
      <c r="G2470" t="s">
        <v>14</v>
      </c>
      <c r="H2470">
             </c>
      <c r="I2470" t="s">
        <v>14</v>
      </c>
      <c r="J2470" t="s">
        <v>242</v>
      </c>
      <c r="K2470" t="s">
        <v>14</v>
      </c>
      <c r="L2470" t="s">
        <v>20</v>
      </c>
      <c r="M2470" t="s">
        <v>5155</v>
      </c>
      <c r="N2470" t="s">
        <v>14</v>
      </c>
    </row>
    <row r="2471" x14ac:dyDescent="0.25">
      <c r="A2471" t="n">
        <v>25</v>
      </c>
      <c r="B2471" t="s">
        <v>14</v>
      </c>
      <c r="C2471" t="s">
        <v>51</v>
      </c>
      <c r="D2471" s="2" t="s">
        <f>=HYPERLINK("https://main.knesset.gov.il/APPS/legislation/main/bills/2223841", "הצעת חוק קרן פיצויים לנזקי הפשיעה החקלאית, התשפ""ה-2024")</f>
        <v>5195</v>
      </c>
      <c r="E2471" t="s">
        <v>5195</v>
      </c>
      <c r="F2471" t="s">
        <v>5196</v>
      </c>
      <c r="G2471" t="s">
        <v>14</v>
      </c>
      <c r="H2471">
             </c>
      <c r="I2471" t="s">
        <v>14</v>
      </c>
      <c r="J2471" t="s">
        <v>242</v>
      </c>
      <c r="K2471" t="s">
        <v>14</v>
      </c>
      <c r="L2471" t="s">
        <v>20</v>
      </c>
      <c r="M2471" t="s">
        <v>5155</v>
      </c>
      <c r="N2471" t="s">
        <v>14</v>
      </c>
    </row>
    <row r="2472" x14ac:dyDescent="0.25">
      <c r="A2472" t="n">
        <v>25</v>
      </c>
      <c r="B2472" t="s">
        <v>14</v>
      </c>
      <c r="C2472" t="s">
        <v>51</v>
      </c>
      <c r="D2472" s="2" t="s">
        <f>=HYPERLINK("https://main.knesset.gov.il/APPS/legislation/main/bills/2223997", "הצעת חוק פיקוח על מחירי מצרכים ושירותים (תיקון - פיקוח על מוצרי מזון בריא בסיסיים), התשפ""ה-2024 ")</f>
        <v>5197</v>
      </c>
      <c r="E2472" t="s">
        <v>5197</v>
      </c>
      <c r="F2472" t="s">
        <v>5198</v>
      </c>
      <c r="G2472" t="s">
        <v>14</v>
      </c>
      <c r="H2472">
             </c>
      <c r="I2472" t="s">
        <v>14</v>
      </c>
      <c r="J2472" t="s">
        <v>242</v>
      </c>
      <c r="K2472" t="s">
        <v>14</v>
      </c>
      <c r="L2472" t="s">
        <v>20</v>
      </c>
      <c r="M2472" t="s">
        <v>5155</v>
      </c>
      <c r="N2472" t="s">
        <v>14</v>
      </c>
    </row>
    <row r="2473" x14ac:dyDescent="0.25">
      <c r="A2473" t="n">
        <v>25</v>
      </c>
      <c r="B2473" t="s">
        <v>14</v>
      </c>
      <c r="C2473" t="s">
        <v>51</v>
      </c>
      <c r="D2473" s="2" t="s">
        <f>=HYPERLINK("https://main.knesset.gov.il/APPS/legislation/main/bills/2215702", "חוק העונשין (תיקון מס' 151), התשפ""ה–2024")</f>
        <v>5199</v>
      </c>
      <c r="E2473" t="s">
        <v>5199</v>
      </c>
      <c r="F2473" t="s">
        <v>5200</v>
      </c>
      <c r="G2473" t="s">
        <v>5201</v>
      </c>
      <c r="H2473" t="n">
        <v>3325</v>
      </c>
      <c r="I2473" t="s">
        <v>14</v>
      </c>
      <c r="J2473" t="s">
        <v>18</v>
      </c>
      <c r="K2473" t="s">
        <v>27</v>
      </c>
      <c r="L2473" t="s">
        <v>20</v>
      </c>
      <c r="M2473" t="s">
        <v>5202</v>
      </c>
      <c r="N2473" t="s">
        <v>5203</v>
      </c>
    </row>
    <row r="2474" x14ac:dyDescent="0.25">
      <c r="A2474" t="n">
        <v>25</v>
      </c>
      <c r="B2474" t="s">
        <v>14</v>
      </c>
      <c r="C2474" t="s">
        <v>51</v>
      </c>
      <c r="D2474" s="2" t="s">
        <f>=HYPERLINK("https://main.knesset.gov.il/APPS/legislation/main/bills/2198458", "חוק שוויון ההזדמנויות בעבודה (תיקון מס' 27), התשפ""ה–2024")</f>
        <v>5204</v>
      </c>
      <c r="E2474" t="s">
        <v>5204</v>
      </c>
      <c r="F2474" t="s">
        <v>5205</v>
      </c>
      <c r="G2474" t="s">
        <v>5206</v>
      </c>
      <c r="H2474" t="n">
        <v>3324</v>
      </c>
      <c r="I2474" t="s">
        <v>14</v>
      </c>
      <c r="J2474" t="s">
        <v>18</v>
      </c>
      <c r="K2474" t="s">
        <v>46</v>
      </c>
      <c r="L2474" t="s">
        <v>20</v>
      </c>
      <c r="M2474" t="s">
        <v>5202</v>
      </c>
      <c r="N2474" t="s">
        <v>5207</v>
      </c>
    </row>
    <row r="2475" x14ac:dyDescent="0.25">
      <c r="A2475" t="n">
        <v>25</v>
      </c>
      <c r="B2475" t="s">
        <v>14</v>
      </c>
      <c r="C2475" t="s">
        <v>15</v>
      </c>
      <c r="D2475" s="2" t="s">
        <f>=HYPERLINK("https://main.knesset.gov.il/APPS/legislation/main/bills/2223550", "חוק לתיקון פקודת בתי הסוהר (מס' 67 והוראת שעה), התשפ""ה-2024 ")</f>
        <v>5208</v>
      </c>
      <c r="E2475" t="s">
        <v>5208</v>
      </c>
      <c r="F2475" t="s">
        <v>14</v>
      </c>
      <c r="G2475" t="s">
        <v>5209</v>
      </c>
      <c r="H2475" t="n">
        <v>3323</v>
      </c>
      <c r="I2475" t="s">
        <v>14</v>
      </c>
      <c r="J2475" t="s">
        <v>18</v>
      </c>
      <c r="K2475" t="s">
        <v>19</v>
      </c>
      <c r="L2475" t="s">
        <v>20</v>
      </c>
      <c r="M2475" t="s">
        <v>5202</v>
      </c>
      <c r="N2475" t="s">
        <v>5210</v>
      </c>
    </row>
    <row r="2476" x14ac:dyDescent="0.25">
      <c r="A2476" t="n">
        <v>25</v>
      </c>
      <c r="B2476" t="s">
        <v>14</v>
      </c>
      <c r="C2476" t="s">
        <v>15</v>
      </c>
      <c r="D2476" s="2" t="s">
        <f>=HYPERLINK("https://main.knesset.gov.il/APPS/legislation/main/bills/2223864", "חוק כליאתם של לוחמים בלתי חוקיים (תיקון מס' 4 והוראת שעה – חרבות ברזל) (תיקון מס' 3), התשפ""ה-2024")</f>
        <v>5211</v>
      </c>
      <c r="E2476" t="s">
        <v>5211</v>
      </c>
      <c r="F2476" t="s">
        <v>14</v>
      </c>
      <c r="G2476" t="s">
        <v>5212</v>
      </c>
      <c r="H2476" t="n">
        <v>3322</v>
      </c>
      <c r="I2476" t="s">
        <v>14</v>
      </c>
      <c r="J2476" t="s">
        <v>18</v>
      </c>
      <c r="K2476" t="s">
        <v>39</v>
      </c>
      <c r="L2476" t="s">
        <v>20</v>
      </c>
      <c r="M2476" t="s">
        <v>5202</v>
      </c>
      <c r="N2476" t="s">
        <v>5213</v>
      </c>
    </row>
    <row r="2477" x14ac:dyDescent="0.25">
      <c r="A2477" t="n">
        <v>25</v>
      </c>
      <c r="B2477" t="s">
        <v>14</v>
      </c>
      <c r="C2477" t="s">
        <v>51</v>
      </c>
      <c r="D2477" s="2" t="s">
        <f>=HYPERLINK("https://main.knesset.gov.il/APPS/legislation/main/bills/2215203", "הצעת חוק הרשויות המקומיות (פטור חיילים, נפגעי מלחמה ושוטרים מארנונה) (תיקון - הנחה בארנונה למשרת בשירות מילואים פעיל) (הוראת שעה), התשפ""ד-2024")</f>
        <v>5142</v>
      </c>
      <c r="E2477" t="s">
        <v>5142</v>
      </c>
      <c r="F2477" t="s">
        <v>5214</v>
      </c>
      <c r="G2477" t="s">
        <v>14</v>
      </c>
      <c r="H2477">
             </c>
      <c r="I2477" t="s">
        <v>14</v>
      </c>
      <c r="J2477" t="s">
        <v>193</v>
      </c>
      <c r="K2477" t="s">
        <v>14</v>
      </c>
      <c r="L2477" t="s">
        <v>20</v>
      </c>
      <c r="M2477" t="s">
        <v>5202</v>
      </c>
      <c r="N2477" t="s">
        <v>14</v>
      </c>
    </row>
    <row r="2478" x14ac:dyDescent="0.25">
      <c r="A2478" t="n">
        <v>25</v>
      </c>
      <c r="B2478" t="s">
        <v>14</v>
      </c>
      <c r="C2478" t="s">
        <v>51</v>
      </c>
      <c r="D2478" s="2" t="s">
        <f>=HYPERLINK("https://main.knesset.gov.il/APPS/legislation/main/bills/2213395", "הצעת חוק הממשלה (תיקון - ביצוע בדיקת פוליגרף לחברי ועדת השרים לענייני ביטחון לאומי), התשפ""ד-2024")</f>
        <v>5215</v>
      </c>
      <c r="E2478" t="s">
        <v>5215</v>
      </c>
      <c r="F2478" t="s">
        <v>5216</v>
      </c>
      <c r="G2478" t="s">
        <v>14</v>
      </c>
      <c r="H2478">
             </c>
      <c r="I2478" t="s">
        <v>14</v>
      </c>
      <c r="J2478" t="s">
        <v>193</v>
      </c>
      <c r="K2478" t="s">
        <v>14</v>
      </c>
      <c r="L2478" t="s">
        <v>20</v>
      </c>
      <c r="M2478" t="s">
        <v>5202</v>
      </c>
      <c r="N2478" t="s">
        <v>14</v>
      </c>
    </row>
    <row r="2479" x14ac:dyDescent="0.25">
      <c r="A2479" t="n">
        <v>25</v>
      </c>
      <c r="B2479" t="s">
        <v>14</v>
      </c>
      <c r="C2479" t="s">
        <v>51</v>
      </c>
      <c r="D2479" s="2" t="s">
        <f>=HYPERLINK("https://main.knesset.gov.il/APPS/legislation/main/bills/2202192", "הצעת חוק ביטוח בריאות ממלכתי (תיקון - סבסוד מחוללי חמצן ניידים), התשפ""ג-2023")</f>
        <v>5217</v>
      </c>
      <c r="E2479" t="s">
        <v>5217</v>
      </c>
      <c r="F2479" t="s">
        <v>5218</v>
      </c>
      <c r="G2479" t="s">
        <v>14</v>
      </c>
      <c r="H2479">
             </c>
      <c r="I2479" t="s">
        <v>14</v>
      </c>
      <c r="J2479" t="s">
        <v>193</v>
      </c>
      <c r="K2479" t="s">
        <v>14</v>
      </c>
      <c r="L2479" t="s">
        <v>20</v>
      </c>
      <c r="M2479" t="s">
        <v>5202</v>
      </c>
      <c r="N2479" t="s">
        <v>14</v>
      </c>
    </row>
    <row r="2480" x14ac:dyDescent="0.25">
      <c r="A2480" t="n">
        <v>25</v>
      </c>
      <c r="B2480" t="s">
        <v>14</v>
      </c>
      <c r="C2480" t="s">
        <v>15</v>
      </c>
      <c r="D2480" s="2" t="s">
        <f>=HYPERLINK("https://main.knesset.gov.il/APPS/legislation/main/bills/2223553", "הצעת חוק ההוצאה לפועל (תיקון מס' 78) (דיין הוצאה לפועל), התשפ""ה-2024 ")</f>
        <v>5219</v>
      </c>
      <c r="E2480" t="s">
        <v>5219</v>
      </c>
      <c r="F2480" t="s">
        <v>14</v>
      </c>
      <c r="G2480" t="s">
        <v>5220</v>
      </c>
      <c r="H2480">
             </c>
      <c r="I2480" t="s">
        <v>14</v>
      </c>
      <c r="J2480" t="s">
        <v>38</v>
      </c>
      <c r="K2480" t="s">
        <v>27</v>
      </c>
      <c r="L2480" t="s">
        <v>20</v>
      </c>
      <c r="M2480" t="s">
        <v>5221</v>
      </c>
      <c r="N2480" t="s">
        <v>14</v>
      </c>
    </row>
    <row r="2481" x14ac:dyDescent="0.25">
      <c r="A2481" t="n">
        <v>25</v>
      </c>
      <c r="B2481" t="s">
        <v>14</v>
      </c>
      <c r="C2481" t="s">
        <v>51</v>
      </c>
      <c r="D2481" s="2" t="s">
        <f>=HYPERLINK("https://main.knesset.gov.il/APPS/legislation/main/bills/2198381", "חוק עידוד תרומות מזון (תיקון), התשפ""ה–2024")</f>
        <v>5222</v>
      </c>
      <c r="E2481" t="s">
        <v>5222</v>
      </c>
      <c r="F2481" t="s">
        <v>5223</v>
      </c>
      <c r="G2481" t="s">
        <v>5224</v>
      </c>
      <c r="H2481" t="n">
        <v>3321</v>
      </c>
      <c r="I2481" t="s">
        <v>14</v>
      </c>
      <c r="J2481" t="s">
        <v>18</v>
      </c>
      <c r="K2481" t="s">
        <v>46</v>
      </c>
      <c r="L2481" t="s">
        <v>20</v>
      </c>
      <c r="M2481" t="s">
        <v>5225</v>
      </c>
      <c r="N2481" t="s">
        <v>5226</v>
      </c>
    </row>
    <row r="2482" x14ac:dyDescent="0.25">
      <c r="A2482" t="n">
        <v>25</v>
      </c>
      <c r="B2482" t="s">
        <v>14</v>
      </c>
      <c r="C2482" t="s">
        <v>15</v>
      </c>
      <c r="D2482" s="2" t="s">
        <f>=HYPERLINK("https://main.knesset.gov.il/APPS/legislation/main/bills/2192014", "חוק הטיס (תיקון מס' 6), התשפ""ה-2024 ")</f>
        <v>5227</v>
      </c>
      <c r="E2482" t="s">
        <v>5227</v>
      </c>
      <c r="F2482" t="s">
        <v>14</v>
      </c>
      <c r="G2482" t="s">
        <v>5228</v>
      </c>
      <c r="H2482" t="n">
        <v>3320</v>
      </c>
      <c r="I2482" t="s">
        <v>14</v>
      </c>
      <c r="J2482" t="s">
        <v>18</v>
      </c>
      <c r="K2482" t="s">
        <v>84</v>
      </c>
      <c r="L2482" t="s">
        <v>20</v>
      </c>
      <c r="M2482" t="s">
        <v>5225</v>
      </c>
      <c r="N2482" t="s">
        <v>5229</v>
      </c>
    </row>
    <row r="2483" x14ac:dyDescent="0.25">
      <c r="A2483" t="n">
        <v>25</v>
      </c>
      <c r="B2483" t="s">
        <v>14</v>
      </c>
      <c r="C2483" t="s">
        <v>51</v>
      </c>
      <c r="D2483" s="2" t="s">
        <f>=HYPERLINK("https://main.knesset.gov.il/APPS/legislation/main/bills/2221109", "הצעת חוק הנוער (שפיטה, ענישה ודרכי טיפול) (תיקון - דלתיים סגורות), התשפ""ה-2024")</f>
        <v>5230</v>
      </c>
      <c r="E2483" t="s">
        <v>5230</v>
      </c>
      <c r="F2483" t="s">
        <v>5231</v>
      </c>
      <c r="G2483" t="s">
        <v>14</v>
      </c>
      <c r="H2483">
             </c>
      <c r="I2483" t="s">
        <v>14</v>
      </c>
      <c r="J2483" t="s">
        <v>242</v>
      </c>
      <c r="K2483" t="s">
        <v>14</v>
      </c>
      <c r="L2483" t="s">
        <v>20</v>
      </c>
      <c r="M2483" t="s">
        <v>5225</v>
      </c>
      <c r="N2483" t="s">
        <v>14</v>
      </c>
    </row>
    <row r="2484" x14ac:dyDescent="0.25">
      <c r="A2484" t="n">
        <v>25</v>
      </c>
      <c r="B2484" t="s">
        <v>14</v>
      </c>
      <c r="C2484" t="s">
        <v>51</v>
      </c>
      <c r="D2484" s="2" t="s">
        <f>=HYPERLINK("https://main.knesset.gov.il/APPS/legislation/main/bills/2223721", "הצעת חוק-יסוד: שירות מילואים")</f>
        <v>5033</v>
      </c>
      <c r="E2484" t="s">
        <v>5033</v>
      </c>
      <c r="F2484" t="s">
        <v>5232</v>
      </c>
      <c r="G2484" t="s">
        <v>14</v>
      </c>
      <c r="H2484">
             </c>
      <c r="I2484" t="s">
        <v>14</v>
      </c>
      <c r="J2484" t="s">
        <v>242</v>
      </c>
      <c r="K2484" t="s">
        <v>14</v>
      </c>
      <c r="L2484" t="s">
        <v>20</v>
      </c>
      <c r="M2484" t="s">
        <v>5225</v>
      </c>
      <c r="N2484" t="s">
        <v>14</v>
      </c>
    </row>
    <row r="2485" x14ac:dyDescent="0.25">
      <c r="A2485" t="n">
        <v>25</v>
      </c>
      <c r="B2485" t="s">
        <v>14</v>
      </c>
      <c r="C2485" t="s">
        <v>51</v>
      </c>
      <c r="D2485" s="2" t="s">
        <f>=HYPERLINK("https://main.knesset.gov.il/APPS/legislation/main/bills/2223612", "הצעת חוק להקפאת כספים ששילמה הרשות הפלסטינית בזיקה לטרור מהכספים המועברים אליה מממשלת ישראל (תיקון - הקפאת כספי הרשות הפלסטינית בגין טיפולים רפואיים לאסיר ביטחוני), התשפ""ה-2024")</f>
        <v>5233</v>
      </c>
      <c r="E2485" t="s">
        <v>5233</v>
      </c>
      <c r="F2485" t="s">
        <v>5234</v>
      </c>
      <c r="G2485" t="s">
        <v>14</v>
      </c>
      <c r="H2485">
             </c>
      <c r="I2485" t="s">
        <v>14</v>
      </c>
      <c r="J2485" t="s">
        <v>242</v>
      </c>
      <c r="K2485" t="s">
        <v>14</v>
      </c>
      <c r="L2485" t="s">
        <v>20</v>
      </c>
      <c r="M2485" t="s">
        <v>5225</v>
      </c>
      <c r="N2485" t="s">
        <v>14</v>
      </c>
    </row>
    <row r="2486" x14ac:dyDescent="0.25">
      <c r="A2486" t="n">
        <v>25</v>
      </c>
      <c r="B2486" t="s">
        <v>14</v>
      </c>
      <c r="C2486" t="s">
        <v>51</v>
      </c>
      <c r="D2486" s="2" t="s">
        <f>=HYPERLINK("https://main.knesset.gov.il/APPS/legislation/main/bills/2222645", "הצעת חוק להקפאת כספים ששילמה הרשות הפלסטינית בזיקה לטרור מהכספים המועברים אליה מממשלת ישראל (תיקון - קיזוז עלויות טיפולים רפואיים במחבלים), התשפ""ה-2024")</f>
        <v>5235</v>
      </c>
      <c r="E2486" t="s">
        <v>5235</v>
      </c>
      <c r="F2486" t="s">
        <v>5236</v>
      </c>
      <c r="G2486" t="s">
        <v>14</v>
      </c>
      <c r="H2486">
             </c>
      <c r="I2486" t="s">
        <v>14</v>
      </c>
      <c r="J2486" t="s">
        <v>242</v>
      </c>
      <c r="K2486" t="s">
        <v>14</v>
      </c>
      <c r="L2486" t="s">
        <v>20</v>
      </c>
      <c r="M2486" t="s">
        <v>5225</v>
      </c>
      <c r="N2486" t="s">
        <v>14</v>
      </c>
    </row>
    <row r="2487" x14ac:dyDescent="0.25">
      <c r="A2487" t="n">
        <v>25</v>
      </c>
      <c r="B2487" t="s">
        <v>14</v>
      </c>
      <c r="C2487" t="s">
        <v>51</v>
      </c>
      <c r="D2487" s="2" t="s">
        <f>=HYPERLINK("https://main.knesset.gov.il/APPS/legislation/main/bills/2221079", "הצעת חוק זכות יוצרים (תיקון - תשלום תמלוגים), התשפ""ה-2024")</f>
        <v>5237</v>
      </c>
      <c r="E2487" t="s">
        <v>5237</v>
      </c>
      <c r="F2487" t="s">
        <v>5238</v>
      </c>
      <c r="G2487" t="s">
        <v>14</v>
      </c>
      <c r="H2487">
             </c>
      <c r="I2487" t="s">
        <v>14</v>
      </c>
      <c r="J2487" t="s">
        <v>242</v>
      </c>
      <c r="K2487" t="s">
        <v>14</v>
      </c>
      <c r="L2487" t="s">
        <v>20</v>
      </c>
      <c r="M2487" t="s">
        <v>5225</v>
      </c>
      <c r="N2487" t="s">
        <v>14</v>
      </c>
    </row>
    <row r="2488" x14ac:dyDescent="0.25">
      <c r="A2488" t="n">
        <v>25</v>
      </c>
      <c r="B2488" t="s">
        <v>14</v>
      </c>
      <c r="C2488" t="s">
        <v>51</v>
      </c>
      <c r="D2488" s="2" t="s">
        <f>=HYPERLINK("https://main.knesset.gov.il/APPS/legislation/main/bills/2222367", "הצעת חוק סמכויות להתמודדות עם כלי טיס בלתי מאויש, התשפ""ה-2024")</f>
        <v>5239</v>
      </c>
      <c r="E2488" t="s">
        <v>5239</v>
      </c>
      <c r="F2488" t="s">
        <v>5240</v>
      </c>
      <c r="G2488" t="s">
        <v>14</v>
      </c>
      <c r="H2488">
             </c>
      <c r="I2488" t="s">
        <v>14</v>
      </c>
      <c r="J2488" t="s">
        <v>242</v>
      </c>
      <c r="K2488" t="s">
        <v>14</v>
      </c>
      <c r="L2488" t="s">
        <v>20</v>
      </c>
      <c r="M2488" t="s">
        <v>5225</v>
      </c>
      <c r="N2488" t="s">
        <v>14</v>
      </c>
    </row>
    <row r="2489" x14ac:dyDescent="0.25">
      <c r="A2489" t="n">
        <v>25</v>
      </c>
      <c r="B2489" t="s">
        <v>14</v>
      </c>
      <c r="C2489" t="s">
        <v>51</v>
      </c>
      <c r="D2489" s="2" t="s">
        <f>=HYPERLINK("https://main.knesset.gov.il/APPS/legislation/main/bills/2223641", "הצעת חוק הכניסה לישראל (תיקון - תוקף צווי הגבלת שימוש במקום וסמכויות תפיסה וחילוט), התשפ""ה-2024")</f>
        <v>5241</v>
      </c>
      <c r="E2489" t="s">
        <v>5241</v>
      </c>
      <c r="F2489" t="s">
        <v>5242</v>
      </c>
      <c r="G2489" t="s">
        <v>14</v>
      </c>
      <c r="H2489">
             </c>
      <c r="I2489" t="s">
        <v>14</v>
      </c>
      <c r="J2489" t="s">
        <v>242</v>
      </c>
      <c r="K2489" t="s">
        <v>14</v>
      </c>
      <c r="L2489" t="s">
        <v>20</v>
      </c>
      <c r="M2489" t="s">
        <v>5225</v>
      </c>
      <c r="N2489" t="s">
        <v>14</v>
      </c>
    </row>
    <row r="2490" x14ac:dyDescent="0.25">
      <c r="A2490" t="n">
        <v>25</v>
      </c>
      <c r="B2490" t="s">
        <v>14</v>
      </c>
      <c r="C2490" t="s">
        <v>51</v>
      </c>
      <c r="D2490" s="2" t="s">
        <f>=HYPERLINK("https://main.knesset.gov.il/APPS/legislation/main/bills/2223724", "הצעת חוק לתיקון פקודת בתי הסוהר (שלילת ביקורים מאסירים המשתייכים לארגון טרור), התשפ""ה-2024 ")</f>
        <v>5243</v>
      </c>
      <c r="E2490" t="s">
        <v>5243</v>
      </c>
      <c r="F2490" t="s">
        <v>5244</v>
      </c>
      <c r="G2490" t="s">
        <v>14</v>
      </c>
      <c r="H2490">
             </c>
      <c r="I2490" t="s">
        <v>14</v>
      </c>
      <c r="J2490" t="s">
        <v>242</v>
      </c>
      <c r="K2490" t="s">
        <v>14</v>
      </c>
      <c r="L2490" t="s">
        <v>20</v>
      </c>
      <c r="M2490" t="s">
        <v>5225</v>
      </c>
      <c r="N2490" t="s">
        <v>14</v>
      </c>
    </row>
    <row r="2491" x14ac:dyDescent="0.25">
      <c r="A2491" t="n">
        <v>25</v>
      </c>
      <c r="B2491" t="s">
        <v>14</v>
      </c>
      <c r="C2491" t="s">
        <v>51</v>
      </c>
      <c r="D2491" s="2" t="s">
        <f>=HYPERLINK("https://main.knesset.gov.il/APPS/legislation/main/bills/2223622", "הצעת חוק הקמת מחלקה לגיבוש תפיסת מודיעין חלופית (""איפכא מסתברא"") מגופי המודיעין, התשפ""ה-2024")</f>
        <v>5245</v>
      </c>
      <c r="E2491" t="s">
        <v>5245</v>
      </c>
      <c r="F2491" t="s">
        <v>5246</v>
      </c>
      <c r="G2491" t="s">
        <v>14</v>
      </c>
      <c r="H2491">
             </c>
      <c r="I2491" t="s">
        <v>14</v>
      </c>
      <c r="J2491" t="s">
        <v>242</v>
      </c>
      <c r="K2491" t="s">
        <v>14</v>
      </c>
      <c r="L2491" t="s">
        <v>20</v>
      </c>
      <c r="M2491" t="s">
        <v>5225</v>
      </c>
      <c r="N2491" t="s">
        <v>14</v>
      </c>
    </row>
    <row r="2492" x14ac:dyDescent="0.25">
      <c r="A2492" t="n">
        <v>25</v>
      </c>
      <c r="B2492" t="s">
        <v>14</v>
      </c>
      <c r="C2492" t="s">
        <v>51</v>
      </c>
      <c r="D2492" s="2" t="s">
        <f>=HYPERLINK("https://main.knesset.gov.il/APPS/legislation/main/bills/2223351", "הצעת חוק הביטוח הלאומי (תיקון - פטור מהשבת תשלום ביתר של תגמול מילואים לעצמאי) (הוראת שעה - חרבות ברזל), התשפ""ה-2024")</f>
        <v>5247</v>
      </c>
      <c r="E2492" t="s">
        <v>5247</v>
      </c>
      <c r="F2492" t="s">
        <v>5248</v>
      </c>
      <c r="G2492" t="s">
        <v>14</v>
      </c>
      <c r="H2492">
             </c>
      <c r="I2492" t="s">
        <v>14</v>
      </c>
      <c r="J2492" t="s">
        <v>242</v>
      </c>
      <c r="K2492" t="s">
        <v>14</v>
      </c>
      <c r="L2492" t="s">
        <v>20</v>
      </c>
      <c r="M2492" t="s">
        <v>5225</v>
      </c>
      <c r="N2492" t="s">
        <v>14</v>
      </c>
    </row>
    <row r="2493" x14ac:dyDescent="0.25">
      <c r="A2493" t="n">
        <v>25</v>
      </c>
      <c r="B2493" t="s">
        <v>14</v>
      </c>
      <c r="C2493" t="s">
        <v>51</v>
      </c>
      <c r="D2493" s="2" t="s">
        <f>=HYPERLINK("https://main.knesset.gov.il/APPS/legislation/main/bills/2221268", "הצעת חוק התגמולים לנפגעי פעולות איבה (תיקון - משפחה מלווה ליתומים בגירים), התשפ""ה-2024")</f>
        <v>4830</v>
      </c>
      <c r="E2493" t="s">
        <v>4830</v>
      </c>
      <c r="F2493" t="s">
        <v>5249</v>
      </c>
      <c r="G2493" t="s">
        <v>14</v>
      </c>
      <c r="H2493">
             </c>
      <c r="I2493" t="s">
        <v>14</v>
      </c>
      <c r="J2493" t="s">
        <v>242</v>
      </c>
      <c r="K2493" t="s">
        <v>14</v>
      </c>
      <c r="L2493" t="s">
        <v>20</v>
      </c>
      <c r="M2493" t="s">
        <v>5225</v>
      </c>
      <c r="N2493" t="s">
        <v>14</v>
      </c>
    </row>
    <row r="2494" x14ac:dyDescent="0.25">
      <c r="A2494" t="n">
        <v>25</v>
      </c>
      <c r="B2494" t="s">
        <v>14</v>
      </c>
      <c r="C2494" t="s">
        <v>51</v>
      </c>
      <c r="D2494" s="2" t="s">
        <f>=HYPERLINK("https://main.knesset.gov.il/APPS/legislation/main/bills/2223428", "הצעת חוק תאגידי מים וביוב (תיקון - פטור ממס חברות, מס דיבידנד ומס ריבית על הלוואה לשנים 2024 עד 2026), התשפ""ה-2024")</f>
        <v>5093</v>
      </c>
      <c r="E2494" t="s">
        <v>5093</v>
      </c>
      <c r="F2494" t="s">
        <v>5250</v>
      </c>
      <c r="G2494" t="s">
        <v>14</v>
      </c>
      <c r="H2494">
             </c>
      <c r="I2494" t="s">
        <v>14</v>
      </c>
      <c r="J2494" t="s">
        <v>242</v>
      </c>
      <c r="K2494" t="s">
        <v>14</v>
      </c>
      <c r="L2494" t="s">
        <v>20</v>
      </c>
      <c r="M2494" t="s">
        <v>5225</v>
      </c>
      <c r="N2494" t="s">
        <v>14</v>
      </c>
    </row>
    <row r="2495" x14ac:dyDescent="0.25">
      <c r="A2495" t="n">
        <v>25</v>
      </c>
      <c r="B2495" t="s">
        <v>14</v>
      </c>
      <c r="C2495" t="s">
        <v>51</v>
      </c>
      <c r="D2495" s="2" t="s">
        <f>=HYPERLINK("https://main.knesset.gov.il/APPS/legislation/main/bills/2219407", "הצעת חוק למניעת העסקה של עברייני מין במוסדות מסוימים (תיקון - איסור העסקה במוסד אקדמי), התשפ""ה-2024 ")</f>
        <v>5251</v>
      </c>
      <c r="E2495" t="s">
        <v>5251</v>
      </c>
      <c r="F2495" t="s">
        <v>5252</v>
      </c>
      <c r="G2495" t="s">
        <v>14</v>
      </c>
      <c r="H2495">
             </c>
      <c r="I2495" t="s">
        <v>14</v>
      </c>
      <c r="J2495" t="s">
        <v>242</v>
      </c>
      <c r="K2495" t="s">
        <v>14</v>
      </c>
      <c r="L2495" t="s">
        <v>20</v>
      </c>
      <c r="M2495" t="s">
        <v>5225</v>
      </c>
      <c r="N2495" t="s">
        <v>14</v>
      </c>
    </row>
    <row r="2496" x14ac:dyDescent="0.25">
      <c r="A2496" t="n">
        <v>25</v>
      </c>
      <c r="B2496" t="s">
        <v>14</v>
      </c>
      <c r="C2496" t="s">
        <v>51</v>
      </c>
      <c r="D2496" s="2" t="s">
        <f>=HYPERLINK("https://main.knesset.gov.il/APPS/legislation/main/bills/2223718", "הצעת חוק זכויות הסטודנט (תיקון - העדפה מתקנת ללוחמים), התשפ""ה-2024")</f>
        <v>5111</v>
      </c>
      <c r="E2496" t="s">
        <v>5111</v>
      </c>
      <c r="F2496" t="s">
        <v>5253</v>
      </c>
      <c r="G2496" t="s">
        <v>14</v>
      </c>
      <c r="H2496">
             </c>
      <c r="I2496" t="s">
        <v>14</v>
      </c>
      <c r="J2496" t="s">
        <v>242</v>
      </c>
      <c r="K2496" t="s">
        <v>14</v>
      </c>
      <c r="L2496" t="s">
        <v>20</v>
      </c>
      <c r="M2496" t="s">
        <v>5225</v>
      </c>
      <c r="N2496" t="s">
        <v>14</v>
      </c>
    </row>
    <row r="2497" x14ac:dyDescent="0.25">
      <c r="A2497" t="n">
        <v>25</v>
      </c>
      <c r="B2497" t="s">
        <v>14</v>
      </c>
      <c r="C2497" t="s">
        <v>51</v>
      </c>
      <c r="D2497" s="2" t="s">
        <f>=HYPERLINK("https://main.knesset.gov.il/APPS/legislation/main/bills/2224087", "הצעת חוק העונשין (תיקון - החמרת ענישה על החזקת מכשיר לשיבוש תדרי קליטה), התשפ""ה-2024")</f>
        <v>5254</v>
      </c>
      <c r="E2497" t="s">
        <v>5254</v>
      </c>
      <c r="F2497" t="s">
        <v>5255</v>
      </c>
      <c r="G2497" t="s">
        <v>14</v>
      </c>
      <c r="H2497">
             </c>
      <c r="I2497" t="s">
        <v>14</v>
      </c>
      <c r="J2497" t="s">
        <v>242</v>
      </c>
      <c r="K2497" t="s">
        <v>14</v>
      </c>
      <c r="L2497" t="s">
        <v>20</v>
      </c>
      <c r="M2497" t="s">
        <v>5225</v>
      </c>
      <c r="N2497" t="s">
        <v>14</v>
      </c>
    </row>
    <row r="2498" x14ac:dyDescent="0.25">
      <c r="A2498" t="n">
        <v>25</v>
      </c>
      <c r="B2498" t="s">
        <v>14</v>
      </c>
      <c r="C2498" t="s">
        <v>51</v>
      </c>
      <c r="D2498" s="2" t="s">
        <f>=HYPERLINK("https://main.knesset.gov.il/APPS/legislation/main/bills/2223412", "הצעת חוק הביטוח הלאומי (תיקון - שלילת קצבאות ממחבלים), התשפ""ה-2024")</f>
        <v>5256</v>
      </c>
      <c r="E2498" t="s">
        <v>5256</v>
      </c>
      <c r="F2498" t="s">
        <v>5257</v>
      </c>
      <c r="G2498" t="s">
        <v>14</v>
      </c>
      <c r="H2498">
             </c>
      <c r="I2498" t="s">
        <v>14</v>
      </c>
      <c r="J2498" t="s">
        <v>242</v>
      </c>
      <c r="K2498" t="s">
        <v>14</v>
      </c>
      <c r="L2498" t="s">
        <v>20</v>
      </c>
      <c r="M2498" t="s">
        <v>5225</v>
      </c>
      <c r="N2498" t="s">
        <v>14</v>
      </c>
    </row>
    <row r="2499" x14ac:dyDescent="0.25">
      <c r="A2499" t="n">
        <v>25</v>
      </c>
      <c r="B2499" t="s">
        <v>14</v>
      </c>
      <c r="C2499" t="s">
        <v>51</v>
      </c>
      <c r="D2499" s="2" t="s">
        <f>=HYPERLINK("https://main.knesset.gov.il/APPS/legislation/main/bills/2224092", "הצעת חוק משפחות חיילים שנספו במערכה (תגמולים ושיקום) (תיקון - הכרה במי שנספה בפגיעת איבה כחייל שנספה במערכה) (הוראת שעה - חרבות ברזל), התשפ""ה-2024")</f>
        <v>5258</v>
      </c>
      <c r="E2499" t="s">
        <v>5258</v>
      </c>
      <c r="F2499" t="s">
        <v>5259</v>
      </c>
      <c r="G2499" t="s">
        <v>14</v>
      </c>
      <c r="H2499">
             </c>
      <c r="I2499" t="s">
        <v>14</v>
      </c>
      <c r="J2499" t="s">
        <v>242</v>
      </c>
      <c r="K2499" t="s">
        <v>14</v>
      </c>
      <c r="L2499" t="s">
        <v>20</v>
      </c>
      <c r="M2499" t="s">
        <v>5225</v>
      </c>
      <c r="N2499" t="s">
        <v>14</v>
      </c>
    </row>
    <row r="2500" x14ac:dyDescent="0.25">
      <c r="A2500" t="n">
        <v>25</v>
      </c>
      <c r="B2500" t="s">
        <v>14</v>
      </c>
      <c r="C2500" t="s">
        <v>51</v>
      </c>
      <c r="D2500" s="2" t="s">
        <f>=HYPERLINK("https://main.knesset.gov.il/APPS/legislation/main/bills/2224093", "הצעת חוק הביטוח הלאומי (תיקון - חישוב תגמול מילואים למשוחרר משירות קבע או לפורש ממנו) (הוראת שעה - חרבות ברזל), התשפ""ה-2024")</f>
        <v>5260</v>
      </c>
      <c r="E2500" t="s">
        <v>5260</v>
      </c>
      <c r="F2500" t="s">
        <v>5261</v>
      </c>
      <c r="G2500" t="s">
        <v>14</v>
      </c>
      <c r="H2500">
             </c>
      <c r="I2500" t="s">
        <v>14</v>
      </c>
      <c r="J2500" t="s">
        <v>242</v>
      </c>
      <c r="K2500" t="s">
        <v>14</v>
      </c>
      <c r="L2500" t="s">
        <v>20</v>
      </c>
      <c r="M2500" t="s">
        <v>5225</v>
      </c>
      <c r="N2500" t="s">
        <v>14</v>
      </c>
    </row>
    <row r="2501" x14ac:dyDescent="0.25">
      <c r="A2501" t="n">
        <v>25</v>
      </c>
      <c r="B2501" t="s">
        <v>14</v>
      </c>
      <c r="C2501" t="s">
        <v>51</v>
      </c>
      <c r="D2501" s="2" t="s">
        <f>=HYPERLINK("https://main.knesset.gov.il/APPS/legislation/main/bills/2223642", "הצעת חוק מס ערך מוסף (תיקון - פטור ממס על בניית מרחב מוגן ביישוב צמוד גדר), התשפ""ה-2024")</f>
        <v>5176</v>
      </c>
      <c r="E2501" t="s">
        <v>5176</v>
      </c>
      <c r="F2501" t="s">
        <v>5262</v>
      </c>
      <c r="G2501" t="s">
        <v>14</v>
      </c>
      <c r="H2501">
             </c>
      <c r="I2501" t="s">
        <v>14</v>
      </c>
      <c r="J2501" t="s">
        <v>242</v>
      </c>
      <c r="K2501" t="s">
        <v>14</v>
      </c>
      <c r="L2501" t="s">
        <v>20</v>
      </c>
      <c r="M2501" t="s">
        <v>5225</v>
      </c>
      <c r="N2501" t="s">
        <v>14</v>
      </c>
    </row>
    <row r="2502" x14ac:dyDescent="0.25">
      <c r="A2502" t="n">
        <v>25</v>
      </c>
      <c r="B2502" t="s">
        <v>14</v>
      </c>
      <c r="C2502" t="s">
        <v>51</v>
      </c>
      <c r="D2502" s="2" t="s">
        <f>=HYPERLINK("https://main.knesset.gov.il/APPS/legislation/main/bills/2223698", "הצעת חוק שיפוט בתי דין דתיים (בוררות), התשפ""ה-2024")</f>
        <v>5263</v>
      </c>
      <c r="E2502" t="s">
        <v>5263</v>
      </c>
      <c r="F2502" t="s">
        <v>5264</v>
      </c>
      <c r="G2502" t="s">
        <v>14</v>
      </c>
      <c r="H2502">
             </c>
      <c r="I2502" t="s">
        <v>14</v>
      </c>
      <c r="J2502" t="s">
        <v>242</v>
      </c>
      <c r="K2502" t="s">
        <v>14</v>
      </c>
      <c r="L2502" t="s">
        <v>20</v>
      </c>
      <c r="M2502" t="s">
        <v>5225</v>
      </c>
      <c r="N2502" t="s">
        <v>14</v>
      </c>
    </row>
    <row r="2503" x14ac:dyDescent="0.25">
      <c r="A2503" t="n">
        <v>25</v>
      </c>
      <c r="B2503" t="s">
        <v>14</v>
      </c>
      <c r="C2503" t="s">
        <v>51</v>
      </c>
      <c r="D2503" s="2" t="s">
        <f>=HYPERLINK("https://main.knesset.gov.il/APPS/legislation/main/bills/2223715", "הצעת חוק פיקוח על מחירי מצרכים ושירותים (תיקון - פיקוח על מוצרי מזון בריא בסיסיים), התשפ""ה-2024 ")</f>
        <v>5197</v>
      </c>
      <c r="E2503" t="s">
        <v>5197</v>
      </c>
      <c r="F2503" t="s">
        <v>5265</v>
      </c>
      <c r="G2503" t="s">
        <v>14</v>
      </c>
      <c r="H2503">
             </c>
      <c r="I2503" t="s">
        <v>14</v>
      </c>
      <c r="J2503" t="s">
        <v>242</v>
      </c>
      <c r="K2503" t="s">
        <v>14</v>
      </c>
      <c r="L2503" t="s">
        <v>20</v>
      </c>
      <c r="M2503" t="s">
        <v>5225</v>
      </c>
      <c r="N2503" t="s">
        <v>14</v>
      </c>
    </row>
    <row r="2504" x14ac:dyDescent="0.25">
      <c r="A2504" t="n">
        <v>25</v>
      </c>
      <c r="B2504" t="s">
        <v>14</v>
      </c>
      <c r="C2504" t="s">
        <v>51</v>
      </c>
      <c r="D2504" s="2" t="s">
        <f>=HYPERLINK("https://main.knesset.gov.il/APPS/legislation/main/bills/2223697", "הצעת חוק לביטול ההתיישנות בעבירות מין (תיקוני חקיקה), התשפ""ה-2024")</f>
        <v>5266</v>
      </c>
      <c r="E2504" t="s">
        <v>5266</v>
      </c>
      <c r="F2504" t="s">
        <v>5267</v>
      </c>
      <c r="G2504" t="s">
        <v>14</v>
      </c>
      <c r="H2504">
             </c>
      <c r="I2504" t="s">
        <v>14</v>
      </c>
      <c r="J2504" t="s">
        <v>242</v>
      </c>
      <c r="K2504" t="s">
        <v>14</v>
      </c>
      <c r="L2504" t="s">
        <v>20</v>
      </c>
      <c r="M2504" t="s">
        <v>5225</v>
      </c>
      <c r="N2504" t="s">
        <v>14</v>
      </c>
    </row>
    <row r="2505" x14ac:dyDescent="0.25">
      <c r="A2505" t="n">
        <v>25</v>
      </c>
      <c r="B2505" t="s">
        <v>14</v>
      </c>
      <c r="C2505" t="s">
        <v>51</v>
      </c>
      <c r="D2505" s="2" t="s">
        <f>=HYPERLINK("https://main.knesset.gov.il/APPS/legislation/main/bills/2223633", "הצעת חוק הגבלת השימוש ורישום פעולות בחלקי רכב משומשים (מניעת גניבות) (תיקון - חובות החלות בעת רכישה או מכירה של רכב ניזוק), התשפ""ה-2024")</f>
        <v>5187</v>
      </c>
      <c r="E2505" t="s">
        <v>5187</v>
      </c>
      <c r="F2505" t="s">
        <v>5268</v>
      </c>
      <c r="G2505" t="s">
        <v>14</v>
      </c>
      <c r="H2505">
             </c>
      <c r="I2505" t="s">
        <v>14</v>
      </c>
      <c r="J2505" t="s">
        <v>242</v>
      </c>
      <c r="K2505" t="s">
        <v>14</v>
      </c>
      <c r="L2505" t="s">
        <v>20</v>
      </c>
      <c r="M2505" t="s">
        <v>5225</v>
      </c>
      <c r="N2505" t="s">
        <v>14</v>
      </c>
    </row>
    <row r="2506" x14ac:dyDescent="0.25">
      <c r="A2506" t="n">
        <v>25</v>
      </c>
      <c r="B2506" t="s">
        <v>14</v>
      </c>
      <c r="C2506" t="s">
        <v>51</v>
      </c>
      <c r="D2506" s="2" t="s">
        <f>=HYPERLINK("https://main.knesset.gov.il/APPS/legislation/main/bills/2222336", "הצעת חוק הפרטת גלי צה""ל, התשפ""ה-2024")</f>
        <v>5097</v>
      </c>
      <c r="E2506" t="s">
        <v>5097</v>
      </c>
      <c r="F2506" t="s">
        <v>5269</v>
      </c>
      <c r="G2506" t="s">
        <v>14</v>
      </c>
      <c r="H2506">
             </c>
      <c r="I2506" t="s">
        <v>14</v>
      </c>
      <c r="J2506" t="s">
        <v>242</v>
      </c>
      <c r="K2506" t="s">
        <v>14</v>
      </c>
      <c r="L2506" t="s">
        <v>20</v>
      </c>
      <c r="M2506" t="s">
        <v>5225</v>
      </c>
      <c r="N2506" t="s">
        <v>14</v>
      </c>
    </row>
    <row r="2507" x14ac:dyDescent="0.25">
      <c r="A2507" t="n">
        <v>25</v>
      </c>
      <c r="B2507" t="s">
        <v>14</v>
      </c>
      <c r="C2507" t="s">
        <v>51</v>
      </c>
      <c r="D2507" s="2" t="s">
        <f>=HYPERLINK("https://main.knesset.gov.il/APPS/legislation/main/bills/2223690", "הצעת חוק העונשין (תיקון - איסור הנפת דגל של ישות עוינת), התשפ""ה-2024")</f>
        <v>5270</v>
      </c>
      <c r="E2507" t="s">
        <v>5270</v>
      </c>
      <c r="F2507" t="s">
        <v>5271</v>
      </c>
      <c r="G2507" t="s">
        <v>14</v>
      </c>
      <c r="H2507">
             </c>
      <c r="I2507" t="s">
        <v>14</v>
      </c>
      <c r="J2507" t="s">
        <v>242</v>
      </c>
      <c r="K2507" t="s">
        <v>14</v>
      </c>
      <c r="L2507" t="s">
        <v>20</v>
      </c>
      <c r="M2507" t="s">
        <v>5225</v>
      </c>
      <c r="N2507" t="s">
        <v>14</v>
      </c>
    </row>
    <row r="2508" x14ac:dyDescent="0.25">
      <c r="A2508" t="n">
        <v>25</v>
      </c>
      <c r="B2508" t="s">
        <v>14</v>
      </c>
      <c r="C2508" t="s">
        <v>51</v>
      </c>
      <c r="D2508" s="2" t="s">
        <f>=HYPERLINK("https://main.knesset.gov.il/APPS/legislation/main/bills/2223950", "הצעת חוק המרכז לגביית קנסות, אגרות והוצאות (תיקון - חובת איתור חייבים), התשפ""ה-2024")</f>
        <v>4325</v>
      </c>
      <c r="E2508" t="s">
        <v>4325</v>
      </c>
      <c r="F2508" t="s">
        <v>5272</v>
      </c>
      <c r="G2508" t="s">
        <v>14</v>
      </c>
      <c r="H2508">
             </c>
      <c r="I2508" t="s">
        <v>14</v>
      </c>
      <c r="J2508" t="s">
        <v>242</v>
      </c>
      <c r="K2508" t="s">
        <v>14</v>
      </c>
      <c r="L2508" t="s">
        <v>20</v>
      </c>
      <c r="M2508" t="s">
        <v>5225</v>
      </c>
      <c r="N2508" t="s">
        <v>14</v>
      </c>
    </row>
    <row r="2509" x14ac:dyDescent="0.25">
      <c r="A2509" t="n">
        <v>25</v>
      </c>
      <c r="B2509" t="s">
        <v>14</v>
      </c>
      <c r="C2509" t="s">
        <v>51</v>
      </c>
      <c r="D2509" s="2" t="s">
        <f>=HYPERLINK("https://main.knesset.gov.il/APPS/legislation/main/bills/2223689", "הצעת חוק לחילוט תקבולי עבירה בשווי בעבירת גניבה חקלאית ובעבירות הגורמות נזק לרכוש חקלאי, התשפ""ה-2024")</f>
        <v>5273</v>
      </c>
      <c r="E2509" t="s">
        <v>5273</v>
      </c>
      <c r="F2509" t="s">
        <v>5274</v>
      </c>
      <c r="G2509" t="s">
        <v>14</v>
      </c>
      <c r="H2509">
             </c>
      <c r="I2509" t="s">
        <v>14</v>
      </c>
      <c r="J2509" t="s">
        <v>242</v>
      </c>
      <c r="K2509" t="s">
        <v>14</v>
      </c>
      <c r="L2509" t="s">
        <v>20</v>
      </c>
      <c r="M2509" t="s">
        <v>5225</v>
      </c>
      <c r="N2509" t="s">
        <v>14</v>
      </c>
    </row>
    <row r="2510" x14ac:dyDescent="0.25">
      <c r="A2510" t="n">
        <v>25</v>
      </c>
      <c r="B2510" t="s">
        <v>14</v>
      </c>
      <c r="C2510" t="s">
        <v>51</v>
      </c>
      <c r="D2510" s="2" t="s">
        <f>=HYPERLINK("https://main.knesset.gov.il/APPS/legislation/main/bills/2216076", "הצעת חוק לשכת עורכי הדין (תיקון מס' 45) (אימון שני מתמחים), התשפ""ה–2024")</f>
        <v>5275</v>
      </c>
      <c r="E2510" t="s">
        <v>5275</v>
      </c>
      <c r="F2510" t="s">
        <v>5276</v>
      </c>
      <c r="G2510" t="s">
        <v>5277</v>
      </c>
      <c r="H2510">
             </c>
      <c r="I2510" t="s">
        <v>14</v>
      </c>
      <c r="J2510" t="s">
        <v>38</v>
      </c>
      <c r="K2510" t="s">
        <v>27</v>
      </c>
      <c r="L2510" t="s">
        <v>20</v>
      </c>
      <c r="M2510" t="s">
        <v>5225</v>
      </c>
      <c r="N2510" t="s">
        <v>14</v>
      </c>
    </row>
    <row r="2511" x14ac:dyDescent="0.25">
      <c r="A2511" t="n">
        <v>25</v>
      </c>
      <c r="B2511" t="s">
        <v>14</v>
      </c>
      <c r="C2511" t="s">
        <v>51</v>
      </c>
      <c r="D2511" s="2" t="s">
        <f>=HYPERLINK("https://main.knesset.gov.il/APPS/legislation/main/bills/2197969", "הצעת חוק אומנה לילדים (תיקון - הזכות לחינוך לילדים בהשמה חוץ-ביתית), התשפ""ג-2023")</f>
        <v>5278</v>
      </c>
      <c r="E2511" t="s">
        <v>5278</v>
      </c>
      <c r="F2511" t="s">
        <v>5279</v>
      </c>
      <c r="G2511" t="s">
        <v>14</v>
      </c>
      <c r="H2511">
             </c>
      <c r="I2511" t="s">
        <v>14</v>
      </c>
      <c r="J2511" t="s">
        <v>183</v>
      </c>
      <c r="K2511" t="s">
        <v>46</v>
      </c>
      <c r="L2511" t="s">
        <v>20</v>
      </c>
      <c r="M2511" t="s">
        <v>5280</v>
      </c>
      <c r="N2511" t="s">
        <v>14</v>
      </c>
    </row>
    <row r="2512" x14ac:dyDescent="0.25">
      <c r="A2512" t="n">
        <v>25</v>
      </c>
      <c r="B2512" t="s">
        <v>14</v>
      </c>
      <c r="C2512" t="s">
        <v>51</v>
      </c>
      <c r="D2512" s="2" t="s">
        <f>=HYPERLINK("https://main.knesset.gov.il/APPS/legislation/main/bills/2216827", "חוק מגבלות על חזרתו של עבריין מין לסביבת נפגע העבירה (תיקון מס' 10), התשפ""ה–2024 ")</f>
        <v>5281</v>
      </c>
      <c r="E2512" t="s">
        <v>5281</v>
      </c>
      <c r="F2512" t="s">
        <v>5282</v>
      </c>
      <c r="G2512" t="s">
        <v>5283</v>
      </c>
      <c r="H2512" t="n">
        <v>3319</v>
      </c>
      <c r="I2512" t="s">
        <v>14</v>
      </c>
      <c r="J2512" t="s">
        <v>18</v>
      </c>
      <c r="K2512" t="s">
        <v>19</v>
      </c>
      <c r="L2512" t="s">
        <v>20</v>
      </c>
      <c r="M2512" t="s">
        <v>5280</v>
      </c>
      <c r="N2512" t="s">
        <v>5284</v>
      </c>
    </row>
    <row r="2513" x14ac:dyDescent="0.25">
      <c r="A2513" t="n">
        <v>25</v>
      </c>
      <c r="B2513" t="s">
        <v>14</v>
      </c>
      <c r="C2513" t="s">
        <v>15</v>
      </c>
      <c r="D2513" s="2" t="s">
        <f>=HYPERLINK("https://main.knesset.gov.il/APPS/legislation/main/bills/2223554", "חוק מניעת פגיעת גוף שידורים זר בביטחון המדינה (הוראת שעה – חרבות ברזל) (תיקון מס' 2), התשפ""ה-2024 ")</f>
        <v>5285</v>
      </c>
      <c r="E2513" t="s">
        <v>5285</v>
      </c>
      <c r="F2513" t="s">
        <v>14</v>
      </c>
      <c r="G2513" t="s">
        <v>5286</v>
      </c>
      <c r="H2513" t="n">
        <v>3318</v>
      </c>
      <c r="I2513" t="s">
        <v>14</v>
      </c>
      <c r="J2513" t="s">
        <v>18</v>
      </c>
      <c r="K2513" t="s">
        <v>19</v>
      </c>
      <c r="L2513" t="s">
        <v>20</v>
      </c>
      <c r="M2513" t="s">
        <v>5280</v>
      </c>
      <c r="N2513" t="s">
        <v>5287</v>
      </c>
    </row>
    <row r="2514" x14ac:dyDescent="0.25">
      <c r="A2514" t="n">
        <v>25</v>
      </c>
      <c r="B2514" t="s">
        <v>14</v>
      </c>
      <c r="C2514" t="s">
        <v>51</v>
      </c>
      <c r="D2514" s="2" t="s">
        <f>=HYPERLINK("https://main.knesset.gov.il/APPS/legislation/main/bills/2220907", "הצעת חוק קליטת חיילים משוחררים (תיקון - זכאות משרתי צבא ההגנה לישראל מקרן ""ממדים ללימודים""), התשפ""ד-2024")</f>
        <v>5288</v>
      </c>
      <c r="E2514" t="s">
        <v>5288</v>
      </c>
      <c r="F2514" t="s">
        <v>5289</v>
      </c>
      <c r="G2514" t="s">
        <v>14</v>
      </c>
      <c r="H2514">
             </c>
      <c r="I2514" t="s">
        <v>14</v>
      </c>
      <c r="J2514" t="s">
        <v>193</v>
      </c>
      <c r="K2514" t="s">
        <v>14</v>
      </c>
      <c r="L2514" t="s">
        <v>20</v>
      </c>
      <c r="M2514" t="s">
        <v>5280</v>
      </c>
      <c r="N2514" t="s">
        <v>14</v>
      </c>
    </row>
    <row r="2515" x14ac:dyDescent="0.25">
      <c r="A2515" t="n">
        <v>25</v>
      </c>
      <c r="B2515" t="s">
        <v>14</v>
      </c>
      <c r="C2515" t="s">
        <v>51</v>
      </c>
      <c r="D2515" s="2" t="s">
        <f>=HYPERLINK("https://main.knesset.gov.il/APPS/legislation/main/bills/2220847", "הצעת חוק כלי הירייה (תיקון - זכאות לרישיון כלי ירייה ללוחם שסיים את שירותו עקב פציעה בפעילות מבצעית), התשפ""ד-2024")</f>
        <v>5290</v>
      </c>
      <c r="E2515" t="s">
        <v>5290</v>
      </c>
      <c r="F2515" t="s">
        <v>5291</v>
      </c>
      <c r="G2515" t="s">
        <v>14</v>
      </c>
      <c r="H2515">
             </c>
      <c r="I2515" t="s">
        <v>14</v>
      </c>
      <c r="J2515" t="s">
        <v>152</v>
      </c>
      <c r="K2515" t="s">
        <v>19</v>
      </c>
      <c r="L2515" t="s">
        <v>20</v>
      </c>
      <c r="M2515" t="s">
        <v>5280</v>
      </c>
      <c r="N2515" t="s">
        <v>14</v>
      </c>
    </row>
    <row r="2516" x14ac:dyDescent="0.25">
      <c r="A2516" t="n">
        <v>25</v>
      </c>
      <c r="B2516" t="s">
        <v>14</v>
      </c>
      <c r="C2516" t="s">
        <v>51</v>
      </c>
      <c r="D2516" s="2" t="s">
        <f>=HYPERLINK("https://main.knesset.gov.il/APPS/legislation/main/bills/2216747", "הצעת חוק הפיקוח על שירותים פיננסיים (שירותים פיננסיים מוסדרים) (תיקון - מסירת מידע על עמלות וריביות בידי נותן שירותים פיננסיים), התשפ""ד-2024")</f>
        <v>5292</v>
      </c>
      <c r="E2516" t="s">
        <v>5292</v>
      </c>
      <c r="F2516" t="s">
        <v>5293</v>
      </c>
      <c r="G2516" t="s">
        <v>14</v>
      </c>
      <c r="H2516">
             </c>
      <c r="I2516" t="s">
        <v>14</v>
      </c>
      <c r="J2516" t="s">
        <v>152</v>
      </c>
      <c r="K2516" t="s">
        <v>84</v>
      </c>
      <c r="L2516" t="s">
        <v>20</v>
      </c>
      <c r="M2516" t="s">
        <v>5280</v>
      </c>
      <c r="N2516" t="s">
        <v>14</v>
      </c>
    </row>
    <row r="2517" x14ac:dyDescent="0.25">
      <c r="A2517" t="n">
        <v>25</v>
      </c>
      <c r="B2517" t="s">
        <v>14</v>
      </c>
      <c r="C2517" t="s">
        <v>51</v>
      </c>
      <c r="D2517" s="2" t="s">
        <f>=HYPERLINK("https://main.knesset.gov.il/APPS/legislation/main/bills/2198851", "הצעת חוק שירות ביטחון (תיקון - סיוע טיפולי לבוגרי השירות הצבאי), התשפ""ג-2023")</f>
        <v>5294</v>
      </c>
      <c r="E2517" t="s">
        <v>5294</v>
      </c>
      <c r="F2517" t="s">
        <v>5295</v>
      </c>
      <c r="G2517" t="s">
        <v>14</v>
      </c>
      <c r="H2517">
             </c>
      <c r="I2517" t="s">
        <v>14</v>
      </c>
      <c r="J2517" t="s">
        <v>193</v>
      </c>
      <c r="K2517" t="s">
        <v>14</v>
      </c>
      <c r="L2517" t="s">
        <v>20</v>
      </c>
      <c r="M2517" t="s">
        <v>5280</v>
      </c>
      <c r="N2517" t="s">
        <v>14</v>
      </c>
    </row>
    <row r="2518" x14ac:dyDescent="0.25">
      <c r="A2518" t="n">
        <v>25</v>
      </c>
      <c r="B2518" t="s">
        <v>14</v>
      </c>
      <c r="C2518" t="s">
        <v>51</v>
      </c>
      <c r="D2518" s="2" t="s">
        <f>=HYPERLINK("https://main.knesset.gov.il/APPS/legislation/main/bills/2199035", "הצעת חוק עידוד שירות צבאי, לאומי או לאומי-אזרחי, התשפ""ג-2023")</f>
        <v>5296</v>
      </c>
      <c r="E2518" t="s">
        <v>5296</v>
      </c>
      <c r="F2518" t="s">
        <v>5297</v>
      </c>
      <c r="G2518" t="s">
        <v>14</v>
      </c>
      <c r="H2518">
             </c>
      <c r="I2518" t="s">
        <v>14</v>
      </c>
      <c r="J2518" t="s">
        <v>193</v>
      </c>
      <c r="K2518" t="s">
        <v>14</v>
      </c>
      <c r="L2518" t="s">
        <v>20</v>
      </c>
      <c r="M2518" t="s">
        <v>5280</v>
      </c>
      <c r="N2518" t="s">
        <v>14</v>
      </c>
    </row>
    <row r="2519" x14ac:dyDescent="0.25">
      <c r="A2519" t="n">
        <v>25</v>
      </c>
      <c r="B2519" t="s">
        <v>14</v>
      </c>
      <c r="C2519" t="s">
        <v>51</v>
      </c>
      <c r="D2519" s="2" t="s">
        <f>=HYPERLINK("https://main.knesset.gov.il/APPS/legislation/main/bills/2220960", "הצעת חוק שירות המדינה (מינויים) (תיקון - ייצוג הולם ללוחמים), התשפ""ד-2024")</f>
        <v>5298</v>
      </c>
      <c r="E2519" t="s">
        <v>5298</v>
      </c>
      <c r="F2519" t="s">
        <v>5299</v>
      </c>
      <c r="G2519" t="s">
        <v>14</v>
      </c>
      <c r="H2519">
             </c>
      <c r="I2519" t="s">
        <v>14</v>
      </c>
      <c r="J2519" t="s">
        <v>183</v>
      </c>
      <c r="K2519" t="s">
        <v>27</v>
      </c>
      <c r="L2519" t="s">
        <v>20</v>
      </c>
      <c r="M2519" t="s">
        <v>5300</v>
      </c>
      <c r="N2519" t="s">
        <v>14</v>
      </c>
    </row>
    <row r="2520" x14ac:dyDescent="0.25">
      <c r="A2520" t="n">
        <v>25</v>
      </c>
      <c r="B2520" t="s">
        <v>14</v>
      </c>
      <c r="C2520" t="s">
        <v>51</v>
      </c>
      <c r="D2520" s="2" t="s">
        <f>=HYPERLINK("https://main.knesset.gov.il/APPS/legislation/main/bills/2217086", "חוק העונשין (תיקון מס' 150), התשפ""ה-2024")</f>
        <v>5301</v>
      </c>
      <c r="E2520" t="s">
        <v>5301</v>
      </c>
      <c r="F2520" t="s">
        <v>5302</v>
      </c>
      <c r="G2520" t="s">
        <v>5303</v>
      </c>
      <c r="H2520" t="n">
        <v>3317</v>
      </c>
      <c r="I2520" t="s">
        <v>14</v>
      </c>
      <c r="J2520" t="s">
        <v>18</v>
      </c>
      <c r="K2520" t="s">
        <v>27</v>
      </c>
      <c r="L2520" t="s">
        <v>20</v>
      </c>
      <c r="M2520" t="s">
        <v>5300</v>
      </c>
      <c r="N2520" t="s">
        <v>5304</v>
      </c>
    </row>
    <row r="2521" x14ac:dyDescent="0.25">
      <c r="A2521" t="n">
        <v>25</v>
      </c>
      <c r="B2521" t="s">
        <v>14</v>
      </c>
      <c r="C2521" t="s">
        <v>51</v>
      </c>
      <c r="D2521" s="2" t="s">
        <f>=HYPERLINK("https://main.knesset.gov.il/APPS/legislation/main/bills/2213768", "חוק הביטוח הלאומי (תיקון מס' 251), התשפ""ה–2024")</f>
        <v>5305</v>
      </c>
      <c r="E2521" t="s">
        <v>5305</v>
      </c>
      <c r="F2521" t="s">
        <v>5306</v>
      </c>
      <c r="G2521" t="s">
        <v>5307</v>
      </c>
      <c r="H2521" t="n">
        <v>3316</v>
      </c>
      <c r="I2521" t="s">
        <v>14</v>
      </c>
      <c r="J2521" t="s">
        <v>18</v>
      </c>
      <c r="K2521" t="s">
        <v>46</v>
      </c>
      <c r="L2521" t="s">
        <v>20</v>
      </c>
      <c r="M2521" t="s">
        <v>5300</v>
      </c>
      <c r="N2521" t="s">
        <v>5308</v>
      </c>
    </row>
    <row r="2522" x14ac:dyDescent="0.25">
      <c r="A2522" t="n">
        <v>25</v>
      </c>
      <c r="B2522" t="s">
        <v>14</v>
      </c>
      <c r="C2522" t="s">
        <v>51</v>
      </c>
      <c r="D2522" s="2" t="s">
        <f>=HYPERLINK("https://main.knesset.gov.il/APPS/legislation/main/bills/2218862", "חוק הביטוח הלאומי (תיקון מס' 250), התשפ""ה–2024")</f>
        <v>5309</v>
      </c>
      <c r="E2522" t="s">
        <v>5309</v>
      </c>
      <c r="F2522" t="s">
        <v>5310</v>
      </c>
      <c r="G2522" t="s">
        <v>5311</v>
      </c>
      <c r="H2522" t="n">
        <v>3315</v>
      </c>
      <c r="I2522" t="s">
        <v>14</v>
      </c>
      <c r="J2522" t="s">
        <v>18</v>
      </c>
      <c r="K2522" t="s">
        <v>46</v>
      </c>
      <c r="L2522" t="s">
        <v>20</v>
      </c>
      <c r="M2522" t="s">
        <v>5300</v>
      </c>
      <c r="N2522" t="s">
        <v>5312</v>
      </c>
    </row>
    <row r="2523" x14ac:dyDescent="0.25">
      <c r="A2523" t="n">
        <v>25</v>
      </c>
      <c r="B2523" t="s">
        <v>14</v>
      </c>
      <c r="C2523" t="s">
        <v>51</v>
      </c>
      <c r="D2523" s="2" t="s">
        <f>=HYPERLINK("https://main.knesset.gov.il/APPS/legislation/main/bills/2220848", "הצעת חוק יסוד: השפיטה (תיקון - שלילת זכות עמידה למתגמל טרור)")</f>
        <v>5313</v>
      </c>
      <c r="E2523" t="s">
        <v>5313</v>
      </c>
      <c r="F2523" t="s">
        <v>5314</v>
      </c>
      <c r="G2523" t="s">
        <v>14</v>
      </c>
      <c r="H2523">
             </c>
      <c r="I2523" t="s">
        <v>14</v>
      </c>
      <c r="J2523" t="s">
        <v>152</v>
      </c>
      <c r="K2523" t="s">
        <v>27</v>
      </c>
      <c r="L2523" t="s">
        <v>20</v>
      </c>
      <c r="M2523" t="s">
        <v>5315</v>
      </c>
      <c r="N2523" t="s">
        <v>14</v>
      </c>
    </row>
    <row r="2524" x14ac:dyDescent="0.25">
      <c r="A2524" t="n">
        <v>25</v>
      </c>
      <c r="B2524" t="s">
        <v>14</v>
      </c>
      <c r="C2524" t="s">
        <v>15</v>
      </c>
      <c r="D2524" s="2" t="s">
        <f>=HYPERLINK("https://main.knesset.gov.il/APPS/legislation/main/bills/2223236", "חוק לתיקון פקודת בתי הסוהר (תיקון מס' 66 – הוראת שעה – חרבות ברזל) (חופשה מיוחדת לאסיר) (תיקון מס' 2), התשפ""ה-2024")</f>
        <v>5316</v>
      </c>
      <c r="E2524" t="s">
        <v>5316</v>
      </c>
      <c r="F2524" t="s">
        <v>14</v>
      </c>
      <c r="G2524" t="s">
        <v>5317</v>
      </c>
      <c r="H2524" t="n">
        <v>3314</v>
      </c>
      <c r="I2524" t="s">
        <v>14</v>
      </c>
      <c r="J2524" t="s">
        <v>18</v>
      </c>
      <c r="K2524" t="s">
        <v>19</v>
      </c>
      <c r="L2524" t="s">
        <v>20</v>
      </c>
      <c r="M2524" t="s">
        <v>5315</v>
      </c>
      <c r="N2524" t="s">
        <v>5318</v>
      </c>
    </row>
    <row r="2525" x14ac:dyDescent="0.25">
      <c r="A2525" t="n">
        <v>25</v>
      </c>
      <c r="B2525" t="s">
        <v>14</v>
      </c>
      <c r="C2525" t="s">
        <v>51</v>
      </c>
      <c r="D2525" s="2" t="s">
        <f>=HYPERLINK("https://main.knesset.gov.il/APPS/legislation/main/bills/2223451", "הצעת חוק-יסוד: הכנסת (תיקון - מניעת התמודדות בבחירות של תומכי ומעודדי טרור)")</f>
        <v>5319</v>
      </c>
      <c r="E2525" t="s">
        <v>5319</v>
      </c>
      <c r="F2525" t="s">
        <v>5320</v>
      </c>
      <c r="G2525" t="s">
        <v>14</v>
      </c>
      <c r="H2525">
             </c>
      <c r="I2525" t="s">
        <v>14</v>
      </c>
      <c r="J2525" t="s">
        <v>202</v>
      </c>
      <c r="K2525" t="s">
        <v>14</v>
      </c>
      <c r="L2525" t="s">
        <v>20</v>
      </c>
      <c r="M2525" t="s">
        <v>5315</v>
      </c>
      <c r="N2525" t="s">
        <v>14</v>
      </c>
    </row>
    <row r="2526" x14ac:dyDescent="0.25">
      <c r="A2526" t="n">
        <v>25</v>
      </c>
      <c r="B2526" t="s">
        <v>14</v>
      </c>
      <c r="C2526" t="s">
        <v>51</v>
      </c>
      <c r="D2526" s="2" t="s">
        <f>=HYPERLINK("https://main.knesset.gov.il/APPS/legislation/main/bills/2214711", "הצעת חוק הרשות לקידום הורות טובה ומיטיבה ותפקוד הורי ומשפחתי בריא, התשפ""ה-2024")</f>
        <v>5321</v>
      </c>
      <c r="E2526" t="s">
        <v>5321</v>
      </c>
      <c r="F2526" t="s">
        <v>5322</v>
      </c>
      <c r="G2526" t="s">
        <v>14</v>
      </c>
      <c r="H2526">
             </c>
      <c r="I2526" t="s">
        <v>14</v>
      </c>
      <c r="J2526" t="s">
        <v>242</v>
      </c>
      <c r="K2526" t="s">
        <v>14</v>
      </c>
      <c r="L2526" t="s">
        <v>20</v>
      </c>
      <c r="M2526" t="s">
        <v>5315</v>
      </c>
      <c r="N2526" t="s">
        <v>14</v>
      </c>
    </row>
    <row r="2527" x14ac:dyDescent="0.25">
      <c r="A2527" t="n">
        <v>25</v>
      </c>
      <c r="B2527" t="s">
        <v>14</v>
      </c>
      <c r="C2527" t="s">
        <v>51</v>
      </c>
      <c r="D2527" s="2" t="s">
        <f>=HYPERLINK("https://main.knesset.gov.il/APPS/legislation/main/bills/2221059", "הצעת חוק סדר הדין הפלילי (סמכויות אכיפה - נתוני תקשורת) (תיקון - צו לקבלת נתוני מנוי ונתוני תקשורת ממקור אחר), התשפ""ה-2024")</f>
        <v>5323</v>
      </c>
      <c r="E2527" t="s">
        <v>5323</v>
      </c>
      <c r="F2527" t="s">
        <v>5324</v>
      </c>
      <c r="G2527" t="s">
        <v>14</v>
      </c>
      <c r="H2527">
             </c>
      <c r="I2527" t="s">
        <v>14</v>
      </c>
      <c r="J2527" t="s">
        <v>242</v>
      </c>
      <c r="K2527" t="s">
        <v>14</v>
      </c>
      <c r="L2527" t="s">
        <v>20</v>
      </c>
      <c r="M2527" t="s">
        <v>5315</v>
      </c>
      <c r="N2527" t="s">
        <v>14</v>
      </c>
    </row>
    <row r="2528" x14ac:dyDescent="0.25">
      <c r="A2528" t="n">
        <v>25</v>
      </c>
      <c r="B2528" t="s">
        <v>14</v>
      </c>
      <c r="C2528" t="s">
        <v>51</v>
      </c>
      <c r="D2528" s="2" t="s">
        <f>=HYPERLINK("https://main.knesset.gov.il/APPS/legislation/main/bills/2221015", "הצעת חוק להנגשת מזון בריא לציבור, התשפ""ה-2024")</f>
        <v>5325</v>
      </c>
      <c r="E2528" t="s">
        <v>5325</v>
      </c>
      <c r="F2528" t="s">
        <v>5326</v>
      </c>
      <c r="G2528" t="s">
        <v>14</v>
      </c>
      <c r="H2528">
             </c>
      <c r="I2528" t="s">
        <v>14</v>
      </c>
      <c r="J2528" t="s">
        <v>242</v>
      </c>
      <c r="K2528" t="s">
        <v>14</v>
      </c>
      <c r="L2528" t="s">
        <v>20</v>
      </c>
      <c r="M2528" t="s">
        <v>5315</v>
      </c>
      <c r="N2528" t="s">
        <v>14</v>
      </c>
    </row>
    <row r="2529" x14ac:dyDescent="0.25">
      <c r="A2529" t="n">
        <v>25</v>
      </c>
      <c r="B2529" t="s">
        <v>14</v>
      </c>
      <c r="C2529" t="s">
        <v>51</v>
      </c>
      <c r="D2529" s="2" t="s">
        <f>=HYPERLINK("https://main.knesset.gov.il/APPS/legislation/main/bills/2223432", "הצעת חוק מעמד המשרת בשירות צבאי או לאומי, התשפ""ה-2024")</f>
        <v>4771</v>
      </c>
      <c r="E2529" t="s">
        <v>4771</v>
      </c>
      <c r="F2529" t="s">
        <v>5327</v>
      </c>
      <c r="G2529" t="s">
        <v>14</v>
      </c>
      <c r="H2529">
             </c>
      <c r="I2529" t="s">
        <v>14</v>
      </c>
      <c r="J2529" t="s">
        <v>242</v>
      </c>
      <c r="K2529" t="s">
        <v>14</v>
      </c>
      <c r="L2529" t="s">
        <v>20</v>
      </c>
      <c r="M2529" t="s">
        <v>5315</v>
      </c>
      <c r="N2529" t="s">
        <v>14</v>
      </c>
    </row>
    <row r="2530" x14ac:dyDescent="0.25">
      <c r="A2530" t="n">
        <v>25</v>
      </c>
      <c r="B2530" t="s">
        <v>14</v>
      </c>
      <c r="C2530" t="s">
        <v>51</v>
      </c>
      <c r="D2530" s="2" t="s">
        <f>=HYPERLINK("https://main.knesset.gov.il/APPS/legislation/main/bills/2222883", "הצעת חוק להקפאת כספים ששילמה הרשות הפלסטינית בזיקה לטרור מהכספים המועברים אליה מממשלת ישראל (תיקון - קיזוז דוחות תעבורה), התשפ""ה-2024 ")</f>
        <v>5328</v>
      </c>
      <c r="E2530" t="s">
        <v>5328</v>
      </c>
      <c r="F2530" t="s">
        <v>5329</v>
      </c>
      <c r="G2530" t="s">
        <v>14</v>
      </c>
      <c r="H2530">
             </c>
      <c r="I2530" t="s">
        <v>14</v>
      </c>
      <c r="J2530" t="s">
        <v>242</v>
      </c>
      <c r="K2530" t="s">
        <v>14</v>
      </c>
      <c r="L2530" t="s">
        <v>20</v>
      </c>
      <c r="M2530" t="s">
        <v>5315</v>
      </c>
      <c r="N2530" t="s">
        <v>14</v>
      </c>
    </row>
    <row r="2531" x14ac:dyDescent="0.25">
      <c r="A2531" t="n">
        <v>25</v>
      </c>
      <c r="B2531" t="s">
        <v>14</v>
      </c>
      <c r="C2531" t="s">
        <v>51</v>
      </c>
      <c r="D2531" s="2" t="s">
        <f>=HYPERLINK("https://main.knesset.gov.il/APPS/legislation/main/bills/2222705", "הצעת חוק איסור הפליה במוצרים, בשירותים ובכניסה למקומות בידור ולמקומות ציבוריים (תיקון - הסמכת בית משפט למתן צו מניעה או צו עשה), התשפ""ה-2024")</f>
        <v>5330</v>
      </c>
      <c r="E2531" t="s">
        <v>5330</v>
      </c>
      <c r="F2531" t="s">
        <v>5331</v>
      </c>
      <c r="G2531" t="s">
        <v>14</v>
      </c>
      <c r="H2531">
             </c>
      <c r="I2531" t="s">
        <v>14</v>
      </c>
      <c r="J2531" t="s">
        <v>242</v>
      </c>
      <c r="K2531" t="s">
        <v>14</v>
      </c>
      <c r="L2531" t="s">
        <v>20</v>
      </c>
      <c r="M2531" t="s">
        <v>5315</v>
      </c>
      <c r="N2531" t="s">
        <v>14</v>
      </c>
    </row>
    <row r="2532" x14ac:dyDescent="0.25">
      <c r="A2532" t="n">
        <v>25</v>
      </c>
      <c r="B2532" t="s">
        <v>14</v>
      </c>
      <c r="C2532" t="s">
        <v>51</v>
      </c>
      <c r="D2532" s="2" t="s">
        <f>=HYPERLINK("https://main.knesset.gov.il/APPS/legislation/main/bills/2223499", "הצעת חוק הרבנות הראשית לישראל (תיקון - הגדלת הייצוג הנשי באסיפה הבוחרת ובחירת נציגים מיהודה והשומרון), התשפ""ה-2024")</f>
        <v>5332</v>
      </c>
      <c r="E2532" t="s">
        <v>5332</v>
      </c>
      <c r="F2532" t="s">
        <v>5333</v>
      </c>
      <c r="G2532" t="s">
        <v>14</v>
      </c>
      <c r="H2532">
             </c>
      <c r="I2532" t="s">
        <v>14</v>
      </c>
      <c r="J2532" t="s">
        <v>242</v>
      </c>
      <c r="K2532" t="s">
        <v>14</v>
      </c>
      <c r="L2532" t="s">
        <v>20</v>
      </c>
      <c r="M2532" t="s">
        <v>5315</v>
      </c>
      <c r="N2532" t="s">
        <v>14</v>
      </c>
    </row>
    <row r="2533" x14ac:dyDescent="0.25">
      <c r="A2533" t="n">
        <v>25</v>
      </c>
      <c r="B2533" t="s">
        <v>14</v>
      </c>
      <c r="C2533" t="s">
        <v>51</v>
      </c>
      <c r="D2533" s="2" t="s">
        <f>=HYPERLINK("https://main.knesset.gov.il/APPS/legislation/main/bills/2223693", "הצעת חוק הביטוח הלאומי (תיקון - תגמול מילואים לעובד עצמאי) (הוראת שעה - חרבות ברזל), התשפ''ה-2024")</f>
        <v>4628</v>
      </c>
      <c r="E2533" t="s">
        <v>4628</v>
      </c>
      <c r="F2533" t="s">
        <v>5334</v>
      </c>
      <c r="G2533" t="s">
        <v>14</v>
      </c>
      <c r="H2533">
             </c>
      <c r="I2533" t="s">
        <v>14</v>
      </c>
      <c r="J2533" t="s">
        <v>242</v>
      </c>
      <c r="K2533" t="s">
        <v>14</v>
      </c>
      <c r="L2533" t="s">
        <v>20</v>
      </c>
      <c r="M2533" t="s">
        <v>5315</v>
      </c>
      <c r="N2533" t="s">
        <v>14</v>
      </c>
    </row>
    <row r="2534" x14ac:dyDescent="0.25">
      <c r="A2534" t="n">
        <v>25</v>
      </c>
      <c r="B2534" t="s">
        <v>14</v>
      </c>
      <c r="C2534" t="s">
        <v>51</v>
      </c>
      <c r="D2534" s="2" t="s">
        <f>=HYPERLINK("https://main.knesset.gov.il/APPS/legislation/main/bills/2222701", "הצעת חוק התכנון והבנייה (הוראות מיוחדות לעניין אכיפה ביישובי מיעוטים ללא תוכנית) (הוראת שעה), התשפ""ה-2024")</f>
        <v>5335</v>
      </c>
      <c r="E2534" t="s">
        <v>5335</v>
      </c>
      <c r="F2534" t="s">
        <v>5336</v>
      </c>
      <c r="G2534" t="s">
        <v>14</v>
      </c>
      <c r="H2534">
             </c>
      <c r="I2534" t="s">
        <v>14</v>
      </c>
      <c r="J2534" t="s">
        <v>242</v>
      </c>
      <c r="K2534" t="s">
        <v>14</v>
      </c>
      <c r="L2534" t="s">
        <v>20</v>
      </c>
      <c r="M2534" t="s">
        <v>5315</v>
      </c>
      <c r="N2534" t="s">
        <v>14</v>
      </c>
    </row>
    <row r="2535" x14ac:dyDescent="0.25">
      <c r="A2535" t="n">
        <v>25</v>
      </c>
      <c r="B2535" t="s">
        <v>14</v>
      </c>
      <c r="C2535" t="s">
        <v>51</v>
      </c>
      <c r="D2535" s="2" t="s">
        <f>=HYPERLINK("https://main.knesset.gov.il/APPS/legislation/main/bills/2223640", "הצעת חוק הביטוח הלאומי (תיקון - חישוב התגמול לעצמאים בשירות מילואים), התשפ""ה-2024")</f>
        <v>5191</v>
      </c>
      <c r="E2535" t="s">
        <v>5191</v>
      </c>
      <c r="F2535" t="s">
        <v>5337</v>
      </c>
      <c r="G2535" t="s">
        <v>14</v>
      </c>
      <c r="H2535">
             </c>
      <c r="I2535" t="s">
        <v>14</v>
      </c>
      <c r="J2535" t="s">
        <v>242</v>
      </c>
      <c r="K2535" t="s">
        <v>14</v>
      </c>
      <c r="L2535" t="s">
        <v>20</v>
      </c>
      <c r="M2535" t="s">
        <v>5315</v>
      </c>
      <c r="N2535" t="s">
        <v>14</v>
      </c>
    </row>
    <row r="2536" x14ac:dyDescent="0.25">
      <c r="A2536" t="n">
        <v>25</v>
      </c>
      <c r="B2536" t="s">
        <v>14</v>
      </c>
      <c r="C2536" t="s">
        <v>51</v>
      </c>
      <c r="D2536" s="2" t="s">
        <f>=HYPERLINK("https://main.knesset.gov.il/APPS/legislation/main/bills/2223619", "הצעת חוק הביטוח הלאומי (תיקון - חישוב תגמול מילואים למשוחרר משירות קבע או לפורש ממנו) (הוראת שעה - חרבות ברזל), התשפ""ה-2024")</f>
        <v>5260</v>
      </c>
      <c r="E2536" t="s">
        <v>5260</v>
      </c>
      <c r="F2536" t="s">
        <v>5338</v>
      </c>
      <c r="G2536" t="s">
        <v>14</v>
      </c>
      <c r="H2536">
             </c>
      <c r="I2536" t="s">
        <v>14</v>
      </c>
      <c r="J2536" t="s">
        <v>242</v>
      </c>
      <c r="K2536" t="s">
        <v>14</v>
      </c>
      <c r="L2536" t="s">
        <v>20</v>
      </c>
      <c r="M2536" t="s">
        <v>5315</v>
      </c>
      <c r="N2536" t="s">
        <v>14</v>
      </c>
    </row>
    <row r="2537" x14ac:dyDescent="0.25">
      <c r="A2537" t="n">
        <v>25</v>
      </c>
      <c r="B2537" t="s">
        <v>14</v>
      </c>
      <c r="C2537" t="s">
        <v>51</v>
      </c>
      <c r="D2537" s="2" t="s">
        <f>=HYPERLINK("https://main.knesset.gov.il/APPS/legislation/main/bills/2222939", "הצעת חוק לתיקון פקודת מס הכנסה (משיכת כספי קרן השתלמות) (הוראת שעה - חרבות ברזל), התשפ""ה-2024")</f>
        <v>5339</v>
      </c>
      <c r="E2537" t="s">
        <v>5339</v>
      </c>
      <c r="F2537" t="s">
        <v>5340</v>
      </c>
      <c r="G2537" t="s">
        <v>14</v>
      </c>
      <c r="H2537">
             </c>
      <c r="I2537" t="s">
        <v>14</v>
      </c>
      <c r="J2537" t="s">
        <v>242</v>
      </c>
      <c r="K2537" t="s">
        <v>14</v>
      </c>
      <c r="L2537" t="s">
        <v>20</v>
      </c>
      <c r="M2537" t="s">
        <v>5315</v>
      </c>
      <c r="N2537" t="s">
        <v>14</v>
      </c>
    </row>
    <row r="2538" x14ac:dyDescent="0.25">
      <c r="A2538" t="n">
        <v>25</v>
      </c>
      <c r="B2538" t="s">
        <v>14</v>
      </c>
      <c r="C2538" t="s">
        <v>51</v>
      </c>
      <c r="D2538" s="2" t="s">
        <f>=HYPERLINK("https://main.knesset.gov.il/APPS/legislation/main/bills/2223704", "הצעת חוק מס ערך מוסף (תיקון - פטור ממס על תשר), התשפ""ה-2024")</f>
        <v>4504</v>
      </c>
      <c r="E2538" t="s">
        <v>4504</v>
      </c>
      <c r="F2538" t="s">
        <v>5341</v>
      </c>
      <c r="G2538" t="s">
        <v>14</v>
      </c>
      <c r="H2538">
             </c>
      <c r="I2538" t="s">
        <v>14</v>
      </c>
      <c r="J2538" t="s">
        <v>242</v>
      </c>
      <c r="K2538" t="s">
        <v>14</v>
      </c>
      <c r="L2538" t="s">
        <v>20</v>
      </c>
      <c r="M2538" t="s">
        <v>5315</v>
      </c>
      <c r="N2538" t="s">
        <v>14</v>
      </c>
    </row>
    <row r="2539" x14ac:dyDescent="0.25">
      <c r="A2539" t="n">
        <v>25</v>
      </c>
      <c r="B2539" t="s">
        <v>14</v>
      </c>
      <c r="C2539" t="s">
        <v>51</v>
      </c>
      <c r="D2539" s="2" t="s">
        <f>=HYPERLINK("https://main.knesset.gov.il/APPS/legislation/main/bills/2223389", "הצעת חוק זיכרון אירועי הטרור של כ""ב בתשרי (7 באוקטובר) ומלחמת חרבות ברזל, התשפ""ה-2024")</f>
        <v>1263</v>
      </c>
      <c r="E2539" t="s">
        <v>1263</v>
      </c>
      <c r="F2539" t="s">
        <v>5342</v>
      </c>
      <c r="G2539" t="s">
        <v>14</v>
      </c>
      <c r="H2539">
             </c>
      <c r="I2539" t="s">
        <v>14</v>
      </c>
      <c r="J2539" t="s">
        <v>242</v>
      </c>
      <c r="K2539" t="s">
        <v>14</v>
      </c>
      <c r="L2539" t="s">
        <v>20</v>
      </c>
      <c r="M2539" t="s">
        <v>5315</v>
      </c>
      <c r="N2539" t="s">
        <v>14</v>
      </c>
    </row>
    <row r="2540" x14ac:dyDescent="0.25">
      <c r="A2540" t="n">
        <v>25</v>
      </c>
      <c r="B2540" t="s">
        <v>14</v>
      </c>
      <c r="C2540" t="s">
        <v>51</v>
      </c>
      <c r="D2540" s="2" t="s">
        <f>=HYPERLINK("https://main.knesset.gov.il/APPS/legislation/main/bills/2223625", "הצעת חוק רשות מקרקעי ישראל (תיקון - הקצאת קרקעות בנגב ובגליל לחיילים משוחררים ומשרתי שירות לאומי-אזרחי), התשפ""ה-2024")</f>
        <v>5343</v>
      </c>
      <c r="E2540" t="s">
        <v>5343</v>
      </c>
      <c r="F2540" t="s">
        <v>5344</v>
      </c>
      <c r="G2540" t="s">
        <v>14</v>
      </c>
      <c r="H2540">
             </c>
      <c r="I2540" t="s">
        <v>14</v>
      </c>
      <c r="J2540" t="s">
        <v>242</v>
      </c>
      <c r="K2540" t="s">
        <v>14</v>
      </c>
      <c r="L2540" t="s">
        <v>20</v>
      </c>
      <c r="M2540" t="s">
        <v>5315</v>
      </c>
      <c r="N2540" t="s">
        <v>14</v>
      </c>
    </row>
    <row r="2541" x14ac:dyDescent="0.25">
      <c r="A2541" t="n">
        <v>25</v>
      </c>
      <c r="B2541" t="s">
        <v>14</v>
      </c>
      <c r="C2541" t="s">
        <v>51</v>
      </c>
      <c r="D2541" s="2" t="s">
        <f>=HYPERLINK("https://main.knesset.gov.il/APPS/legislation/main/bills/2223585", "הצעת חוק משפחות חיילים שנספו במערכה (תגמולים ושיקום) (תיקון - ביטול מגבלת גיל להכרה ביתומי צה""ל וכוחות הביטחון), התשפ""ה-2024")</f>
        <v>5345</v>
      </c>
      <c r="E2541" t="s">
        <v>5345</v>
      </c>
      <c r="F2541" t="s">
        <v>5346</v>
      </c>
      <c r="G2541" t="s">
        <v>14</v>
      </c>
      <c r="H2541">
             </c>
      <c r="I2541" t="s">
        <v>14</v>
      </c>
      <c r="J2541" t="s">
        <v>242</v>
      </c>
      <c r="K2541" t="s">
        <v>14</v>
      </c>
      <c r="L2541" t="s">
        <v>20</v>
      </c>
      <c r="M2541" t="s">
        <v>5315</v>
      </c>
      <c r="N2541" t="s">
        <v>14</v>
      </c>
    </row>
    <row r="2542" x14ac:dyDescent="0.25">
      <c r="A2542" t="n">
        <v>25</v>
      </c>
      <c r="B2542" t="s">
        <v>14</v>
      </c>
      <c r="C2542" t="s">
        <v>51</v>
      </c>
      <c r="D2542" s="2" t="s">
        <f>=HYPERLINK("https://main.knesset.gov.il/APPS/legislation/main/bills/2223247", "הצעת חוק צער בעלי חיים (הגנה על בעלי חיים) (תיקון - המעמד המשפטי של בעלי חיים), התשפ""ה-2024")</f>
        <v>4826</v>
      </c>
      <c r="E2542" t="s">
        <v>4826</v>
      </c>
      <c r="F2542" t="s">
        <v>5347</v>
      </c>
      <c r="G2542" t="s">
        <v>14</v>
      </c>
      <c r="H2542">
             </c>
      <c r="I2542" t="s">
        <v>14</v>
      </c>
      <c r="J2542" t="s">
        <v>242</v>
      </c>
      <c r="K2542" t="s">
        <v>14</v>
      </c>
      <c r="L2542" t="s">
        <v>20</v>
      </c>
      <c r="M2542" t="s">
        <v>5315</v>
      </c>
      <c r="N2542" t="s">
        <v>14</v>
      </c>
    </row>
    <row r="2543" x14ac:dyDescent="0.25">
      <c r="A2543" t="n">
        <v>25</v>
      </c>
      <c r="B2543" t="s">
        <v>14</v>
      </c>
      <c r="C2543" t="s">
        <v>51</v>
      </c>
      <c r="D2543" s="2" t="s">
        <f>=HYPERLINK("https://main.knesset.gov.il/APPS/legislation/main/bills/2223593", "הצעת חוק משפחות חיילים שנספו במערכה (תגמולים ושיקום) (תיקון - תגמולי הורים, יתומים ואחים שכולים), התשפ""ה-2024")</f>
        <v>5348</v>
      </c>
      <c r="E2543" t="s">
        <v>5348</v>
      </c>
      <c r="F2543" t="s">
        <v>5349</v>
      </c>
      <c r="G2543" t="s">
        <v>14</v>
      </c>
      <c r="H2543">
             </c>
      <c r="I2543" t="s">
        <v>14</v>
      </c>
      <c r="J2543" t="s">
        <v>242</v>
      </c>
      <c r="K2543" t="s">
        <v>14</v>
      </c>
      <c r="L2543" t="s">
        <v>20</v>
      </c>
      <c r="M2543" t="s">
        <v>5315</v>
      </c>
      <c r="N2543" t="s">
        <v>14</v>
      </c>
    </row>
    <row r="2544" x14ac:dyDescent="0.25">
      <c r="A2544" t="n">
        <v>25</v>
      </c>
      <c r="B2544" t="s">
        <v>14</v>
      </c>
      <c r="C2544" t="s">
        <v>51</v>
      </c>
      <c r="D2544" s="2" t="s">
        <f>=HYPERLINK("https://main.knesset.gov.il/APPS/legislation/main/bills/2223632", "הצעת חוק העונשין (תיקון - שימוש במשבש תדרים), התשפ""ה-2024")</f>
        <v>3361</v>
      </c>
      <c r="E2544" t="s">
        <v>3361</v>
      </c>
      <c r="F2544" t="s">
        <v>5350</v>
      </c>
      <c r="G2544" t="s">
        <v>14</v>
      </c>
      <c r="H2544">
             </c>
      <c r="I2544" t="s">
        <v>14</v>
      </c>
      <c r="J2544" t="s">
        <v>242</v>
      </c>
      <c r="K2544" t="s">
        <v>14</v>
      </c>
      <c r="L2544" t="s">
        <v>20</v>
      </c>
      <c r="M2544" t="s">
        <v>5315</v>
      </c>
      <c r="N2544" t="s">
        <v>14</v>
      </c>
    </row>
    <row r="2545" x14ac:dyDescent="0.25">
      <c r="A2545" t="n">
        <v>25</v>
      </c>
      <c r="B2545" t="s">
        <v>14</v>
      </c>
      <c r="C2545" t="s">
        <v>51</v>
      </c>
      <c r="D2545" s="2" t="s">
        <f>=HYPERLINK("https://main.knesset.gov.il/APPS/legislation/main/bills/2223498", "הצעת חוק משפחות חיילים שנספו במערכה (תגמולים ושיקום) (תיקון - הכרה במי שנספה בפגיעת איבה כחייל שנספה במערכה) (הוראת שעה - חרבות ברזל), התשפ""ה-2024")</f>
        <v>5258</v>
      </c>
      <c r="E2545" t="s">
        <v>5258</v>
      </c>
      <c r="F2545" t="s">
        <v>5351</v>
      </c>
      <c r="G2545" t="s">
        <v>14</v>
      </c>
      <c r="H2545">
             </c>
      <c r="I2545" t="s">
        <v>14</v>
      </c>
      <c r="J2545" t="s">
        <v>242</v>
      </c>
      <c r="K2545" t="s">
        <v>14</v>
      </c>
      <c r="L2545" t="s">
        <v>20</v>
      </c>
      <c r="M2545" t="s">
        <v>5315</v>
      </c>
      <c r="N2545" t="s">
        <v>14</v>
      </c>
    </row>
    <row r="2546" x14ac:dyDescent="0.25">
      <c r="A2546" t="n">
        <v>25</v>
      </c>
      <c r="B2546" t="s">
        <v>14</v>
      </c>
      <c r="C2546" t="s">
        <v>51</v>
      </c>
      <c r="D2546" s="2" t="s">
        <f>=HYPERLINK("https://main.knesset.gov.il/APPS/legislation/main/bills/2223618", "הצעת חוק יום לציון עליית יהודי תימן ולזכר הנספים בדרך לישראל, התשפ""ה-2024")</f>
        <v>5352</v>
      </c>
      <c r="E2546" t="s">
        <v>5352</v>
      </c>
      <c r="F2546" t="s">
        <v>5353</v>
      </c>
      <c r="G2546" t="s">
        <v>14</v>
      </c>
      <c r="H2546">
             </c>
      <c r="I2546" t="s">
        <v>14</v>
      </c>
      <c r="J2546" t="s">
        <v>242</v>
      </c>
      <c r="K2546" t="s">
        <v>14</v>
      </c>
      <c r="L2546" t="s">
        <v>20</v>
      </c>
      <c r="M2546" t="s">
        <v>5315</v>
      </c>
      <c r="N2546" t="s">
        <v>14</v>
      </c>
    </row>
    <row r="2547" x14ac:dyDescent="0.25">
      <c r="A2547" t="n">
        <v>25</v>
      </c>
      <c r="B2547" t="s">
        <v>14</v>
      </c>
      <c r="C2547" t="s">
        <v>51</v>
      </c>
      <c r="D2547" s="2" t="s">
        <f>=HYPERLINK("https://main.knesset.gov.il/APPS/legislation/main/bills/2222925", "הצעת חוק הביטוח הלאומי (תיקון - תגמול מילואים לעובד עצמאי) (הוראת שעה - חרבות ברזל), התשפ""ה-2024")</f>
        <v>4596</v>
      </c>
      <c r="E2547" t="s">
        <v>4596</v>
      </c>
      <c r="F2547" t="s">
        <v>5354</v>
      </c>
      <c r="G2547" t="s">
        <v>14</v>
      </c>
      <c r="H2547">
             </c>
      <c r="I2547" t="s">
        <v>14</v>
      </c>
      <c r="J2547" t="s">
        <v>242</v>
      </c>
      <c r="K2547" t="s">
        <v>14</v>
      </c>
      <c r="L2547" t="s">
        <v>20</v>
      </c>
      <c r="M2547" t="s">
        <v>5315</v>
      </c>
      <c r="N2547" t="s">
        <v>14</v>
      </c>
    </row>
    <row r="2548" x14ac:dyDescent="0.25">
      <c r="A2548" t="n">
        <v>25</v>
      </c>
      <c r="B2548" t="s">
        <v>14</v>
      </c>
      <c r="C2548" t="s">
        <v>51</v>
      </c>
      <c r="D2548" s="2" t="s">
        <f>=HYPERLINK("https://main.knesset.gov.il/APPS/legislation/main/bills/2223059", "הצעת חוק משפחות חיילים שנספו במערכה (תגמולים ושיקום) (תיקון - תגמול לגרושות), התשפ""ה-2024")</f>
        <v>5355</v>
      </c>
      <c r="E2548" t="s">
        <v>5355</v>
      </c>
      <c r="F2548" t="s">
        <v>5356</v>
      </c>
      <c r="G2548" t="s">
        <v>14</v>
      </c>
      <c r="H2548">
             </c>
      <c r="I2548" t="s">
        <v>14</v>
      </c>
      <c r="J2548" t="s">
        <v>242</v>
      </c>
      <c r="K2548" t="s">
        <v>14</v>
      </c>
      <c r="L2548" t="s">
        <v>20</v>
      </c>
      <c r="M2548" t="s">
        <v>5315</v>
      </c>
      <c r="N2548" t="s">
        <v>14</v>
      </c>
    </row>
    <row r="2549" x14ac:dyDescent="0.25">
      <c r="A2549" t="n">
        <v>25</v>
      </c>
      <c r="B2549" t="s">
        <v>14</v>
      </c>
      <c r="C2549" t="s">
        <v>51</v>
      </c>
      <c r="D2549" s="2" t="s">
        <f>=HYPERLINK("https://main.knesset.gov.il/APPS/legislation/main/bills/2200387", "חוק כביש אגרה (כביש ארצי לישראל) (תיקון מס' 5), התשפ""ה–2024")</f>
        <v>5357</v>
      </c>
      <c r="E2549" t="s">
        <v>5357</v>
      </c>
      <c r="F2549" t="s">
        <v>5358</v>
      </c>
      <c r="G2549" t="s">
        <v>5359</v>
      </c>
      <c r="H2549" t="n">
        <v>3313</v>
      </c>
      <c r="I2549" t="s">
        <v>14</v>
      </c>
      <c r="J2549" t="s">
        <v>18</v>
      </c>
      <c r="K2549" t="s">
        <v>84</v>
      </c>
      <c r="L2549" t="s">
        <v>20</v>
      </c>
      <c r="M2549" t="s">
        <v>5360</v>
      </c>
      <c r="N2549" t="s">
        <v>5361</v>
      </c>
    </row>
    <row r="2550" x14ac:dyDescent="0.25">
      <c r="A2550" t="n">
        <v>25</v>
      </c>
      <c r="B2550" t="s">
        <v>14</v>
      </c>
      <c r="C2550" t="s">
        <v>51</v>
      </c>
      <c r="D2550" s="2" t="s">
        <f>=HYPERLINK("https://main.knesset.gov.il/APPS/legislation/main/bills/2219225", "הצעת חוק המשטרה (חדירה לחומר מחשב), התשפ""ד-2024")</f>
        <v>5362</v>
      </c>
      <c r="E2550" t="s">
        <v>5362</v>
      </c>
      <c r="F2550" t="s">
        <v>5363</v>
      </c>
      <c r="G2550" t="s">
        <v>14</v>
      </c>
      <c r="H2550">
             </c>
      <c r="I2550" t="s">
        <v>14</v>
      </c>
      <c r="J2550" t="s">
        <v>303</v>
      </c>
      <c r="K2550" t="s">
        <v>14</v>
      </c>
      <c r="L2550" t="s">
        <v>20</v>
      </c>
      <c r="M2550" t="s">
        <v>5360</v>
      </c>
      <c r="N2550" t="s">
        <v>14</v>
      </c>
    </row>
    <row r="2551" x14ac:dyDescent="0.25">
      <c r="A2551" t="n">
        <v>25</v>
      </c>
      <c r="B2551" t="s">
        <v>14</v>
      </c>
      <c r="C2551" t="s">
        <v>51</v>
      </c>
      <c r="D2551" s="2" t="s">
        <f>=HYPERLINK("https://main.knesset.gov.il/APPS/legislation/main/bills/2214304", "הצעת חוק מס הכנסה (פטור ממס על הכנסה מהשכרת דירת מגורים) (תיקון - אי-תחולת הפטור ממס על מי שהשכיר דירת מגורים לשוהים שלא כדין), התשפ""ד-2024")</f>
        <v>5364</v>
      </c>
      <c r="E2551" t="s">
        <v>5364</v>
      </c>
      <c r="F2551" t="s">
        <v>5365</v>
      </c>
      <c r="G2551" t="s">
        <v>14</v>
      </c>
      <c r="H2551">
             </c>
      <c r="I2551" t="s">
        <v>14</v>
      </c>
      <c r="J2551" t="s">
        <v>202</v>
      </c>
      <c r="K2551" t="s">
        <v>14</v>
      </c>
      <c r="L2551" t="s">
        <v>20</v>
      </c>
      <c r="M2551" t="s">
        <v>5360</v>
      </c>
      <c r="N2551" t="s">
        <v>14</v>
      </c>
    </row>
    <row r="2552" x14ac:dyDescent="0.25">
      <c r="A2552" t="n">
        <v>25</v>
      </c>
      <c r="B2552" t="s">
        <v>14</v>
      </c>
      <c r="C2552" t="s">
        <v>51</v>
      </c>
      <c r="D2552" s="2" t="s">
        <f>=HYPERLINK("https://main.knesset.gov.il/APPS/legislation/main/bills/2213237", "הצעת חוק הרשות הארצית לכבאות והצלה (תיקון - תגמולים לכבאים ועובדים), התשפ""ד-2024")</f>
        <v>5366</v>
      </c>
      <c r="E2552" t="s">
        <v>5366</v>
      </c>
      <c r="F2552" t="s">
        <v>5367</v>
      </c>
      <c r="G2552" t="s">
        <v>14</v>
      </c>
      <c r="H2552">
             </c>
      <c r="I2552" t="s">
        <v>14</v>
      </c>
      <c r="J2552" t="s">
        <v>202</v>
      </c>
      <c r="K2552" t="s">
        <v>14</v>
      </c>
      <c r="L2552" t="s">
        <v>20</v>
      </c>
      <c r="M2552" t="s">
        <v>5360</v>
      </c>
      <c r="N2552" t="s">
        <v>14</v>
      </c>
    </row>
    <row r="2553" x14ac:dyDescent="0.25">
      <c r="A2553" t="n">
        <v>25</v>
      </c>
      <c r="B2553" t="s">
        <v>14</v>
      </c>
      <c r="C2553" t="s">
        <v>51</v>
      </c>
      <c r="D2553" s="2" t="s">
        <f>=HYPERLINK("https://main.knesset.gov.il/APPS/legislation/main/bills/2202092", "הצעת חוק גמול לחיילים בשירות סדיר, התשפ""ג-2023")</f>
        <v>5368</v>
      </c>
      <c r="E2553" t="s">
        <v>5368</v>
      </c>
      <c r="F2553" t="s">
        <v>5369</v>
      </c>
      <c r="G2553" t="s">
        <v>14</v>
      </c>
      <c r="H2553">
             </c>
      <c r="I2553" t="s">
        <v>14</v>
      </c>
      <c r="J2553" t="s">
        <v>193</v>
      </c>
      <c r="K2553" t="s">
        <v>14</v>
      </c>
      <c r="L2553" t="s">
        <v>20</v>
      </c>
      <c r="M2553" t="s">
        <v>5360</v>
      </c>
      <c r="N2553" t="s">
        <v>14</v>
      </c>
    </row>
    <row r="2554" x14ac:dyDescent="0.25">
      <c r="A2554" t="n">
        <v>25</v>
      </c>
      <c r="B2554" t="s">
        <v>14</v>
      </c>
      <c r="C2554" t="s">
        <v>51</v>
      </c>
      <c r="D2554" s="2" t="s">
        <f>=HYPERLINK("https://main.knesset.gov.il/APPS/legislation/main/bills/2195713", "הצעת חוק ביטוח סיעוד ממלכתי (תיקוני חקיקה), התשפ""ג-2023")</f>
        <v>5370</v>
      </c>
      <c r="E2554" t="s">
        <v>5370</v>
      </c>
      <c r="F2554" t="s">
        <v>5371</v>
      </c>
      <c r="G2554" t="s">
        <v>14</v>
      </c>
      <c r="H2554">
             </c>
      <c r="I2554" t="s">
        <v>14</v>
      </c>
      <c r="J2554" t="s">
        <v>193</v>
      </c>
      <c r="K2554" t="s">
        <v>14</v>
      </c>
      <c r="L2554" t="s">
        <v>20</v>
      </c>
      <c r="M2554" t="s">
        <v>5360</v>
      </c>
      <c r="N2554" t="s">
        <v>14</v>
      </c>
    </row>
    <row r="2555" x14ac:dyDescent="0.25">
      <c r="A2555" t="n">
        <v>25</v>
      </c>
      <c r="B2555" t="s">
        <v>14</v>
      </c>
      <c r="C2555" t="s">
        <v>51</v>
      </c>
      <c r="D2555" s="2" t="s">
        <f>=HYPERLINK("https://main.knesset.gov.il/APPS/legislation/main/bills/2199480", "הצעת חוק-יסוד: ישראל - מדינת הלאום של העם היהודי (תיקון - שוויון ברוח עקרונות הכרזת העצמאות של מדינת ישראל)")</f>
        <v>5372</v>
      </c>
      <c r="E2555" t="s">
        <v>5372</v>
      </c>
      <c r="F2555" t="s">
        <v>5373</v>
      </c>
      <c r="G2555" t="s">
        <v>14</v>
      </c>
      <c r="H2555">
             </c>
      <c r="I2555" t="s">
        <v>14</v>
      </c>
      <c r="J2555" t="s">
        <v>193</v>
      </c>
      <c r="K2555" t="s">
        <v>14</v>
      </c>
      <c r="L2555" t="s">
        <v>20</v>
      </c>
      <c r="M2555" t="s">
        <v>5360</v>
      </c>
      <c r="N2555" t="s">
        <v>14</v>
      </c>
    </row>
    <row r="2556" x14ac:dyDescent="0.25">
      <c r="A2556" t="n">
        <v>25</v>
      </c>
      <c r="B2556" t="s">
        <v>14</v>
      </c>
      <c r="C2556" t="s">
        <v>51</v>
      </c>
      <c r="D2556" s="2" t="s">
        <f>=HYPERLINK("https://main.knesset.gov.il/APPS/legislation/main/bills/2222646", "חוק לתיקון דיני הבחירות לרשויות המקומיות (הוראת שעה), התשפ""ה-2024")</f>
        <v>5374</v>
      </c>
      <c r="E2556" t="s">
        <v>5374</v>
      </c>
      <c r="F2556" t="s">
        <v>5375</v>
      </c>
      <c r="G2556" t="s">
        <v>5376</v>
      </c>
      <c r="H2556" t="n">
        <v>3309</v>
      </c>
      <c r="I2556" t="s">
        <v>14</v>
      </c>
      <c r="J2556" t="s">
        <v>18</v>
      </c>
      <c r="K2556" t="s">
        <v>30</v>
      </c>
      <c r="L2556" t="s">
        <v>20</v>
      </c>
      <c r="M2556" t="s">
        <v>5377</v>
      </c>
      <c r="N2556" t="s">
        <v>5378</v>
      </c>
    </row>
    <row r="2557" x14ac:dyDescent="0.25">
      <c r="A2557" t="n">
        <v>25</v>
      </c>
      <c r="B2557" t="s">
        <v>14</v>
      </c>
      <c r="C2557" t="s">
        <v>51</v>
      </c>
      <c r="D2557" s="2" t="s">
        <f>=HYPERLINK("https://main.knesset.gov.il/APPS/legislation/main/bills/2222870", "הצעת חוק לתיקון דיני הבחירות לרשויות המקומיות (הוראת שעה), התשפ""ה-2024")</f>
        <v>5379</v>
      </c>
      <c r="E2557" t="s">
        <v>5379</v>
      </c>
      <c r="F2557" t="s">
        <v>5380</v>
      </c>
      <c r="G2557" t="s">
        <v>14</v>
      </c>
      <c r="H2557">
             </c>
      <c r="I2557" t="s">
        <v>14</v>
      </c>
      <c r="J2557" t="s">
        <v>183</v>
      </c>
      <c r="K2557" t="s">
        <v>30</v>
      </c>
      <c r="L2557" t="s">
        <v>20</v>
      </c>
      <c r="M2557" t="s">
        <v>5377</v>
      </c>
      <c r="N2557" t="s">
        <v>14</v>
      </c>
    </row>
    <row r="2558" x14ac:dyDescent="0.25">
      <c r="A2558" t="n">
        <v>25</v>
      </c>
      <c r="B2558" t="s">
        <v>14</v>
      </c>
      <c r="C2558" t="s">
        <v>51</v>
      </c>
      <c r="D2558" s="2" t="s">
        <f>=HYPERLINK("https://main.knesset.gov.il/APPS/legislation/main/bills/2200722", "הצעת חוק לתיקון פקודת מס הכנסה (ניכוי הוצאות הנפקה), התשפ""ג-2023")</f>
        <v>5381</v>
      </c>
      <c r="E2558" t="s">
        <v>5381</v>
      </c>
      <c r="F2558" t="s">
        <v>5382</v>
      </c>
      <c r="G2558" t="s">
        <v>14</v>
      </c>
      <c r="H2558">
             </c>
      <c r="I2558" t="s">
        <v>14</v>
      </c>
      <c r="J2558" t="s">
        <v>152</v>
      </c>
      <c r="K2558" t="s">
        <v>24</v>
      </c>
      <c r="L2558" t="s">
        <v>20</v>
      </c>
      <c r="M2558" t="s">
        <v>5377</v>
      </c>
      <c r="N2558" t="s">
        <v>14</v>
      </c>
    </row>
    <row r="2559" x14ac:dyDescent="0.25">
      <c r="A2559" t="n">
        <v>25</v>
      </c>
      <c r="B2559" t="s">
        <v>14</v>
      </c>
      <c r="C2559" t="s">
        <v>51</v>
      </c>
      <c r="D2559" s="2" t="s">
        <f>=HYPERLINK("https://main.knesset.gov.il/APPS/legislation/main/bills/2198049", "הצעת חוק לתיקון פקודת מס הכנסה (ניכוי הוצאות הנפקה), התשפ""ג-2023")</f>
        <v>5381</v>
      </c>
      <c r="E2559" t="s">
        <v>5381</v>
      </c>
      <c r="F2559" t="s">
        <v>5383</v>
      </c>
      <c r="G2559" t="s">
        <v>14</v>
      </c>
      <c r="H2559">
             </c>
      <c r="I2559" t="s">
        <v>14</v>
      </c>
      <c r="J2559" t="s">
        <v>152</v>
      </c>
      <c r="K2559" t="s">
        <v>24</v>
      </c>
      <c r="L2559" t="s">
        <v>20</v>
      </c>
      <c r="M2559" t="s">
        <v>5377</v>
      </c>
      <c r="N2559" t="s">
        <v>14</v>
      </c>
    </row>
    <row r="2560" x14ac:dyDescent="0.25">
      <c r="A2560" t="n">
        <v>25</v>
      </c>
      <c r="B2560" t="s">
        <v>14</v>
      </c>
      <c r="C2560" t="s">
        <v>51</v>
      </c>
      <c r="D2560" s="2" t="s">
        <f>=HYPERLINK("https://main.knesset.gov.il/APPS/legislation/main/bills/2202863", "חוק התקנת מצלמות לשם הגנה על פעוטות במעונות יום לפעוטות (תיקון), התשפ""ה–2024")</f>
        <v>5384</v>
      </c>
      <c r="E2560" t="s">
        <v>5384</v>
      </c>
      <c r="F2560" t="s">
        <v>5385</v>
      </c>
      <c r="G2560" t="s">
        <v>5386</v>
      </c>
      <c r="H2560" t="n">
        <v>3312</v>
      </c>
      <c r="I2560" t="s">
        <v>14</v>
      </c>
      <c r="J2560" t="s">
        <v>18</v>
      </c>
      <c r="K2560" t="s">
        <v>79</v>
      </c>
      <c r="L2560" t="s">
        <v>20</v>
      </c>
      <c r="M2560" t="s">
        <v>5377</v>
      </c>
      <c r="N2560" t="s">
        <v>5387</v>
      </c>
    </row>
    <row r="2561" x14ac:dyDescent="0.25">
      <c r="A2561" t="n">
        <v>25</v>
      </c>
      <c r="B2561" t="s">
        <v>14</v>
      </c>
      <c r="C2561" t="s">
        <v>51</v>
      </c>
      <c r="D2561" s="2" t="s">
        <f>=HYPERLINK("https://main.knesset.gov.il/APPS/legislation/main/bills/2197027", "חוק שירותי הובלה (תיקון מס' 3), התשפ""ה–2024")</f>
        <v>5388</v>
      </c>
      <c r="E2561" t="s">
        <v>5388</v>
      </c>
      <c r="F2561" t="s">
        <v>5389</v>
      </c>
      <c r="G2561" t="s">
        <v>5390</v>
      </c>
      <c r="H2561" t="n">
        <v>3311</v>
      </c>
      <c r="I2561" t="s">
        <v>14</v>
      </c>
      <c r="J2561" t="s">
        <v>18</v>
      </c>
      <c r="K2561" t="s">
        <v>84</v>
      </c>
      <c r="L2561" t="s">
        <v>20</v>
      </c>
      <c r="M2561" t="s">
        <v>5377</v>
      </c>
      <c r="N2561" t="s">
        <v>5391</v>
      </c>
    </row>
    <row r="2562" x14ac:dyDescent="0.25">
      <c r="A2562" t="n">
        <v>25</v>
      </c>
      <c r="B2562" t="s">
        <v>14</v>
      </c>
      <c r="C2562" t="s">
        <v>51</v>
      </c>
      <c r="D2562" s="2" t="s">
        <f>=HYPERLINK("https://main.knesset.gov.il/APPS/legislation/main/bills/2205431", "חוק סדר הדין הפלילי (סמכויות אכיפה – נתוני תקשורת) (תיקון מס' 3), התשפ""ה–2024")</f>
        <v>5392</v>
      </c>
      <c r="E2562" t="s">
        <v>5392</v>
      </c>
      <c r="F2562" t="s">
        <v>5393</v>
      </c>
      <c r="G2562" t="s">
        <v>5394</v>
      </c>
      <c r="H2562" t="n">
        <v>3310</v>
      </c>
      <c r="I2562" t="s">
        <v>14</v>
      </c>
      <c r="J2562" t="s">
        <v>18</v>
      </c>
      <c r="K2562" t="s">
        <v>27</v>
      </c>
      <c r="L2562" t="s">
        <v>20</v>
      </c>
      <c r="M2562" t="s">
        <v>5377</v>
      </c>
      <c r="N2562" t="s">
        <v>5395</v>
      </c>
    </row>
    <row r="2563" x14ac:dyDescent="0.25">
      <c r="A2563" t="n">
        <v>25</v>
      </c>
      <c r="B2563" t="s">
        <v>14</v>
      </c>
      <c r="C2563" t="s">
        <v>15</v>
      </c>
      <c r="D2563" s="2" t="s">
        <f>=HYPERLINK("https://main.knesset.gov.il/APPS/legislation/main/bills/2222786", "חוק לתיקון ולהארכת תוקפן של תקנות שעת חירום (חרבות ברזל) (פגישה עם עורך דין של עצור בעבירת ביטחון) (תיקון מס' 4), התשפ""ה-2024")</f>
        <v>5396</v>
      </c>
      <c r="E2563" t="s">
        <v>5396</v>
      </c>
      <c r="F2563" t="s">
        <v>14</v>
      </c>
      <c r="G2563" t="s">
        <v>5397</v>
      </c>
      <c r="H2563" t="n">
        <v>3307</v>
      </c>
      <c r="I2563" t="s">
        <v>14</v>
      </c>
      <c r="J2563" t="s">
        <v>18</v>
      </c>
      <c r="K2563" t="s">
        <v>27</v>
      </c>
      <c r="L2563" t="s">
        <v>20</v>
      </c>
      <c r="M2563" t="s">
        <v>5377</v>
      </c>
      <c r="N2563" t="s">
        <v>5398</v>
      </c>
    </row>
    <row r="2564" x14ac:dyDescent="0.25">
      <c r="A2564" t="n">
        <v>25</v>
      </c>
      <c r="B2564" t="s">
        <v>14</v>
      </c>
      <c r="C2564" t="s">
        <v>15</v>
      </c>
      <c r="D2564" s="2" t="s">
        <f>=HYPERLINK("https://main.knesset.gov.il/APPS/legislation/main/bills/2222785", "חוק לתיקון ולהארכת תוקפן של תקנות שעת חירום (חרבות ברזל) (הארכת מעצר לחשוד בעבירת ביטחון) (תיקון מס' 4), התשפ""ה-2024")</f>
        <v>5399</v>
      </c>
      <c r="E2564" t="s">
        <v>5399</v>
      </c>
      <c r="F2564" t="s">
        <v>14</v>
      </c>
      <c r="G2564" t="s">
        <v>5400</v>
      </c>
      <c r="H2564" t="n">
        <v>3306</v>
      </c>
      <c r="I2564" t="s">
        <v>14</v>
      </c>
      <c r="J2564" t="s">
        <v>18</v>
      </c>
      <c r="K2564" t="s">
        <v>27</v>
      </c>
      <c r="L2564" t="s">
        <v>20</v>
      </c>
      <c r="M2564" t="s">
        <v>5377</v>
      </c>
      <c r="N2564" t="s">
        <v>5401</v>
      </c>
    </row>
    <row r="2565" x14ac:dyDescent="0.25">
      <c r="A2565" t="n">
        <v>25</v>
      </c>
      <c r="B2565" t="s">
        <v>14</v>
      </c>
      <c r="C2565" t="s">
        <v>51</v>
      </c>
      <c r="D2565" s="2" t="s">
        <f>=HYPERLINK("https://main.knesset.gov.il/APPS/legislation/main/bills/2212041", "חוק התכנון והבנייה (תיקון מס' 158), התשפ""ה-2024")</f>
        <v>5402</v>
      </c>
      <c r="E2565" t="s">
        <v>5402</v>
      </c>
      <c r="F2565" t="s">
        <v>5403</v>
      </c>
      <c r="G2565" t="s">
        <v>4422</v>
      </c>
      <c r="H2565" t="n">
        <v>3308</v>
      </c>
      <c r="I2565" t="s">
        <v>14</v>
      </c>
      <c r="J2565" t="s">
        <v>18</v>
      </c>
      <c r="K2565" t="s">
        <v>30</v>
      </c>
      <c r="L2565" t="s">
        <v>20</v>
      </c>
      <c r="M2565" t="s">
        <v>5404</v>
      </c>
      <c r="N2565" t="s">
        <v>5405</v>
      </c>
    </row>
    <row r="2566" x14ac:dyDescent="0.25">
      <c r="A2566" t="n">
        <v>25</v>
      </c>
      <c r="B2566" t="s">
        <v>14</v>
      </c>
      <c r="C2566" t="s">
        <v>51</v>
      </c>
      <c r="D2566" s="2" t="s">
        <f>=HYPERLINK("https://main.knesset.gov.il/APPS/legislation/main/bills/2222198", "הצעת חוק חימוש כל אדם מכוחות הביטחון המוצב בקו עימות או סמוך אליו, התשפ""ה-2024")</f>
        <v>5406</v>
      </c>
      <c r="E2566" t="s">
        <v>5406</v>
      </c>
      <c r="F2566" t="s">
        <v>5407</v>
      </c>
      <c r="G2566" t="s">
        <v>14</v>
      </c>
      <c r="H2566">
             </c>
      <c r="I2566" t="s">
        <v>14</v>
      </c>
      <c r="J2566" t="s">
        <v>242</v>
      </c>
      <c r="K2566" t="s">
        <v>14</v>
      </c>
      <c r="L2566" t="s">
        <v>20</v>
      </c>
      <c r="M2566" t="s">
        <v>5404</v>
      </c>
      <c r="N2566" t="s">
        <v>14</v>
      </c>
    </row>
    <row r="2567" x14ac:dyDescent="0.25">
      <c r="A2567" t="n">
        <v>25</v>
      </c>
      <c r="B2567" t="s">
        <v>14</v>
      </c>
      <c r="C2567" t="s">
        <v>51</v>
      </c>
      <c r="D2567" s="2" t="s">
        <f>=HYPERLINK("https://main.knesset.gov.il/APPS/legislation/main/bills/2221210", "הצעת חוק תשלומי פיצוי על כניסת מוצרים שאינם סיוע הומניטרי, התשפ""ה-2024 ")</f>
        <v>5408</v>
      </c>
      <c r="E2567" t="s">
        <v>5408</v>
      </c>
      <c r="F2567" t="s">
        <v>5409</v>
      </c>
      <c r="G2567" t="s">
        <v>14</v>
      </c>
      <c r="H2567">
             </c>
      <c r="I2567" t="s">
        <v>14</v>
      </c>
      <c r="J2567" t="s">
        <v>242</v>
      </c>
      <c r="K2567" t="s">
        <v>14</v>
      </c>
      <c r="L2567" t="s">
        <v>20</v>
      </c>
      <c r="M2567" t="s">
        <v>5404</v>
      </c>
      <c r="N2567" t="s">
        <v>14</v>
      </c>
    </row>
    <row r="2568" x14ac:dyDescent="0.25">
      <c r="A2568" t="n">
        <v>25</v>
      </c>
      <c r="B2568" t="s">
        <v>14</v>
      </c>
      <c r="C2568" t="s">
        <v>51</v>
      </c>
      <c r="D2568" s="2" t="s">
        <f>=HYPERLINK("https://main.knesset.gov.il/APPS/legislation/main/bills/2222700", "הצעת חוק העברת אמצעי לחימה רוסיים שנתפסו בלבנון וברשות הפלסטינית לטובת חימוש אוקראינה, התשפ""ה-2024")</f>
        <v>5410</v>
      </c>
      <c r="E2568" t="s">
        <v>5410</v>
      </c>
      <c r="F2568" t="s">
        <v>5411</v>
      </c>
      <c r="G2568" t="s">
        <v>14</v>
      </c>
      <c r="H2568">
             </c>
      <c r="I2568" t="s">
        <v>14</v>
      </c>
      <c r="J2568" t="s">
        <v>242</v>
      </c>
      <c r="K2568" t="s">
        <v>14</v>
      </c>
      <c r="L2568" t="s">
        <v>20</v>
      </c>
      <c r="M2568" t="s">
        <v>5404</v>
      </c>
      <c r="N2568" t="s">
        <v>14</v>
      </c>
    </row>
    <row r="2569" x14ac:dyDescent="0.25">
      <c r="A2569" t="n">
        <v>25</v>
      </c>
      <c r="B2569" t="s">
        <v>14</v>
      </c>
      <c r="C2569" t="s">
        <v>51</v>
      </c>
      <c r="D2569" s="2" t="s">
        <f>=HYPERLINK("https://main.knesset.gov.il/APPS/legislation/main/bills/2222199", "הצעת חוק כלי הירייה (תיקון - חימוש אזרחים בנשק ארוך בשעת חירום), התשפ""ה-2024")</f>
        <v>5412</v>
      </c>
      <c r="E2569" t="s">
        <v>5412</v>
      </c>
      <c r="F2569" t="s">
        <v>5413</v>
      </c>
      <c r="G2569" t="s">
        <v>14</v>
      </c>
      <c r="H2569">
             </c>
      <c r="I2569" t="s">
        <v>14</v>
      </c>
      <c r="J2569" t="s">
        <v>242</v>
      </c>
      <c r="K2569" t="s">
        <v>14</v>
      </c>
      <c r="L2569" t="s">
        <v>20</v>
      </c>
      <c r="M2569" t="s">
        <v>5404</v>
      </c>
      <c r="N2569" t="s">
        <v>14</v>
      </c>
    </row>
    <row r="2570" x14ac:dyDescent="0.25">
      <c r="A2570" t="n">
        <v>25</v>
      </c>
      <c r="B2570" t="s">
        <v>14</v>
      </c>
      <c r="C2570" t="s">
        <v>51</v>
      </c>
      <c r="D2570" s="2" t="s">
        <f>=HYPERLINK("https://main.knesset.gov.il/APPS/legislation/main/bills/2222862", "הצעת חוק לידה שקטה (תיקוני חקיקה), התשפ""ה-2024")</f>
        <v>4839</v>
      </c>
      <c r="E2570" t="s">
        <v>4839</v>
      </c>
      <c r="F2570" t="s">
        <v>5414</v>
      </c>
      <c r="G2570" t="s">
        <v>14</v>
      </c>
      <c r="H2570">
             </c>
      <c r="I2570" t="s">
        <v>14</v>
      </c>
      <c r="J2570" t="s">
        <v>242</v>
      </c>
      <c r="K2570" t="s">
        <v>14</v>
      </c>
      <c r="L2570" t="s">
        <v>20</v>
      </c>
      <c r="M2570" t="s">
        <v>5404</v>
      </c>
      <c r="N2570" t="s">
        <v>14</v>
      </c>
    </row>
    <row r="2571" x14ac:dyDescent="0.25">
      <c r="A2571" t="n">
        <v>25</v>
      </c>
      <c r="B2571" t="s">
        <v>14</v>
      </c>
      <c r="C2571" t="s">
        <v>51</v>
      </c>
      <c r="D2571" s="2" t="s">
        <f>=HYPERLINK("https://main.knesset.gov.il/APPS/legislation/main/bills/2222959", "הצעת חוק הטבות למשרתים בשירות צבאי או אזרחי, התשפ""ה-2024")</f>
        <v>5169</v>
      </c>
      <c r="E2571" t="s">
        <v>5169</v>
      </c>
      <c r="F2571" t="s">
        <v>5415</v>
      </c>
      <c r="G2571" t="s">
        <v>14</v>
      </c>
      <c r="H2571">
             </c>
      <c r="I2571" t="s">
        <v>14</v>
      </c>
      <c r="J2571" t="s">
        <v>242</v>
      </c>
      <c r="K2571" t="s">
        <v>14</v>
      </c>
      <c r="L2571" t="s">
        <v>20</v>
      </c>
      <c r="M2571" t="s">
        <v>5404</v>
      </c>
      <c r="N2571" t="s">
        <v>14</v>
      </c>
    </row>
    <row r="2572" x14ac:dyDescent="0.25">
      <c r="A2572" t="n">
        <v>25</v>
      </c>
      <c r="B2572" t="s">
        <v>14</v>
      </c>
      <c r="C2572" t="s">
        <v>51</v>
      </c>
      <c r="D2572" s="2" t="s">
        <f>=HYPERLINK("https://main.knesset.gov.il/APPS/legislation/main/bills/2223053", "הצעת חוק הרבנות הראשית לישראל (תיקון - הגדלת הייצוג הנשי באסיפה הבוחרת), התשפ""ה-2024")</f>
        <v>5416</v>
      </c>
      <c r="E2572" t="s">
        <v>5416</v>
      </c>
      <c r="F2572" t="s">
        <v>5417</v>
      </c>
      <c r="G2572" t="s">
        <v>14</v>
      </c>
      <c r="H2572">
             </c>
      <c r="I2572" t="s">
        <v>14</v>
      </c>
      <c r="J2572" t="s">
        <v>242</v>
      </c>
      <c r="K2572" t="s">
        <v>14</v>
      </c>
      <c r="L2572" t="s">
        <v>20</v>
      </c>
      <c r="M2572" t="s">
        <v>5404</v>
      </c>
      <c r="N2572" t="s">
        <v>14</v>
      </c>
    </row>
    <row r="2573" x14ac:dyDescent="0.25">
      <c r="A2573" t="n">
        <v>25</v>
      </c>
      <c r="B2573" t="s">
        <v>14</v>
      </c>
      <c r="C2573" t="s">
        <v>51</v>
      </c>
      <c r="D2573" s="2" t="s">
        <f>=HYPERLINK("https://main.knesset.gov.il/APPS/legislation/main/bills/2221110", "הצעת חוק התכנון והבנייה (תיקון - הקלת רגולציה במסגרת שיקום עוטף עזה ויישובי הגדר בקו העימות הצפוני), התשפ""ה-2024")</f>
        <v>5418</v>
      </c>
      <c r="E2573" t="s">
        <v>5418</v>
      </c>
      <c r="F2573" t="s">
        <v>5419</v>
      </c>
      <c r="G2573" t="s">
        <v>14</v>
      </c>
      <c r="H2573">
             </c>
      <c r="I2573" t="s">
        <v>14</v>
      </c>
      <c r="J2573" t="s">
        <v>242</v>
      </c>
      <c r="K2573" t="s">
        <v>14</v>
      </c>
      <c r="L2573" t="s">
        <v>20</v>
      </c>
      <c r="M2573" t="s">
        <v>5404</v>
      </c>
      <c r="N2573" t="s">
        <v>14</v>
      </c>
    </row>
    <row r="2574" x14ac:dyDescent="0.25">
      <c r="A2574" t="n">
        <v>25</v>
      </c>
      <c r="B2574" t="s">
        <v>14</v>
      </c>
      <c r="C2574" t="s">
        <v>51</v>
      </c>
      <c r="D2574" s="2" t="s">
        <f>=HYPERLINK("https://main.knesset.gov.il/APPS/legislation/main/bills/2221943", "הצעת חוק איסור שיתוף פעולה עם סנקציות של מדינות זרות על אזרחי ישראל, התשפ”ה-2024")</f>
        <v>5420</v>
      </c>
      <c r="E2574" t="s">
        <v>5420</v>
      </c>
      <c r="F2574" t="s">
        <v>5421</v>
      </c>
      <c r="G2574" t="s">
        <v>14</v>
      </c>
      <c r="H2574">
             </c>
      <c r="I2574" t="s">
        <v>14</v>
      </c>
      <c r="J2574" t="s">
        <v>242</v>
      </c>
      <c r="K2574" t="s">
        <v>14</v>
      </c>
      <c r="L2574" t="s">
        <v>20</v>
      </c>
      <c r="M2574" t="s">
        <v>5404</v>
      </c>
      <c r="N2574" t="s">
        <v>14</v>
      </c>
    </row>
    <row r="2575" x14ac:dyDescent="0.25">
      <c r="A2575" t="n">
        <v>25</v>
      </c>
      <c r="B2575" t="s">
        <v>14</v>
      </c>
      <c r="C2575" t="s">
        <v>51</v>
      </c>
      <c r="D2575" s="2" t="s">
        <f>=HYPERLINK("https://main.knesset.gov.il/APPS/legislation/main/bills/2223203", "הצעת חוק השתתפות המדינה בעלות שכר הלימוד במעון יום למשרתי מילואים וקדימות בקבלה למעון, התשפ""ה-2024")</f>
        <v>5422</v>
      </c>
      <c r="E2575" t="s">
        <v>5422</v>
      </c>
      <c r="F2575" t="s">
        <v>5423</v>
      </c>
      <c r="G2575" t="s">
        <v>14</v>
      </c>
      <c r="H2575">
             </c>
      <c r="I2575" t="s">
        <v>14</v>
      </c>
      <c r="J2575" t="s">
        <v>242</v>
      </c>
      <c r="K2575" t="s">
        <v>14</v>
      </c>
      <c r="L2575" t="s">
        <v>20</v>
      </c>
      <c r="M2575" t="s">
        <v>5404</v>
      </c>
      <c r="N2575" t="s">
        <v>14</v>
      </c>
    </row>
    <row r="2576" x14ac:dyDescent="0.25">
      <c r="A2576" t="n">
        <v>25</v>
      </c>
      <c r="B2576" t="s">
        <v>14</v>
      </c>
      <c r="C2576" t="s">
        <v>51</v>
      </c>
      <c r="D2576" s="2" t="s">
        <f>=HYPERLINK("https://main.knesset.gov.il/APPS/legislation/main/bills/2221049", "הצעת חוק עוסק בכלכלת הפלטפורמה, התשפ""ה-2024")</f>
        <v>4970</v>
      </c>
      <c r="E2576" t="s">
        <v>4970</v>
      </c>
      <c r="F2576" t="s">
        <v>5424</v>
      </c>
      <c r="G2576" t="s">
        <v>14</v>
      </c>
      <c r="H2576">
             </c>
      <c r="I2576" t="s">
        <v>14</v>
      </c>
      <c r="J2576" t="s">
        <v>242</v>
      </c>
      <c r="K2576" t="s">
        <v>14</v>
      </c>
      <c r="L2576" t="s">
        <v>20</v>
      </c>
      <c r="M2576" t="s">
        <v>5404</v>
      </c>
      <c r="N2576" t="s">
        <v>14</v>
      </c>
    </row>
    <row r="2577" x14ac:dyDescent="0.25">
      <c r="A2577" t="n">
        <v>25</v>
      </c>
      <c r="B2577" t="s">
        <v>14</v>
      </c>
      <c r="C2577" t="s">
        <v>51</v>
      </c>
      <c r="D2577" s="2" t="s">
        <f>=HYPERLINK("https://main.knesset.gov.il/APPS/legislation/main/bills/2221030", "הצעת חוק עוסק בכלכלת הפלטפורמה, התשפ""ה-2024")</f>
        <v>4970</v>
      </c>
      <c r="E2577" t="s">
        <v>4970</v>
      </c>
      <c r="F2577" t="s">
        <v>5425</v>
      </c>
      <c r="G2577" t="s">
        <v>14</v>
      </c>
      <c r="H2577">
             </c>
      <c r="I2577" t="s">
        <v>14</v>
      </c>
      <c r="J2577" t="s">
        <v>242</v>
      </c>
      <c r="K2577" t="s">
        <v>14</v>
      </c>
      <c r="L2577" t="s">
        <v>20</v>
      </c>
      <c r="M2577" t="s">
        <v>5404</v>
      </c>
      <c r="N2577" t="s">
        <v>14</v>
      </c>
    </row>
    <row r="2578" x14ac:dyDescent="0.25">
      <c r="A2578" t="n">
        <v>25</v>
      </c>
      <c r="B2578" t="s">
        <v>14</v>
      </c>
      <c r="C2578" t="s">
        <v>51</v>
      </c>
      <c r="D2578" s="2" t="s">
        <f>=HYPERLINK("https://main.knesset.gov.il/APPS/legislation/main/bills/2222351", "הצעת חוק פיקוח על מחירי מצרכים ושירותים (תיקון - פיקוח על מוצרי מזון בריא בסיסיים), התשפ""ה-2024 ")</f>
        <v>5197</v>
      </c>
      <c r="E2578" t="s">
        <v>5197</v>
      </c>
      <c r="F2578" t="s">
        <v>5426</v>
      </c>
      <c r="G2578" t="s">
        <v>14</v>
      </c>
      <c r="H2578">
             </c>
      <c r="I2578" t="s">
        <v>14</v>
      </c>
      <c r="J2578" t="s">
        <v>242</v>
      </c>
      <c r="K2578" t="s">
        <v>14</v>
      </c>
      <c r="L2578" t="s">
        <v>20</v>
      </c>
      <c r="M2578" t="s">
        <v>5404</v>
      </c>
      <c r="N2578" t="s">
        <v>14</v>
      </c>
    </row>
    <row r="2579" x14ac:dyDescent="0.25">
      <c r="A2579" t="n">
        <v>25</v>
      </c>
      <c r="B2579" t="s">
        <v>14</v>
      </c>
      <c r="C2579" t="s">
        <v>51</v>
      </c>
      <c r="D2579" s="2" t="s">
        <f>=HYPERLINK("https://main.knesset.gov.il/APPS/legislation/main/bills/2222699", "הצעת חוק העברת מידע בין רשויות, התשפ""ה-2024")</f>
        <v>5427</v>
      </c>
      <c r="E2579" t="s">
        <v>5427</v>
      </c>
      <c r="F2579" t="s">
        <v>5428</v>
      </c>
      <c r="G2579" t="s">
        <v>14</v>
      </c>
      <c r="H2579">
             </c>
      <c r="I2579" t="s">
        <v>14</v>
      </c>
      <c r="J2579" t="s">
        <v>242</v>
      </c>
      <c r="K2579" t="s">
        <v>14</v>
      </c>
      <c r="L2579" t="s">
        <v>20</v>
      </c>
      <c r="M2579" t="s">
        <v>5404</v>
      </c>
      <c r="N2579" t="s">
        <v>14</v>
      </c>
    </row>
    <row r="2580" x14ac:dyDescent="0.25">
      <c r="A2580" t="n">
        <v>25</v>
      </c>
      <c r="B2580" t="s">
        <v>14</v>
      </c>
      <c r="C2580" t="s">
        <v>51</v>
      </c>
      <c r="D2580" s="2" t="s">
        <f>=HYPERLINK("https://main.knesset.gov.il/APPS/legislation/main/bills/2222951", "הצעת חוק לימוד חובה (תיקון - איסור על גביית תשלומי הורים), התשפ""ה-2024")</f>
        <v>5429</v>
      </c>
      <c r="E2580" t="s">
        <v>5429</v>
      </c>
      <c r="F2580" t="s">
        <v>5430</v>
      </c>
      <c r="G2580" t="s">
        <v>14</v>
      </c>
      <c r="H2580">
             </c>
      <c r="I2580" t="s">
        <v>14</v>
      </c>
      <c r="J2580" t="s">
        <v>242</v>
      </c>
      <c r="K2580" t="s">
        <v>14</v>
      </c>
      <c r="L2580" t="s">
        <v>20</v>
      </c>
      <c r="M2580" t="s">
        <v>5404</v>
      </c>
      <c r="N2580" t="s">
        <v>14</v>
      </c>
    </row>
    <row r="2581" x14ac:dyDescent="0.25">
      <c r="A2581" t="n">
        <v>25</v>
      </c>
      <c r="B2581" t="s">
        <v>14</v>
      </c>
      <c r="C2581" t="s">
        <v>51</v>
      </c>
      <c r="D2581" s="2" t="s">
        <f>=HYPERLINK("https://main.knesset.gov.il/APPS/legislation/main/bills/2222050", "הצעת חוק חובת המכרזים (תיקון - הגדרת קווי העימות) (הוראת שעה), התשפ""ה-2024")</f>
        <v>5431</v>
      </c>
      <c r="E2581" t="s">
        <v>5431</v>
      </c>
      <c r="F2581" t="s">
        <v>5432</v>
      </c>
      <c r="G2581" t="s">
        <v>14</v>
      </c>
      <c r="H2581">
             </c>
      <c r="I2581" t="s">
        <v>14</v>
      </c>
      <c r="J2581" t="s">
        <v>242</v>
      </c>
      <c r="K2581" t="s">
        <v>14</v>
      </c>
      <c r="L2581" t="s">
        <v>20</v>
      </c>
      <c r="M2581" t="s">
        <v>5404</v>
      </c>
      <c r="N2581" t="s">
        <v>14</v>
      </c>
    </row>
    <row r="2582" x14ac:dyDescent="0.25">
      <c r="A2582" t="n">
        <v>25</v>
      </c>
      <c r="B2582" t="s">
        <v>14</v>
      </c>
      <c r="C2582" t="s">
        <v>51</v>
      </c>
      <c r="D2582" s="2" t="s">
        <f>=HYPERLINK("https://main.knesset.gov.il/APPS/legislation/main/bills/2222804", "הצעת חוק הקמת מחלקה לגיבוש תפיסת מודיעין חלופית (""איפכא מסתברא"") מגופי המודיעין, התשפ""ה-2024")</f>
        <v>5245</v>
      </c>
      <c r="E2582" t="s">
        <v>5245</v>
      </c>
      <c r="F2582" t="s">
        <v>5433</v>
      </c>
      <c r="G2582" t="s">
        <v>14</v>
      </c>
      <c r="H2582">
             </c>
      <c r="I2582" t="s">
        <v>14</v>
      </c>
      <c r="J2582" t="s">
        <v>242</v>
      </c>
      <c r="K2582" t="s">
        <v>14</v>
      </c>
      <c r="L2582" t="s">
        <v>20</v>
      </c>
      <c r="M2582" t="s">
        <v>5404</v>
      </c>
      <c r="N2582" t="s">
        <v>14</v>
      </c>
    </row>
    <row r="2583" x14ac:dyDescent="0.25">
      <c r="A2583" t="n">
        <v>25</v>
      </c>
      <c r="B2583" t="s">
        <v>14</v>
      </c>
      <c r="C2583" t="s">
        <v>51</v>
      </c>
      <c r="D2583" s="2" t="s">
        <f>=HYPERLINK("https://main.knesset.gov.il/APPS/legislation/main/bills/2220856", "הצעת חוק תשלומי פיצוי על כניסת מוצרים שאינם סיוע הומניטרי, התשפ""ה-2024 ")</f>
        <v>5408</v>
      </c>
      <c r="E2583" t="s">
        <v>5408</v>
      </c>
      <c r="F2583" t="s">
        <v>5434</v>
      </c>
      <c r="G2583" t="s">
        <v>14</v>
      </c>
      <c r="H2583">
             </c>
      <c r="I2583" t="s">
        <v>14</v>
      </c>
      <c r="J2583" t="s">
        <v>242</v>
      </c>
      <c r="K2583" t="s">
        <v>14</v>
      </c>
      <c r="L2583" t="s">
        <v>20</v>
      </c>
      <c r="M2583" t="s">
        <v>5404</v>
      </c>
      <c r="N2583" t="s">
        <v>14</v>
      </c>
    </row>
    <row r="2584" x14ac:dyDescent="0.25">
      <c r="A2584" t="n">
        <v>25</v>
      </c>
      <c r="B2584" t="s">
        <v>14</v>
      </c>
      <c r="C2584" t="s">
        <v>51</v>
      </c>
      <c r="D2584" s="2" t="s">
        <f>=HYPERLINK("https://main.knesset.gov.il/APPS/legislation/main/bills/2223010", "הצעת חוק-יסוד: ישראל - מדינת הלאום של העם היהודי (תיקון - הוספת ערך השוויון ברוח עקרונות הכרזת העצמאות)")</f>
        <v>5435</v>
      </c>
      <c r="E2584" t="s">
        <v>5435</v>
      </c>
      <c r="F2584" t="s">
        <v>5436</v>
      </c>
      <c r="G2584" t="s">
        <v>14</v>
      </c>
      <c r="H2584">
             </c>
      <c r="I2584" t="s">
        <v>14</v>
      </c>
      <c r="J2584" t="s">
        <v>242</v>
      </c>
      <c r="K2584" t="s">
        <v>14</v>
      </c>
      <c r="L2584" t="s">
        <v>20</v>
      </c>
      <c r="M2584" t="s">
        <v>5404</v>
      </c>
      <c r="N2584" t="s">
        <v>14</v>
      </c>
    </row>
    <row r="2585" x14ac:dyDescent="0.25">
      <c r="A2585" t="n">
        <v>25</v>
      </c>
      <c r="B2585" t="s">
        <v>14</v>
      </c>
      <c r="C2585" t="s">
        <v>51</v>
      </c>
      <c r="D2585" s="2" t="s">
        <f>=HYPERLINK("https://main.knesset.gov.il/APPS/legislation/main/bills/2222586", "הצעת חוק הביטוח הלאומי (תיקון - גמלה בשל דיכאון סב לידתי), התשפ""ה-2024")</f>
        <v>5437</v>
      </c>
      <c r="E2585" t="s">
        <v>5437</v>
      </c>
      <c r="F2585" t="s">
        <v>5438</v>
      </c>
      <c r="G2585" t="s">
        <v>14</v>
      </c>
      <c r="H2585">
             </c>
      <c r="I2585" t="s">
        <v>14</v>
      </c>
      <c r="J2585" t="s">
        <v>242</v>
      </c>
      <c r="K2585" t="s">
        <v>14</v>
      </c>
      <c r="L2585" t="s">
        <v>20</v>
      </c>
      <c r="M2585" t="s">
        <v>5404</v>
      </c>
      <c r="N2585" t="s">
        <v>14</v>
      </c>
    </row>
    <row r="2586" x14ac:dyDescent="0.25">
      <c r="A2586" t="n">
        <v>25</v>
      </c>
      <c r="B2586" t="s">
        <v>14</v>
      </c>
      <c r="C2586" t="s">
        <v>51</v>
      </c>
      <c r="D2586" s="2" t="s">
        <f>=HYPERLINK("https://main.knesset.gov.il/APPS/legislation/main/bills/2219708", "הצעת חוק מרשם האוכלוסין (תיקון - הוספת לאום ארמי), התשפ""ה-2024 ")</f>
        <v>5439</v>
      </c>
      <c r="E2586" t="s">
        <v>5439</v>
      </c>
      <c r="F2586" t="s">
        <v>5440</v>
      </c>
      <c r="G2586" t="s">
        <v>14</v>
      </c>
      <c r="H2586">
             </c>
      <c r="I2586" t="s">
        <v>14</v>
      </c>
      <c r="J2586" t="s">
        <v>242</v>
      </c>
      <c r="K2586" t="s">
        <v>14</v>
      </c>
      <c r="L2586" t="s">
        <v>20</v>
      </c>
      <c r="M2586" t="s">
        <v>5404</v>
      </c>
      <c r="N2586" t="s">
        <v>14</v>
      </c>
    </row>
    <row r="2587" x14ac:dyDescent="0.25">
      <c r="A2587" t="n">
        <v>25</v>
      </c>
      <c r="B2587" t="s">
        <v>14</v>
      </c>
      <c r="C2587" t="s">
        <v>51</v>
      </c>
      <c r="D2587" s="2" t="s">
        <f>=HYPERLINK("https://main.knesset.gov.il/APPS/legislation/main/bills/2222021", "הצעת חוק התכנון והבנייה (תיקון - פרסום שומות היטל השבחה), התשפ""ה-2024")</f>
        <v>5441</v>
      </c>
      <c r="E2587" t="s">
        <v>5441</v>
      </c>
      <c r="F2587" t="s">
        <v>5442</v>
      </c>
      <c r="G2587" t="s">
        <v>14</v>
      </c>
      <c r="H2587">
             </c>
      <c r="I2587" t="s">
        <v>14</v>
      </c>
      <c r="J2587" t="s">
        <v>242</v>
      </c>
      <c r="K2587" t="s">
        <v>14</v>
      </c>
      <c r="L2587" t="s">
        <v>20</v>
      </c>
      <c r="M2587" t="s">
        <v>5404</v>
      </c>
      <c r="N2587" t="s">
        <v>14</v>
      </c>
    </row>
    <row r="2588" x14ac:dyDescent="0.25">
      <c r="A2588" t="n">
        <v>25</v>
      </c>
      <c r="B2588" t="s">
        <v>14</v>
      </c>
      <c r="C2588" t="s">
        <v>51</v>
      </c>
      <c r="D2588" s="2" t="s">
        <f>=HYPERLINK("https://main.knesset.gov.il/APPS/legislation/main/bills/2222513", "הצעת חוק לתיקון פקודת מס הכנסה (מס מופחת לנושאים בנטל), התשפ""ה-2024")</f>
        <v>5443</v>
      </c>
      <c r="E2588" t="s">
        <v>5443</v>
      </c>
      <c r="F2588" t="s">
        <v>5444</v>
      </c>
      <c r="G2588" t="s">
        <v>14</v>
      </c>
      <c r="H2588">
             </c>
      <c r="I2588" t="s">
        <v>14</v>
      </c>
      <c r="J2588" t="s">
        <v>242</v>
      </c>
      <c r="K2588" t="s">
        <v>14</v>
      </c>
      <c r="L2588" t="s">
        <v>20</v>
      </c>
      <c r="M2588" t="s">
        <v>5404</v>
      </c>
      <c r="N2588" t="s">
        <v>14</v>
      </c>
    </row>
    <row r="2589" x14ac:dyDescent="0.25">
      <c r="A2589" t="n">
        <v>25</v>
      </c>
      <c r="B2589" t="s">
        <v>14</v>
      </c>
      <c r="C2589" t="s">
        <v>51</v>
      </c>
      <c r="D2589" s="2" t="s">
        <f>=HYPERLINK("https://main.knesset.gov.il/APPS/legislation/main/bills/2222485", "הצעת חוק הבנקאות (שירות ללקוח) (תיקון - הודעה ללקוח על אודות יתרה בחשבון עובר ושב שאינה נושאת ריבית), התשפ""ה-2024")</f>
        <v>5445</v>
      </c>
      <c r="E2589" t="s">
        <v>5445</v>
      </c>
      <c r="F2589" t="s">
        <v>5446</v>
      </c>
      <c r="G2589" t="s">
        <v>14</v>
      </c>
      <c r="H2589">
             </c>
      <c r="I2589" t="s">
        <v>14</v>
      </c>
      <c r="J2589" t="s">
        <v>242</v>
      </c>
      <c r="K2589" t="s">
        <v>14</v>
      </c>
      <c r="L2589" t="s">
        <v>20</v>
      </c>
      <c r="M2589" t="s">
        <v>5404</v>
      </c>
      <c r="N2589" t="s">
        <v>14</v>
      </c>
    </row>
    <row r="2590" x14ac:dyDescent="0.25">
      <c r="A2590" t="n">
        <v>25</v>
      </c>
      <c r="B2590" t="s">
        <v>14</v>
      </c>
      <c r="C2590" t="s">
        <v>51</v>
      </c>
      <c r="D2590" s="2" t="s">
        <f>=HYPERLINK("https://main.knesset.gov.il/APPS/legislation/main/bills/2221545", "הצעת חוק מס ערך מוסף (תיקון - פטור ממס על תשר), התשפ""ה-2024")</f>
        <v>4504</v>
      </c>
      <c r="E2590" t="s">
        <v>4504</v>
      </c>
      <c r="F2590" t="s">
        <v>5447</v>
      </c>
      <c r="G2590" t="s">
        <v>14</v>
      </c>
      <c r="H2590">
             </c>
      <c r="I2590" t="s">
        <v>14</v>
      </c>
      <c r="J2590" t="s">
        <v>242</v>
      </c>
      <c r="K2590" t="s">
        <v>14</v>
      </c>
      <c r="L2590" t="s">
        <v>20</v>
      </c>
      <c r="M2590" t="s">
        <v>5404</v>
      </c>
      <c r="N2590" t="s">
        <v>14</v>
      </c>
    </row>
    <row r="2591" x14ac:dyDescent="0.25">
      <c r="A2591" t="n">
        <v>25</v>
      </c>
      <c r="B2591" t="s">
        <v>14</v>
      </c>
      <c r="C2591" t="s">
        <v>51</v>
      </c>
      <c r="D2591" s="2" t="s">
        <f>=HYPERLINK("https://main.knesset.gov.il/APPS/legislation/main/bills/2222531", "הצעת חוק הממשלה (תיקון - חובת עריכת הסכמים בכתב), התשפ""ה-2024")</f>
        <v>5448</v>
      </c>
      <c r="E2591" t="s">
        <v>5448</v>
      </c>
      <c r="F2591" t="s">
        <v>5449</v>
      </c>
      <c r="G2591" t="s">
        <v>14</v>
      </c>
      <c r="H2591">
             </c>
      <c r="I2591" t="s">
        <v>14</v>
      </c>
      <c r="J2591" t="s">
        <v>202</v>
      </c>
      <c r="K2591" t="s">
        <v>14</v>
      </c>
      <c r="L2591" t="s">
        <v>20</v>
      </c>
      <c r="M2591" t="s">
        <v>5404</v>
      </c>
      <c r="N2591" t="s">
        <v>14</v>
      </c>
    </row>
    <row r="2592" x14ac:dyDescent="0.25">
      <c r="A2592" t="n">
        <v>25</v>
      </c>
      <c r="B2592" t="s">
        <v>14</v>
      </c>
      <c r="C2592" t="s">
        <v>51</v>
      </c>
      <c r="D2592" s="2" t="s">
        <f>=HYPERLINK("https://main.knesset.gov.il/APPS/legislation/main/bills/2222980", "הצעת חוק לתיקון פקודת מס הכנסה (פטור ממס למשרת מילואים פעיל) (הוראת שעה - חרבות ברזל), התשפ""ה-2024")</f>
        <v>5182</v>
      </c>
      <c r="E2592" t="s">
        <v>5182</v>
      </c>
      <c r="F2592" t="s">
        <v>5450</v>
      </c>
      <c r="G2592" t="s">
        <v>14</v>
      </c>
      <c r="H2592">
             </c>
      <c r="I2592" t="s">
        <v>14</v>
      </c>
      <c r="J2592" t="s">
        <v>242</v>
      </c>
      <c r="K2592" t="s">
        <v>14</v>
      </c>
      <c r="L2592" t="s">
        <v>20</v>
      </c>
      <c r="M2592" t="s">
        <v>5404</v>
      </c>
      <c r="N2592" t="s">
        <v>14</v>
      </c>
    </row>
    <row r="2593" x14ac:dyDescent="0.25">
      <c r="A2593" t="n">
        <v>25</v>
      </c>
      <c r="B2593" t="s">
        <v>14</v>
      </c>
      <c r="C2593" t="s">
        <v>51</v>
      </c>
      <c r="D2593" s="2" t="s">
        <f>=HYPERLINK("https://main.knesset.gov.il/APPS/legislation/main/bills/2197840", "חוק גירוש משפחות מחבלים, התשפ""ה–2024")</f>
        <v>5451</v>
      </c>
      <c r="E2593" t="s">
        <v>5451</v>
      </c>
      <c r="F2593" t="s">
        <v>5452</v>
      </c>
      <c r="G2593" t="s">
        <v>5453</v>
      </c>
      <c r="H2593" t="n">
        <v>3305</v>
      </c>
      <c r="I2593" t="s">
        <v>14</v>
      </c>
      <c r="J2593" t="s">
        <v>18</v>
      </c>
      <c r="K2593" t="s">
        <v>42</v>
      </c>
      <c r="L2593" t="s">
        <v>20</v>
      </c>
      <c r="M2593" t="s">
        <v>5454</v>
      </c>
      <c r="N2593" t="s">
        <v>5455</v>
      </c>
    </row>
    <row r="2594" x14ac:dyDescent="0.25">
      <c r="A2594" t="n">
        <v>25</v>
      </c>
      <c r="B2594" t="s">
        <v>14</v>
      </c>
      <c r="C2594" t="s">
        <v>51</v>
      </c>
      <c r="D2594" s="2" t="s">
        <f>=HYPERLINK("https://main.knesset.gov.il/APPS/legislation/main/bills/2202644", "חוק הנוער (שפיטה, ענישה ודרכי טיפול) (תיקון מס' 25 - הוראות שעה), התשפ""ד–2024")</f>
        <v>5456</v>
      </c>
      <c r="E2594" t="s">
        <v>5456</v>
      </c>
      <c r="F2594" t="s">
        <v>5457</v>
      </c>
      <c r="G2594" t="s">
        <v>5458</v>
      </c>
      <c r="H2594" t="n">
        <v>3304</v>
      </c>
      <c r="I2594" t="s">
        <v>14</v>
      </c>
      <c r="J2594" t="s">
        <v>18</v>
      </c>
      <c r="K2594" t="s">
        <v>27</v>
      </c>
      <c r="L2594" t="s">
        <v>20</v>
      </c>
      <c r="M2594" t="s">
        <v>5454</v>
      </c>
      <c r="N2594" t="s">
        <v>5459</v>
      </c>
    </row>
    <row r="2595" x14ac:dyDescent="0.25">
      <c r="A2595" t="n">
        <v>25</v>
      </c>
      <c r="B2595" t="s">
        <v>14</v>
      </c>
      <c r="C2595" t="s">
        <v>51</v>
      </c>
      <c r="D2595" s="2" t="s">
        <f>=HYPERLINK("https://main.knesset.gov.il/APPS/legislation/main/bills/2219293", "הצעת חוק שירותי הדת היהודיים (תיקון - הכרזה על בית עלמין סגור), התשפ""ד-2024")</f>
        <v>5460</v>
      </c>
      <c r="E2595" t="s">
        <v>5460</v>
      </c>
      <c r="F2595" t="s">
        <v>5461</v>
      </c>
      <c r="G2595" t="s">
        <v>14</v>
      </c>
      <c r="H2595">
             </c>
      <c r="I2595" t="s">
        <v>14</v>
      </c>
      <c r="J2595" t="s">
        <v>152</v>
      </c>
      <c r="K2595" t="s">
        <v>30</v>
      </c>
      <c r="L2595" t="s">
        <v>20</v>
      </c>
      <c r="M2595" t="s">
        <v>5454</v>
      </c>
      <c r="N2595" t="s">
        <v>14</v>
      </c>
    </row>
    <row r="2596" x14ac:dyDescent="0.25">
      <c r="A2596" t="n">
        <v>25</v>
      </c>
      <c r="B2596" t="s">
        <v>14</v>
      </c>
      <c r="C2596" t="s">
        <v>51</v>
      </c>
      <c r="D2596" s="2" t="s">
        <f>=HYPERLINK("https://main.knesset.gov.il/APPS/legislation/main/bills/2219696", "הצעת חוק הביטוח הלאומי (תיקון - זכאות לדמי לידה עבור משרתות מילואים), התשפ""ד-2024")</f>
        <v>5462</v>
      </c>
      <c r="E2596" t="s">
        <v>5462</v>
      </c>
      <c r="F2596" t="s">
        <v>5463</v>
      </c>
      <c r="G2596" t="s">
        <v>14</v>
      </c>
      <c r="H2596">
             </c>
      <c r="I2596" t="s">
        <v>14</v>
      </c>
      <c r="J2596" t="s">
        <v>193</v>
      </c>
      <c r="K2596" t="s">
        <v>14</v>
      </c>
      <c r="L2596" t="s">
        <v>20</v>
      </c>
      <c r="M2596" t="s">
        <v>5454</v>
      </c>
      <c r="N2596" t="s">
        <v>14</v>
      </c>
    </row>
    <row r="2597" x14ac:dyDescent="0.25">
      <c r="A2597" t="n">
        <v>25</v>
      </c>
      <c r="B2597" t="s">
        <v>14</v>
      </c>
      <c r="C2597" t="s">
        <v>51</v>
      </c>
      <c r="D2597" s="2" t="s">
        <f>=HYPERLINK("https://main.knesset.gov.il/APPS/legislation/main/bills/2214652", "הצעת חוק לייצוב מחירי מצרכים בעת חירום, התשפ""ד-2024")</f>
        <v>5464</v>
      </c>
      <c r="E2597" t="s">
        <v>5464</v>
      </c>
      <c r="F2597" t="s">
        <v>5465</v>
      </c>
      <c r="G2597" t="s">
        <v>14</v>
      </c>
      <c r="H2597">
             </c>
      <c r="I2597" t="s">
        <v>14</v>
      </c>
      <c r="J2597" t="s">
        <v>202</v>
      </c>
      <c r="K2597" t="s">
        <v>14</v>
      </c>
      <c r="L2597" t="s">
        <v>20</v>
      </c>
      <c r="M2597" t="s">
        <v>5454</v>
      </c>
      <c r="N2597" t="s">
        <v>14</v>
      </c>
    </row>
    <row r="2598" x14ac:dyDescent="0.25">
      <c r="A2598" t="n">
        <v>25</v>
      </c>
      <c r="B2598" t="s">
        <v>14</v>
      </c>
      <c r="C2598" t="s">
        <v>51</v>
      </c>
      <c r="D2598" s="2" t="s">
        <f>=HYPERLINK("https://main.knesset.gov.il/APPS/legislation/main/bills/2201653", "הצעת חוק לימוד חובה (תיקון - עובד סוציאלי או פסיכולוג חינוכי במוסד חינוכי ביישוב סמוך גבול), התשפ""ג-2023")</f>
        <v>5466</v>
      </c>
      <c r="E2598" t="s">
        <v>5466</v>
      </c>
      <c r="F2598" t="s">
        <v>5467</v>
      </c>
      <c r="G2598" t="s">
        <v>14</v>
      </c>
      <c r="H2598">
             </c>
      <c r="I2598" t="s">
        <v>14</v>
      </c>
      <c r="J2598" t="s">
        <v>193</v>
      </c>
      <c r="K2598" t="s">
        <v>14</v>
      </c>
      <c r="L2598" t="s">
        <v>20</v>
      </c>
      <c r="M2598" t="s">
        <v>5454</v>
      </c>
      <c r="N2598" t="s">
        <v>14</v>
      </c>
    </row>
    <row r="2599" x14ac:dyDescent="0.25">
      <c r="A2599" t="n">
        <v>25</v>
      </c>
      <c r="B2599" t="s">
        <v>14</v>
      </c>
      <c r="C2599" t="s">
        <v>51</v>
      </c>
      <c r="D2599" s="2" t="s">
        <f>=HYPERLINK("https://main.knesset.gov.il/APPS/legislation/main/bills/2196755", "הצעת חוק הנצחת זכרם של קורבנות הטבח בכפר קאסם, התשפ""ג-2022")</f>
        <v>5468</v>
      </c>
      <c r="E2599" t="s">
        <v>5468</v>
      </c>
      <c r="F2599" t="s">
        <v>5469</v>
      </c>
      <c r="G2599" t="s">
        <v>14</v>
      </c>
      <c r="H2599">
             </c>
      <c r="I2599" t="s">
        <v>14</v>
      </c>
      <c r="J2599" t="s">
        <v>193</v>
      </c>
      <c r="K2599" t="s">
        <v>14</v>
      </c>
      <c r="L2599" t="s">
        <v>20</v>
      </c>
      <c r="M2599" t="s">
        <v>5454</v>
      </c>
      <c r="N2599" t="s">
        <v>14</v>
      </c>
    </row>
    <row r="2600" x14ac:dyDescent="0.25">
      <c r="A2600" t="n">
        <v>25</v>
      </c>
      <c r="B2600" t="s">
        <v>14</v>
      </c>
      <c r="C2600" t="s">
        <v>51</v>
      </c>
      <c r="D2600" s="2" t="s">
        <f>=HYPERLINK("https://main.knesset.gov.il/APPS/legislation/main/bills/2216128", "הצעת חוק זכויות הסטודנט (תיקון - העדפה מתקנת למשרתי מילואים), התשפ""ד-2024")</f>
        <v>5470</v>
      </c>
      <c r="E2600" t="s">
        <v>5470</v>
      </c>
      <c r="F2600" t="s">
        <v>5471</v>
      </c>
      <c r="G2600" t="s">
        <v>14</v>
      </c>
      <c r="H2600">
             </c>
      <c r="I2600" t="s">
        <v>14</v>
      </c>
      <c r="J2600" t="s">
        <v>183</v>
      </c>
      <c r="K2600" t="s">
        <v>79</v>
      </c>
      <c r="L2600" t="s">
        <v>20</v>
      </c>
      <c r="M2600" t="s">
        <v>5472</v>
      </c>
      <c r="N2600" t="s">
        <v>14</v>
      </c>
    </row>
    <row r="2601" x14ac:dyDescent="0.25">
      <c r="A2601" t="n">
        <v>25</v>
      </c>
      <c r="B2601" t="s">
        <v>14</v>
      </c>
      <c r="C2601" t="s">
        <v>51</v>
      </c>
      <c r="D2601" s="2" t="s">
        <f>=HYPERLINK("https://main.knesset.gov.il/APPS/legislation/main/bills/2215371", "הצעת חוק זכויות הסטודנט (תיקון - הקלות בתנאי קבלה ללוחמים ולמשרתי מילואים), התשפ""ד-2024")</f>
        <v>5473</v>
      </c>
      <c r="E2601" t="s">
        <v>5473</v>
      </c>
      <c r="F2601" t="s">
        <v>5474</v>
      </c>
      <c r="G2601" t="s">
        <v>14</v>
      </c>
      <c r="H2601">
             </c>
      <c r="I2601" t="s">
        <v>14</v>
      </c>
      <c r="J2601" t="s">
        <v>183</v>
      </c>
      <c r="K2601" t="s">
        <v>79</v>
      </c>
      <c r="L2601" t="s">
        <v>20</v>
      </c>
      <c r="M2601" t="s">
        <v>5472</v>
      </c>
      <c r="N2601" t="s">
        <v>14</v>
      </c>
    </row>
    <row r="2602" x14ac:dyDescent="0.25">
      <c r="A2602" t="n">
        <v>25</v>
      </c>
      <c r="B2602" t="s">
        <v>14</v>
      </c>
      <c r="C2602" t="s">
        <v>51</v>
      </c>
      <c r="D2602" s="2" t="s">
        <f>=HYPERLINK("https://main.knesset.gov.il/APPS/legislation/main/bills/2212965", "הצעת חוק זכויות הסטודנט (תיקון - העדפה מתקנת ללוחמים), התשפ""ד-2024")</f>
        <v>5475</v>
      </c>
      <c r="E2602" t="s">
        <v>5475</v>
      </c>
      <c r="F2602" t="s">
        <v>5476</v>
      </c>
      <c r="G2602" t="s">
        <v>14</v>
      </c>
      <c r="H2602">
             </c>
      <c r="I2602" t="s">
        <v>14</v>
      </c>
      <c r="J2602" t="s">
        <v>183</v>
      </c>
      <c r="K2602" t="s">
        <v>79</v>
      </c>
      <c r="L2602" t="s">
        <v>20</v>
      </c>
      <c r="M2602" t="s">
        <v>5472</v>
      </c>
      <c r="N2602" t="s">
        <v>14</v>
      </c>
    </row>
    <row r="2603" x14ac:dyDescent="0.25">
      <c r="A2603" t="n">
        <v>25</v>
      </c>
      <c r="B2603" t="s">
        <v>14</v>
      </c>
      <c r="C2603" t="s">
        <v>51</v>
      </c>
      <c r="D2603" s="2" t="s">
        <f>=HYPERLINK("https://main.knesset.gov.il/APPS/legislation/main/bills/2202133", "הצעת חוק זכויות הסטודנט (תיקון - העדפה מתקנת ללוחמים), התשפ""ג-2023")</f>
        <v>5477</v>
      </c>
      <c r="E2603" t="s">
        <v>5477</v>
      </c>
      <c r="F2603" t="s">
        <v>5478</v>
      </c>
      <c r="G2603" t="s">
        <v>14</v>
      </c>
      <c r="H2603">
             </c>
      <c r="I2603" t="s">
        <v>14</v>
      </c>
      <c r="J2603" t="s">
        <v>183</v>
      </c>
      <c r="K2603" t="s">
        <v>79</v>
      </c>
      <c r="L2603" t="s">
        <v>20</v>
      </c>
      <c r="M2603" t="s">
        <v>5472</v>
      </c>
      <c r="N2603" t="s">
        <v>14</v>
      </c>
    </row>
    <row r="2604" x14ac:dyDescent="0.25">
      <c r="A2604" t="n">
        <v>25</v>
      </c>
      <c r="B2604" t="s">
        <v>14</v>
      </c>
      <c r="C2604" t="s">
        <v>51</v>
      </c>
      <c r="D2604" s="2" t="s">
        <f>=HYPERLINK("https://main.knesset.gov.il/APPS/legislation/main/bills/2196182", "חוק התכנון והבנייה (תיקון מס' 157), התשפ""ה–2024")</f>
        <v>5479</v>
      </c>
      <c r="E2604" t="s">
        <v>5479</v>
      </c>
      <c r="F2604" t="s">
        <v>5480</v>
      </c>
      <c r="G2604" t="s">
        <v>5481</v>
      </c>
      <c r="H2604" t="n">
        <v>3303</v>
      </c>
      <c r="I2604" t="s">
        <v>14</v>
      </c>
      <c r="J2604" t="s">
        <v>18</v>
      </c>
      <c r="K2604" t="s">
        <v>30</v>
      </c>
      <c r="L2604" t="s">
        <v>20</v>
      </c>
      <c r="M2604" t="s">
        <v>5472</v>
      </c>
      <c r="N2604" t="s">
        <v>5482</v>
      </c>
    </row>
    <row r="2605" x14ac:dyDescent="0.25">
      <c r="A2605" t="n">
        <v>25</v>
      </c>
      <c r="B2605" t="s">
        <v>14</v>
      </c>
      <c r="C2605" t="s">
        <v>51</v>
      </c>
      <c r="D2605" s="2" t="s">
        <f>=HYPERLINK("https://main.knesset.gov.il/APPS/legislation/main/bills/2215082", "חוק חובת המכרזים (תיקון מס' 26), התשפ""ה–2024")</f>
        <v>5483</v>
      </c>
      <c r="E2605" t="s">
        <v>5483</v>
      </c>
      <c r="F2605" t="s">
        <v>5484</v>
      </c>
      <c r="G2605" t="s">
        <v>5485</v>
      </c>
      <c r="H2605" t="n">
        <v>3302</v>
      </c>
      <c r="I2605" t="s">
        <v>14</v>
      </c>
      <c r="J2605" t="s">
        <v>18</v>
      </c>
      <c r="K2605" t="s">
        <v>84</v>
      </c>
      <c r="L2605" t="s">
        <v>20</v>
      </c>
      <c r="M2605" t="s">
        <v>5472</v>
      </c>
      <c r="N2605" t="s">
        <v>5486</v>
      </c>
    </row>
    <row r="2606" x14ac:dyDescent="0.25">
      <c r="A2606" t="n">
        <v>25</v>
      </c>
      <c r="B2606" t="s">
        <v>14</v>
      </c>
      <c r="C2606" t="s">
        <v>51</v>
      </c>
      <c r="D2606" s="2" t="s">
        <f>=HYPERLINK("https://main.knesset.gov.il/APPS/legislation/main/bills/2202412", "הצעת חוק לתיקון פקודת מס הכנסה (פטור ממס במכירת מטבעות דיגיטליים לתושבי חוץ ובהקצאת מטבעות דיגיטליים לעובדים), התשפ""ג-2023")</f>
        <v>5487</v>
      </c>
      <c r="E2606" t="s">
        <v>5487</v>
      </c>
      <c r="F2606" t="s">
        <v>5488</v>
      </c>
      <c r="G2606" t="s">
        <v>14</v>
      </c>
      <c r="H2606">
             </c>
      <c r="I2606" t="s">
        <v>14</v>
      </c>
      <c r="J2606" t="s">
        <v>152</v>
      </c>
      <c r="K2606" t="s">
        <v>24</v>
      </c>
      <c r="L2606" t="s">
        <v>20</v>
      </c>
      <c r="M2606" t="s">
        <v>5489</v>
      </c>
      <c r="N2606" t="s">
        <v>14</v>
      </c>
    </row>
    <row r="2607" x14ac:dyDescent="0.25">
      <c r="A2607" t="n">
        <v>25</v>
      </c>
      <c r="B2607" t="s">
        <v>14</v>
      </c>
      <c r="C2607" t="s">
        <v>51</v>
      </c>
      <c r="D2607" s="2" t="s">
        <f>=HYPERLINK("https://main.knesset.gov.il/APPS/legislation/main/bills/2201949", "הצעת חוק לתיקון פקודת התעבורה (סימון מקום חניה לרכב חשמלי), התשפ""ג-2023")</f>
        <v>5490</v>
      </c>
      <c r="E2607" t="s">
        <v>5490</v>
      </c>
      <c r="F2607" t="s">
        <v>5491</v>
      </c>
      <c r="G2607" t="s">
        <v>14</v>
      </c>
      <c r="H2607">
             </c>
      <c r="I2607" t="s">
        <v>14</v>
      </c>
      <c r="J2607" t="s">
        <v>152</v>
      </c>
      <c r="K2607" t="s">
        <v>84</v>
      </c>
      <c r="L2607" t="s">
        <v>20</v>
      </c>
      <c r="M2607" t="s">
        <v>5489</v>
      </c>
      <c r="N2607" t="s">
        <v>14</v>
      </c>
    </row>
    <row r="2608" x14ac:dyDescent="0.25">
      <c r="A2608" t="n">
        <v>25</v>
      </c>
      <c r="B2608" t="s">
        <v>14</v>
      </c>
      <c r="C2608" t="s">
        <v>51</v>
      </c>
      <c r="D2608" s="2" t="s">
        <f>=HYPERLINK("https://main.knesset.gov.il/APPS/legislation/main/bills/2200735", "חוק איסור העסקת עובדי הוראה ושלילת תקציב ממוסדות חינוך עקב הזדהות עם מעשה טרור או עם ארגון טרור (תיקוני חקיקה), התשפ""ה–2024")</f>
        <v>5492</v>
      </c>
      <c r="E2608" t="s">
        <v>5492</v>
      </c>
      <c r="F2608" t="s">
        <v>5493</v>
      </c>
      <c r="G2608" t="s">
        <v>5494</v>
      </c>
      <c r="H2608" t="n">
        <v>3301</v>
      </c>
      <c r="I2608" t="s">
        <v>14</v>
      </c>
      <c r="J2608" t="s">
        <v>18</v>
      </c>
      <c r="K2608" t="s">
        <v>79</v>
      </c>
      <c r="L2608" t="s">
        <v>20</v>
      </c>
      <c r="M2608" t="s">
        <v>5489</v>
      </c>
      <c r="N2608" t="s">
        <v>5495</v>
      </c>
    </row>
    <row r="2609" x14ac:dyDescent="0.25">
      <c r="A2609" t="n">
        <v>25</v>
      </c>
      <c r="B2609" t="s">
        <v>14</v>
      </c>
      <c r="C2609" t="s">
        <v>51</v>
      </c>
      <c r="D2609" s="2" t="s">
        <f>=HYPERLINK("https://main.knesset.gov.il/APPS/legislation/main/bills/2222446", "הצעת חוק להקמת אוניברסיטה בעיר אשדוד, התשפ""ה-2024")</f>
        <v>5113</v>
      </c>
      <c r="E2609" t="s">
        <v>5113</v>
      </c>
      <c r="F2609" t="s">
        <v>5496</v>
      </c>
      <c r="G2609" t="s">
        <v>14</v>
      </c>
      <c r="H2609">
             </c>
      <c r="I2609" t="s">
        <v>14</v>
      </c>
      <c r="J2609" t="s">
        <v>202</v>
      </c>
      <c r="K2609" t="s">
        <v>14</v>
      </c>
      <c r="L2609" t="s">
        <v>20</v>
      </c>
      <c r="M2609" t="s">
        <v>5489</v>
      </c>
      <c r="N2609" t="s">
        <v>14</v>
      </c>
    </row>
    <row r="2610" x14ac:dyDescent="0.25">
      <c r="A2610" t="n">
        <v>25</v>
      </c>
      <c r="B2610" t="s">
        <v>14</v>
      </c>
      <c r="C2610" t="s">
        <v>51</v>
      </c>
      <c r="D2610" s="2" t="s">
        <f>=HYPERLINK("https://main.knesset.gov.il/APPS/legislation/main/bills/2220891", "הצעת חוק בנק ישראל (תיקון - חשבון חלופי ללקוח שהוטלו עליו עיצומים כלכליים על ידי מדינה זרה או חבר מדינות זרות), התשפ""ה-2024")</f>
        <v>5497</v>
      </c>
      <c r="E2610" t="s">
        <v>5497</v>
      </c>
      <c r="F2610" t="s">
        <v>5498</v>
      </c>
      <c r="G2610" t="s">
        <v>14</v>
      </c>
      <c r="H2610">
             </c>
      <c r="I2610" t="s">
        <v>14</v>
      </c>
      <c r="J2610" t="s">
        <v>242</v>
      </c>
      <c r="K2610" t="s">
        <v>14</v>
      </c>
      <c r="L2610" t="s">
        <v>20</v>
      </c>
      <c r="M2610" t="s">
        <v>5489</v>
      </c>
      <c r="N2610" t="s">
        <v>14</v>
      </c>
    </row>
    <row r="2611" x14ac:dyDescent="0.25">
      <c r="A2611" t="n">
        <v>25</v>
      </c>
      <c r="B2611" t="s">
        <v>14</v>
      </c>
      <c r="C2611" t="s">
        <v>51</v>
      </c>
      <c r="D2611" s="2" t="s">
        <f>=HYPERLINK("https://main.knesset.gov.il/APPS/legislation/main/bills/2222429", "הצעת חוק קליטת חיילים משוחררים (תיקון - השקעת הפיקדון הצבאי בחסכון ארוך טווח), התשפ""ה-2024")</f>
        <v>5499</v>
      </c>
      <c r="E2611" t="s">
        <v>5499</v>
      </c>
      <c r="F2611" t="s">
        <v>5500</v>
      </c>
      <c r="G2611" t="s">
        <v>14</v>
      </c>
      <c r="H2611">
             </c>
      <c r="I2611" t="s">
        <v>14</v>
      </c>
      <c r="J2611" t="s">
        <v>242</v>
      </c>
      <c r="K2611" t="s">
        <v>14</v>
      </c>
      <c r="L2611" t="s">
        <v>20</v>
      </c>
      <c r="M2611" t="s">
        <v>5489</v>
      </c>
      <c r="N2611" t="s">
        <v>14</v>
      </c>
    </row>
    <row r="2612" x14ac:dyDescent="0.25">
      <c r="A2612" t="n">
        <v>25</v>
      </c>
      <c r="B2612" t="s">
        <v>14</v>
      </c>
      <c r="C2612" t="s">
        <v>51</v>
      </c>
      <c r="D2612" s="2" t="s">
        <f>=HYPERLINK("https://main.knesset.gov.il/APPS/legislation/main/bills/2222049", "הצעת חוק-יסוד: הממשלה (תיקון - הפסקת כהונה של ראש הממשלה או שר מחמת הגשת כתב אישום)")</f>
        <v>5501</v>
      </c>
      <c r="E2612" t="s">
        <v>5501</v>
      </c>
      <c r="F2612" t="s">
        <v>5502</v>
      </c>
      <c r="G2612" t="s">
        <v>14</v>
      </c>
      <c r="H2612">
             </c>
      <c r="I2612" t="s">
        <v>14</v>
      </c>
      <c r="J2612" t="s">
        <v>242</v>
      </c>
      <c r="K2612" t="s">
        <v>14</v>
      </c>
      <c r="L2612" t="s">
        <v>20</v>
      </c>
      <c r="M2612" t="s">
        <v>5489</v>
      </c>
      <c r="N2612" t="s">
        <v>14</v>
      </c>
    </row>
    <row r="2613" x14ac:dyDescent="0.25">
      <c r="A2613" t="n">
        <v>25</v>
      </c>
      <c r="B2613" t="s">
        <v>14</v>
      </c>
      <c r="C2613" t="s">
        <v>51</v>
      </c>
      <c r="D2613" s="2" t="s">
        <f>=HYPERLINK("https://main.knesset.gov.il/APPS/legislation/main/bills/2222444", "הצעת חוק אסטרטגיית הביטחון הלאומי, התשפ""ה-2024")</f>
        <v>5503</v>
      </c>
      <c r="E2613" t="s">
        <v>5503</v>
      </c>
      <c r="F2613" t="s">
        <v>5504</v>
      </c>
      <c r="G2613" t="s">
        <v>14</v>
      </c>
      <c r="H2613">
             </c>
      <c r="I2613" t="s">
        <v>14</v>
      </c>
      <c r="J2613" t="s">
        <v>242</v>
      </c>
      <c r="K2613" t="s">
        <v>14</v>
      </c>
      <c r="L2613" t="s">
        <v>20</v>
      </c>
      <c r="M2613" t="s">
        <v>5489</v>
      </c>
      <c r="N2613" t="s">
        <v>14</v>
      </c>
    </row>
    <row r="2614" x14ac:dyDescent="0.25">
      <c r="A2614" t="n">
        <v>25</v>
      </c>
      <c r="B2614" t="s">
        <v>14</v>
      </c>
      <c r="C2614" t="s">
        <v>51</v>
      </c>
      <c r="D2614" s="2" t="s">
        <f>=HYPERLINK("https://main.knesset.gov.il/APPS/legislation/main/bills/2222707", "הצעת חוק הסיוע המשפטי (תיקון - סיוע משפטי לתובע בגין הפליה), התשפ""ה-2024")</f>
        <v>5505</v>
      </c>
      <c r="E2614" t="s">
        <v>5505</v>
      </c>
      <c r="F2614" t="s">
        <v>5506</v>
      </c>
      <c r="G2614" t="s">
        <v>14</v>
      </c>
      <c r="H2614">
             </c>
      <c r="I2614" t="s">
        <v>14</v>
      </c>
      <c r="J2614" t="s">
        <v>242</v>
      </c>
      <c r="K2614" t="s">
        <v>14</v>
      </c>
      <c r="L2614" t="s">
        <v>20</v>
      </c>
      <c r="M2614" t="s">
        <v>5489</v>
      </c>
      <c r="N2614" t="s">
        <v>14</v>
      </c>
    </row>
    <row r="2615" x14ac:dyDescent="0.25">
      <c r="A2615" t="n">
        <v>25</v>
      </c>
      <c r="B2615" t="s">
        <v>14</v>
      </c>
      <c r="C2615" t="s">
        <v>51</v>
      </c>
      <c r="D2615" s="2" t="s">
        <f>=HYPERLINK("https://main.knesset.gov.il/APPS/legislation/main/bills/2222508", "הצעת חוק יישובים ושכונות בהליכי הסדרה, התשפ""ה-2024")</f>
        <v>5507</v>
      </c>
      <c r="E2615" t="s">
        <v>5507</v>
      </c>
      <c r="F2615" t="s">
        <v>5508</v>
      </c>
      <c r="G2615" t="s">
        <v>14</v>
      </c>
      <c r="H2615">
             </c>
      <c r="I2615" t="s">
        <v>14</v>
      </c>
      <c r="J2615" t="s">
        <v>242</v>
      </c>
      <c r="K2615" t="s">
        <v>14</v>
      </c>
      <c r="L2615" t="s">
        <v>20</v>
      </c>
      <c r="M2615" t="s">
        <v>5489</v>
      </c>
      <c r="N2615" t="s">
        <v>14</v>
      </c>
    </row>
    <row r="2616" x14ac:dyDescent="0.25">
      <c r="A2616" t="n">
        <v>25</v>
      </c>
      <c r="B2616" t="s">
        <v>14</v>
      </c>
      <c r="C2616" t="s">
        <v>51</v>
      </c>
      <c r="D2616" s="2" t="s">
        <f>=HYPERLINK("https://main.knesset.gov.il/APPS/legislation/main/bills/2222708", "הצעת חוק בתי המשפט (תיקון - פרסום פסיקה בענייני משפחה), התשפ""ה-2024")</f>
        <v>5509</v>
      </c>
      <c r="E2616" t="s">
        <v>5509</v>
      </c>
      <c r="F2616" t="s">
        <v>5510</v>
      </c>
      <c r="G2616" t="s">
        <v>14</v>
      </c>
      <c r="H2616">
             </c>
      <c r="I2616" t="s">
        <v>14</v>
      </c>
      <c r="J2616" t="s">
        <v>202</v>
      </c>
      <c r="K2616" t="s">
        <v>14</v>
      </c>
      <c r="L2616" t="s">
        <v>20</v>
      </c>
      <c r="M2616" t="s">
        <v>5489</v>
      </c>
      <c r="N2616" t="s">
        <v>14</v>
      </c>
    </row>
    <row r="2617" x14ac:dyDescent="0.25">
      <c r="A2617" t="n">
        <v>25</v>
      </c>
      <c r="B2617" t="s">
        <v>14</v>
      </c>
      <c r="C2617" t="s">
        <v>51</v>
      </c>
      <c r="D2617" s="2" t="s">
        <f>=HYPERLINK("https://main.knesset.gov.il/APPS/legislation/main/bills/2222927", "הצעת חוק הרבנות הראשית לישראל (תיקון - הגדלת הייצוג הנשי באסיפה הבוחרת), התשפ""ה-2024")</f>
        <v>5416</v>
      </c>
      <c r="E2617" t="s">
        <v>5416</v>
      </c>
      <c r="F2617" t="s">
        <v>5511</v>
      </c>
      <c r="G2617" t="s">
        <v>14</v>
      </c>
      <c r="H2617">
             </c>
      <c r="I2617" t="s">
        <v>14</v>
      </c>
      <c r="J2617" t="s">
        <v>242</v>
      </c>
      <c r="K2617" t="s">
        <v>14</v>
      </c>
      <c r="L2617" t="s">
        <v>20</v>
      </c>
      <c r="M2617" t="s">
        <v>5489</v>
      </c>
      <c r="N2617" t="s">
        <v>14</v>
      </c>
    </row>
    <row r="2618" x14ac:dyDescent="0.25">
      <c r="A2618" t="n">
        <v>25</v>
      </c>
      <c r="B2618" t="s">
        <v>14</v>
      </c>
      <c r="C2618" t="s">
        <v>51</v>
      </c>
      <c r="D2618" s="2" t="s">
        <f>=HYPERLINK("https://main.knesset.gov.il/APPS/legislation/main/bills/2222853", "הצעת חוק הביטוח הלאומי (תיקון - מניין הימים לעניין מבוטח בשירות מילואים בנסיבות חירום), התשפ""ה-2024 ")</f>
        <v>5512</v>
      </c>
      <c r="E2618" t="s">
        <v>5512</v>
      </c>
      <c r="F2618" t="s">
        <v>5513</v>
      </c>
      <c r="G2618" t="s">
        <v>14</v>
      </c>
      <c r="H2618">
             </c>
      <c r="I2618" t="s">
        <v>14</v>
      </c>
      <c r="J2618" t="s">
        <v>242</v>
      </c>
      <c r="K2618" t="s">
        <v>14</v>
      </c>
      <c r="L2618" t="s">
        <v>20</v>
      </c>
      <c r="M2618" t="s">
        <v>5489</v>
      </c>
      <c r="N2618" t="s">
        <v>14</v>
      </c>
    </row>
    <row r="2619" x14ac:dyDescent="0.25">
      <c r="A2619" t="n">
        <v>25</v>
      </c>
      <c r="B2619" t="s">
        <v>14</v>
      </c>
      <c r="C2619" t="s">
        <v>51</v>
      </c>
      <c r="D2619" s="2" t="s">
        <f>=HYPERLINK("https://main.knesset.gov.il/APPS/legislation/main/bills/2221277", "הצעת חוק מס ערך מוסף (תיקון - פטור ממס במכירת תרופות לזכאים לקצבת אזרח ותיק), התשפ""ה-2024")</f>
        <v>5514</v>
      </c>
      <c r="E2619" t="s">
        <v>5514</v>
      </c>
      <c r="F2619" t="s">
        <v>5515</v>
      </c>
      <c r="G2619" t="s">
        <v>14</v>
      </c>
      <c r="H2619">
             </c>
      <c r="I2619" t="s">
        <v>14</v>
      </c>
      <c r="J2619" t="s">
        <v>242</v>
      </c>
      <c r="K2619" t="s">
        <v>14</v>
      </c>
      <c r="L2619" t="s">
        <v>20</v>
      </c>
      <c r="M2619" t="s">
        <v>5489</v>
      </c>
      <c r="N2619" t="s">
        <v>14</v>
      </c>
    </row>
    <row r="2620" x14ac:dyDescent="0.25">
      <c r="A2620" t="n">
        <v>25</v>
      </c>
      <c r="B2620" t="s">
        <v>14</v>
      </c>
      <c r="C2620" t="s">
        <v>51</v>
      </c>
      <c r="D2620" s="2" t="s">
        <f>=HYPERLINK("https://main.knesset.gov.il/APPS/legislation/main/bills/2222538", "הצעת חוק פרעות התשפ""ד, התשפ""ה-2024")</f>
        <v>5516</v>
      </c>
      <c r="E2620" t="s">
        <v>5516</v>
      </c>
      <c r="F2620" t="s">
        <v>5517</v>
      </c>
      <c r="G2620" t="s">
        <v>14</v>
      </c>
      <c r="H2620">
             </c>
      <c r="I2620" t="s">
        <v>14</v>
      </c>
      <c r="J2620" t="s">
        <v>242</v>
      </c>
      <c r="K2620" t="s">
        <v>14</v>
      </c>
      <c r="L2620" t="s">
        <v>20</v>
      </c>
      <c r="M2620" t="s">
        <v>5489</v>
      </c>
      <c r="N2620" t="s">
        <v>14</v>
      </c>
    </row>
    <row r="2621" x14ac:dyDescent="0.25">
      <c r="A2621" t="n">
        <v>25</v>
      </c>
      <c r="B2621" t="s">
        <v>14</v>
      </c>
      <c r="C2621" t="s">
        <v>51</v>
      </c>
      <c r="D2621" s="2" t="s">
        <f>=HYPERLINK("https://main.knesset.gov.il/APPS/legislation/main/bills/2209534", "הצעת חוק לתיקון פקודת המשטרה (תוקף סמכות שוטר לתת הוראות לציבור), התשפ""ה-2024")</f>
        <v>5518</v>
      </c>
      <c r="E2621" t="s">
        <v>5518</v>
      </c>
      <c r="F2621" t="s">
        <v>5519</v>
      </c>
      <c r="G2621" t="s">
        <v>14</v>
      </c>
      <c r="H2621">
             </c>
      <c r="I2621" t="s">
        <v>14</v>
      </c>
      <c r="J2621" t="s">
        <v>242</v>
      </c>
      <c r="K2621" t="s">
        <v>14</v>
      </c>
      <c r="L2621" t="s">
        <v>20</v>
      </c>
      <c r="M2621" t="s">
        <v>5489</v>
      </c>
      <c r="N2621" t="s">
        <v>14</v>
      </c>
    </row>
    <row r="2622" x14ac:dyDescent="0.25">
      <c r="A2622" t="n">
        <v>25</v>
      </c>
      <c r="B2622" t="s">
        <v>14</v>
      </c>
      <c r="C2622" t="s">
        <v>51</v>
      </c>
      <c r="D2622" s="2" t="s">
        <f>=HYPERLINK("https://main.knesset.gov.il/APPS/legislation/main/bills/2221837", "הצעת חוק איסור הלבנת הון (תיקון - מתן סמכות פיקוח לרשות לאיסור הלבנת הון ומימון טרור על נותני שירותים פיננסיים), התשפ""ה-2024")</f>
        <v>5520</v>
      </c>
      <c r="E2622" t="s">
        <v>5520</v>
      </c>
      <c r="F2622" t="s">
        <v>5521</v>
      </c>
      <c r="G2622" t="s">
        <v>14</v>
      </c>
      <c r="H2622">
             </c>
      <c r="I2622" t="s">
        <v>14</v>
      </c>
      <c r="J2622" t="s">
        <v>242</v>
      </c>
      <c r="K2622" t="s">
        <v>14</v>
      </c>
      <c r="L2622" t="s">
        <v>20</v>
      </c>
      <c r="M2622" t="s">
        <v>5489</v>
      </c>
      <c r="N2622" t="s">
        <v>14</v>
      </c>
    </row>
    <row r="2623" x14ac:dyDescent="0.25">
      <c r="A2623" t="n">
        <v>25</v>
      </c>
      <c r="B2623" t="s">
        <v>14</v>
      </c>
      <c r="C2623" t="s">
        <v>51</v>
      </c>
      <c r="D2623" s="2" t="s">
        <f>=HYPERLINK("https://main.knesset.gov.il/APPS/legislation/main/bills/2222704", "הצעת חוק שירות המדינה (מינויים) (תיקון - תקופת צינון במעבר מהמגזר הפרטי לשירות המדינה), התשפ""ה-2024")</f>
        <v>5522</v>
      </c>
      <c r="E2623" t="s">
        <v>5522</v>
      </c>
      <c r="F2623" t="s">
        <v>5523</v>
      </c>
      <c r="G2623" t="s">
        <v>14</v>
      </c>
      <c r="H2623">
             </c>
      <c r="I2623" t="s">
        <v>14</v>
      </c>
      <c r="J2623" t="s">
        <v>242</v>
      </c>
      <c r="K2623" t="s">
        <v>14</v>
      </c>
      <c r="L2623" t="s">
        <v>20</v>
      </c>
      <c r="M2623" t="s">
        <v>5489</v>
      </c>
      <c r="N2623" t="s">
        <v>14</v>
      </c>
    </row>
    <row r="2624" x14ac:dyDescent="0.25">
      <c r="A2624" t="n">
        <v>25</v>
      </c>
      <c r="B2624" t="s">
        <v>14</v>
      </c>
      <c r="C2624" t="s">
        <v>15</v>
      </c>
      <c r="D2624" s="2" t="s">
        <f>=HYPERLINK("https://main.knesset.gov.il/APPS/legislation/main/bills/2222789", "חוק לייעול האכיפה והפיקוח העירוניים ברשויות המקומיות (הוראת שעה) (תיקון מס' 13), התשפ""ה-2024")</f>
        <v>5524</v>
      </c>
      <c r="E2624" t="s">
        <v>5524</v>
      </c>
      <c r="F2624" t="s">
        <v>14</v>
      </c>
      <c r="G2624" t="s">
        <v>5525</v>
      </c>
      <c r="H2624" t="n">
        <v>3300</v>
      </c>
      <c r="I2624" t="s">
        <v>14</v>
      </c>
      <c r="J2624" t="s">
        <v>18</v>
      </c>
      <c r="K2624" t="s">
        <v>19</v>
      </c>
      <c r="L2624" t="s">
        <v>20</v>
      </c>
      <c r="M2624" t="s">
        <v>5526</v>
      </c>
      <c r="N2624" t="s">
        <v>5527</v>
      </c>
    </row>
    <row r="2625" x14ac:dyDescent="0.25">
      <c r="A2625" t="n">
        <v>25</v>
      </c>
      <c r="B2625" t="s">
        <v>14</v>
      </c>
      <c r="C2625" t="s">
        <v>51</v>
      </c>
      <c r="D2625" s="2" t="s">
        <f>=HYPERLINK("https://main.knesset.gov.il/APPS/legislation/main/bills/2220999", "הצעת חוק-יסוד: הכרה במדינה פלסטינית")</f>
        <v>2336</v>
      </c>
      <c r="E2625" t="s">
        <v>2336</v>
      </c>
      <c r="F2625" t="s">
        <v>5528</v>
      </c>
      <c r="G2625" t="s">
        <v>14</v>
      </c>
      <c r="H2625">
             </c>
      <c r="I2625" t="s">
        <v>14</v>
      </c>
      <c r="J2625" t="s">
        <v>193</v>
      </c>
      <c r="K2625" t="s">
        <v>14</v>
      </c>
      <c r="L2625" t="s">
        <v>20</v>
      </c>
      <c r="M2625" t="s">
        <v>5526</v>
      </c>
      <c r="N2625" t="s">
        <v>14</v>
      </c>
    </row>
    <row r="2626" x14ac:dyDescent="0.25">
      <c r="A2626" t="n">
        <v>25</v>
      </c>
      <c r="B2626" t="s">
        <v>14</v>
      </c>
      <c r="C2626" t="s">
        <v>51</v>
      </c>
      <c r="D2626" s="2" t="s">
        <f>=HYPERLINK("https://main.knesset.gov.il/APPS/legislation/main/bills/2211374", "הצעת חוק הממשלה (תיקון - קיום מסיבת עיתונאים עיתית לגופי התקשורת בישראל), התשפ""ד-2024")</f>
        <v>5529</v>
      </c>
      <c r="E2626" t="s">
        <v>5529</v>
      </c>
      <c r="F2626" t="s">
        <v>5530</v>
      </c>
      <c r="G2626" t="s">
        <v>14</v>
      </c>
      <c r="H2626">
             </c>
      <c r="I2626" t="s">
        <v>14</v>
      </c>
      <c r="J2626" t="s">
        <v>193</v>
      </c>
      <c r="K2626" t="s">
        <v>14</v>
      </c>
      <c r="L2626" t="s">
        <v>20</v>
      </c>
      <c r="M2626" t="s">
        <v>5526</v>
      </c>
      <c r="N2626" t="s">
        <v>14</v>
      </c>
    </row>
    <row r="2627" x14ac:dyDescent="0.25">
      <c r="A2627" t="n">
        <v>25</v>
      </c>
      <c r="B2627" t="s">
        <v>14</v>
      </c>
      <c r="C2627" t="s">
        <v>51</v>
      </c>
      <c r="D2627" s="2" t="s">
        <f>=HYPERLINK("https://main.knesset.gov.il/APPS/legislation/main/bills/2219400", "הצעת חוק סגירה מוחלטת של מעברי הגבול לרצועת עזה (תיקוני חקיקה), התשפ""ד-2024 ")</f>
        <v>5531</v>
      </c>
      <c r="E2627" t="s">
        <v>5531</v>
      </c>
      <c r="F2627" t="s">
        <v>5532</v>
      </c>
      <c r="G2627" t="s">
        <v>14</v>
      </c>
      <c r="H2627">
             </c>
      <c r="I2627" t="s">
        <v>14</v>
      </c>
      <c r="J2627" t="s">
        <v>193</v>
      </c>
      <c r="K2627" t="s">
        <v>14</v>
      </c>
      <c r="L2627" t="s">
        <v>20</v>
      </c>
      <c r="M2627" t="s">
        <v>5526</v>
      </c>
      <c r="N2627" t="s">
        <v>14</v>
      </c>
    </row>
    <row r="2628" x14ac:dyDescent="0.25">
      <c r="A2628" t="n">
        <v>25</v>
      </c>
      <c r="B2628" t="s">
        <v>14</v>
      </c>
      <c r="C2628" t="s">
        <v>51</v>
      </c>
      <c r="D2628" s="2" t="s">
        <f>=HYPERLINK("https://main.knesset.gov.il/APPS/legislation/main/bills/2215713", "הצעת חוק העונשין (תיקון - נשק לפגיעה המונית), התשפ""ד-2024")</f>
        <v>5533</v>
      </c>
      <c r="E2628" t="s">
        <v>5533</v>
      </c>
      <c r="F2628" t="s">
        <v>5534</v>
      </c>
      <c r="G2628" t="s">
        <v>14</v>
      </c>
      <c r="H2628">
             </c>
      <c r="I2628" t="s">
        <v>14</v>
      </c>
      <c r="J2628" t="s">
        <v>152</v>
      </c>
      <c r="K2628" t="s">
        <v>27</v>
      </c>
      <c r="L2628" t="s">
        <v>20</v>
      </c>
      <c r="M2628" t="s">
        <v>5526</v>
      </c>
      <c r="N2628" t="s">
        <v>14</v>
      </c>
    </row>
    <row r="2629" x14ac:dyDescent="0.25">
      <c r="A2629" t="n">
        <v>25</v>
      </c>
      <c r="B2629" t="s">
        <v>14</v>
      </c>
      <c r="C2629" t="s">
        <v>51</v>
      </c>
      <c r="D2629" s="2" t="s">
        <f>=HYPERLINK("https://main.knesset.gov.il/APPS/legislation/main/bills/2215999", "הצעת חוק שנת שירות, התשפ""ד-2024")</f>
        <v>5535</v>
      </c>
      <c r="E2629" t="s">
        <v>5535</v>
      </c>
      <c r="F2629" t="s">
        <v>5536</v>
      </c>
      <c r="G2629" t="s">
        <v>14</v>
      </c>
      <c r="H2629">
             </c>
      <c r="I2629" t="s">
        <v>14</v>
      </c>
      <c r="J2629" t="s">
        <v>193</v>
      </c>
      <c r="K2629" t="s">
        <v>14</v>
      </c>
      <c r="L2629" t="s">
        <v>20</v>
      </c>
      <c r="M2629" t="s">
        <v>5526</v>
      </c>
      <c r="N2629" t="s">
        <v>14</v>
      </c>
    </row>
    <row r="2630" x14ac:dyDescent="0.25">
      <c r="A2630" t="n">
        <v>25</v>
      </c>
      <c r="B2630" t="s">
        <v>14</v>
      </c>
      <c r="C2630" t="s">
        <v>51</v>
      </c>
      <c r="D2630" s="2" t="s">
        <f>=HYPERLINK("https://main.knesset.gov.il/APPS/legislation/main/bills/2214912", "הצעת חוק כליאתם של לוחמים בלתי חוקיים (תיקון - החלפת המונח לוחמים בלתי חוקיים), התשפ""ד-2024 ")</f>
        <v>5537</v>
      </c>
      <c r="E2630" t="s">
        <v>5537</v>
      </c>
      <c r="F2630" t="s">
        <v>5538</v>
      </c>
      <c r="G2630" t="s">
        <v>14</v>
      </c>
      <c r="H2630">
             </c>
      <c r="I2630" t="s">
        <v>14</v>
      </c>
      <c r="J2630" t="s">
        <v>152</v>
      </c>
      <c r="K2630" t="s">
        <v>39</v>
      </c>
      <c r="L2630" t="s">
        <v>20</v>
      </c>
      <c r="M2630" t="s">
        <v>5526</v>
      </c>
      <c r="N2630" t="s">
        <v>14</v>
      </c>
    </row>
    <row r="2631" x14ac:dyDescent="0.25">
      <c r="A2631" t="n">
        <v>25</v>
      </c>
      <c r="B2631" t="s">
        <v>14</v>
      </c>
      <c r="C2631" t="s">
        <v>51</v>
      </c>
      <c r="D2631" s="2" t="s">
        <f>=HYPERLINK("https://main.knesset.gov.il/APPS/legislation/main/bills/2213122", "הצעת חוק הפיקוח על מעונות יום לפעוטות (תיקון - חובת מרחב מוגן כתנאי לרישיון), התשפ""ד-2024 ")</f>
        <v>5539</v>
      </c>
      <c r="E2631" t="s">
        <v>5539</v>
      </c>
      <c r="F2631" t="s">
        <v>5540</v>
      </c>
      <c r="G2631" t="s">
        <v>14</v>
      </c>
      <c r="H2631">
             </c>
      <c r="I2631" t="s">
        <v>14</v>
      </c>
      <c r="J2631" t="s">
        <v>193</v>
      </c>
      <c r="K2631" t="s">
        <v>14</v>
      </c>
      <c r="L2631" t="s">
        <v>20</v>
      </c>
      <c r="M2631" t="s">
        <v>5526</v>
      </c>
      <c r="N2631" t="s">
        <v>14</v>
      </c>
    </row>
    <row r="2632" x14ac:dyDescent="0.25">
      <c r="A2632" t="n">
        <v>25</v>
      </c>
      <c r="B2632" t="s">
        <v>14</v>
      </c>
      <c r="C2632" t="s">
        <v>51</v>
      </c>
      <c r="D2632" s="2" t="s">
        <f>=HYPERLINK("https://main.knesset.gov.il/APPS/legislation/main/bills/2202787", "הצעת חוק הגנת הצרכן (תיקון - מענה אנושי בשירות טלפוני לאזרח ותיק), התשפ""ג-2023")</f>
        <v>5541</v>
      </c>
      <c r="E2632" t="s">
        <v>5541</v>
      </c>
      <c r="F2632" t="s">
        <v>5542</v>
      </c>
      <c r="G2632" t="s">
        <v>14</v>
      </c>
      <c r="H2632">
             </c>
      <c r="I2632" t="s">
        <v>14</v>
      </c>
      <c r="J2632" t="s">
        <v>193</v>
      </c>
      <c r="K2632" t="s">
        <v>14</v>
      </c>
      <c r="L2632" t="s">
        <v>20</v>
      </c>
      <c r="M2632" t="s">
        <v>5526</v>
      </c>
      <c r="N2632" t="s">
        <v>14</v>
      </c>
    </row>
    <row r="2633" x14ac:dyDescent="0.25">
      <c r="A2633" t="n">
        <v>25</v>
      </c>
      <c r="B2633" t="s">
        <v>14</v>
      </c>
      <c r="C2633" t="s">
        <v>51</v>
      </c>
      <c r="D2633" s="2" t="s">
        <f>=HYPERLINK("https://main.knesset.gov.il/APPS/legislation/main/bills/2201428", "חוק-יסוד: ירושלים בירת ישראל (תיקון מס' 3) ")</f>
        <v>5543</v>
      </c>
      <c r="E2633" t="s">
        <v>5543</v>
      </c>
      <c r="F2633" t="s">
        <v>5544</v>
      </c>
      <c r="G2633" t="s">
        <v>5545</v>
      </c>
      <c r="H2633" t="n">
        <v>3299</v>
      </c>
      <c r="I2633" t="s">
        <v>14</v>
      </c>
      <c r="J2633" t="s">
        <v>18</v>
      </c>
      <c r="K2633" t="s">
        <v>27</v>
      </c>
      <c r="L2633" t="s">
        <v>20</v>
      </c>
      <c r="M2633" t="s">
        <v>5546</v>
      </c>
      <c r="N2633" t="s">
        <v>5547</v>
      </c>
    </row>
    <row r="2634" x14ac:dyDescent="0.25">
      <c r="A2634" t="n">
        <v>25</v>
      </c>
      <c r="B2634" t="s">
        <v>14</v>
      </c>
      <c r="C2634" t="s">
        <v>15</v>
      </c>
      <c r="D2634" s="2" t="s">
        <f>=HYPERLINK("https://main.knesset.gov.il/APPS/legislation/main/bills/2208200", "חוק הסיוע המשפטי (תיקון מס' 27 – הוראת שעה), התשפ""ה–2024")</f>
        <v>5548</v>
      </c>
      <c r="E2634" t="s">
        <v>5548</v>
      </c>
      <c r="F2634" t="s">
        <v>14</v>
      </c>
      <c r="G2634" t="s">
        <v>5549</v>
      </c>
      <c r="H2634" t="n">
        <v>3298</v>
      </c>
      <c r="I2634" t="s">
        <v>14</v>
      </c>
      <c r="J2634" t="s">
        <v>18</v>
      </c>
      <c r="K2634" t="s">
        <v>27</v>
      </c>
      <c r="L2634" t="s">
        <v>20</v>
      </c>
      <c r="M2634" t="s">
        <v>5546</v>
      </c>
      <c r="N2634" t="s">
        <v>5550</v>
      </c>
    </row>
    <row r="2635" x14ac:dyDescent="0.25">
      <c r="A2635" t="n">
        <v>25</v>
      </c>
      <c r="B2635" t="s">
        <v>14</v>
      </c>
      <c r="C2635" t="s">
        <v>51</v>
      </c>
      <c r="D2635" s="2" t="s">
        <f>=HYPERLINK("https://main.knesset.gov.il/APPS/legislation/main/bills/2202462", "הצעת חוק החברות הממשלתיות (תיקון - חובת תרומת מזון עודף), התשפ""ג-2023")</f>
        <v>5551</v>
      </c>
      <c r="E2635" t="s">
        <v>5551</v>
      </c>
      <c r="F2635" t="s">
        <v>5552</v>
      </c>
      <c r="G2635" t="s">
        <v>14</v>
      </c>
      <c r="H2635">
             </c>
      <c r="I2635" t="s">
        <v>14</v>
      </c>
      <c r="J2635" t="s">
        <v>183</v>
      </c>
      <c r="K2635" t="s">
        <v>46</v>
      </c>
      <c r="L2635" t="s">
        <v>20</v>
      </c>
      <c r="M2635" t="s">
        <v>5553</v>
      </c>
      <c r="N2635" t="s">
        <v>14</v>
      </c>
    </row>
    <row r="2636" x14ac:dyDescent="0.25">
      <c r="A2636" t="n">
        <v>25</v>
      </c>
      <c r="B2636" t="s">
        <v>14</v>
      </c>
      <c r="C2636" t="s">
        <v>51</v>
      </c>
      <c r="D2636" s="2" t="s">
        <f>=HYPERLINK("https://main.knesset.gov.il/APPS/legislation/main/bills/2216261", "הצעת חוק שירות המדינה (מינויים) (תיקון - עדיפות למשרת מילואים פעיל), התשפ""ד-2024")</f>
        <v>5554</v>
      </c>
      <c r="E2636" t="s">
        <v>5554</v>
      </c>
      <c r="F2636" t="s">
        <v>5555</v>
      </c>
      <c r="G2636" t="s">
        <v>14</v>
      </c>
      <c r="H2636">
             </c>
      <c r="I2636" t="s">
        <v>14</v>
      </c>
      <c r="J2636" t="s">
        <v>183</v>
      </c>
      <c r="K2636" t="s">
        <v>27</v>
      </c>
      <c r="L2636" t="s">
        <v>20</v>
      </c>
      <c r="M2636" t="s">
        <v>5553</v>
      </c>
      <c r="N2636" t="s">
        <v>14</v>
      </c>
    </row>
    <row r="2637" x14ac:dyDescent="0.25">
      <c r="A2637" t="n">
        <v>25</v>
      </c>
      <c r="B2637" t="s">
        <v>14</v>
      </c>
      <c r="C2637" t="s">
        <v>51</v>
      </c>
      <c r="D2637" s="2" t="s">
        <f>=HYPERLINK("https://main.knesset.gov.il/APPS/legislation/main/bills/2214856", "הצעת חוק שירות המדינה (מינויים) (תיקון - עדיפות למשרת מילואים פעיל), התשפ""ד-2024")</f>
        <v>5554</v>
      </c>
      <c r="E2637" t="s">
        <v>5554</v>
      </c>
      <c r="F2637" t="s">
        <v>5556</v>
      </c>
      <c r="G2637" t="s">
        <v>14</v>
      </c>
      <c r="H2637">
             </c>
      <c r="I2637" t="s">
        <v>14</v>
      </c>
      <c r="J2637" t="s">
        <v>183</v>
      </c>
      <c r="K2637" t="s">
        <v>27</v>
      </c>
      <c r="L2637" t="s">
        <v>20</v>
      </c>
      <c r="M2637" t="s">
        <v>5553</v>
      </c>
      <c r="N2637" t="s">
        <v>14</v>
      </c>
    </row>
    <row r="2638" x14ac:dyDescent="0.25">
      <c r="A2638" t="n">
        <v>25</v>
      </c>
      <c r="B2638" t="s">
        <v>14</v>
      </c>
      <c r="C2638" t="s">
        <v>15</v>
      </c>
      <c r="D2638" s="2" t="s">
        <f>=HYPERLINK("https://main.knesset.gov.il/APPS/legislation/main/bills/2221641", "חוק הסכמים קיבוציים (תיקון מס' 11 – הוראת שעה – חרבות ברזל) (הוראות מיוחדות לעניין הרחבת הסכם קיבוצי כללי שנעשה בשל פעולות האיבה או פעולות המלחמה) (תיקון), התשפ""ד-2024")</f>
        <v>5557</v>
      </c>
      <c r="E2638" t="s">
        <v>5557</v>
      </c>
      <c r="F2638" t="s">
        <v>14</v>
      </c>
      <c r="G2638" t="s">
        <v>5558</v>
      </c>
      <c r="H2638" t="n">
        <v>3297</v>
      </c>
      <c r="I2638" t="s">
        <v>14</v>
      </c>
      <c r="J2638" t="s">
        <v>18</v>
      </c>
      <c r="K2638" t="s">
        <v>46</v>
      </c>
      <c r="L2638" t="s">
        <v>20</v>
      </c>
      <c r="M2638" t="s">
        <v>5553</v>
      </c>
      <c r="N2638" t="s">
        <v>5559</v>
      </c>
    </row>
    <row r="2639" x14ac:dyDescent="0.25">
      <c r="A2639" t="n">
        <v>25</v>
      </c>
      <c r="B2639" t="s">
        <v>14</v>
      </c>
      <c r="C2639" t="s">
        <v>51</v>
      </c>
      <c r="D2639" s="2" t="s">
        <f>=HYPERLINK("https://main.knesset.gov.il/APPS/legislation/main/bills/2214465", "חוק להפסקת פעילות אונר""א, התשפ""ה-2024")</f>
        <v>5560</v>
      </c>
      <c r="E2639" t="s">
        <v>5560</v>
      </c>
      <c r="F2639" t="s">
        <v>5561</v>
      </c>
      <c r="G2639" t="s">
        <v>5562</v>
      </c>
      <c r="H2639" t="n">
        <v>3296</v>
      </c>
      <c r="I2639" t="s">
        <v>14</v>
      </c>
      <c r="J2639" t="s">
        <v>18</v>
      </c>
      <c r="K2639" t="s">
        <v>39</v>
      </c>
      <c r="L2639" t="s">
        <v>20</v>
      </c>
      <c r="M2639" t="s">
        <v>5553</v>
      </c>
      <c r="N2639" t="s">
        <v>5563</v>
      </c>
    </row>
    <row r="2640" x14ac:dyDescent="0.25">
      <c r="A2640" t="n">
        <v>25</v>
      </c>
      <c r="B2640" t="s">
        <v>14</v>
      </c>
      <c r="C2640" t="s">
        <v>51</v>
      </c>
      <c r="D2640" s="2" t="s">
        <f>=HYPERLINK("https://main.knesset.gov.il/APPS/legislation/main/bills/2198188", "חוק להפסקת פעילות אונר""א בשטח מדינת ישראל, התשפ""ה-2024")</f>
        <v>5564</v>
      </c>
      <c r="E2640" t="s">
        <v>5564</v>
      </c>
      <c r="F2640" t="s">
        <v>5565</v>
      </c>
      <c r="G2640" t="s">
        <v>5562</v>
      </c>
      <c r="H2640" t="n">
        <v>3295</v>
      </c>
      <c r="I2640" t="s">
        <v>14</v>
      </c>
      <c r="J2640" t="s">
        <v>18</v>
      </c>
      <c r="K2640" t="s">
        <v>39</v>
      </c>
      <c r="L2640" t="s">
        <v>20</v>
      </c>
      <c r="M2640" t="s">
        <v>5553</v>
      </c>
      <c r="N2640" t="s">
        <v>5566</v>
      </c>
    </row>
    <row r="2641" x14ac:dyDescent="0.25">
      <c r="A2641" t="n">
        <v>25</v>
      </c>
      <c r="B2641" t="s">
        <v>14</v>
      </c>
      <c r="C2641" t="s">
        <v>51</v>
      </c>
      <c r="D2641" s="2" t="s">
        <f>=HYPERLINK("https://main.knesset.gov.il/APPS/legislation/main/bills/2222665", "הצעת חוק יום לציון המאבק בגזענות, התשפ""ה-2024")</f>
        <v>5567</v>
      </c>
      <c r="E2641" t="s">
        <v>5567</v>
      </c>
      <c r="F2641" t="s">
        <v>5568</v>
      </c>
      <c r="G2641" t="s">
        <v>14</v>
      </c>
      <c r="H2641">
             </c>
      <c r="I2641" t="s">
        <v>14</v>
      </c>
      <c r="J2641" t="s">
        <v>242</v>
      </c>
      <c r="K2641" t="s">
        <v>14</v>
      </c>
      <c r="L2641" t="s">
        <v>20</v>
      </c>
      <c r="M2641" t="s">
        <v>5553</v>
      </c>
      <c r="N2641" t="s">
        <v>14</v>
      </c>
    </row>
    <row r="2642" x14ac:dyDescent="0.25">
      <c r="A2642" t="n">
        <v>25</v>
      </c>
      <c r="B2642" t="s">
        <v>14</v>
      </c>
      <c r="C2642" t="s">
        <v>51</v>
      </c>
      <c r="D2642" s="2" t="s">
        <f>=HYPERLINK("https://main.knesset.gov.il/APPS/legislation/main/bills/2221136", "הצעת חוק העונשין (תיקון – נשיאת מאסר במשמורת בקהילה), התשפ""ה–2024")</f>
        <v>5569</v>
      </c>
      <c r="E2642" t="s">
        <v>5569</v>
      </c>
      <c r="F2642" t="s">
        <v>5570</v>
      </c>
      <c r="G2642" t="s">
        <v>14</v>
      </c>
      <c r="H2642">
             </c>
      <c r="I2642" t="s">
        <v>14</v>
      </c>
      <c r="J2642" t="s">
        <v>242</v>
      </c>
      <c r="K2642" t="s">
        <v>14</v>
      </c>
      <c r="L2642" t="s">
        <v>20</v>
      </c>
      <c r="M2642" t="s">
        <v>5553</v>
      </c>
      <c r="N2642" t="s">
        <v>14</v>
      </c>
    </row>
    <row r="2643" x14ac:dyDescent="0.25">
      <c r="A2643" t="n">
        <v>25</v>
      </c>
      <c r="B2643" t="s">
        <v>14</v>
      </c>
      <c r="C2643" t="s">
        <v>51</v>
      </c>
      <c r="D2643" s="2" t="s">
        <f>=HYPERLINK("https://main.knesset.gov.il/APPS/legislation/main/bills/2221835", "הצעת חוק מס ערך מוסף (תיקון - תשלום המס במתן שירותי כוח אדם ועבודות בנייה), התשפ""ה-2024")</f>
        <v>5571</v>
      </c>
      <c r="E2643" t="s">
        <v>5571</v>
      </c>
      <c r="F2643" t="s">
        <v>5572</v>
      </c>
      <c r="G2643" t="s">
        <v>14</v>
      </c>
      <c r="H2643">
             </c>
      <c r="I2643" t="s">
        <v>14</v>
      </c>
      <c r="J2643" t="s">
        <v>242</v>
      </c>
      <c r="K2643" t="s">
        <v>14</v>
      </c>
      <c r="L2643" t="s">
        <v>20</v>
      </c>
      <c r="M2643" t="s">
        <v>5553</v>
      </c>
      <c r="N2643" t="s">
        <v>14</v>
      </c>
    </row>
    <row r="2644" x14ac:dyDescent="0.25">
      <c r="A2644" t="n">
        <v>25</v>
      </c>
      <c r="B2644" t="s">
        <v>14</v>
      </c>
      <c r="C2644" t="s">
        <v>51</v>
      </c>
      <c r="D2644" s="2" t="s">
        <f>=HYPERLINK("https://main.knesset.gov.il/APPS/legislation/main/bills/2219079", "הצעת חוק כינון בית משפט צבאי מיוחד לשיפוט פשעים נגד העם היהודי, אזרחי ישראל ותושביה, התשפ""ה-2024")</f>
        <v>5573</v>
      </c>
      <c r="E2644" t="s">
        <v>5573</v>
      </c>
      <c r="F2644" t="s">
        <v>5574</v>
      </c>
      <c r="G2644" t="s">
        <v>14</v>
      </c>
      <c r="H2644">
             </c>
      <c r="I2644" t="s">
        <v>14</v>
      </c>
      <c r="J2644" t="s">
        <v>242</v>
      </c>
      <c r="K2644" t="s">
        <v>14</v>
      </c>
      <c r="L2644" t="s">
        <v>20</v>
      </c>
      <c r="M2644" t="s">
        <v>5553</v>
      </c>
      <c r="N2644" t="s">
        <v>14</v>
      </c>
    </row>
    <row r="2645" x14ac:dyDescent="0.25">
      <c r="A2645" t="n">
        <v>25</v>
      </c>
      <c r="B2645" t="s">
        <v>14</v>
      </c>
      <c r="C2645" t="s">
        <v>51</v>
      </c>
      <c r="D2645" s="2" t="s">
        <f>=HYPERLINK("https://main.knesset.gov.il/APPS/legislation/main/bills/2221181", "הצעת חוק לקידום תשתיות לאומיות (תיקון - תחולה באזור), התשפ""ה-2024 ")</f>
        <v>5575</v>
      </c>
      <c r="E2645" t="s">
        <v>5575</v>
      </c>
      <c r="F2645" t="s">
        <v>5576</v>
      </c>
      <c r="G2645" t="s">
        <v>14</v>
      </c>
      <c r="H2645">
             </c>
      <c r="I2645" t="s">
        <v>14</v>
      </c>
      <c r="J2645" t="s">
        <v>242</v>
      </c>
      <c r="K2645" t="s">
        <v>14</v>
      </c>
      <c r="L2645" t="s">
        <v>20</v>
      </c>
      <c r="M2645" t="s">
        <v>5553</v>
      </c>
      <c r="N2645" t="s">
        <v>14</v>
      </c>
    </row>
    <row r="2646" x14ac:dyDescent="0.25">
      <c r="A2646" t="n">
        <v>25</v>
      </c>
      <c r="B2646" t="s">
        <v>14</v>
      </c>
      <c r="C2646" t="s">
        <v>51</v>
      </c>
      <c r="D2646" s="2" t="s">
        <f>=HYPERLINK("https://main.knesset.gov.il/APPS/legislation/main/bills/2222424", "הצעת חוק תשלומים לפדויי שבי ולחטופים ששוחררו (תיקון - החזר הוצאות לקרוב של פדוי שבי מאושפז או של פדוי שבי שנדרש להשגחה צמודה), התשפ""ה-2024")</f>
        <v>4828</v>
      </c>
      <c r="E2646" t="s">
        <v>4828</v>
      </c>
      <c r="F2646" t="s">
        <v>5577</v>
      </c>
      <c r="G2646" t="s">
        <v>14</v>
      </c>
      <c r="H2646">
             </c>
      <c r="I2646" t="s">
        <v>14</v>
      </c>
      <c r="J2646" t="s">
        <v>202</v>
      </c>
      <c r="K2646" t="s">
        <v>14</v>
      </c>
      <c r="L2646" t="s">
        <v>20</v>
      </c>
      <c r="M2646" t="s">
        <v>5553</v>
      </c>
      <c r="N2646" t="s">
        <v>14</v>
      </c>
    </row>
    <row r="2647" x14ac:dyDescent="0.25">
      <c r="A2647" t="n">
        <v>25</v>
      </c>
      <c r="B2647" t="s">
        <v>14</v>
      </c>
      <c r="C2647" t="s">
        <v>51</v>
      </c>
      <c r="D2647" s="2" t="s">
        <f>=HYPERLINK("https://main.knesset.gov.il/APPS/legislation/main/bills/2220980", "הצעת חוק ביטוח בריאות ממלכתי (תיקון - הוספת מכשירי ניידות ממונעים לתוספת השנייה), התשפ""ה-2024")</f>
        <v>5578</v>
      </c>
      <c r="E2647" t="s">
        <v>5578</v>
      </c>
      <c r="F2647" t="s">
        <v>5579</v>
      </c>
      <c r="G2647" t="s">
        <v>14</v>
      </c>
      <c r="H2647">
             </c>
      <c r="I2647" t="s">
        <v>14</v>
      </c>
      <c r="J2647" t="s">
        <v>242</v>
      </c>
      <c r="K2647" t="s">
        <v>14</v>
      </c>
      <c r="L2647" t="s">
        <v>20</v>
      </c>
      <c r="M2647" t="s">
        <v>5553</v>
      </c>
      <c r="N2647" t="s">
        <v>14</v>
      </c>
    </row>
    <row r="2648" x14ac:dyDescent="0.25">
      <c r="A2648" t="n">
        <v>25</v>
      </c>
      <c r="B2648" t="s">
        <v>14</v>
      </c>
      <c r="C2648" t="s">
        <v>51</v>
      </c>
      <c r="D2648" s="2" t="s">
        <f>=HYPERLINK("https://main.knesset.gov.il/APPS/legislation/main/bills/2222110", "הצעת חוק משפחות חיילים שנספו במערכה (תגמולים ושיקום) (הוראת שעה - חרבות ברזל) (תיקון - הכרה במי שנספה בפגיעת איבה כחייל שנספה במערכה), התשפ""ה-2024")</f>
        <v>5580</v>
      </c>
      <c r="E2648" t="s">
        <v>5580</v>
      </c>
      <c r="F2648" t="s">
        <v>5581</v>
      </c>
      <c r="G2648" t="s">
        <v>14</v>
      </c>
      <c r="H2648">
             </c>
      <c r="I2648" t="s">
        <v>14</v>
      </c>
      <c r="J2648" t="s">
        <v>202</v>
      </c>
      <c r="K2648" t="s">
        <v>14</v>
      </c>
      <c r="L2648" t="s">
        <v>20</v>
      </c>
      <c r="M2648" t="s">
        <v>5553</v>
      </c>
      <c r="N2648" t="s">
        <v>14</v>
      </c>
    </row>
    <row r="2649" x14ac:dyDescent="0.25">
      <c r="A2649" t="n">
        <v>25</v>
      </c>
      <c r="B2649" t="s">
        <v>14</v>
      </c>
      <c r="C2649" t="s">
        <v>51</v>
      </c>
      <c r="D2649" s="2" t="s">
        <f>=HYPERLINK("https://main.knesset.gov.il/APPS/legislation/main/bills/2221865", "הצעת חוק משפחות חיילים שנספו במערכה (תגמולים ושיקום) (הוראת שעה - חרבות ברזל) (תיקון - הכרה במי שנספה בפגיעת איבה כחייל שנספה במערכה), התשפ""ה-2024")</f>
        <v>5580</v>
      </c>
      <c r="E2649" t="s">
        <v>5580</v>
      </c>
      <c r="F2649" t="s">
        <v>5582</v>
      </c>
      <c r="G2649" t="s">
        <v>14</v>
      </c>
      <c r="H2649">
             </c>
      <c r="I2649" t="s">
        <v>14</v>
      </c>
      <c r="J2649" t="s">
        <v>202</v>
      </c>
      <c r="K2649" t="s">
        <v>14</v>
      </c>
      <c r="L2649" t="s">
        <v>20</v>
      </c>
      <c r="M2649" t="s">
        <v>5553</v>
      </c>
      <c r="N2649" t="s">
        <v>14</v>
      </c>
    </row>
    <row r="2650" x14ac:dyDescent="0.25">
      <c r="A2650" t="n">
        <v>25</v>
      </c>
      <c r="B2650" t="s">
        <v>14</v>
      </c>
      <c r="C2650" t="s">
        <v>51</v>
      </c>
      <c r="D2650" s="2" t="s">
        <f>=HYPERLINK("https://main.knesset.gov.il/APPS/legislation/main/bills/2221823", "הצעת חוק-יסוד: הצבא (תיקון - שמירה על אורח חיים דתי)")</f>
        <v>4272</v>
      </c>
      <c r="E2650" t="s">
        <v>4272</v>
      </c>
      <c r="F2650" t="s">
        <v>5583</v>
      </c>
      <c r="G2650" t="s">
        <v>14</v>
      </c>
      <c r="H2650">
             </c>
      <c r="I2650" t="s">
        <v>14</v>
      </c>
      <c r="J2650" t="s">
        <v>242</v>
      </c>
      <c r="K2650" t="s">
        <v>14</v>
      </c>
      <c r="L2650" t="s">
        <v>20</v>
      </c>
      <c r="M2650" t="s">
        <v>5553</v>
      </c>
      <c r="N2650" t="s">
        <v>14</v>
      </c>
    </row>
    <row r="2651" x14ac:dyDescent="0.25">
      <c r="A2651" t="n">
        <v>25</v>
      </c>
      <c r="B2651" t="s">
        <v>14</v>
      </c>
      <c r="C2651" t="s">
        <v>51</v>
      </c>
      <c r="D2651" s="2" t="s">
        <f>=HYPERLINK("https://main.knesset.gov.il/APPS/legislation/main/bills/2222056", "הצעת חוק סדר הדין הפלילי (תיקון - הגשת קובלנה בעבירות הקשורות לסדר הציבורי), התשפ״ה-2024 ")</f>
        <v>5584</v>
      </c>
      <c r="E2651" t="s">
        <v>5584</v>
      </c>
      <c r="F2651" t="s">
        <v>5585</v>
      </c>
      <c r="G2651" t="s">
        <v>14</v>
      </c>
      <c r="H2651">
             </c>
      <c r="I2651" t="s">
        <v>14</v>
      </c>
      <c r="J2651" t="s">
        <v>242</v>
      </c>
      <c r="K2651" t="s">
        <v>14</v>
      </c>
      <c r="L2651" t="s">
        <v>20</v>
      </c>
      <c r="M2651" t="s">
        <v>5553</v>
      </c>
      <c r="N2651" t="s">
        <v>14</v>
      </c>
    </row>
    <row r="2652" x14ac:dyDescent="0.25">
      <c r="A2652" t="n">
        <v>25</v>
      </c>
      <c r="B2652" t="s">
        <v>14</v>
      </c>
      <c r="C2652" t="s">
        <v>51</v>
      </c>
      <c r="D2652" s="2" t="s">
        <f>=HYPERLINK("https://main.knesset.gov.il/APPS/legislation/main/bills/2222440", "הצעת חוק שיקום שכונות דרום תל-אביב (תמריצים לפיזור גיאוגרפי של מסתננים) (הוראת שעה), התשפ""ה-2024")</f>
        <v>5586</v>
      </c>
      <c r="E2652" t="s">
        <v>5586</v>
      </c>
      <c r="F2652" t="s">
        <v>5587</v>
      </c>
      <c r="G2652" t="s">
        <v>14</v>
      </c>
      <c r="H2652">
             </c>
      <c r="I2652" t="s">
        <v>14</v>
      </c>
      <c r="J2652" t="s">
        <v>242</v>
      </c>
      <c r="K2652" t="s">
        <v>14</v>
      </c>
      <c r="L2652" t="s">
        <v>20</v>
      </c>
      <c r="M2652" t="s">
        <v>5553</v>
      </c>
      <c r="N2652" t="s">
        <v>14</v>
      </c>
    </row>
    <row r="2653" x14ac:dyDescent="0.25">
      <c r="A2653" t="n">
        <v>25</v>
      </c>
      <c r="B2653" t="s">
        <v>14</v>
      </c>
      <c r="C2653" t="s">
        <v>51</v>
      </c>
      <c r="D2653" s="2" t="s">
        <f>=HYPERLINK("https://main.knesset.gov.il/APPS/legislation/main/bills/2222434", "הצעת חוק לתיקון פקודת העיריות (קביעת שירותי תחבורה ציבורית בתחומי הרשות המקומית), התשפ""ה-2024")</f>
        <v>5588</v>
      </c>
      <c r="E2653" t="s">
        <v>5588</v>
      </c>
      <c r="F2653" t="s">
        <v>5589</v>
      </c>
      <c r="G2653" t="s">
        <v>14</v>
      </c>
      <c r="H2653">
             </c>
      <c r="I2653" t="s">
        <v>14</v>
      </c>
      <c r="J2653" t="s">
        <v>242</v>
      </c>
      <c r="K2653" t="s">
        <v>14</v>
      </c>
      <c r="L2653" t="s">
        <v>20</v>
      </c>
      <c r="M2653" t="s">
        <v>5553</v>
      </c>
      <c r="N2653" t="s">
        <v>14</v>
      </c>
    </row>
    <row r="2654" x14ac:dyDescent="0.25">
      <c r="A2654" t="n">
        <v>25</v>
      </c>
      <c r="B2654" t="s">
        <v>14</v>
      </c>
      <c r="C2654" t="s">
        <v>51</v>
      </c>
      <c r="D2654" s="2" t="s">
        <f>=HYPERLINK("https://main.knesset.gov.il/APPS/legislation/main/bills/2222486", "הצעת חוק אומנה לילדים (תיקון - הזכות לחינוך לילדים בהשמה חוץ-ביתית), התשפ""ה-2024")</f>
        <v>5590</v>
      </c>
      <c r="E2654" t="s">
        <v>5590</v>
      </c>
      <c r="F2654" t="s">
        <v>5591</v>
      </c>
      <c r="G2654" t="s">
        <v>14</v>
      </c>
      <c r="H2654">
             </c>
      <c r="I2654" t="s">
        <v>14</v>
      </c>
      <c r="J2654" t="s">
        <v>242</v>
      </c>
      <c r="K2654" t="s">
        <v>14</v>
      </c>
      <c r="L2654" t="s">
        <v>20</v>
      </c>
      <c r="M2654" t="s">
        <v>5553</v>
      </c>
      <c r="N2654" t="s">
        <v>14</v>
      </c>
    </row>
    <row r="2655" x14ac:dyDescent="0.25">
      <c r="A2655" t="n">
        <v>25</v>
      </c>
      <c r="B2655" t="s">
        <v>14</v>
      </c>
      <c r="C2655" t="s">
        <v>51</v>
      </c>
      <c r="D2655" s="2" t="s">
        <f>=HYPERLINK("https://main.knesset.gov.il/APPS/legislation/main/bills/2222420", "הצעת חוק הרבנות הראשית לישראל (תיקון - כשירות רב ראשי והרכב האסיפה הבוחרת), התשפ""ה-2024")</f>
        <v>5592</v>
      </c>
      <c r="E2655" t="s">
        <v>5592</v>
      </c>
      <c r="F2655" t="s">
        <v>5593</v>
      </c>
      <c r="G2655" t="s">
        <v>14</v>
      </c>
      <c r="H2655">
             </c>
      <c r="I2655" t="s">
        <v>14</v>
      </c>
      <c r="J2655" t="s">
        <v>242</v>
      </c>
      <c r="K2655" t="s">
        <v>14</v>
      </c>
      <c r="L2655" t="s">
        <v>20</v>
      </c>
      <c r="M2655" t="s">
        <v>5553</v>
      </c>
      <c r="N2655" t="s">
        <v>14</v>
      </c>
    </row>
    <row r="2656" x14ac:dyDescent="0.25">
      <c r="A2656" t="n">
        <v>25</v>
      </c>
      <c r="B2656" t="s">
        <v>14</v>
      </c>
      <c r="C2656" t="s">
        <v>51</v>
      </c>
      <c r="D2656" s="2" t="s">
        <f>=HYPERLINK("https://main.knesset.gov.il/APPS/legislation/main/bills/2221177", "הצעת חוק התכנון והבנייה (תיקון - הארכת הסמכות של ועדות מקומיות בגליל ובנגב), התשפ""ה-2024")</f>
        <v>5594</v>
      </c>
      <c r="E2656" t="s">
        <v>5594</v>
      </c>
      <c r="F2656" t="s">
        <v>5595</v>
      </c>
      <c r="G2656" t="s">
        <v>14</v>
      </c>
      <c r="H2656">
             </c>
      <c r="I2656" t="s">
        <v>14</v>
      </c>
      <c r="J2656" t="s">
        <v>242</v>
      </c>
      <c r="K2656" t="s">
        <v>14</v>
      </c>
      <c r="L2656" t="s">
        <v>20</v>
      </c>
      <c r="M2656" t="s">
        <v>5553</v>
      </c>
      <c r="N2656" t="s">
        <v>14</v>
      </c>
    </row>
    <row r="2657" x14ac:dyDescent="0.25">
      <c r="A2657" t="n">
        <v>25</v>
      </c>
      <c r="B2657" t="s">
        <v>14</v>
      </c>
      <c r="C2657" t="s">
        <v>51</v>
      </c>
      <c r="D2657" s="2" t="s">
        <f>=HYPERLINK("https://main.knesset.gov.il/APPS/legislation/main/bills/2221471", "הצעת חוק התכנון והבנייה (תיקון מס' 116) (תיקון - ביטול החוק), התשפ""ה-2024")</f>
        <v>5596</v>
      </c>
      <c r="E2657" t="s">
        <v>5596</v>
      </c>
      <c r="F2657" t="s">
        <v>5597</v>
      </c>
      <c r="G2657" t="s">
        <v>14</v>
      </c>
      <c r="H2657">
             </c>
      <c r="I2657" t="s">
        <v>14</v>
      </c>
      <c r="J2657" t="s">
        <v>242</v>
      </c>
      <c r="K2657" t="s">
        <v>14</v>
      </c>
      <c r="L2657" t="s">
        <v>20</v>
      </c>
      <c r="M2657" t="s">
        <v>5553</v>
      </c>
      <c r="N2657" t="s">
        <v>14</v>
      </c>
    </row>
    <row r="2658" x14ac:dyDescent="0.25">
      <c r="A2658" t="n">
        <v>25</v>
      </c>
      <c r="B2658" t="s">
        <v>14</v>
      </c>
      <c r="C2658" t="s">
        <v>51</v>
      </c>
      <c r="D2658" s="2" t="s">
        <f>=HYPERLINK("https://main.knesset.gov.il/APPS/legislation/main/bills/2222488", "הצעת חוק הביטוח הלאומי (תיקון - מועדי תשלום דמי לידה), התשפ""ה-2024")</f>
        <v>5598</v>
      </c>
      <c r="E2658" t="s">
        <v>5598</v>
      </c>
      <c r="F2658" t="s">
        <v>5599</v>
      </c>
      <c r="G2658" t="s">
        <v>14</v>
      </c>
      <c r="H2658">
             </c>
      <c r="I2658" t="s">
        <v>14</v>
      </c>
      <c r="J2658" t="s">
        <v>242</v>
      </c>
      <c r="K2658" t="s">
        <v>14</v>
      </c>
      <c r="L2658" t="s">
        <v>20</v>
      </c>
      <c r="M2658" t="s">
        <v>5553</v>
      </c>
      <c r="N2658" t="s">
        <v>14</v>
      </c>
    </row>
    <row r="2659" x14ac:dyDescent="0.25">
      <c r="A2659" t="n">
        <v>25</v>
      </c>
      <c r="B2659" t="s">
        <v>14</v>
      </c>
      <c r="C2659" t="s">
        <v>51</v>
      </c>
      <c r="D2659" s="2" t="s">
        <f>=HYPERLINK("https://main.knesset.gov.il/APPS/legislation/main/bills/2222450", "הצעת חוק רישוי עסקים (תיקון - פטור מרישוי עסק לקייטנה לתנועות ולארגוני נוער), התשפ""ה-2024 ")</f>
        <v>5600</v>
      </c>
      <c r="E2659" t="s">
        <v>5600</v>
      </c>
      <c r="F2659" t="s">
        <v>5601</v>
      </c>
      <c r="G2659" t="s">
        <v>14</v>
      </c>
      <c r="H2659">
             </c>
      <c r="I2659" t="s">
        <v>14</v>
      </c>
      <c r="J2659" t="s">
        <v>242</v>
      </c>
      <c r="K2659" t="s">
        <v>14</v>
      </c>
      <c r="L2659" t="s">
        <v>20</v>
      </c>
      <c r="M2659" t="s">
        <v>5553</v>
      </c>
      <c r="N2659" t="s">
        <v>14</v>
      </c>
    </row>
    <row r="2660" x14ac:dyDescent="0.25">
      <c r="A2660" t="n">
        <v>25</v>
      </c>
      <c r="B2660" t="s">
        <v>14</v>
      </c>
      <c r="C2660" t="s">
        <v>51</v>
      </c>
      <c r="D2660" s="2" t="s">
        <f>=HYPERLINK("https://main.knesset.gov.il/APPS/legislation/main/bills/2221689", "הצעת חוק-יסוד: השפיטה (תיקון - זכות עמידה בבית המשפט הגבוה לצדק)")</f>
        <v>5602</v>
      </c>
      <c r="E2660" t="s">
        <v>5602</v>
      </c>
      <c r="F2660" t="s">
        <v>5603</v>
      </c>
      <c r="G2660" t="s">
        <v>14</v>
      </c>
      <c r="H2660">
             </c>
      <c r="I2660" t="s">
        <v>14</v>
      </c>
      <c r="J2660" t="s">
        <v>242</v>
      </c>
      <c r="K2660" t="s">
        <v>14</v>
      </c>
      <c r="L2660" t="s">
        <v>20</v>
      </c>
      <c r="M2660" t="s">
        <v>5553</v>
      </c>
      <c r="N2660" t="s">
        <v>14</v>
      </c>
    </row>
    <row r="2661" x14ac:dyDescent="0.25">
      <c r="A2661" t="n">
        <v>25</v>
      </c>
      <c r="B2661" t="s">
        <v>14</v>
      </c>
      <c r="C2661" t="s">
        <v>51</v>
      </c>
      <c r="D2661" s="2" t="s">
        <f>=HYPERLINK("https://main.knesset.gov.il/APPS/legislation/main/bills/2221549", "הצעת חוק לעשיית דין במחבלי החמאס ובעוזריהם, התשפ""ה-2024")</f>
        <v>5604</v>
      </c>
      <c r="E2661" t="s">
        <v>5604</v>
      </c>
      <c r="F2661" t="s">
        <v>5605</v>
      </c>
      <c r="G2661" t="s">
        <v>14</v>
      </c>
      <c r="H2661">
             </c>
      <c r="I2661" t="s">
        <v>14</v>
      </c>
      <c r="J2661" t="s">
        <v>242</v>
      </c>
      <c r="K2661" t="s">
        <v>14</v>
      </c>
      <c r="L2661" t="s">
        <v>20</v>
      </c>
      <c r="M2661" t="s">
        <v>5553</v>
      </c>
      <c r="N2661" t="s">
        <v>14</v>
      </c>
    </row>
    <row r="2662" x14ac:dyDescent="0.25">
      <c r="A2662" t="n">
        <v>25</v>
      </c>
      <c r="B2662" t="s">
        <v>14</v>
      </c>
      <c r="C2662" t="s">
        <v>51</v>
      </c>
      <c r="D2662" s="2" t="s">
        <f>=HYPERLINK("https://main.knesset.gov.il/APPS/legislation/main/bills/2215751", "הצעת חוק כלי הירייה (תיקון - איסור השתתפות בהתארגנות חמושה אסורה), התשפ""ה-2024")</f>
        <v>5606</v>
      </c>
      <c r="E2662" t="s">
        <v>5606</v>
      </c>
      <c r="F2662" t="s">
        <v>5607</v>
      </c>
      <c r="G2662" t="s">
        <v>14</v>
      </c>
      <c r="H2662">
             </c>
      <c r="I2662" t="s">
        <v>14</v>
      </c>
      <c r="J2662" t="s">
        <v>242</v>
      </c>
      <c r="K2662" t="s">
        <v>14</v>
      </c>
      <c r="L2662" t="s">
        <v>20</v>
      </c>
      <c r="M2662" t="s">
        <v>5553</v>
      </c>
      <c r="N2662" t="s">
        <v>14</v>
      </c>
    </row>
    <row r="2663" x14ac:dyDescent="0.25">
      <c r="A2663" t="n">
        <v>25</v>
      </c>
      <c r="B2663" t="s">
        <v>14</v>
      </c>
      <c r="C2663" t="s">
        <v>51</v>
      </c>
      <c r="D2663" s="2" t="s">
        <f>=HYPERLINK("https://main.knesset.gov.il/APPS/legislation/main/bills/2221334", "הצעת חוק המרכז לזכר אירועי 7 באוקטובר ומלחמת חרבות ברזל, התשפ""ה-2024")</f>
        <v>5608</v>
      </c>
      <c r="E2663" t="s">
        <v>5608</v>
      </c>
      <c r="F2663" t="s">
        <v>5609</v>
      </c>
      <c r="G2663" t="s">
        <v>14</v>
      </c>
      <c r="H2663">
             </c>
      <c r="I2663" t="s">
        <v>14</v>
      </c>
      <c r="J2663" t="s">
        <v>242</v>
      </c>
      <c r="K2663" t="s">
        <v>14</v>
      </c>
      <c r="L2663" t="s">
        <v>20</v>
      </c>
      <c r="M2663" t="s">
        <v>5553</v>
      </c>
      <c r="N2663" t="s">
        <v>14</v>
      </c>
    </row>
    <row r="2664" x14ac:dyDescent="0.25">
      <c r="A2664" t="n">
        <v>25</v>
      </c>
      <c r="B2664" t="s">
        <v>14</v>
      </c>
      <c r="C2664" t="s">
        <v>51</v>
      </c>
      <c r="D2664" s="2" t="s">
        <f>=HYPERLINK("https://main.knesset.gov.il/APPS/legislation/main/bills/2221742", "הצעת חוק הבנקאות (שירות ללקוח) (תיקון - איסור על תפעול הנפקה והסכמי הפצת כרטיסי אשראי), התשפ""ה-2024")</f>
        <v>5610</v>
      </c>
      <c r="E2664" t="s">
        <v>5610</v>
      </c>
      <c r="F2664" t="s">
        <v>5611</v>
      </c>
      <c r="G2664" t="s">
        <v>14</v>
      </c>
      <c r="H2664">
             </c>
      <c r="I2664" t="s">
        <v>14</v>
      </c>
      <c r="J2664" t="s">
        <v>242</v>
      </c>
      <c r="K2664" t="s">
        <v>14</v>
      </c>
      <c r="L2664" t="s">
        <v>20</v>
      </c>
      <c r="M2664" t="s">
        <v>5553</v>
      </c>
      <c r="N2664" t="s">
        <v>14</v>
      </c>
    </row>
    <row r="2665" x14ac:dyDescent="0.25">
      <c r="A2665" t="n">
        <v>25</v>
      </c>
      <c r="B2665" t="s">
        <v>14</v>
      </c>
      <c r="C2665" t="s">
        <v>51</v>
      </c>
      <c r="D2665" s="2" t="s">
        <f>=HYPERLINK("https://main.knesset.gov.il/APPS/legislation/main/bills/2222487", "הצעת חוק הפיקוח על שירותים פיננסיים (קופות גמל) (תיקון - הגדלת הסכום המרבי להפקדה בקופות גמל להשקעה), התשפ""ה-2024")</f>
        <v>5612</v>
      </c>
      <c r="E2665" t="s">
        <v>5612</v>
      </c>
      <c r="F2665" t="s">
        <v>5613</v>
      </c>
      <c r="G2665" t="s">
        <v>14</v>
      </c>
      <c r="H2665">
             </c>
      <c r="I2665" t="s">
        <v>14</v>
      </c>
      <c r="J2665" t="s">
        <v>242</v>
      </c>
      <c r="K2665" t="s">
        <v>14</v>
      </c>
      <c r="L2665" t="s">
        <v>20</v>
      </c>
      <c r="M2665" t="s">
        <v>5553</v>
      </c>
      <c r="N2665" t="s">
        <v>14</v>
      </c>
    </row>
    <row r="2666" x14ac:dyDescent="0.25">
      <c r="A2666" t="n">
        <v>25</v>
      </c>
      <c r="B2666" t="s">
        <v>14</v>
      </c>
      <c r="C2666" t="s">
        <v>51</v>
      </c>
      <c r="D2666" s="2" t="s">
        <f>=HYPERLINK("https://main.knesset.gov.il/APPS/legislation/main/bills/2222135", "הצעת חוק לתיקון פקודת התעבורה (חניית נשים בהריון והורה לתינוק), התשפ""ה-2024")</f>
        <v>5614</v>
      </c>
      <c r="E2666" t="s">
        <v>5614</v>
      </c>
      <c r="F2666" t="s">
        <v>5615</v>
      </c>
      <c r="G2666" t="s">
        <v>14</v>
      </c>
      <c r="H2666">
             </c>
      <c r="I2666" t="s">
        <v>14</v>
      </c>
      <c r="J2666" t="s">
        <v>242</v>
      </c>
      <c r="K2666" t="s">
        <v>14</v>
      </c>
      <c r="L2666" t="s">
        <v>20</v>
      </c>
      <c r="M2666" t="s">
        <v>5553</v>
      </c>
      <c r="N2666" t="s">
        <v>14</v>
      </c>
    </row>
    <row r="2667" x14ac:dyDescent="0.25">
      <c r="A2667" t="n">
        <v>25</v>
      </c>
      <c r="B2667" t="s">
        <v>14</v>
      </c>
      <c r="C2667" t="s">
        <v>51</v>
      </c>
      <c r="D2667" s="2" t="s">
        <f>=HYPERLINK("https://main.knesset.gov.il/APPS/legislation/main/bills/2221001", "הצעת חוק בתי דין רבניים (קיום פסקי דין של גירושין) (תיקון - שלילת זכאות לסיוע משפטי לסרבני גט), התשפ""ה-2024 ")</f>
        <v>5616</v>
      </c>
      <c r="E2667" t="s">
        <v>5616</v>
      </c>
      <c r="F2667" t="s">
        <v>5617</v>
      </c>
      <c r="G2667" t="s">
        <v>14</v>
      </c>
      <c r="H2667">
             </c>
      <c r="I2667" t="s">
        <v>14</v>
      </c>
      <c r="J2667" t="s">
        <v>242</v>
      </c>
      <c r="K2667" t="s">
        <v>14</v>
      </c>
      <c r="L2667" t="s">
        <v>20</v>
      </c>
      <c r="M2667" t="s">
        <v>5553</v>
      </c>
      <c r="N2667" t="s">
        <v>14</v>
      </c>
    </row>
    <row r="2668" x14ac:dyDescent="0.25">
      <c r="A2668" t="n">
        <v>25</v>
      </c>
      <c r="B2668" t="s">
        <v>14</v>
      </c>
      <c r="C2668" t="s">
        <v>51</v>
      </c>
      <c r="D2668" s="2" t="s">
        <f>=HYPERLINK("https://main.knesset.gov.il/APPS/legislation/main/bills/2222053", "הצעת חוק אשראי הוגן (תיקון - ריבית מקסימלית על הלוואה), התשפ""ה-2024")</f>
        <v>5618</v>
      </c>
      <c r="E2668" t="s">
        <v>5618</v>
      </c>
      <c r="F2668" t="s">
        <v>5619</v>
      </c>
      <c r="G2668" t="s">
        <v>14</v>
      </c>
      <c r="H2668">
             </c>
      <c r="I2668" t="s">
        <v>14</v>
      </c>
      <c r="J2668" t="s">
        <v>242</v>
      </c>
      <c r="K2668" t="s">
        <v>14</v>
      </c>
      <c r="L2668" t="s">
        <v>20</v>
      </c>
      <c r="M2668" t="s">
        <v>5553</v>
      </c>
      <c r="N2668" t="s">
        <v>14</v>
      </c>
    </row>
    <row r="2669" x14ac:dyDescent="0.25">
      <c r="A2669" t="n">
        <v>25</v>
      </c>
      <c r="B2669" t="s">
        <v>14</v>
      </c>
      <c r="C2669" t="s">
        <v>51</v>
      </c>
      <c r="D2669" s="2" t="s">
        <f>=HYPERLINK("https://main.knesset.gov.il/APPS/legislation/main/bills/2221356", "הצעת חוק לתיקון פקודת מס הכנסה (פטור ממס למשרת מילואים פעיל) (הוראת שעה - חרבות ברזל), התשפ""ה-2024")</f>
        <v>5182</v>
      </c>
      <c r="E2669" t="s">
        <v>5182</v>
      </c>
      <c r="F2669" t="s">
        <v>5620</v>
      </c>
      <c r="G2669" t="s">
        <v>14</v>
      </c>
      <c r="H2669">
             </c>
      <c r="I2669" t="s">
        <v>14</v>
      </c>
      <c r="J2669" t="s">
        <v>242</v>
      </c>
      <c r="K2669" t="s">
        <v>14</v>
      </c>
      <c r="L2669" t="s">
        <v>20</v>
      </c>
      <c r="M2669" t="s">
        <v>5553</v>
      </c>
      <c r="N2669" t="s">
        <v>14</v>
      </c>
    </row>
    <row r="2670" x14ac:dyDescent="0.25">
      <c r="A2670" t="n">
        <v>25</v>
      </c>
      <c r="B2670" t="s">
        <v>14</v>
      </c>
      <c r="C2670" t="s">
        <v>51</v>
      </c>
      <c r="D2670" s="2" t="s">
        <f>=HYPERLINK("https://main.knesset.gov.il/APPS/legislation/main/bills/2221986", "הצעת חוק בתי המשפט (תיקון - רוב מיוחד לבחירת נשיא בית המשפט העליון), התשפ""ה-2024")</f>
        <v>5621</v>
      </c>
      <c r="E2670" t="s">
        <v>5621</v>
      </c>
      <c r="F2670" t="s">
        <v>5622</v>
      </c>
      <c r="G2670" t="s">
        <v>14</v>
      </c>
      <c r="H2670">
             </c>
      <c r="I2670" t="s">
        <v>14</v>
      </c>
      <c r="J2670" t="s">
        <v>242</v>
      </c>
      <c r="K2670" t="s">
        <v>14</v>
      </c>
      <c r="L2670" t="s">
        <v>20</v>
      </c>
      <c r="M2670" t="s">
        <v>5553</v>
      </c>
      <c r="N2670" t="s">
        <v>14</v>
      </c>
    </row>
    <row r="2671" x14ac:dyDescent="0.25">
      <c r="A2671" t="n">
        <v>25</v>
      </c>
      <c r="B2671" t="s">
        <v>14</v>
      </c>
      <c r="C2671" t="s">
        <v>51</v>
      </c>
      <c r="D2671" s="2" t="s">
        <f>=HYPERLINK("https://main.knesset.gov.il/APPS/legislation/main/bills/2221681", "הצעת חוק התגמולים לנפגעי פעולות איבה (תיקון - זכויות למי שמתגורר אצלו יתום ששני הוריו נפטרו כתוצאה מפעולות איבה) (הוראת שעה), התשפ""ה-2024")</f>
        <v>5623</v>
      </c>
      <c r="E2671" t="s">
        <v>5623</v>
      </c>
      <c r="F2671" t="s">
        <v>5624</v>
      </c>
      <c r="G2671" t="s">
        <v>14</v>
      </c>
      <c r="H2671">
             </c>
      <c r="I2671" t="s">
        <v>14</v>
      </c>
      <c r="J2671" t="s">
        <v>202</v>
      </c>
      <c r="K2671" t="s">
        <v>14</v>
      </c>
      <c r="L2671" t="s">
        <v>20</v>
      </c>
      <c r="M2671" t="s">
        <v>5553</v>
      </c>
      <c r="N2671" t="s">
        <v>14</v>
      </c>
    </row>
    <row r="2672" x14ac:dyDescent="0.25">
      <c r="A2672" t="n">
        <v>25</v>
      </c>
      <c r="B2672" t="s">
        <v>14</v>
      </c>
      <c r="C2672" t="s">
        <v>51</v>
      </c>
      <c r="D2672" s="2" t="s">
        <f>=HYPERLINK("https://main.knesset.gov.il/APPS/legislation/main/bills/2220976", "הצעת חוק האזרחות (תיקון - אזרחות לבן משפחה של חלל), התשפ""ה-2024")</f>
        <v>5625</v>
      </c>
      <c r="E2672" t="s">
        <v>5625</v>
      </c>
      <c r="F2672" t="s">
        <v>5626</v>
      </c>
      <c r="G2672" t="s">
        <v>14</v>
      </c>
      <c r="H2672">
             </c>
      <c r="I2672" t="s">
        <v>14</v>
      </c>
      <c r="J2672" t="s">
        <v>242</v>
      </c>
      <c r="K2672" t="s">
        <v>14</v>
      </c>
      <c r="L2672" t="s">
        <v>20</v>
      </c>
      <c r="M2672" t="s">
        <v>5553</v>
      </c>
      <c r="N2672" t="s">
        <v>14</v>
      </c>
    </row>
    <row r="2673" x14ac:dyDescent="0.25">
      <c r="A2673" t="n">
        <v>25</v>
      </c>
      <c r="B2673" t="s">
        <v>14</v>
      </c>
      <c r="C2673" t="s">
        <v>51</v>
      </c>
      <c r="D2673" s="2" t="s">
        <f>=HYPERLINK("https://main.knesset.gov.il/APPS/legislation/main/bills/2222346", "הצעת חוק משפחות חיילים שנספו במערכה (תגמולים ושיקום) (תיקון - סיוע בתשלום ביטוח רכב ואגרת רישיון לשכול), התשפ""ה-2024")</f>
        <v>5627</v>
      </c>
      <c r="E2673" t="s">
        <v>5627</v>
      </c>
      <c r="F2673" t="s">
        <v>5628</v>
      </c>
      <c r="G2673" t="s">
        <v>14</v>
      </c>
      <c r="H2673">
             </c>
      <c r="I2673" t="s">
        <v>14</v>
      </c>
      <c r="J2673" t="s">
        <v>242</v>
      </c>
      <c r="K2673" t="s">
        <v>14</v>
      </c>
      <c r="L2673" t="s">
        <v>20</v>
      </c>
      <c r="M2673" t="s">
        <v>5553</v>
      </c>
      <c r="N2673" t="s">
        <v>14</v>
      </c>
    </row>
    <row r="2674" x14ac:dyDescent="0.25">
      <c r="A2674" t="n">
        <v>25</v>
      </c>
      <c r="B2674" t="s">
        <v>14</v>
      </c>
      <c r="C2674" t="s">
        <v>51</v>
      </c>
      <c r="D2674" s="2" t="s">
        <f>=HYPERLINK("https://main.knesset.gov.il/APPS/legislation/main/bills/2221170", "הצעת חוק הרבנות הראשית לישראל (תיקון - מינוי רבנים שהוסמכו לרבנות על ידי מועצת הרבנות הראשית לישראל), התשפ""ה-2024")</f>
        <v>5629</v>
      </c>
      <c r="E2674" t="s">
        <v>5629</v>
      </c>
      <c r="F2674" t="s">
        <v>5630</v>
      </c>
      <c r="G2674" t="s">
        <v>14</v>
      </c>
      <c r="H2674">
             </c>
      <c r="I2674" t="s">
        <v>14</v>
      </c>
      <c r="J2674" t="s">
        <v>242</v>
      </c>
      <c r="K2674" t="s">
        <v>14</v>
      </c>
      <c r="L2674" t="s">
        <v>20</v>
      </c>
      <c r="M2674" t="s">
        <v>5553</v>
      </c>
      <c r="N2674" t="s">
        <v>14</v>
      </c>
    </row>
    <row r="2675" x14ac:dyDescent="0.25">
      <c r="A2675" t="n">
        <v>25</v>
      </c>
      <c r="B2675" t="s">
        <v>14</v>
      </c>
      <c r="C2675" t="s">
        <v>51</v>
      </c>
      <c r="D2675" s="2" t="s">
        <f>=HYPERLINK("https://main.knesset.gov.il/APPS/legislation/main/bills/2222436", "הצעת חוק התפזרות הכנסת העשרים וחמש, התשפ""ה-2024")</f>
        <v>5631</v>
      </c>
      <c r="E2675" t="s">
        <v>5631</v>
      </c>
      <c r="F2675" t="s">
        <v>5632</v>
      </c>
      <c r="G2675" t="s">
        <v>14</v>
      </c>
      <c r="H2675">
             </c>
      <c r="I2675" t="s">
        <v>14</v>
      </c>
      <c r="J2675" t="s">
        <v>242</v>
      </c>
      <c r="K2675" t="s">
        <v>14</v>
      </c>
      <c r="L2675" t="s">
        <v>20</v>
      </c>
      <c r="M2675" t="s">
        <v>5553</v>
      </c>
      <c r="N2675" t="s">
        <v>14</v>
      </c>
    </row>
    <row r="2676" x14ac:dyDescent="0.25">
      <c r="A2676" t="n">
        <v>25</v>
      </c>
      <c r="B2676" t="s">
        <v>14</v>
      </c>
      <c r="C2676" t="s">
        <v>51</v>
      </c>
      <c r="D2676" s="2" t="s">
        <f>=HYPERLINK("https://main.knesset.gov.il/APPS/legislation/main/bills/2222290", "הצעת חוק משפחות חיילים שנספו במערכה (תגמולים ושיקום) (תיקון - תוספת תגמול להורים שכולים בגיל 60), התשפ""ה-2024")</f>
        <v>5633</v>
      </c>
      <c r="E2676" t="s">
        <v>5633</v>
      </c>
      <c r="F2676" t="s">
        <v>5634</v>
      </c>
      <c r="G2676" t="s">
        <v>14</v>
      </c>
      <c r="H2676">
             </c>
      <c r="I2676" t="s">
        <v>14</v>
      </c>
      <c r="J2676" t="s">
        <v>242</v>
      </c>
      <c r="K2676" t="s">
        <v>14</v>
      </c>
      <c r="L2676" t="s">
        <v>20</v>
      </c>
      <c r="M2676" t="s">
        <v>5553</v>
      </c>
      <c r="N2676" t="s">
        <v>14</v>
      </c>
    </row>
    <row r="2677" x14ac:dyDescent="0.25">
      <c r="A2677" t="n">
        <v>25</v>
      </c>
      <c r="B2677" t="s">
        <v>14</v>
      </c>
      <c r="C2677" t="s">
        <v>51</v>
      </c>
      <c r="D2677" s="2" t="s">
        <f>=HYPERLINK("https://main.knesset.gov.il/APPS/legislation/main/bills/2221106", "הצעת חוק חסינות מפני אחריות פלילית בגין אירועי 7 באוקטובר, התשפ""ה-2024")</f>
        <v>5635</v>
      </c>
      <c r="E2677" t="s">
        <v>5635</v>
      </c>
      <c r="F2677" t="s">
        <v>5636</v>
      </c>
      <c r="G2677" t="s">
        <v>14</v>
      </c>
      <c r="H2677">
             </c>
      <c r="I2677" t="s">
        <v>14</v>
      </c>
      <c r="J2677" t="s">
        <v>242</v>
      </c>
      <c r="K2677" t="s">
        <v>14</v>
      </c>
      <c r="L2677" t="s">
        <v>20</v>
      </c>
      <c r="M2677" t="s">
        <v>5553</v>
      </c>
      <c r="N2677" t="s">
        <v>14</v>
      </c>
    </row>
    <row r="2678" x14ac:dyDescent="0.25">
      <c r="A2678" t="n">
        <v>25</v>
      </c>
      <c r="B2678" t="s">
        <v>14</v>
      </c>
      <c r="C2678" t="s">
        <v>51</v>
      </c>
      <c r="D2678" s="2" t="s">
        <f>=HYPERLINK("https://main.knesset.gov.il/APPS/legislation/main/bills/2222439", "הצעת חוק האזרחים הוותיקים (תיקון - הנחה בארנונה), התשפ""ה-2024")</f>
        <v>5637</v>
      </c>
      <c r="E2678" t="s">
        <v>5637</v>
      </c>
      <c r="F2678" t="s">
        <v>5638</v>
      </c>
      <c r="G2678" t="s">
        <v>14</v>
      </c>
      <c r="H2678">
             </c>
      <c r="I2678" t="s">
        <v>14</v>
      </c>
      <c r="J2678" t="s">
        <v>242</v>
      </c>
      <c r="K2678" t="s">
        <v>14</v>
      </c>
      <c r="L2678" t="s">
        <v>20</v>
      </c>
      <c r="M2678" t="s">
        <v>5553</v>
      </c>
      <c r="N2678" t="s">
        <v>14</v>
      </c>
    </row>
    <row r="2679" x14ac:dyDescent="0.25">
      <c r="A2679" t="n">
        <v>25</v>
      </c>
      <c r="B2679" t="s">
        <v>14</v>
      </c>
      <c r="C2679" t="s">
        <v>51</v>
      </c>
      <c r="D2679" s="2" t="s">
        <f>=HYPERLINK("https://main.knesset.gov.il/APPS/legislation/main/bills/2222249", "הצעת חוק עיקול מידתי של נכסים המוחזקים בידי צד שלישי (תיקוני חקיקה), התשפ""ה-2024")</f>
        <v>5639</v>
      </c>
      <c r="E2679" t="s">
        <v>5639</v>
      </c>
      <c r="F2679" t="s">
        <v>5640</v>
      </c>
      <c r="G2679" t="s">
        <v>14</v>
      </c>
      <c r="H2679">
             </c>
      <c r="I2679" t="s">
        <v>14</v>
      </c>
      <c r="J2679" t="s">
        <v>242</v>
      </c>
      <c r="K2679" t="s">
        <v>14</v>
      </c>
      <c r="L2679" t="s">
        <v>20</v>
      </c>
      <c r="M2679" t="s">
        <v>5553</v>
      </c>
      <c r="N2679" t="s">
        <v>14</v>
      </c>
    </row>
    <row r="2680" x14ac:dyDescent="0.25">
      <c r="A2680" t="n">
        <v>25</v>
      </c>
      <c r="B2680" t="s">
        <v>14</v>
      </c>
      <c r="C2680" t="s">
        <v>51</v>
      </c>
      <c r="D2680" s="2" t="s">
        <f>=HYPERLINK("https://main.knesset.gov.il/APPS/legislation/main/bills/2221467", "הצעת חוק-יסוד: ישראל - מדינת הלאום של העם היהודי (תיקון - הוספת עקרון השוויון בפני החוק ועיגון מעמדה של מגילת העצמאות)")</f>
        <v>5641</v>
      </c>
      <c r="E2680" t="s">
        <v>5641</v>
      </c>
      <c r="F2680" t="s">
        <v>5642</v>
      </c>
      <c r="G2680" t="s">
        <v>14</v>
      </c>
      <c r="H2680">
             </c>
      <c r="I2680" t="s">
        <v>14</v>
      </c>
      <c r="J2680" t="s">
        <v>242</v>
      </c>
      <c r="K2680" t="s">
        <v>14</v>
      </c>
      <c r="L2680" t="s">
        <v>20</v>
      </c>
      <c r="M2680" t="s">
        <v>5553</v>
      </c>
      <c r="N2680" t="s">
        <v>14</v>
      </c>
    </row>
    <row r="2681" x14ac:dyDescent="0.25">
      <c r="A2681" t="n">
        <v>25</v>
      </c>
      <c r="B2681" t="s">
        <v>14</v>
      </c>
      <c r="C2681" t="s">
        <v>51</v>
      </c>
      <c r="D2681" s="2" t="s">
        <f>=HYPERLINK("https://main.knesset.gov.il/APPS/legislation/main/bills/2221688", "הצעת חוק-יסוד: השפיטה (תיקון - הגבלת ערעורים של המדינה על פסקי דין פליליים)")</f>
        <v>5643</v>
      </c>
      <c r="E2681" t="s">
        <v>5643</v>
      </c>
      <c r="F2681" t="s">
        <v>5644</v>
      </c>
      <c r="G2681" t="s">
        <v>14</v>
      </c>
      <c r="H2681">
             </c>
      <c r="I2681" t="s">
        <v>14</v>
      </c>
      <c r="J2681" t="s">
        <v>242</v>
      </c>
      <c r="K2681" t="s">
        <v>14</v>
      </c>
      <c r="L2681" t="s">
        <v>20</v>
      </c>
      <c r="M2681" t="s">
        <v>5553</v>
      </c>
      <c r="N2681" t="s">
        <v>14</v>
      </c>
    </row>
    <row r="2682" x14ac:dyDescent="0.25">
      <c r="A2682" t="n">
        <v>25</v>
      </c>
      <c r="B2682" t="s">
        <v>14</v>
      </c>
      <c r="C2682" t="s">
        <v>51</v>
      </c>
      <c r="D2682" s="2" t="s">
        <f>=HYPERLINK("https://main.knesset.gov.il/APPS/legislation/main/bills/2221546", "הצעת חוק שירות ביטחון (תיקון - הסדרי פטור משירות), התשפ""ה-2024")</f>
        <v>5645</v>
      </c>
      <c r="E2682" t="s">
        <v>5645</v>
      </c>
      <c r="F2682" t="s">
        <v>5646</v>
      </c>
      <c r="G2682" t="s">
        <v>14</v>
      </c>
      <c r="H2682">
             </c>
      <c r="I2682" t="s">
        <v>14</v>
      </c>
      <c r="J2682" t="s">
        <v>242</v>
      </c>
      <c r="K2682" t="s">
        <v>14</v>
      </c>
      <c r="L2682" t="s">
        <v>20</v>
      </c>
      <c r="M2682" t="s">
        <v>5553</v>
      </c>
      <c r="N2682" t="s">
        <v>14</v>
      </c>
    </row>
    <row r="2683" x14ac:dyDescent="0.25">
      <c r="A2683" t="n">
        <v>25</v>
      </c>
      <c r="B2683" t="s">
        <v>14</v>
      </c>
      <c r="C2683" t="s">
        <v>51</v>
      </c>
      <c r="D2683" s="2" t="s">
        <f>=HYPERLINK("https://main.knesset.gov.il/APPS/legislation/main/bills/2221489", "הצעת חוק כליאתם של לוחמים בלתי חוקיים (תיקון - החלפת המונח לוחמים בלתי חוקיים), התשפ""ה-2024 ")</f>
        <v>5647</v>
      </c>
      <c r="E2683" t="s">
        <v>5647</v>
      </c>
      <c r="F2683" t="s">
        <v>5648</v>
      </c>
      <c r="G2683" t="s">
        <v>14</v>
      </c>
      <c r="H2683">
             </c>
      <c r="I2683" t="s">
        <v>14</v>
      </c>
      <c r="J2683" t="s">
        <v>242</v>
      </c>
      <c r="K2683" t="s">
        <v>14</v>
      </c>
      <c r="L2683" t="s">
        <v>20</v>
      </c>
      <c r="M2683" t="s">
        <v>5553</v>
      </c>
      <c r="N2683" t="s">
        <v>14</v>
      </c>
    </row>
    <row r="2684" x14ac:dyDescent="0.25">
      <c r="A2684" t="n">
        <v>25</v>
      </c>
      <c r="B2684" t="s">
        <v>14</v>
      </c>
      <c r="C2684" t="s">
        <v>51</v>
      </c>
      <c r="D2684" s="2" t="s">
        <f>=HYPERLINK("https://main.knesset.gov.il/APPS/legislation/main/bills/2218871", "הצעת חוק ההתנתקות והפיצויים לנפגעיה (תיקון - נוכחות וחופש תנועה לישראלים בחבל עזה), התשפ""ה-2024")</f>
        <v>5649</v>
      </c>
      <c r="E2684" t="s">
        <v>5649</v>
      </c>
      <c r="F2684" t="s">
        <v>5650</v>
      </c>
      <c r="G2684" t="s">
        <v>14</v>
      </c>
      <c r="H2684">
             </c>
      <c r="I2684" t="s">
        <v>14</v>
      </c>
      <c r="J2684" t="s">
        <v>242</v>
      </c>
      <c r="K2684" t="s">
        <v>14</v>
      </c>
      <c r="L2684" t="s">
        <v>20</v>
      </c>
      <c r="M2684" t="s">
        <v>5553</v>
      </c>
      <c r="N2684" t="s">
        <v>14</v>
      </c>
    </row>
    <row r="2685" x14ac:dyDescent="0.25">
      <c r="A2685" t="n">
        <v>25</v>
      </c>
      <c r="B2685" t="s">
        <v>14</v>
      </c>
      <c r="C2685" t="s">
        <v>51</v>
      </c>
      <c r="D2685" s="2" t="s">
        <f>=HYPERLINK("https://main.knesset.gov.il/APPS/legislation/main/bills/2221162", "הצעת חוק הגנת הצרכן (תיקון - חובת הצגת מחיר מומלץ של ירקות), התשפ""ה-2024")</f>
        <v>5651</v>
      </c>
      <c r="E2685" t="s">
        <v>5651</v>
      </c>
      <c r="F2685" t="s">
        <v>5652</v>
      </c>
      <c r="G2685" t="s">
        <v>14</v>
      </c>
      <c r="H2685">
             </c>
      <c r="I2685" t="s">
        <v>14</v>
      </c>
      <c r="J2685" t="s">
        <v>242</v>
      </c>
      <c r="K2685" t="s">
        <v>14</v>
      </c>
      <c r="L2685" t="s">
        <v>20</v>
      </c>
      <c r="M2685" t="s">
        <v>5553</v>
      </c>
      <c r="N2685" t="s">
        <v>14</v>
      </c>
    </row>
    <row r="2686" x14ac:dyDescent="0.25">
      <c r="A2686" t="n">
        <v>25</v>
      </c>
      <c r="B2686" t="s">
        <v>14</v>
      </c>
      <c r="C2686" t="s">
        <v>51</v>
      </c>
      <c r="D2686" s="2" t="s">
        <f>=HYPERLINK("https://main.knesset.gov.il/APPS/legislation/main/bills/2221690", "הצעת חוק הביטוח הלאומי (תיקון - ביטוח שאירים לאלמן), התשפ""ה-2024")</f>
        <v>5653</v>
      </c>
      <c r="E2686" t="s">
        <v>5653</v>
      </c>
      <c r="F2686" t="s">
        <v>5654</v>
      </c>
      <c r="G2686" t="s">
        <v>14</v>
      </c>
      <c r="H2686">
             </c>
      <c r="I2686" t="s">
        <v>14</v>
      </c>
      <c r="J2686" t="s">
        <v>242</v>
      </c>
      <c r="K2686" t="s">
        <v>14</v>
      </c>
      <c r="L2686" t="s">
        <v>20</v>
      </c>
      <c r="M2686" t="s">
        <v>5553</v>
      </c>
      <c r="N2686" t="s">
        <v>14</v>
      </c>
    </row>
    <row r="2687" x14ac:dyDescent="0.25">
      <c r="A2687" t="n">
        <v>25</v>
      </c>
      <c r="B2687" t="s">
        <v>14</v>
      </c>
      <c r="C2687" t="s">
        <v>51</v>
      </c>
      <c r="D2687" s="2" t="s">
        <f>=HYPERLINK("https://main.knesset.gov.il/APPS/legislation/main/bills/2221364", "הצעת חוק שירות הציבור (הגבלות לאחר פרישה) (תיקון - תקופת צינון לעובד ציבור ברשויות פיננסיות), התשפ""ה-2024")</f>
        <v>5655</v>
      </c>
      <c r="E2687" t="s">
        <v>5655</v>
      </c>
      <c r="F2687" t="s">
        <v>5656</v>
      </c>
      <c r="G2687" t="s">
        <v>14</v>
      </c>
      <c r="H2687">
             </c>
      <c r="I2687" t="s">
        <v>14</v>
      </c>
      <c r="J2687" t="s">
        <v>242</v>
      </c>
      <c r="K2687" t="s">
        <v>14</v>
      </c>
      <c r="L2687" t="s">
        <v>20</v>
      </c>
      <c r="M2687" t="s">
        <v>5553</v>
      </c>
      <c r="N2687" t="s">
        <v>14</v>
      </c>
    </row>
    <row r="2688" x14ac:dyDescent="0.25">
      <c r="A2688" t="n">
        <v>25</v>
      </c>
      <c r="B2688" t="s">
        <v>14</v>
      </c>
      <c r="C2688" t="s">
        <v>51</v>
      </c>
      <c r="D2688" s="2" t="s">
        <f>=HYPERLINK("https://main.knesset.gov.il/APPS/legislation/main/bills/2221540", "הצעת חוק מס ערך מוסף (תיקון - פטור ממס על תשר), התשפ""ה-2024")</f>
        <v>4504</v>
      </c>
      <c r="E2688" t="s">
        <v>4504</v>
      </c>
      <c r="F2688" t="s">
        <v>5657</v>
      </c>
      <c r="G2688" t="s">
        <v>14</v>
      </c>
      <c r="H2688">
             </c>
      <c r="I2688" t="s">
        <v>14</v>
      </c>
      <c r="J2688" t="s">
        <v>242</v>
      </c>
      <c r="K2688" t="s">
        <v>14</v>
      </c>
      <c r="L2688" t="s">
        <v>20</v>
      </c>
      <c r="M2688" t="s">
        <v>5553</v>
      </c>
      <c r="N2688" t="s">
        <v>14</v>
      </c>
    </row>
    <row r="2689" x14ac:dyDescent="0.25">
      <c r="A2689" t="n">
        <v>25</v>
      </c>
      <c r="B2689" t="s">
        <v>14</v>
      </c>
      <c r="C2689" t="s">
        <v>51</v>
      </c>
      <c r="D2689" s="2" t="s">
        <f>=HYPERLINK("https://main.knesset.gov.il/APPS/legislation/main/bills/2221140", "הצעת חוק זיכרון אירועי הטרור של כ""ב בתשרי (7 באוקטובר) ומלחמת חרבות ברזל, התשפ""ה-2024")</f>
        <v>1263</v>
      </c>
      <c r="E2689" t="s">
        <v>1263</v>
      </c>
      <c r="F2689" t="s">
        <v>5658</v>
      </c>
      <c r="G2689" t="s">
        <v>14</v>
      </c>
      <c r="H2689">
             </c>
      <c r="I2689" t="s">
        <v>14</v>
      </c>
      <c r="J2689" t="s">
        <v>242</v>
      </c>
      <c r="K2689" t="s">
        <v>14</v>
      </c>
      <c r="L2689" t="s">
        <v>20</v>
      </c>
      <c r="M2689" t="s">
        <v>5553</v>
      </c>
      <c r="N2689" t="s">
        <v>14</v>
      </c>
    </row>
    <row r="2690" x14ac:dyDescent="0.25">
      <c r="A2690" t="n">
        <v>25</v>
      </c>
      <c r="B2690" t="s">
        <v>14</v>
      </c>
      <c r="C2690" t="s">
        <v>51</v>
      </c>
      <c r="D2690" s="2" t="s">
        <f>=HYPERLINK("https://main.knesset.gov.il/APPS/legislation/main/bills/2221841", "הצעת חוק להקמת פקולטה בין-לאומית ללימודי רפואה בעיר אילת, התשפ""ה-2024 ")</f>
        <v>5659</v>
      </c>
      <c r="E2690" t="s">
        <v>5659</v>
      </c>
      <c r="F2690" t="s">
        <v>5660</v>
      </c>
      <c r="G2690" t="s">
        <v>14</v>
      </c>
      <c r="H2690">
             </c>
      <c r="I2690" t="s">
        <v>14</v>
      </c>
      <c r="J2690" t="s">
        <v>242</v>
      </c>
      <c r="K2690" t="s">
        <v>14</v>
      </c>
      <c r="L2690" t="s">
        <v>20</v>
      </c>
      <c r="M2690" t="s">
        <v>5553</v>
      </c>
      <c r="N2690" t="s">
        <v>14</v>
      </c>
    </row>
    <row r="2691" x14ac:dyDescent="0.25">
      <c r="A2691" t="n">
        <v>25</v>
      </c>
      <c r="B2691" t="s">
        <v>14</v>
      </c>
      <c r="C2691" t="s">
        <v>51</v>
      </c>
      <c r="D2691" s="2" t="s">
        <f>=HYPERLINK("https://main.knesset.gov.il/APPS/legislation/main/bills/2221208", "הצעת חוק עיטור הפציעה הקרבית, התשפ""ה-2024")</f>
        <v>5661</v>
      </c>
      <c r="E2691" t="s">
        <v>5661</v>
      </c>
      <c r="F2691" t="s">
        <v>5662</v>
      </c>
      <c r="G2691" t="s">
        <v>14</v>
      </c>
      <c r="H2691">
             </c>
      <c r="I2691" t="s">
        <v>14</v>
      </c>
      <c r="J2691" t="s">
        <v>242</v>
      </c>
      <c r="K2691" t="s">
        <v>14</v>
      </c>
      <c r="L2691" t="s">
        <v>20</v>
      </c>
      <c r="M2691" t="s">
        <v>5553</v>
      </c>
      <c r="N2691" t="s">
        <v>14</v>
      </c>
    </row>
    <row r="2692" x14ac:dyDescent="0.25">
      <c r="A2692" t="n">
        <v>25</v>
      </c>
      <c r="B2692" t="s">
        <v>14</v>
      </c>
      <c r="C2692" t="s">
        <v>51</v>
      </c>
      <c r="D2692" s="2" t="s">
        <f>=HYPERLINK("https://main.knesset.gov.il/APPS/legislation/main/bills/2221174", "הצעת חוק לתיקון פקודת מס הכנסה (הגדלת מספר התושבים ביישוב מוטב), התשפ""ה-2024")</f>
        <v>5663</v>
      </c>
      <c r="E2692" t="s">
        <v>5663</v>
      </c>
      <c r="F2692" t="s">
        <v>5664</v>
      </c>
      <c r="G2692" t="s">
        <v>14</v>
      </c>
      <c r="H2692">
             </c>
      <c r="I2692" t="s">
        <v>14</v>
      </c>
      <c r="J2692" t="s">
        <v>242</v>
      </c>
      <c r="K2692" t="s">
        <v>14</v>
      </c>
      <c r="L2692" t="s">
        <v>20</v>
      </c>
      <c r="M2692" t="s">
        <v>5553</v>
      </c>
      <c r="N2692" t="s">
        <v>14</v>
      </c>
    </row>
    <row r="2693" x14ac:dyDescent="0.25">
      <c r="A2693" t="n">
        <v>25</v>
      </c>
      <c r="B2693" t="s">
        <v>14</v>
      </c>
      <c r="C2693" t="s">
        <v>51</v>
      </c>
      <c r="D2693" s="2" t="s">
        <f>=HYPERLINK("https://main.knesset.gov.il/APPS/legislation/main/bills/2220396", "הצעת חוק משפחות חיילים שנספו במערכה (תגמולים ושיקום) (תיקון - הגדלת הטבות להנצחה), התשפ""ה-2024")</f>
        <v>5665</v>
      </c>
      <c r="E2693" t="s">
        <v>5665</v>
      </c>
      <c r="F2693" t="s">
        <v>5666</v>
      </c>
      <c r="G2693" t="s">
        <v>14</v>
      </c>
      <c r="H2693">
             </c>
      <c r="I2693" t="s">
        <v>14</v>
      </c>
      <c r="J2693" t="s">
        <v>242</v>
      </c>
      <c r="K2693" t="s">
        <v>14</v>
      </c>
      <c r="L2693" t="s">
        <v>20</v>
      </c>
      <c r="M2693" t="s">
        <v>5553</v>
      </c>
      <c r="N2693" t="s">
        <v>14</v>
      </c>
    </row>
    <row r="2694" x14ac:dyDescent="0.25">
      <c r="A2694" t="n">
        <v>25</v>
      </c>
      <c r="B2694" t="s">
        <v>14</v>
      </c>
      <c r="C2694" t="s">
        <v>51</v>
      </c>
      <c r="D2694" s="2" t="s">
        <f>=HYPERLINK("https://main.knesset.gov.il/APPS/legislation/main/bills/2221161", "הצעת חוק עידוד תרומות מזון (תיקון - הצלת מזון), התשפ""ה-2024")</f>
        <v>5667</v>
      </c>
      <c r="E2694" t="s">
        <v>5667</v>
      </c>
      <c r="F2694" t="s">
        <v>5668</v>
      </c>
      <c r="G2694" t="s">
        <v>14</v>
      </c>
      <c r="H2694">
             </c>
      <c r="I2694" t="s">
        <v>14</v>
      </c>
      <c r="J2694" t="s">
        <v>242</v>
      </c>
      <c r="K2694" t="s">
        <v>14</v>
      </c>
      <c r="L2694" t="s">
        <v>20</v>
      </c>
      <c r="M2694" t="s">
        <v>5553</v>
      </c>
      <c r="N2694" t="s">
        <v>14</v>
      </c>
    </row>
    <row r="2695" x14ac:dyDescent="0.25">
      <c r="A2695" t="n">
        <v>25</v>
      </c>
      <c r="B2695" t="s">
        <v>14</v>
      </c>
      <c r="C2695" t="s">
        <v>15</v>
      </c>
      <c r="D2695" s="2" t="s">
        <f>=HYPERLINK("https://main.knesset.gov.il/APPS/legislation/main/bills/2222373", "חוק הגנה על עובדים בשעת חירום (תיקון מס' 5 והוראת שעה - חרבות ברזל) (תיקון מס' 2), התשפ""ד-2024")</f>
        <v>5669</v>
      </c>
      <c r="E2695" t="s">
        <v>5669</v>
      </c>
      <c r="F2695" t="s">
        <v>14</v>
      </c>
      <c r="G2695" t="s">
        <v>5670</v>
      </c>
      <c r="H2695" t="n">
        <v>3294</v>
      </c>
      <c r="I2695" t="s">
        <v>14</v>
      </c>
      <c r="J2695" t="s">
        <v>18</v>
      </c>
      <c r="K2695" t="s">
        <v>46</v>
      </c>
      <c r="L2695" t="s">
        <v>20</v>
      </c>
      <c r="M2695" t="s">
        <v>5671</v>
      </c>
      <c r="N2695" t="s">
        <v>5672</v>
      </c>
    </row>
    <row r="2696" x14ac:dyDescent="0.25">
      <c r="A2696" t="n">
        <v>25</v>
      </c>
      <c r="B2696" t="s">
        <v>14</v>
      </c>
      <c r="C2696" t="s">
        <v>51</v>
      </c>
      <c r="D2696" s="2" t="s">
        <f>=HYPERLINK("https://main.knesset.gov.il/APPS/legislation/main/bills/2214645", "הצעת חוק להפסקת יחסי מדינת ישראל עם סוכנות הסעד והתעסוקה של האו""ם לפליטי פלסטין במזרח הקרוב (אונר""א) והכרזה עליה כארגון טרור, התשפ""ד-2024")</f>
        <v>5673</v>
      </c>
      <c r="E2696" t="s">
        <v>5673</v>
      </c>
      <c r="F2696" t="s">
        <v>5674</v>
      </c>
      <c r="G2696" t="s">
        <v>5562</v>
      </c>
      <c r="H2696">
             </c>
      <c r="I2696" t="s">
        <v>14</v>
      </c>
      <c r="J2696" t="s">
        <v>183</v>
      </c>
      <c r="K2696" t="s">
        <v>39</v>
      </c>
      <c r="L2696" t="s">
        <v>20</v>
      </c>
      <c r="M2696" t="s">
        <v>5675</v>
      </c>
      <c r="N2696" t="s">
        <v>14</v>
      </c>
    </row>
    <row r="2697" x14ac:dyDescent="0.25">
      <c r="A2697" t="n">
        <v>25</v>
      </c>
      <c r="B2697" t="s">
        <v>14</v>
      </c>
      <c r="C2697" t="s">
        <v>15</v>
      </c>
      <c r="D2697" s="2" t="s">
        <f>=HYPERLINK("https://main.knesset.gov.il/APPS/legislation/main/bills/2221953", "חוק הרבנות הראשית לישראל (הארכת כהונה של הרבנים הראשיים לישראל ושל חברי מועצת הרבנות הראשית לישראל והוראות נוספות) (הוראת שעה) (תיקון מס' 2), התשפ""ד-2024")</f>
        <v>5676</v>
      </c>
      <c r="E2697" t="s">
        <v>5676</v>
      </c>
      <c r="F2697" t="s">
        <v>14</v>
      </c>
      <c r="G2697" t="s">
        <v>5677</v>
      </c>
      <c r="H2697" t="n">
        <v>3293</v>
      </c>
      <c r="I2697" t="s">
        <v>14</v>
      </c>
      <c r="J2697" t="s">
        <v>18</v>
      </c>
      <c r="K2697" t="s">
        <v>27</v>
      </c>
      <c r="L2697" t="s">
        <v>20</v>
      </c>
      <c r="M2697" t="s">
        <v>5675</v>
      </c>
      <c r="N2697" t="s">
        <v>5678</v>
      </c>
    </row>
    <row r="2698" x14ac:dyDescent="0.25">
      <c r="A2698" t="n">
        <v>25</v>
      </c>
      <c r="B2698" t="s">
        <v>14</v>
      </c>
      <c r="C2698" t="s">
        <v>15</v>
      </c>
      <c r="D2698" s="2" t="s">
        <f>=HYPERLINK("https://main.knesset.gov.il/APPS/legislation/main/bills/2222023", "חוק תקציב נוסף לשנת הכספים 2024 (מס' 2), התשפ""ד-2024")</f>
        <v>5679</v>
      </c>
      <c r="E2698" t="s">
        <v>5679</v>
      </c>
      <c r="F2698" t="s">
        <v>14</v>
      </c>
      <c r="G2698" t="s">
        <v>5680</v>
      </c>
      <c r="H2698" t="n">
        <v>3292</v>
      </c>
      <c r="I2698" t="s">
        <v>14</v>
      </c>
      <c r="J2698" t="s">
        <v>18</v>
      </c>
      <c r="K2698" t="s">
        <v>24</v>
      </c>
      <c r="L2698" t="s">
        <v>20</v>
      </c>
      <c r="M2698" t="s">
        <v>5675</v>
      </c>
      <c r="N2698" t="s">
        <v>5681</v>
      </c>
    </row>
    <row r="2699" x14ac:dyDescent="0.25">
      <c r="A2699" t="n">
        <v>25</v>
      </c>
      <c r="B2699" t="s">
        <v>14</v>
      </c>
      <c r="C2699" t="s">
        <v>15</v>
      </c>
      <c r="D2699" s="2" t="s">
        <f>=HYPERLINK("https://main.knesset.gov.il/APPS/legislation/main/bills/2221978", "חוק הפחתת הגירעון והגבלת ההוצאה התקציבית (תיקון מס' 26), התשפ""ד-2024")</f>
        <v>5682</v>
      </c>
      <c r="E2699" t="s">
        <v>5682</v>
      </c>
      <c r="F2699" t="s">
        <v>14</v>
      </c>
      <c r="G2699" t="s">
        <v>5683</v>
      </c>
      <c r="H2699" t="n">
        <v>3291</v>
      </c>
      <c r="I2699" t="s">
        <v>14</v>
      </c>
      <c r="J2699" t="s">
        <v>18</v>
      </c>
      <c r="K2699" t="s">
        <v>24</v>
      </c>
      <c r="L2699" t="s">
        <v>20</v>
      </c>
      <c r="M2699" t="s">
        <v>5675</v>
      </c>
      <c r="N2699" t="s">
        <v>5684</v>
      </c>
    </row>
    <row r="2700" x14ac:dyDescent="0.25">
      <c r="A2700" t="n">
        <v>25</v>
      </c>
      <c r="B2700" t="s">
        <v>14</v>
      </c>
      <c r="C2700" t="s">
        <v>51</v>
      </c>
      <c r="D2700" s="2" t="s">
        <f>=HYPERLINK("https://main.knesset.gov.il/APPS/legislation/main/bills/2218161", "הצעת חוק זיכרון אירועי הטרור של כ""ב בתשרי (ה-7 באוקטובר) ומלחמת חרבות ברזל, התשפ""ד-2024")</f>
        <v>5685</v>
      </c>
      <c r="E2700" t="s">
        <v>5685</v>
      </c>
      <c r="F2700" t="s">
        <v>5686</v>
      </c>
      <c r="G2700" t="s">
        <v>14</v>
      </c>
      <c r="H2700">
             </c>
      <c r="I2700" t="s">
        <v>14</v>
      </c>
      <c r="J2700" t="s">
        <v>183</v>
      </c>
      <c r="K2700" t="s">
        <v>79</v>
      </c>
      <c r="L2700" t="s">
        <v>20</v>
      </c>
      <c r="M2700" t="s">
        <v>5687</v>
      </c>
      <c r="N2700" t="s">
        <v>14</v>
      </c>
    </row>
    <row r="2701" x14ac:dyDescent="0.25">
      <c r="A2701" t="n">
        <v>25</v>
      </c>
      <c r="B2701" t="s">
        <v>14</v>
      </c>
      <c r="C2701" t="s">
        <v>51</v>
      </c>
      <c r="D2701" s="2" t="s">
        <f>=HYPERLINK("https://main.knesset.gov.il/APPS/legislation/main/bills/2218306", "הצעת חוק זיכרון אירועי הטרור של כ""ב בתשרי (ה-7 באוקטובר) ומלחמת חרבות ברזל, התשפ""ד-2024")</f>
        <v>5685</v>
      </c>
      <c r="E2701" t="s">
        <v>5685</v>
      </c>
      <c r="F2701" t="s">
        <v>5688</v>
      </c>
      <c r="G2701" t="s">
        <v>14</v>
      </c>
      <c r="H2701">
             </c>
      <c r="I2701" t="s">
        <v>14</v>
      </c>
      <c r="J2701" t="s">
        <v>183</v>
      </c>
      <c r="K2701" t="s">
        <v>79</v>
      </c>
      <c r="L2701" t="s">
        <v>20</v>
      </c>
      <c r="M2701" t="s">
        <v>5687</v>
      </c>
      <c r="N2701" t="s">
        <v>14</v>
      </c>
    </row>
    <row r="2702" x14ac:dyDescent="0.25">
      <c r="A2702" t="n">
        <v>25</v>
      </c>
      <c r="B2702" t="s">
        <v>14</v>
      </c>
      <c r="C2702" t="s">
        <v>51</v>
      </c>
      <c r="D2702" s="2" t="s">
        <f>=HYPERLINK("https://main.knesset.gov.il/APPS/legislation/main/bills/2217833", "הצעת חוק זיכרון אירועי הטרור של כ""ב בתשרי (ה-7 באוקטובר) ומלחמת חרבות ברזל, התשפ""ד-2024")</f>
        <v>5685</v>
      </c>
      <c r="E2702" t="s">
        <v>5685</v>
      </c>
      <c r="F2702" t="s">
        <v>5689</v>
      </c>
      <c r="G2702" t="s">
        <v>14</v>
      </c>
      <c r="H2702">
             </c>
      <c r="I2702" t="s">
        <v>14</v>
      </c>
      <c r="J2702" t="s">
        <v>183</v>
      </c>
      <c r="K2702" t="s">
        <v>79</v>
      </c>
      <c r="L2702" t="s">
        <v>20</v>
      </c>
      <c r="M2702" t="s">
        <v>5687</v>
      </c>
      <c r="N2702" t="s">
        <v>14</v>
      </c>
    </row>
    <row r="2703" x14ac:dyDescent="0.25">
      <c r="A2703" t="n">
        <v>25</v>
      </c>
      <c r="B2703" t="s">
        <v>14</v>
      </c>
      <c r="C2703" t="s">
        <v>51</v>
      </c>
      <c r="D2703" s="2" t="s">
        <f>=HYPERLINK("https://main.knesset.gov.il/APPS/legislation/main/bills/2211021", "הצעת חוק זיכרון טבח ה-7 באוקטובר - יד עוטף ישראל, התשפ""ד-2023")</f>
        <v>5690</v>
      </c>
      <c r="E2703" t="s">
        <v>5690</v>
      </c>
      <c r="F2703" t="s">
        <v>5691</v>
      </c>
      <c r="G2703" t="s">
        <v>14</v>
      </c>
      <c r="H2703">
             </c>
      <c r="I2703" t="s">
        <v>14</v>
      </c>
      <c r="J2703" t="s">
        <v>183</v>
      </c>
      <c r="K2703" t="s">
        <v>79</v>
      </c>
      <c r="L2703" t="s">
        <v>20</v>
      </c>
      <c r="M2703" t="s">
        <v>5687</v>
      </c>
      <c r="N2703" t="s">
        <v>14</v>
      </c>
    </row>
    <row r="2704" x14ac:dyDescent="0.25">
      <c r="A2704" t="n">
        <v>25</v>
      </c>
      <c r="B2704" t="s">
        <v>14</v>
      </c>
      <c r="C2704" t="s">
        <v>51</v>
      </c>
      <c r="D2704" s="2" t="s">
        <f>=HYPERLINK("https://main.knesset.gov.il/APPS/legislation/main/bills/2201639", "הצעת חוק הסיוע המשפטי (תיקון - סיוע משפטי לתובע בהליך אזרחי), התשפ""ג-2023")</f>
        <v>5692</v>
      </c>
      <c r="E2704" t="s">
        <v>5692</v>
      </c>
      <c r="F2704" t="s">
        <v>5693</v>
      </c>
      <c r="G2704" t="s">
        <v>14</v>
      </c>
      <c r="H2704">
             </c>
      <c r="I2704" t="s">
        <v>14</v>
      </c>
      <c r="J2704" t="s">
        <v>183</v>
      </c>
      <c r="K2704" t="s">
        <v>27</v>
      </c>
      <c r="L2704" t="s">
        <v>20</v>
      </c>
      <c r="M2704" t="s">
        <v>5694</v>
      </c>
      <c r="N2704" t="s">
        <v>14</v>
      </c>
    </row>
    <row r="2705" x14ac:dyDescent="0.25">
      <c r="A2705" t="n">
        <v>25</v>
      </c>
      <c r="B2705" t="s">
        <v>14</v>
      </c>
      <c r="C2705" t="s">
        <v>51</v>
      </c>
      <c r="D2705" s="2" t="s">
        <f>=HYPERLINK("https://main.knesset.gov.il/APPS/legislation/main/bills/2213335", "הצעת חוק התכנון והבנייה (תיקון - הכללת בתים מאזנים בהיתר מגורים לחוסים), התשפ""ד-2024")</f>
        <v>5695</v>
      </c>
      <c r="E2705" t="s">
        <v>5695</v>
      </c>
      <c r="F2705" t="s">
        <v>5696</v>
      </c>
      <c r="G2705" t="s">
        <v>14</v>
      </c>
      <c r="H2705">
             </c>
      <c r="I2705" t="s">
        <v>14</v>
      </c>
      <c r="J2705" t="s">
        <v>183</v>
      </c>
      <c r="K2705" t="s">
        <v>30</v>
      </c>
      <c r="L2705" t="s">
        <v>20</v>
      </c>
      <c r="M2705" t="s">
        <v>5697</v>
      </c>
      <c r="N2705" t="s">
        <v>14</v>
      </c>
    </row>
    <row r="2706" x14ac:dyDescent="0.25">
      <c r="A2706" t="n">
        <v>25</v>
      </c>
      <c r="B2706" t="s">
        <v>14</v>
      </c>
      <c r="C2706" t="s">
        <v>15</v>
      </c>
      <c r="D2706" s="2" t="s">
        <f>=HYPERLINK("https://main.knesset.gov.il/APPS/legislation/main/bills/2221642", "הצעת חוק לתיקון פקודת מס הכנסה (מס' 274), התשפ""ד-2024")</f>
        <v>5698</v>
      </c>
      <c r="E2706" t="s">
        <v>5698</v>
      </c>
      <c r="F2706" t="s">
        <v>14</v>
      </c>
      <c r="G2706" t="s">
        <v>5699</v>
      </c>
      <c r="H2706">
             </c>
      <c r="I2706" t="s">
        <v>14</v>
      </c>
      <c r="J2706" t="s">
        <v>38</v>
      </c>
      <c r="K2706" t="s">
        <v>24</v>
      </c>
      <c r="L2706" t="s">
        <v>20</v>
      </c>
      <c r="M2706" t="s">
        <v>5700</v>
      </c>
      <c r="N2706" t="s">
        <v>14</v>
      </c>
    </row>
    <row r="2707" x14ac:dyDescent="0.25">
      <c r="A2707" t="n">
        <v>25</v>
      </c>
      <c r="B2707" t="s">
        <v>14</v>
      </c>
      <c r="C2707" t="s">
        <v>15</v>
      </c>
      <c r="D2707" s="2" t="s">
        <f>=HYPERLINK("https://main.knesset.gov.il/APPS/legislation/main/bills/2215020", "חוק החברות (תיקון מס' 37), התשפ""ד-2024")</f>
        <v>5701</v>
      </c>
      <c r="E2707" t="s">
        <v>5701</v>
      </c>
      <c r="F2707" t="s">
        <v>14</v>
      </c>
      <c r="G2707" t="s">
        <v>5702</v>
      </c>
      <c r="H2707" t="n">
        <v>3290</v>
      </c>
      <c r="I2707" t="s">
        <v>14</v>
      </c>
      <c r="J2707" t="s">
        <v>18</v>
      </c>
      <c r="K2707" t="s">
        <v>27</v>
      </c>
      <c r="L2707" t="s">
        <v>20</v>
      </c>
      <c r="M2707" t="s">
        <v>5703</v>
      </c>
      <c r="N2707" t="s">
        <v>5704</v>
      </c>
    </row>
    <row r="2708" x14ac:dyDescent="0.25">
      <c r="A2708" t="n">
        <v>25</v>
      </c>
      <c r="B2708" t="s">
        <v>14</v>
      </c>
      <c r="C2708" t="s">
        <v>51</v>
      </c>
      <c r="D2708" s="2" t="s">
        <f>=HYPERLINK("https://main.knesset.gov.il/APPS/legislation/main/bills/2210642", "חוק לתיקון פקודת בריאות העם (מס' 43), התשפ""ד–2024")</f>
        <v>5705</v>
      </c>
      <c r="E2708" t="s">
        <v>5705</v>
      </c>
      <c r="F2708" t="s">
        <v>5706</v>
      </c>
      <c r="G2708" t="s">
        <v>5707</v>
      </c>
      <c r="H2708" t="n">
        <v>3289</v>
      </c>
      <c r="I2708" t="s">
        <v>14</v>
      </c>
      <c r="J2708" t="s">
        <v>18</v>
      </c>
      <c r="K2708" t="s">
        <v>361</v>
      </c>
      <c r="L2708" t="s">
        <v>20</v>
      </c>
      <c r="M2708" t="s">
        <v>5703</v>
      </c>
      <c r="N2708" t="s">
        <v>5708</v>
      </c>
    </row>
    <row r="2709" x14ac:dyDescent="0.25">
      <c r="A2709" t="n">
        <v>25</v>
      </c>
      <c r="B2709" t="s">
        <v>14</v>
      </c>
      <c r="C2709" t="s">
        <v>15</v>
      </c>
      <c r="D2709" s="2" t="s">
        <f>=HYPERLINK("https://main.knesset.gov.il/APPS/legislation/main/bills/2219511", "חוק ההוצאה לפועל (תיקון מס' 77), התשפ""ד-2024 ")</f>
        <v>5709</v>
      </c>
      <c r="E2709" t="s">
        <v>5709</v>
      </c>
      <c r="F2709" t="s">
        <v>14</v>
      </c>
      <c r="G2709" t="s">
        <v>5710</v>
      </c>
      <c r="H2709" t="n">
        <v>3288</v>
      </c>
      <c r="I2709" t="s">
        <v>14</v>
      </c>
      <c r="J2709" t="s">
        <v>18</v>
      </c>
      <c r="K2709" t="s">
        <v>27</v>
      </c>
      <c r="L2709" t="s">
        <v>20</v>
      </c>
      <c r="M2709" t="s">
        <v>5703</v>
      </c>
      <c r="N2709" t="s">
        <v>5711</v>
      </c>
    </row>
    <row r="2710" x14ac:dyDescent="0.25">
      <c r="A2710" t="n">
        <v>25</v>
      </c>
      <c r="B2710" t="s">
        <v>14</v>
      </c>
      <c r="C2710" t="s">
        <v>15</v>
      </c>
      <c r="D2710" s="2" t="s">
        <f>=HYPERLINK("https://main.knesset.gov.il/APPS/legislation/main/bills/2167379", "הצעת חוק שירות לאומי-אזרחי (תיקון מס' 4), התשפ""ב-2021 ")</f>
        <v>5712</v>
      </c>
      <c r="E2710" t="s">
        <v>5712</v>
      </c>
      <c r="F2710" t="s">
        <v>14</v>
      </c>
      <c r="G2710" t="s">
        <v>5713</v>
      </c>
      <c r="H2710">
             </c>
      <c r="I2710" t="s">
        <v>3504</v>
      </c>
      <c r="J2710" t="s">
        <v>38</v>
      </c>
      <c r="K2710" t="s">
        <v>39</v>
      </c>
      <c r="L2710" t="s">
        <v>20</v>
      </c>
      <c r="M2710" t="s">
        <v>5714</v>
      </c>
      <c r="N2710" t="s">
        <v>14</v>
      </c>
    </row>
    <row r="2711" x14ac:dyDescent="0.25">
      <c r="A2711" t="n">
        <v>25</v>
      </c>
      <c r="B2711" t="s">
        <v>14</v>
      </c>
      <c r="C2711" t="s">
        <v>15</v>
      </c>
      <c r="D2711" s="2" t="s">
        <f>=HYPERLINK("https://main.knesset.gov.il/APPS/legislation/main/bills/2221065", "הצעת חוק לתיקון פקודת התעבורה (מס' 136), התשפ""ד-2024")</f>
        <v>5715</v>
      </c>
      <c r="E2711" t="s">
        <v>5715</v>
      </c>
      <c r="F2711" t="s">
        <v>14</v>
      </c>
      <c r="G2711" t="s">
        <v>5716</v>
      </c>
      <c r="H2711">
             </c>
      <c r="I2711" t="s">
        <v>14</v>
      </c>
      <c r="J2711" t="s">
        <v>5717</v>
      </c>
      <c r="K2711" t="s">
        <v>14</v>
      </c>
      <c r="L2711" t="s">
        <v>20</v>
      </c>
      <c r="M2711" t="s">
        <v>5718</v>
      </c>
      <c r="N2711" t="s">
        <v>14</v>
      </c>
    </row>
    <row r="2712" x14ac:dyDescent="0.25">
      <c r="A2712" t="n">
        <v>25</v>
      </c>
      <c r="B2712" t="s">
        <v>14</v>
      </c>
      <c r="C2712" t="s">
        <v>51</v>
      </c>
      <c r="D2712" s="2" t="s">
        <f>=HYPERLINK("https://main.knesset.gov.il/APPS/legislation/main/bills/2207777", "חוק הפצת שידורים באמצעות תחנות שידור ספרתיות (תיקון מס' 7 - הוראת שעה), התשפ""ד–2024")</f>
        <v>5719</v>
      </c>
      <c r="E2712" t="s">
        <v>5719</v>
      </c>
      <c r="F2712" t="s">
        <v>5720</v>
      </c>
      <c r="G2712" t="s">
        <v>5721</v>
      </c>
      <c r="H2712" t="n">
        <v>3285</v>
      </c>
      <c r="I2712" t="s">
        <v>14</v>
      </c>
      <c r="J2712" t="s">
        <v>18</v>
      </c>
      <c r="K2712" t="s">
        <v>84</v>
      </c>
      <c r="L2712" t="s">
        <v>20</v>
      </c>
      <c r="M2712" t="s">
        <v>5722</v>
      </c>
      <c r="N2712" t="s">
        <v>5723</v>
      </c>
    </row>
    <row r="2713" x14ac:dyDescent="0.25">
      <c r="A2713" t="n">
        <v>25</v>
      </c>
      <c r="B2713" t="s">
        <v>14</v>
      </c>
      <c r="C2713" t="s">
        <v>15</v>
      </c>
      <c r="D2713" s="2" t="s">
        <f>=HYPERLINK("https://main.knesset.gov.il/APPS/legislation/main/bills/2167975", "חוק הגנת הפרטיות (תיקון מס' 13), התשפ""ד-2024")</f>
        <v>5724</v>
      </c>
      <c r="E2713" t="s">
        <v>5724</v>
      </c>
      <c r="F2713" t="s">
        <v>14</v>
      </c>
      <c r="G2713" t="s">
        <v>5725</v>
      </c>
      <c r="H2713" t="n">
        <v>3287</v>
      </c>
      <c r="I2713" t="s">
        <v>14</v>
      </c>
      <c r="J2713" t="s">
        <v>18</v>
      </c>
      <c r="K2713" t="s">
        <v>27</v>
      </c>
      <c r="L2713" t="s">
        <v>20</v>
      </c>
      <c r="M2713" t="s">
        <v>5726</v>
      </c>
      <c r="N2713" t="s">
        <v>5727</v>
      </c>
    </row>
    <row r="2714" x14ac:dyDescent="0.25">
      <c r="A2714" t="n">
        <v>25</v>
      </c>
      <c r="B2714" t="s">
        <v>14</v>
      </c>
      <c r="C2714" t="s">
        <v>15</v>
      </c>
      <c r="D2714" s="2" t="s">
        <f>=HYPERLINK("https://main.knesset.gov.il/APPS/legislation/main/bills/2217172", "חוק התקנים (תיקון מס' 19), התשפ""ד-2024")</f>
        <v>5728</v>
      </c>
      <c r="E2714" t="s">
        <v>5728</v>
      </c>
      <c r="F2714" t="s">
        <v>14</v>
      </c>
      <c r="G2714" t="s">
        <v>5729</v>
      </c>
      <c r="H2714" t="n">
        <v>3286</v>
      </c>
      <c r="I2714" t="s">
        <v>14</v>
      </c>
      <c r="J2714" t="s">
        <v>18</v>
      </c>
      <c r="K2714" t="s">
        <v>84</v>
      </c>
      <c r="L2714" t="s">
        <v>20</v>
      </c>
      <c r="M2714" t="s">
        <v>5726</v>
      </c>
      <c r="N2714" t="s">
        <v>5730</v>
      </c>
    </row>
    <row r="2715" x14ac:dyDescent="0.25">
      <c r="A2715" t="n">
        <v>25</v>
      </c>
      <c r="B2715" t="s">
        <v>14</v>
      </c>
      <c r="C2715" t="s">
        <v>15</v>
      </c>
      <c r="D2715" s="2" t="s">
        <f>=HYPERLINK("https://main.knesset.gov.il/APPS/legislation/main/bills/2219131", "חוק הכשרות המשפטית והאפוטרופסות (תיקון מס' 21), התשפ""ד-2024")</f>
        <v>5731</v>
      </c>
      <c r="E2715" t="s">
        <v>5731</v>
      </c>
      <c r="F2715" t="s">
        <v>14</v>
      </c>
      <c r="G2715" t="s">
        <v>5732</v>
      </c>
      <c r="H2715" t="n">
        <v>3284</v>
      </c>
      <c r="I2715" t="s">
        <v>14</v>
      </c>
      <c r="J2715" t="s">
        <v>18</v>
      </c>
      <c r="K2715" t="s">
        <v>27</v>
      </c>
      <c r="L2715" t="s">
        <v>20</v>
      </c>
      <c r="M2715" t="s">
        <v>5726</v>
      </c>
      <c r="N2715" t="s">
        <v>5733</v>
      </c>
    </row>
    <row r="2716" x14ac:dyDescent="0.25">
      <c r="A2716" t="n">
        <v>25</v>
      </c>
      <c r="B2716" t="s">
        <v>14</v>
      </c>
      <c r="C2716" t="s">
        <v>15</v>
      </c>
      <c r="D2716" s="2" t="s">
        <f>=HYPERLINK("https://main.knesset.gov.il/APPS/legislation/main/bills/2206205", "חוק בתי דין רבניים (קיום פסקי דין של גירושין) (תיקון מס' 9), התשפ""ד-2024")</f>
        <v>5734</v>
      </c>
      <c r="E2716" t="s">
        <v>5734</v>
      </c>
      <c r="F2716" t="s">
        <v>14</v>
      </c>
      <c r="G2716" t="s">
        <v>5735</v>
      </c>
      <c r="H2716" t="n">
        <v>3283</v>
      </c>
      <c r="I2716" t="s">
        <v>14</v>
      </c>
      <c r="J2716" t="s">
        <v>18</v>
      </c>
      <c r="K2716" t="s">
        <v>27</v>
      </c>
      <c r="L2716" t="s">
        <v>20</v>
      </c>
      <c r="M2716" t="s">
        <v>5726</v>
      </c>
      <c r="N2716" t="s">
        <v>5736</v>
      </c>
    </row>
    <row r="2717" x14ac:dyDescent="0.25">
      <c r="A2717" t="n">
        <v>25</v>
      </c>
      <c r="B2717" t="s">
        <v>14</v>
      </c>
      <c r="C2717" t="s">
        <v>51</v>
      </c>
      <c r="D2717" s="2" t="s">
        <f>=HYPERLINK("https://main.knesset.gov.il/APPS/legislation/main/bills/2208571", "חוק לשכת עורכי הדין (תיקון מס' 44), התשפ""ד–2024")</f>
        <v>5737</v>
      </c>
      <c r="E2717" t="s">
        <v>5737</v>
      </c>
      <c r="F2717" t="s">
        <v>5738</v>
      </c>
      <c r="G2717" t="s">
        <v>5739</v>
      </c>
      <c r="H2717" t="n">
        <v>3282</v>
      </c>
      <c r="I2717" t="s">
        <v>14</v>
      </c>
      <c r="J2717" t="s">
        <v>18</v>
      </c>
      <c r="K2717" t="s">
        <v>27</v>
      </c>
      <c r="L2717" t="s">
        <v>20</v>
      </c>
      <c r="M2717" t="s">
        <v>5726</v>
      </c>
      <c r="N2717" t="s">
        <v>5740</v>
      </c>
    </row>
    <row r="2718" x14ac:dyDescent="0.25">
      <c r="A2718" t="n">
        <v>25</v>
      </c>
      <c r="B2718" t="s">
        <v>14</v>
      </c>
      <c r="C2718" t="s">
        <v>15</v>
      </c>
      <c r="D2718" s="2" t="s">
        <f>=HYPERLINK("https://main.knesset.gov.il/APPS/legislation/main/bills/2219355", "חוק התכנון והבנייה (תיקון מס' 156 - הוראת שעה), התשפ""ד-2024 ")</f>
        <v>5741</v>
      </c>
      <c r="E2718" t="s">
        <v>5741</v>
      </c>
      <c r="F2718" t="s">
        <v>14</v>
      </c>
      <c r="G2718" t="s">
        <v>5742</v>
      </c>
      <c r="H2718" t="n">
        <v>3281</v>
      </c>
      <c r="I2718" t="s">
        <v>14</v>
      </c>
      <c r="J2718" t="s">
        <v>18</v>
      </c>
      <c r="K2718" t="s">
        <v>30</v>
      </c>
      <c r="L2718" t="s">
        <v>20</v>
      </c>
      <c r="M2718" t="s">
        <v>5726</v>
      </c>
      <c r="N2718" t="s">
        <v>5743</v>
      </c>
    </row>
    <row r="2719" x14ac:dyDescent="0.25">
      <c r="A2719" t="n">
        <v>25</v>
      </c>
      <c r="B2719" t="s">
        <v>14</v>
      </c>
      <c r="C2719" t="s">
        <v>15</v>
      </c>
      <c r="D2719" s="2" t="s">
        <f>=HYPERLINK("https://main.knesset.gov.il/APPS/legislation/main/bills/2217762", "חוק פיצויי פיטורים (תיקון מס' 34 – הוראת שעה – חרבות ברזל), התשפ""ד-2024")</f>
        <v>5744</v>
      </c>
      <c r="E2719" t="s">
        <v>5744</v>
      </c>
      <c r="F2719" t="s">
        <v>14</v>
      </c>
      <c r="G2719" t="s">
        <v>5745</v>
      </c>
      <c r="H2719" t="n">
        <v>3280</v>
      </c>
      <c r="I2719" t="s">
        <v>14</v>
      </c>
      <c r="J2719" t="s">
        <v>18</v>
      </c>
      <c r="K2719" t="s">
        <v>46</v>
      </c>
      <c r="L2719" t="s">
        <v>20</v>
      </c>
      <c r="M2719" t="s">
        <v>5726</v>
      </c>
      <c r="N2719" t="s">
        <v>5746</v>
      </c>
    </row>
    <row r="2720" x14ac:dyDescent="0.25">
      <c r="A2720" t="n">
        <v>25</v>
      </c>
      <c r="B2720" t="s">
        <v>14</v>
      </c>
      <c r="C2720" t="s">
        <v>15</v>
      </c>
      <c r="D2720" s="2" t="s">
        <f>=HYPERLINK("https://main.knesset.gov.il/APPS/legislation/main/bills/2204246", "חוק התכנון והבנייה (תיקון מס' 155), התשפ""ד-2024")</f>
        <v>5747</v>
      </c>
      <c r="E2720" t="s">
        <v>5747</v>
      </c>
      <c r="F2720" t="s">
        <v>14</v>
      </c>
      <c r="G2720" t="s">
        <v>81</v>
      </c>
      <c r="H2720" t="n">
        <v>3279</v>
      </c>
      <c r="I2720" t="s">
        <v>14</v>
      </c>
      <c r="J2720" t="s">
        <v>18</v>
      </c>
      <c r="K2720" t="s">
        <v>30</v>
      </c>
      <c r="L2720" t="s">
        <v>20</v>
      </c>
      <c r="M2720" t="s">
        <v>5726</v>
      </c>
      <c r="N2720" t="s">
        <v>5748</v>
      </c>
    </row>
    <row r="2721" x14ac:dyDescent="0.25">
      <c r="A2721" t="n">
        <v>25</v>
      </c>
      <c r="B2721" t="s">
        <v>14</v>
      </c>
      <c r="C2721" t="s">
        <v>20</v>
      </c>
      <c r="D2721" s="2" t="s">
        <f>=HYPERLINK("https://main.knesset.gov.il/APPS/legislation/main/bills/2219307", "הצעת חוק-יסוד: הממשלה (תיקון מס' 17) (ביטול ממשלת חילופים)")</f>
        <v>5749</v>
      </c>
      <c r="E2721" t="s">
        <v>5749</v>
      </c>
      <c r="F2721" t="s">
        <v>14</v>
      </c>
      <c r="G2721" t="s">
        <v>3512</v>
      </c>
      <c r="H2721">
             </c>
      <c r="I2721" t="s">
        <v>14</v>
      </c>
      <c r="J2721" t="s">
        <v>334</v>
      </c>
      <c r="K2721" t="s">
        <v>27</v>
      </c>
      <c r="L2721" t="s">
        <v>20</v>
      </c>
      <c r="M2721" t="s">
        <v>5726</v>
      </c>
      <c r="N2721" t="s">
        <v>14</v>
      </c>
    </row>
    <row r="2722" x14ac:dyDescent="0.25">
      <c r="A2722" t="n">
        <v>25</v>
      </c>
      <c r="B2722" t="s">
        <v>14</v>
      </c>
      <c r="C2722" t="s">
        <v>15</v>
      </c>
      <c r="D2722" s="2" t="s">
        <f>=HYPERLINK("https://main.knesset.gov.il/APPS/legislation/main/bills/2208658", "חוק סיוע לסטודנטים ששירתו במילואים (תיקוני חקיקה והוראת שעה), התשפ""ד-2024")</f>
        <v>5750</v>
      </c>
      <c r="E2722" t="s">
        <v>5750</v>
      </c>
      <c r="F2722" t="s">
        <v>14</v>
      </c>
      <c r="G2722" t="s">
        <v>5751</v>
      </c>
      <c r="H2722" t="n">
        <v>3196</v>
      </c>
      <c r="I2722" t="s">
        <v>14</v>
      </c>
      <c r="J2722" t="s">
        <v>18</v>
      </c>
      <c r="K2722" t="s">
        <v>79</v>
      </c>
      <c r="L2722" t="s">
        <v>20</v>
      </c>
      <c r="M2722" t="s">
        <v>5752</v>
      </c>
      <c r="N2722" t="s">
        <v>5753</v>
      </c>
    </row>
    <row r="2723" x14ac:dyDescent="0.25">
      <c r="A2723" t="n">
        <v>25</v>
      </c>
      <c r="B2723" t="s">
        <v>14</v>
      </c>
      <c r="C2723" t="s">
        <v>15</v>
      </c>
      <c r="D2723" s="2" t="s">
        <f>=HYPERLINK("https://main.knesset.gov.il/APPS/legislation/main/bills/2221017", "חוק כליאתם של לוחמים בלתי חוקיים (תיקון מס' 4 והוראת שעה – חרבות ברזל) (תיקון מס' 2), התשפ""ד-2024")</f>
        <v>5754</v>
      </c>
      <c r="E2723" t="s">
        <v>5754</v>
      </c>
      <c r="F2723" t="s">
        <v>14</v>
      </c>
      <c r="G2723" t="s">
        <v>5755</v>
      </c>
      <c r="H2723" t="n">
        <v>3273</v>
      </c>
      <c r="I2723" t="s">
        <v>14</v>
      </c>
      <c r="J2723" t="s">
        <v>18</v>
      </c>
      <c r="K2723" t="s">
        <v>39</v>
      </c>
      <c r="L2723" t="s">
        <v>20</v>
      </c>
      <c r="M2723" t="s">
        <v>5756</v>
      </c>
      <c r="N2723" t="s">
        <v>5757</v>
      </c>
    </row>
    <row r="2724" x14ac:dyDescent="0.25">
      <c r="A2724" t="n">
        <v>25</v>
      </c>
      <c r="B2724" t="s">
        <v>14</v>
      </c>
      <c r="C2724" t="s">
        <v>15</v>
      </c>
      <c r="D2724" s="2" t="s">
        <f>=HYPERLINK("https://main.knesset.gov.il/APPS/legislation/main/bills/2221130", "חוק לתיקון פקודת בתי הסוהר (הוראת שעה), התשפ""ד-2024")</f>
        <v>5758</v>
      </c>
      <c r="E2724" t="s">
        <v>5758</v>
      </c>
      <c r="F2724" t="s">
        <v>14</v>
      </c>
      <c r="G2724" t="s">
        <v>5759</v>
      </c>
      <c r="H2724" t="n">
        <v>3272</v>
      </c>
      <c r="I2724" t="s">
        <v>14</v>
      </c>
      <c r="J2724" t="s">
        <v>18</v>
      </c>
      <c r="K2724" t="s">
        <v>19</v>
      </c>
      <c r="L2724" t="s">
        <v>20</v>
      </c>
      <c r="M2724" t="s">
        <v>5756</v>
      </c>
      <c r="N2724" t="s">
        <v>5760</v>
      </c>
    </row>
    <row r="2725" x14ac:dyDescent="0.25">
      <c r="A2725" t="n">
        <v>25</v>
      </c>
      <c r="B2725" t="s">
        <v>14</v>
      </c>
      <c r="C2725" t="s">
        <v>15</v>
      </c>
      <c r="D2725" s="2" t="s">
        <f>=HYPERLINK("https://main.knesset.gov.il/APPS/legislation/main/bills/2221064", "חוק הביטוח הלאומי (תיקון מס' 248), התשפ""ד-2024")</f>
        <v>5761</v>
      </c>
      <c r="E2725" t="s">
        <v>5761</v>
      </c>
      <c r="F2725" t="s">
        <v>14</v>
      </c>
      <c r="G2725" t="s">
        <v>5762</v>
      </c>
      <c r="H2725" t="n">
        <v>3271</v>
      </c>
      <c r="I2725" t="s">
        <v>14</v>
      </c>
      <c r="J2725" t="s">
        <v>18</v>
      </c>
      <c r="K2725" t="s">
        <v>46</v>
      </c>
      <c r="L2725" t="s">
        <v>20</v>
      </c>
      <c r="M2725" t="s">
        <v>5756</v>
      </c>
      <c r="N2725" t="s">
        <v>5763</v>
      </c>
    </row>
    <row r="2726" x14ac:dyDescent="0.25">
      <c r="A2726" t="n">
        <v>25</v>
      </c>
      <c r="B2726" t="s">
        <v>14</v>
      </c>
      <c r="C2726" t="s">
        <v>15</v>
      </c>
      <c r="D2726" s="2" t="s">
        <f>=HYPERLINK("https://main.knesset.gov.il/APPS/legislation/main/bills/2165824", "חוק הפרות תעבורה מינהליות, התשפ""ד-2024")</f>
        <v>5764</v>
      </c>
      <c r="E2726" t="s">
        <v>5764</v>
      </c>
      <c r="F2726" t="s">
        <v>14</v>
      </c>
      <c r="G2726" t="s">
        <v>5765</v>
      </c>
      <c r="H2726" t="n">
        <v>3278</v>
      </c>
      <c r="I2726" t="s">
        <v>14</v>
      </c>
      <c r="J2726" t="s">
        <v>18</v>
      </c>
      <c r="K2726" t="s">
        <v>84</v>
      </c>
      <c r="L2726" t="s">
        <v>20</v>
      </c>
      <c r="M2726" t="s">
        <v>5766</v>
      </c>
      <c r="N2726" t="s">
        <v>5767</v>
      </c>
    </row>
    <row r="2727" x14ac:dyDescent="0.25">
      <c r="A2727" t="n">
        <v>25</v>
      </c>
      <c r="B2727" t="s">
        <v>14</v>
      </c>
      <c r="C2727" t="s">
        <v>15</v>
      </c>
      <c r="D2727" s="2" t="s">
        <f>=HYPERLINK("https://main.knesset.gov.il/APPS/legislation/main/bills/2162982", "חוק רכבת תחתית (מטרו) (תיקון מס' 4), התשפ""ד-2024 ")</f>
        <v>5768</v>
      </c>
      <c r="E2727" t="s">
        <v>5768</v>
      </c>
      <c r="F2727" t="s">
        <v>14</v>
      </c>
      <c r="G2727" t="s">
        <v>5769</v>
      </c>
      <c r="H2727" t="n">
        <v>3277</v>
      </c>
      <c r="I2727" t="s">
        <v>14</v>
      </c>
      <c r="J2727" t="s">
        <v>18</v>
      </c>
      <c r="K2727" t="s">
        <v>30</v>
      </c>
      <c r="L2727" t="s">
        <v>20</v>
      </c>
      <c r="M2727" t="s">
        <v>5766</v>
      </c>
      <c r="N2727" t="s">
        <v>5770</v>
      </c>
    </row>
    <row r="2728" x14ac:dyDescent="0.25">
      <c r="A2728" t="n">
        <v>25</v>
      </c>
      <c r="B2728" t="s">
        <v>14</v>
      </c>
      <c r="C2728" t="s">
        <v>15</v>
      </c>
      <c r="D2728" s="2" t="s">
        <f>=HYPERLINK("https://main.knesset.gov.il/APPS/legislation/main/bills/2217171", "חוק הגנה על בריאות הציבור (מזון) (תיקון מס' 10 והוראת שעה), התשפ""ד-2024")</f>
        <v>5771</v>
      </c>
      <c r="E2728" t="s">
        <v>5771</v>
      </c>
      <c r="F2728" t="s">
        <v>14</v>
      </c>
      <c r="G2728" t="s">
        <v>5772</v>
      </c>
      <c r="H2728" t="n">
        <v>3276</v>
      </c>
      <c r="I2728" t="s">
        <v>14</v>
      </c>
      <c r="J2728" t="s">
        <v>18</v>
      </c>
      <c r="K2728" t="s">
        <v>361</v>
      </c>
      <c r="L2728" t="s">
        <v>20</v>
      </c>
      <c r="M2728" t="s">
        <v>5766</v>
      </c>
      <c r="N2728" t="s">
        <v>5773</v>
      </c>
    </row>
    <row r="2729" x14ac:dyDescent="0.25">
      <c r="A2729" t="n">
        <v>25</v>
      </c>
      <c r="B2729" t="s">
        <v>14</v>
      </c>
      <c r="C2729" t="s">
        <v>15</v>
      </c>
      <c r="D2729" s="2" t="s">
        <f>=HYPERLINK("https://main.knesset.gov.il/APPS/legislation/main/bills/2218977", "חוק לתיקון פקודת הרוקחים (תיקון מס' 37), התשפ""ד-2024")</f>
        <v>5774</v>
      </c>
      <c r="E2729" t="s">
        <v>5774</v>
      </c>
      <c r="F2729" t="s">
        <v>14</v>
      </c>
      <c r="G2729" t="s">
        <v>5775</v>
      </c>
      <c r="H2729" t="n">
        <v>3275</v>
      </c>
      <c r="I2729" t="s">
        <v>14</v>
      </c>
      <c r="J2729" t="s">
        <v>18</v>
      </c>
      <c r="K2729" t="s">
        <v>361</v>
      </c>
      <c r="L2729" t="s">
        <v>20</v>
      </c>
      <c r="M2729" t="s">
        <v>5766</v>
      </c>
      <c r="N2729" t="s">
        <v>5776</v>
      </c>
    </row>
    <row r="2730" x14ac:dyDescent="0.25">
      <c r="A2730" t="n">
        <v>25</v>
      </c>
      <c r="B2730" t="s">
        <v>14</v>
      </c>
      <c r="C2730" t="s">
        <v>15</v>
      </c>
      <c r="D2730" s="2" t="s">
        <f>=HYPERLINK("https://main.knesset.gov.il/APPS/legislation/main/bills/2169199", "חוק הסיוע המשפטי (תיקון מס' 26 והוראת שעה), התשפ""ד-2024")</f>
        <v>5777</v>
      </c>
      <c r="E2730" t="s">
        <v>5777</v>
      </c>
      <c r="F2730" t="s">
        <v>14</v>
      </c>
      <c r="G2730" t="s">
        <v>5778</v>
      </c>
      <c r="H2730" t="n">
        <v>3274</v>
      </c>
      <c r="I2730" t="s">
        <v>14</v>
      </c>
      <c r="J2730" t="s">
        <v>18</v>
      </c>
      <c r="K2730" t="s">
        <v>27</v>
      </c>
      <c r="L2730" t="s">
        <v>20</v>
      </c>
      <c r="M2730" t="s">
        <v>5766</v>
      </c>
      <c r="N2730" t="s">
        <v>5779</v>
      </c>
    </row>
    <row r="2731" x14ac:dyDescent="0.25">
      <c r="A2731" t="n">
        <v>25</v>
      </c>
      <c r="B2731" t="s">
        <v>14</v>
      </c>
      <c r="C2731" t="s">
        <v>51</v>
      </c>
      <c r="D2731" s="2" t="s">
        <f>=HYPERLINK("https://main.knesset.gov.il/APPS/legislation/main/bills/2189724", "חוק התקשורת (בזק ושידורים) (תיקון מס' 79), התשפ""ד–2024")</f>
        <v>5780</v>
      </c>
      <c r="E2731" t="s">
        <v>5780</v>
      </c>
      <c r="F2731" t="s">
        <v>5781</v>
      </c>
      <c r="G2731" t="s">
        <v>5782</v>
      </c>
      <c r="H2731" t="n">
        <v>3270</v>
      </c>
      <c r="I2731" t="s">
        <v>14</v>
      </c>
      <c r="J2731" t="s">
        <v>18</v>
      </c>
      <c r="K2731" t="s">
        <v>84</v>
      </c>
      <c r="L2731" t="s">
        <v>20</v>
      </c>
      <c r="M2731" t="s">
        <v>5766</v>
      </c>
      <c r="N2731" t="s">
        <v>5783</v>
      </c>
    </row>
    <row r="2732" x14ac:dyDescent="0.25">
      <c r="A2732" t="n">
        <v>25</v>
      </c>
      <c r="B2732" t="s">
        <v>14</v>
      </c>
      <c r="C2732" t="s">
        <v>15</v>
      </c>
      <c r="D2732" s="2" t="s">
        <f>=HYPERLINK("https://main.knesset.gov.il/APPS/legislation/main/bills/2219315", "חוק הספריות הציבוריות, התשפ""ד-2024 ")</f>
        <v>5784</v>
      </c>
      <c r="E2732" t="s">
        <v>5784</v>
      </c>
      <c r="F2732" t="s">
        <v>14</v>
      </c>
      <c r="G2732" t="s">
        <v>5785</v>
      </c>
      <c r="H2732" t="n">
        <v>3269</v>
      </c>
      <c r="I2732" t="s">
        <v>14</v>
      </c>
      <c r="J2732" t="s">
        <v>18</v>
      </c>
      <c r="K2732" t="s">
        <v>79</v>
      </c>
      <c r="L2732" t="s">
        <v>20</v>
      </c>
      <c r="M2732" t="s">
        <v>5766</v>
      </c>
      <c r="N2732" t="s">
        <v>5786</v>
      </c>
    </row>
    <row r="2733" x14ac:dyDescent="0.25">
      <c r="A2733" t="n">
        <v>25</v>
      </c>
      <c r="B2733" t="s">
        <v>14</v>
      </c>
      <c r="C2733" t="s">
        <v>15</v>
      </c>
      <c r="D2733" s="2" t="s">
        <f>=HYPERLINK("https://main.knesset.gov.il/APPS/legislation/main/bills/2220811", "חוק הרשות השנייה לטלוויזיה ורדיו (תיקון מס' 49), התשפ""ד-2024")</f>
        <v>5787</v>
      </c>
      <c r="E2733" t="s">
        <v>5787</v>
      </c>
      <c r="F2733" t="s">
        <v>14</v>
      </c>
      <c r="G2733" t="s">
        <v>5788</v>
      </c>
      <c r="H2733" t="n">
        <v>3268</v>
      </c>
      <c r="I2733" t="s">
        <v>14</v>
      </c>
      <c r="J2733" t="s">
        <v>18</v>
      </c>
      <c r="K2733" t="s">
        <v>84</v>
      </c>
      <c r="L2733" t="s">
        <v>20</v>
      </c>
      <c r="M2733" t="s">
        <v>5766</v>
      </c>
      <c r="N2733" t="s">
        <v>5789</v>
      </c>
    </row>
    <row r="2734" x14ac:dyDescent="0.25">
      <c r="A2734" t="n">
        <v>25</v>
      </c>
      <c r="B2734" t="s">
        <v>14</v>
      </c>
      <c r="C2734" t="s">
        <v>51</v>
      </c>
      <c r="D2734" s="2" t="s">
        <f>=HYPERLINK("https://main.knesset.gov.il/APPS/legislation/main/bills/2220911", "הצעת חוק שירות ביטחון (תיקון - תגמול לחיילים סדירים בסוף שירותם בתנאי קבע) (הוראת שעה), התשפ""ד-2024")</f>
        <v>5790</v>
      </c>
      <c r="E2734" t="s">
        <v>5790</v>
      </c>
      <c r="F2734" t="s">
        <v>5791</v>
      </c>
      <c r="G2734" t="s">
        <v>14</v>
      </c>
      <c r="H2734">
             </c>
      <c r="I2734" t="s">
        <v>14</v>
      </c>
      <c r="J2734" t="s">
        <v>242</v>
      </c>
      <c r="K2734" t="s">
        <v>14</v>
      </c>
      <c r="L2734" t="s">
        <v>20</v>
      </c>
      <c r="M2734" t="s">
        <v>5766</v>
      </c>
      <c r="N2734" t="s">
        <v>14</v>
      </c>
    </row>
    <row r="2735" x14ac:dyDescent="0.25">
      <c r="A2735" t="n">
        <v>25</v>
      </c>
      <c r="B2735" t="s">
        <v>14</v>
      </c>
      <c r="C2735" t="s">
        <v>51</v>
      </c>
      <c r="D2735" s="2" t="s">
        <f>=HYPERLINK("https://main.knesset.gov.il/APPS/legislation/main/bills/2220813", "הצעת חוק לתיקון פקודת המסים (גבייה) (חובת איתור חייבים), התשפ""ד-2024")</f>
        <v>5792</v>
      </c>
      <c r="E2735" t="s">
        <v>5792</v>
      </c>
      <c r="F2735" t="s">
        <v>5793</v>
      </c>
      <c r="G2735" t="s">
        <v>14</v>
      </c>
      <c r="H2735">
             </c>
      <c r="I2735" t="s">
        <v>14</v>
      </c>
      <c r="J2735" t="s">
        <v>242</v>
      </c>
      <c r="K2735" t="s">
        <v>14</v>
      </c>
      <c r="L2735" t="s">
        <v>20</v>
      </c>
      <c r="M2735" t="s">
        <v>5766</v>
      </c>
      <c r="N2735" t="s">
        <v>14</v>
      </c>
    </row>
    <row r="2736" x14ac:dyDescent="0.25">
      <c r="A2736" t="n">
        <v>25</v>
      </c>
      <c r="B2736" t="s">
        <v>14</v>
      </c>
      <c r="C2736" t="s">
        <v>51</v>
      </c>
      <c r="D2736" s="2" t="s">
        <f>=HYPERLINK("https://main.knesset.gov.il/APPS/legislation/main/bills/2220957", "הצעת חוק להטמעת מורשת יהדות ספרד והמזרח במערכת החינוך וההשכלה הגבוהה, התשפ""ד-2024")</f>
        <v>5794</v>
      </c>
      <c r="E2736" t="s">
        <v>5794</v>
      </c>
      <c r="F2736" t="s">
        <v>5795</v>
      </c>
      <c r="G2736" t="s">
        <v>14</v>
      </c>
      <c r="H2736">
             </c>
      <c r="I2736" t="s">
        <v>14</v>
      </c>
      <c r="J2736" t="s">
        <v>242</v>
      </c>
      <c r="K2736" t="s">
        <v>14</v>
      </c>
      <c r="L2736" t="s">
        <v>20</v>
      </c>
      <c r="M2736" t="s">
        <v>5766</v>
      </c>
      <c r="N2736" t="s">
        <v>14</v>
      </c>
    </row>
    <row r="2737" x14ac:dyDescent="0.25">
      <c r="A2737" t="n">
        <v>25</v>
      </c>
      <c r="B2737" t="s">
        <v>14</v>
      </c>
      <c r="C2737" t="s">
        <v>51</v>
      </c>
      <c r="D2737" s="2" t="s">
        <f>=HYPERLINK("https://main.knesset.gov.il/APPS/legislation/main/bills/2220954", "הצעת חוק זכויות הסטודנט (תיקון - הרחקת סטודנטים תומכי טרור ממוסד לימוד ופירוק תאים תומכי טרור), התשפ""ד-2024")</f>
        <v>5796</v>
      </c>
      <c r="E2737" t="s">
        <v>5796</v>
      </c>
      <c r="F2737" t="s">
        <v>5797</v>
      </c>
      <c r="G2737" t="s">
        <v>14</v>
      </c>
      <c r="H2737">
             </c>
      <c r="I2737" t="s">
        <v>14</v>
      </c>
      <c r="J2737" t="s">
        <v>242</v>
      </c>
      <c r="K2737" t="s">
        <v>14</v>
      </c>
      <c r="L2737" t="s">
        <v>20</v>
      </c>
      <c r="M2737" t="s">
        <v>5766</v>
      </c>
      <c r="N2737" t="s">
        <v>14</v>
      </c>
    </row>
    <row r="2738" x14ac:dyDescent="0.25">
      <c r="A2738" t="n">
        <v>25</v>
      </c>
      <c r="B2738" t="s">
        <v>14</v>
      </c>
      <c r="C2738" t="s">
        <v>51</v>
      </c>
      <c r="D2738" s="2" t="s">
        <f>=HYPERLINK("https://main.knesset.gov.il/APPS/legislation/main/bills/2221115", "הצעת חוק מגבלות על חזרתו של עבריין מין לסביבת נפגע העבירה (תיקון - הגדרת גילו של העבריין), התשפ""ד-2024")</f>
        <v>5798</v>
      </c>
      <c r="E2738" t="s">
        <v>5798</v>
      </c>
      <c r="F2738" t="s">
        <v>5799</v>
      </c>
      <c r="G2738" t="s">
        <v>14</v>
      </c>
      <c r="H2738">
             </c>
      <c r="I2738" t="s">
        <v>14</v>
      </c>
      <c r="J2738" t="s">
        <v>242</v>
      </c>
      <c r="K2738" t="s">
        <v>14</v>
      </c>
      <c r="L2738" t="s">
        <v>20</v>
      </c>
      <c r="M2738" t="s">
        <v>5766</v>
      </c>
      <c r="N2738" t="s">
        <v>14</v>
      </c>
    </row>
    <row r="2739" x14ac:dyDescent="0.25">
      <c r="A2739" t="n">
        <v>25</v>
      </c>
      <c r="B2739" t="s">
        <v>14</v>
      </c>
      <c r="C2739" t="s">
        <v>51</v>
      </c>
      <c r="D2739" s="2" t="s">
        <f>=HYPERLINK("https://main.knesset.gov.il/APPS/legislation/main/bills/2220951", "הצעת חוק זכויות הסטודנט (תיקון - העדפה מתקנת ללוחמים), התשפ""ד-2024")</f>
        <v>5475</v>
      </c>
      <c r="E2739" t="s">
        <v>5475</v>
      </c>
      <c r="F2739" t="s">
        <v>5800</v>
      </c>
      <c r="G2739" t="s">
        <v>14</v>
      </c>
      <c r="H2739">
             </c>
      <c r="I2739" t="s">
        <v>14</v>
      </c>
      <c r="J2739" t="s">
        <v>242</v>
      </c>
      <c r="K2739" t="s">
        <v>14</v>
      </c>
      <c r="L2739" t="s">
        <v>20</v>
      </c>
      <c r="M2739" t="s">
        <v>5766</v>
      </c>
      <c r="N2739" t="s">
        <v>14</v>
      </c>
    </row>
    <row r="2740" x14ac:dyDescent="0.25">
      <c r="A2740" t="n">
        <v>25</v>
      </c>
      <c r="B2740" t="s">
        <v>14</v>
      </c>
      <c r="C2740" t="s">
        <v>51</v>
      </c>
      <c r="D2740" s="2" t="s">
        <f>=HYPERLINK("https://main.knesset.gov.il/APPS/legislation/main/bills/2220609", "הצעת חוק מניעת ייצוג משפטי של מדינת ישראל ממחבלים זרים (תיקוני חקיקה), התשפ""ד-2024")</f>
        <v>5801</v>
      </c>
      <c r="E2740" t="s">
        <v>5801</v>
      </c>
      <c r="F2740" t="s">
        <v>5802</v>
      </c>
      <c r="G2740" t="s">
        <v>14</v>
      </c>
      <c r="H2740">
             </c>
      <c r="I2740" t="s">
        <v>14</v>
      </c>
      <c r="J2740" t="s">
        <v>242</v>
      </c>
      <c r="K2740" t="s">
        <v>14</v>
      </c>
      <c r="L2740" t="s">
        <v>20</v>
      </c>
      <c r="M2740" t="s">
        <v>5766</v>
      </c>
      <c r="N2740" t="s">
        <v>14</v>
      </c>
    </row>
    <row r="2741" x14ac:dyDescent="0.25">
      <c r="A2741" t="n">
        <v>25</v>
      </c>
      <c r="B2741" t="s">
        <v>14</v>
      </c>
      <c r="C2741" t="s">
        <v>51</v>
      </c>
      <c r="D2741" s="2" t="s">
        <f>=HYPERLINK("https://main.knesset.gov.il/APPS/legislation/main/bills/2209420", "הצעת חוק דרישת פירוט מקורות רכוש בלתי מוסבר מאדם הפעיל בארגון פשיעה, התשפ״ד-2024")</f>
        <v>5803</v>
      </c>
      <c r="E2741" t="s">
        <v>5803</v>
      </c>
      <c r="F2741" t="s">
        <v>5804</v>
      </c>
      <c r="G2741" t="s">
        <v>14</v>
      </c>
      <c r="H2741">
             </c>
      <c r="I2741" t="s">
        <v>14</v>
      </c>
      <c r="J2741" t="s">
        <v>242</v>
      </c>
      <c r="K2741" t="s">
        <v>14</v>
      </c>
      <c r="L2741" t="s">
        <v>20</v>
      </c>
      <c r="M2741" t="s">
        <v>5766</v>
      </c>
      <c r="N2741" t="s">
        <v>14</v>
      </c>
    </row>
    <row r="2742" x14ac:dyDescent="0.25">
      <c r="A2742" t="n">
        <v>25</v>
      </c>
      <c r="B2742" t="s">
        <v>14</v>
      </c>
      <c r="C2742" t="s">
        <v>51</v>
      </c>
      <c r="D2742" s="2" t="s">
        <f>=HYPERLINK("https://main.knesset.gov.il/APPS/legislation/main/bills/2221013", "הצעת חוק הנוער (טיפול והשגחה) (תיקון - טיפול בבריחה ממשמורת), התשפ""ד-2024")</f>
        <v>5805</v>
      </c>
      <c r="E2742" t="s">
        <v>5805</v>
      </c>
      <c r="F2742" t="s">
        <v>5806</v>
      </c>
      <c r="G2742" t="s">
        <v>14</v>
      </c>
      <c r="H2742">
             </c>
      <c r="I2742" t="s">
        <v>14</v>
      </c>
      <c r="J2742" t="s">
        <v>242</v>
      </c>
      <c r="K2742" t="s">
        <v>14</v>
      </c>
      <c r="L2742" t="s">
        <v>20</v>
      </c>
      <c r="M2742" t="s">
        <v>5766</v>
      </c>
      <c r="N2742" t="s">
        <v>14</v>
      </c>
    </row>
    <row r="2743" x14ac:dyDescent="0.25">
      <c r="A2743" t="n">
        <v>25</v>
      </c>
      <c r="B2743" t="s">
        <v>14</v>
      </c>
      <c r="C2743" t="s">
        <v>51</v>
      </c>
      <c r="D2743" s="2" t="s">
        <f>=HYPERLINK("https://main.knesset.gov.il/APPS/legislation/main/bills/2221024", "הצעת חוק הרבנות הראשית לישראל (תיקון - שינוי הרכב האסיפה הבוחרת והגדלת הייצוג הנשי בה), התשפ""ד-2024")</f>
        <v>5807</v>
      </c>
      <c r="E2743" t="s">
        <v>5807</v>
      </c>
      <c r="F2743" t="s">
        <v>5808</v>
      </c>
      <c r="G2743" t="s">
        <v>14</v>
      </c>
      <c r="H2743">
             </c>
      <c r="I2743" t="s">
        <v>14</v>
      </c>
      <c r="J2743" t="s">
        <v>242</v>
      </c>
      <c r="K2743" t="s">
        <v>14</v>
      </c>
      <c r="L2743" t="s">
        <v>20</v>
      </c>
      <c r="M2743" t="s">
        <v>5766</v>
      </c>
      <c r="N2743" t="s">
        <v>14</v>
      </c>
    </row>
    <row r="2744" x14ac:dyDescent="0.25">
      <c r="A2744" t="n">
        <v>25</v>
      </c>
      <c r="B2744" t="s">
        <v>14</v>
      </c>
      <c r="C2744" t="s">
        <v>51</v>
      </c>
      <c r="D2744" s="2" t="s">
        <f>=HYPERLINK("https://main.knesset.gov.il/APPS/legislation/main/bills/2221011", "הצעת חוק הרבנות הראשית לישראל (תיקון - הגדלת הייצוג הנשי באסיפה הבוחרת), התשפ""ד-2024")</f>
        <v>5809</v>
      </c>
      <c r="E2744" t="s">
        <v>5809</v>
      </c>
      <c r="F2744" t="s">
        <v>5810</v>
      </c>
      <c r="G2744" t="s">
        <v>14</v>
      </c>
      <c r="H2744">
             </c>
      <c r="I2744" t="s">
        <v>14</v>
      </c>
      <c r="J2744" t="s">
        <v>242</v>
      </c>
      <c r="K2744" t="s">
        <v>14</v>
      </c>
      <c r="L2744" t="s">
        <v>20</v>
      </c>
      <c r="M2744" t="s">
        <v>5766</v>
      </c>
      <c r="N2744" t="s">
        <v>14</v>
      </c>
    </row>
    <row r="2745" x14ac:dyDescent="0.25">
      <c r="A2745" t="n">
        <v>25</v>
      </c>
      <c r="B2745" t="s">
        <v>14</v>
      </c>
      <c r="C2745" t="s">
        <v>51</v>
      </c>
      <c r="D2745" s="2" t="s">
        <f>=HYPERLINK("https://main.knesset.gov.il/APPS/legislation/main/bills/2221252", "הצעת חוק שירות ביטחון (תיקון - הסדרי פטור משירות), התשפ""ד-2024")</f>
        <v>5811</v>
      </c>
      <c r="E2745" t="s">
        <v>5811</v>
      </c>
      <c r="F2745" t="s">
        <v>5812</v>
      </c>
      <c r="G2745" t="s">
        <v>14</v>
      </c>
      <c r="H2745">
             </c>
      <c r="I2745" t="s">
        <v>14</v>
      </c>
      <c r="J2745" t="s">
        <v>242</v>
      </c>
      <c r="K2745" t="s">
        <v>14</v>
      </c>
      <c r="L2745" t="s">
        <v>20</v>
      </c>
      <c r="M2745" t="s">
        <v>5766</v>
      </c>
      <c r="N2745" t="s">
        <v>14</v>
      </c>
    </row>
    <row r="2746" x14ac:dyDescent="0.25">
      <c r="A2746" t="n">
        <v>25</v>
      </c>
      <c r="B2746" t="s">
        <v>14</v>
      </c>
      <c r="C2746" t="s">
        <v>51</v>
      </c>
      <c r="D2746" s="2" t="s">
        <f>=HYPERLINK("https://main.knesset.gov.il/APPS/legislation/main/bills/2218645", "הצעת חוק העונשין (תיקון - עבירות אלימות במתחם הר הבית), התשפ""ד-2024")</f>
        <v>5813</v>
      </c>
      <c r="E2746" t="s">
        <v>5813</v>
      </c>
      <c r="F2746" t="s">
        <v>5814</v>
      </c>
      <c r="G2746" t="s">
        <v>14</v>
      </c>
      <c r="H2746">
             </c>
      <c r="I2746" t="s">
        <v>14</v>
      </c>
      <c r="J2746" t="s">
        <v>242</v>
      </c>
      <c r="K2746" t="s">
        <v>14</v>
      </c>
      <c r="L2746" t="s">
        <v>20</v>
      </c>
      <c r="M2746" t="s">
        <v>5766</v>
      </c>
      <c r="N2746" t="s">
        <v>14</v>
      </c>
    </row>
    <row r="2747" x14ac:dyDescent="0.25">
      <c r="A2747" t="n">
        <v>25</v>
      </c>
      <c r="B2747" t="s">
        <v>14</v>
      </c>
      <c r="C2747" t="s">
        <v>51</v>
      </c>
      <c r="D2747" s="2" t="s">
        <f>=HYPERLINK("https://main.knesset.gov.il/APPS/legislation/main/bills/2220841", "הצעת חוק המרכז לגביית קנסות, אגרות והוצאות (תיקון - חובת איתור חייבים), התשפ""ד-2024")</f>
        <v>5815</v>
      </c>
      <c r="E2747" t="s">
        <v>5815</v>
      </c>
      <c r="F2747" t="s">
        <v>5816</v>
      </c>
      <c r="G2747" t="s">
        <v>14</v>
      </c>
      <c r="H2747">
             </c>
      <c r="I2747" t="s">
        <v>14</v>
      </c>
      <c r="J2747" t="s">
        <v>242</v>
      </c>
      <c r="K2747" t="s">
        <v>14</v>
      </c>
      <c r="L2747" t="s">
        <v>20</v>
      </c>
      <c r="M2747" t="s">
        <v>5766</v>
      </c>
      <c r="N2747" t="s">
        <v>14</v>
      </c>
    </row>
    <row r="2748" x14ac:dyDescent="0.25">
      <c r="A2748" t="n">
        <v>25</v>
      </c>
      <c r="B2748" t="s">
        <v>14</v>
      </c>
      <c r="C2748" t="s">
        <v>51</v>
      </c>
      <c r="D2748" s="2" t="s">
        <f>=HYPERLINK("https://main.knesset.gov.il/APPS/legislation/main/bills/2220468", "הצעת חוק לשכת עורכי הדין (תיקון - מתן הקלות במבחני לשכה למשרתי מילואים) (הוראת שעה), התשפ""ד-2024 ")</f>
        <v>5817</v>
      </c>
      <c r="E2748" t="s">
        <v>5817</v>
      </c>
      <c r="F2748" t="s">
        <v>5818</v>
      </c>
      <c r="G2748" t="s">
        <v>14</v>
      </c>
      <c r="H2748">
             </c>
      <c r="I2748" t="s">
        <v>14</v>
      </c>
      <c r="J2748" t="s">
        <v>242</v>
      </c>
      <c r="K2748" t="s">
        <v>14</v>
      </c>
      <c r="L2748" t="s">
        <v>20</v>
      </c>
      <c r="M2748" t="s">
        <v>5766</v>
      </c>
      <c r="N2748" t="s">
        <v>14</v>
      </c>
    </row>
    <row r="2749" x14ac:dyDescent="0.25">
      <c r="A2749" t="n">
        <v>25</v>
      </c>
      <c r="B2749" t="s">
        <v>14</v>
      </c>
      <c r="C2749" t="s">
        <v>51</v>
      </c>
      <c r="D2749" s="2" t="s">
        <f>=HYPERLINK("https://main.knesset.gov.il/APPS/legislation/main/bills/2220431", "הצעת חוק החברות הממשלתיות (תיקון - הוועדה לבדיקת מינויים ושינוי מבנה הרשות), התשפ""ד-2024")</f>
        <v>5819</v>
      </c>
      <c r="E2749" t="s">
        <v>5819</v>
      </c>
      <c r="F2749" t="s">
        <v>5820</v>
      </c>
      <c r="G2749" t="s">
        <v>14</v>
      </c>
      <c r="H2749">
             </c>
      <c r="I2749" t="s">
        <v>14</v>
      </c>
      <c r="J2749" t="s">
        <v>242</v>
      </c>
      <c r="K2749" t="s">
        <v>14</v>
      </c>
      <c r="L2749" t="s">
        <v>20</v>
      </c>
      <c r="M2749" t="s">
        <v>5766</v>
      </c>
      <c r="N2749" t="s">
        <v>14</v>
      </c>
    </row>
    <row r="2750" x14ac:dyDescent="0.25">
      <c r="A2750" t="n">
        <v>25</v>
      </c>
      <c r="B2750" t="s">
        <v>14</v>
      </c>
      <c r="C2750" t="s">
        <v>51</v>
      </c>
      <c r="D2750" s="2" t="s">
        <f>=HYPERLINK("https://main.knesset.gov.il/APPS/legislation/main/bills/2220895", "הצעת חוק הכשרות המשפטית והאפוטרופסות (תיקון - צמצום סמכותו של בית המשפט להטיל את ההכרעה בעניינו של קטין על עובד סוציאלי וגורמים אחרים), התשפ""ד-2024")</f>
        <v>5821</v>
      </c>
      <c r="E2750" t="s">
        <v>5821</v>
      </c>
      <c r="F2750" t="s">
        <v>5822</v>
      </c>
      <c r="G2750" t="s">
        <v>14</v>
      </c>
      <c r="H2750">
             </c>
      <c r="I2750" t="s">
        <v>14</v>
      </c>
      <c r="J2750" t="s">
        <v>242</v>
      </c>
      <c r="K2750" t="s">
        <v>14</v>
      </c>
      <c r="L2750" t="s">
        <v>20</v>
      </c>
      <c r="M2750" t="s">
        <v>5766</v>
      </c>
      <c r="N2750" t="s">
        <v>14</v>
      </c>
    </row>
    <row r="2751" x14ac:dyDescent="0.25">
      <c r="A2751" t="n">
        <v>25</v>
      </c>
      <c r="B2751" t="s">
        <v>14</v>
      </c>
      <c r="C2751" t="s">
        <v>51</v>
      </c>
      <c r="D2751" s="2" t="s">
        <f>=HYPERLINK("https://main.knesset.gov.il/APPS/legislation/main/bills/2216828", "הצעת חוק קרן פיצויים לנזקי הפשיעה החקלאית, התשפ""ד-2024")</f>
        <v>5823</v>
      </c>
      <c r="E2751" t="s">
        <v>5823</v>
      </c>
      <c r="F2751" t="s">
        <v>5824</v>
      </c>
      <c r="G2751" t="s">
        <v>14</v>
      </c>
      <c r="H2751">
             </c>
      <c r="I2751" t="s">
        <v>14</v>
      </c>
      <c r="J2751" t="s">
        <v>242</v>
      </c>
      <c r="K2751" t="s">
        <v>14</v>
      </c>
      <c r="L2751" t="s">
        <v>20</v>
      </c>
      <c r="M2751" t="s">
        <v>5766</v>
      </c>
      <c r="N2751" t="s">
        <v>14</v>
      </c>
    </row>
    <row r="2752" x14ac:dyDescent="0.25">
      <c r="A2752" t="n">
        <v>25</v>
      </c>
      <c r="B2752" t="s">
        <v>14</v>
      </c>
      <c r="C2752" t="s">
        <v>51</v>
      </c>
      <c r="D2752" s="2" t="s">
        <f>=HYPERLINK("https://main.knesset.gov.il/APPS/legislation/main/bills/2218383", "הצעת חוק המרכז למורשת יהדות קווקז, תשפ""ד-2024")</f>
        <v>5825</v>
      </c>
      <c r="E2752" t="s">
        <v>5825</v>
      </c>
      <c r="F2752" t="s">
        <v>5826</v>
      </c>
      <c r="G2752" t="s">
        <v>14</v>
      </c>
      <c r="H2752">
             </c>
      <c r="I2752" t="s">
        <v>14</v>
      </c>
      <c r="J2752" t="s">
        <v>202</v>
      </c>
      <c r="K2752" t="s">
        <v>14</v>
      </c>
      <c r="L2752" t="s">
        <v>20</v>
      </c>
      <c r="M2752" t="s">
        <v>5766</v>
      </c>
      <c r="N2752" t="s">
        <v>14</v>
      </c>
    </row>
    <row r="2753" x14ac:dyDescent="0.25">
      <c r="A2753" t="n">
        <v>25</v>
      </c>
      <c r="B2753" t="s">
        <v>14</v>
      </c>
      <c r="C2753" t="s">
        <v>51</v>
      </c>
      <c r="D2753" s="2" t="s">
        <f>=HYPERLINK("https://main.knesset.gov.il/APPS/legislation/main/bills/2216609", "הצעת חוק הרשויות המקומיות (אזורי פיתוח אקלימיים) (הוראת שעה), התשפ""ד-2024 ")</f>
        <v>5827</v>
      </c>
      <c r="E2753" t="s">
        <v>5827</v>
      </c>
      <c r="F2753" t="s">
        <v>5828</v>
      </c>
      <c r="G2753" t="s">
        <v>14</v>
      </c>
      <c r="H2753">
             </c>
      <c r="I2753" t="s">
        <v>14</v>
      </c>
      <c r="J2753" t="s">
        <v>242</v>
      </c>
      <c r="K2753" t="s">
        <v>14</v>
      </c>
      <c r="L2753" t="s">
        <v>20</v>
      </c>
      <c r="M2753" t="s">
        <v>5766</v>
      </c>
      <c r="N2753" t="s">
        <v>14</v>
      </c>
    </row>
    <row r="2754" x14ac:dyDescent="0.25">
      <c r="A2754" t="n">
        <v>25</v>
      </c>
      <c r="B2754" t="s">
        <v>14</v>
      </c>
      <c r="C2754" t="s">
        <v>51</v>
      </c>
      <c r="D2754" s="2" t="s">
        <f>=HYPERLINK("https://main.knesset.gov.il/APPS/legislation/main/bills/2220968", "הצעת חוק זכויות הסטודנט (תיקון - הקלות בתנאי קבלה למשרתי מילואים), התשפ""ד-2024")</f>
        <v>5829</v>
      </c>
      <c r="E2754" t="s">
        <v>5829</v>
      </c>
      <c r="F2754" t="s">
        <v>5830</v>
      </c>
      <c r="G2754" t="s">
        <v>14</v>
      </c>
      <c r="H2754">
             </c>
      <c r="I2754" t="s">
        <v>14</v>
      </c>
      <c r="J2754" t="s">
        <v>242</v>
      </c>
      <c r="K2754" t="s">
        <v>14</v>
      </c>
      <c r="L2754" t="s">
        <v>20</v>
      </c>
      <c r="M2754" t="s">
        <v>5766</v>
      </c>
      <c r="N2754" t="s">
        <v>14</v>
      </c>
    </row>
    <row r="2755" x14ac:dyDescent="0.25">
      <c r="A2755" t="n">
        <v>25</v>
      </c>
      <c r="B2755" t="s">
        <v>14</v>
      </c>
      <c r="C2755" t="s">
        <v>51</v>
      </c>
      <c r="D2755" s="2" t="s">
        <f>=HYPERLINK("https://main.knesset.gov.il/APPS/legislation/main/bills/2220964", "הצעת חוק להפסקת יחסי מדינת ישראל עם סוכנות הסעד והתעסוקה של האו""ם לפליטי פלסטין במזרח הקרוב (אונר""א) והכרזתה כארגון טרור, התשפ""ד-2024")</f>
        <v>5831</v>
      </c>
      <c r="E2755" t="s">
        <v>5831</v>
      </c>
      <c r="F2755" t="s">
        <v>5832</v>
      </c>
      <c r="G2755" t="s">
        <v>14</v>
      </c>
      <c r="H2755">
             </c>
      <c r="I2755" t="s">
        <v>14</v>
      </c>
      <c r="J2755" t="s">
        <v>242</v>
      </c>
      <c r="K2755" t="s">
        <v>14</v>
      </c>
      <c r="L2755" t="s">
        <v>20</v>
      </c>
      <c r="M2755" t="s">
        <v>5766</v>
      </c>
      <c r="N2755" t="s">
        <v>14</v>
      </c>
    </row>
    <row r="2756" x14ac:dyDescent="0.25">
      <c r="A2756" t="n">
        <v>25</v>
      </c>
      <c r="B2756" t="s">
        <v>14</v>
      </c>
      <c r="C2756" t="s">
        <v>51</v>
      </c>
      <c r="D2756" s="2" t="s">
        <f>=HYPERLINK("https://main.knesset.gov.il/APPS/legislation/main/bills/2219162", "הצעת חוק חובת התקנת מתקנים פוטו-וולטאיים ומתקני אגירת אנרגיה בבתי חולים ציבוריים כלליים, התשפ״ד-2024")</f>
        <v>5833</v>
      </c>
      <c r="E2756" t="s">
        <v>5833</v>
      </c>
      <c r="F2756" t="s">
        <v>5834</v>
      </c>
      <c r="G2756" t="s">
        <v>14</v>
      </c>
      <c r="H2756">
             </c>
      <c r="I2756" t="s">
        <v>14</v>
      </c>
      <c r="J2756" t="s">
        <v>242</v>
      </c>
      <c r="K2756" t="s">
        <v>14</v>
      </c>
      <c r="L2756" t="s">
        <v>20</v>
      </c>
      <c r="M2756" t="s">
        <v>5766</v>
      </c>
      <c r="N2756" t="s">
        <v>14</v>
      </c>
    </row>
    <row r="2757" x14ac:dyDescent="0.25">
      <c r="A2757" t="n">
        <v>25</v>
      </c>
      <c r="B2757" t="s">
        <v>14</v>
      </c>
      <c r="C2757" t="s">
        <v>51</v>
      </c>
      <c r="D2757" s="2" t="s">
        <f>=HYPERLINK("https://main.knesset.gov.il/APPS/legislation/main/bills/2220839", "הצעת חוק לתיקון פקודת העיריות (חובת איתור חייבים), התשפ""ד-2024")</f>
        <v>5835</v>
      </c>
      <c r="E2757" t="s">
        <v>5835</v>
      </c>
      <c r="F2757" t="s">
        <v>5836</v>
      </c>
      <c r="G2757" t="s">
        <v>14</v>
      </c>
      <c r="H2757">
             </c>
      <c r="I2757" t="s">
        <v>14</v>
      </c>
      <c r="J2757" t="s">
        <v>242</v>
      </c>
      <c r="K2757" t="s">
        <v>14</v>
      </c>
      <c r="L2757" t="s">
        <v>20</v>
      </c>
      <c r="M2757" t="s">
        <v>5766</v>
      </c>
      <c r="N2757" t="s">
        <v>14</v>
      </c>
    </row>
    <row r="2758" x14ac:dyDescent="0.25">
      <c r="A2758" t="n">
        <v>25</v>
      </c>
      <c r="B2758" t="s">
        <v>14</v>
      </c>
      <c r="C2758" t="s">
        <v>51</v>
      </c>
      <c r="D2758" s="2" t="s">
        <f>=HYPERLINK("https://main.knesset.gov.il/APPS/legislation/main/bills/2216590", "הצעת חוק עידוד תרומות עודפי תוצרת חקלאית, התשפ""ד-2024")</f>
        <v>5837</v>
      </c>
      <c r="E2758" t="s">
        <v>5837</v>
      </c>
      <c r="F2758" t="s">
        <v>5838</v>
      </c>
      <c r="G2758" t="s">
        <v>14</v>
      </c>
      <c r="H2758">
             </c>
      <c r="I2758" t="s">
        <v>14</v>
      </c>
      <c r="J2758" t="s">
        <v>242</v>
      </c>
      <c r="K2758" t="s">
        <v>14</v>
      </c>
      <c r="L2758" t="s">
        <v>20</v>
      </c>
      <c r="M2758" t="s">
        <v>5766</v>
      </c>
      <c r="N2758" t="s">
        <v>14</v>
      </c>
    </row>
    <row r="2759" x14ac:dyDescent="0.25">
      <c r="A2759" t="n">
        <v>25</v>
      </c>
      <c r="B2759" t="s">
        <v>14</v>
      </c>
      <c r="C2759" t="s">
        <v>51</v>
      </c>
      <c r="D2759" s="2" t="s">
        <f>=HYPERLINK("https://main.knesset.gov.il/APPS/legislation/main/bills/2219164", "הצעת חוק העברת עודפי מזון שנותר ברשות בית חולים ציבורי כללי לארגון לחלוקת מזון, התשפ""ד-2024")</f>
        <v>5839</v>
      </c>
      <c r="E2759" t="s">
        <v>5839</v>
      </c>
      <c r="F2759" t="s">
        <v>5840</v>
      </c>
      <c r="G2759" t="s">
        <v>14</v>
      </c>
      <c r="H2759">
             </c>
      <c r="I2759" t="s">
        <v>14</v>
      </c>
      <c r="J2759" t="s">
        <v>242</v>
      </c>
      <c r="K2759" t="s">
        <v>14</v>
      </c>
      <c r="L2759" t="s">
        <v>20</v>
      </c>
      <c r="M2759" t="s">
        <v>5766</v>
      </c>
      <c r="N2759" t="s">
        <v>14</v>
      </c>
    </row>
    <row r="2760" x14ac:dyDescent="0.25">
      <c r="A2760" t="n">
        <v>25</v>
      </c>
      <c r="B2760" t="s">
        <v>14</v>
      </c>
      <c r="C2760" t="s">
        <v>51</v>
      </c>
      <c r="D2760" s="2" t="s">
        <f>=HYPERLINK("https://main.knesset.gov.il/APPS/legislation/main/bills/2217047", "הצעת חוק שכר חיילים לוחמים בשירות סדיר, התשפ""ד-2024")</f>
        <v>5841</v>
      </c>
      <c r="E2760" t="s">
        <v>5841</v>
      </c>
      <c r="F2760" t="s">
        <v>5842</v>
      </c>
      <c r="G2760" t="s">
        <v>14</v>
      </c>
      <c r="H2760">
             </c>
      <c r="I2760" t="s">
        <v>14</v>
      </c>
      <c r="J2760" t="s">
        <v>242</v>
      </c>
      <c r="K2760" t="s">
        <v>14</v>
      </c>
      <c r="L2760" t="s">
        <v>20</v>
      </c>
      <c r="M2760" t="s">
        <v>5766</v>
      </c>
      <c r="N2760" t="s">
        <v>14</v>
      </c>
    </row>
    <row r="2761" x14ac:dyDescent="0.25">
      <c r="A2761" t="n">
        <v>25</v>
      </c>
      <c r="B2761" t="s">
        <v>14</v>
      </c>
      <c r="C2761" t="s">
        <v>51</v>
      </c>
      <c r="D2761" s="2" t="s">
        <f>=HYPERLINK("https://main.knesset.gov.il/APPS/legislation/main/bills/2217737", "הצעת חוק הבנקאות (שירות ללקוח) (תיקון - הלוואה לדיור לחסרי דיור לרכישת זכות מקרקעין בדירה ראשונה), התשפ""ד-2024")</f>
        <v>5843</v>
      </c>
      <c r="E2761" t="s">
        <v>5843</v>
      </c>
      <c r="F2761" t="s">
        <v>5844</v>
      </c>
      <c r="G2761" t="s">
        <v>14</v>
      </c>
      <c r="H2761">
             </c>
      <c r="I2761" t="s">
        <v>14</v>
      </c>
      <c r="J2761" t="s">
        <v>242</v>
      </c>
      <c r="K2761" t="s">
        <v>14</v>
      </c>
      <c r="L2761" t="s">
        <v>20</v>
      </c>
      <c r="M2761" t="s">
        <v>5766</v>
      </c>
      <c r="N2761" t="s">
        <v>14</v>
      </c>
    </row>
    <row r="2762" x14ac:dyDescent="0.25">
      <c r="A2762" t="n">
        <v>25</v>
      </c>
      <c r="B2762" t="s">
        <v>14</v>
      </c>
      <c r="C2762" t="s">
        <v>51</v>
      </c>
      <c r="D2762" s="2" t="s">
        <f>=HYPERLINK("https://main.knesset.gov.il/APPS/legislation/main/bills/2220963", "הצעת חוק לתיקון פקודת החסינויות וזכויות-היתר של האומות המאוחדות (ביטול החסינויות וזכויות-היתר של סוכנות הסעד והתעסוקה של האו""ם לפליטי פלסטין במזרח הקרוב (אונר""א)), התשפ""ד-2024")</f>
        <v>5845</v>
      </c>
      <c r="E2762" t="s">
        <v>5845</v>
      </c>
      <c r="F2762" t="s">
        <v>5846</v>
      </c>
      <c r="G2762" t="s">
        <v>14</v>
      </c>
      <c r="H2762">
             </c>
      <c r="I2762" t="s">
        <v>14</v>
      </c>
      <c r="J2762" t="s">
        <v>242</v>
      </c>
      <c r="K2762" t="s">
        <v>14</v>
      </c>
      <c r="L2762" t="s">
        <v>20</v>
      </c>
      <c r="M2762" t="s">
        <v>5766</v>
      </c>
      <c r="N2762" t="s">
        <v>14</v>
      </c>
    </row>
    <row r="2763" x14ac:dyDescent="0.25">
      <c r="A2763" t="n">
        <v>25</v>
      </c>
      <c r="B2763" t="s">
        <v>14</v>
      </c>
      <c r="C2763" t="s">
        <v>51</v>
      </c>
      <c r="D2763" s="2" t="s">
        <f>=HYPERLINK("https://main.knesset.gov.il/APPS/legislation/main/bills/2220437", "הצעת חוק הבנקאות (שירות ללקוח) (תיקון - מחיקת חוב בנקאי לעסקים זעירים, קטנים, בינוניים ואזרחים חדלי פירעון), התשפ""ד-2024")</f>
        <v>5847</v>
      </c>
      <c r="E2763" t="s">
        <v>5847</v>
      </c>
      <c r="F2763" t="s">
        <v>5848</v>
      </c>
      <c r="G2763" t="s">
        <v>14</v>
      </c>
      <c r="H2763">
             </c>
      <c r="I2763" t="s">
        <v>14</v>
      </c>
      <c r="J2763" t="s">
        <v>202</v>
      </c>
      <c r="K2763" t="s">
        <v>14</v>
      </c>
      <c r="L2763" t="s">
        <v>20</v>
      </c>
      <c r="M2763" t="s">
        <v>5766</v>
      </c>
      <c r="N2763" t="s">
        <v>14</v>
      </c>
    </row>
    <row r="2764" x14ac:dyDescent="0.25">
      <c r="A2764" t="n">
        <v>25</v>
      </c>
      <c r="B2764" t="s">
        <v>14</v>
      </c>
      <c r="C2764" t="s">
        <v>51</v>
      </c>
      <c r="D2764" s="2" t="s">
        <f>=HYPERLINK("https://main.knesset.gov.il/APPS/legislation/main/bills/2221003", "הצעת חוק מרשם האוכלוסין (תיקון - לאום ארמי), התשפ""ד-2024")</f>
        <v>5849</v>
      </c>
      <c r="E2764" t="s">
        <v>5849</v>
      </c>
      <c r="F2764" t="s">
        <v>5850</v>
      </c>
      <c r="G2764" t="s">
        <v>14</v>
      </c>
      <c r="H2764">
             </c>
      <c r="I2764" t="s">
        <v>14</v>
      </c>
      <c r="J2764" t="s">
        <v>242</v>
      </c>
      <c r="K2764" t="s">
        <v>14</v>
      </c>
      <c r="L2764" t="s">
        <v>20</v>
      </c>
      <c r="M2764" t="s">
        <v>5766</v>
      </c>
      <c r="N2764" t="s">
        <v>14</v>
      </c>
    </row>
    <row r="2765" x14ac:dyDescent="0.25">
      <c r="A2765" t="n">
        <v>25</v>
      </c>
      <c r="B2765" t="s">
        <v>14</v>
      </c>
      <c r="C2765" t="s">
        <v>51</v>
      </c>
      <c r="D2765" s="2" t="s">
        <f>=HYPERLINK("https://main.knesset.gov.il/APPS/legislation/main/bills/2219562", "הצעת חוק שירותי תעופה (פיצוי וסיוע בשל ביטול טיסה או שינוי בתנאיה) (תיקון - החלת החוק על מחלקת תיירים פרימיום), התשפ""ד-2024")</f>
        <v>5851</v>
      </c>
      <c r="E2765" t="s">
        <v>5851</v>
      </c>
      <c r="F2765" t="s">
        <v>5852</v>
      </c>
      <c r="G2765" t="s">
        <v>14</v>
      </c>
      <c r="H2765">
             </c>
      <c r="I2765" t="s">
        <v>14</v>
      </c>
      <c r="J2765" t="s">
        <v>202</v>
      </c>
      <c r="K2765" t="s">
        <v>14</v>
      </c>
      <c r="L2765" t="s">
        <v>20</v>
      </c>
      <c r="M2765" t="s">
        <v>5766</v>
      </c>
      <c r="N2765" t="s">
        <v>14</v>
      </c>
    </row>
    <row r="2766" x14ac:dyDescent="0.25">
      <c r="A2766" t="n">
        <v>25</v>
      </c>
      <c r="B2766" t="s">
        <v>14</v>
      </c>
      <c r="C2766" t="s">
        <v>51</v>
      </c>
      <c r="D2766" s="2" t="s">
        <f>=HYPERLINK("https://main.knesset.gov.il/APPS/legislation/main/bills/2220649", "הצעת חוק הבחירות לכנסת (תיקון - כתובת לצורכי בחירות), התשפ״ד-2024")</f>
        <v>5853</v>
      </c>
      <c r="E2766" t="s">
        <v>5853</v>
      </c>
      <c r="F2766" t="s">
        <v>5854</v>
      </c>
      <c r="G2766" t="s">
        <v>14</v>
      </c>
      <c r="H2766">
             </c>
      <c r="I2766" t="s">
        <v>14</v>
      </c>
      <c r="J2766" t="s">
        <v>202</v>
      </c>
      <c r="K2766" t="s">
        <v>14</v>
      </c>
      <c r="L2766" t="s">
        <v>20</v>
      </c>
      <c r="M2766" t="s">
        <v>5766</v>
      </c>
      <c r="N2766" t="s">
        <v>14</v>
      </c>
    </row>
    <row r="2767" x14ac:dyDescent="0.25">
      <c r="A2767" t="n">
        <v>25</v>
      </c>
      <c r="B2767" t="s">
        <v>14</v>
      </c>
      <c r="C2767" t="s">
        <v>51</v>
      </c>
      <c r="D2767" s="2" t="s">
        <f>=HYPERLINK("https://main.knesset.gov.il/APPS/legislation/main/bills/2220975", "הצעת חוק תעריפי התחבורה הציבורית (תיקון - הגבלת תעריפי תחבורה ציבורית), התשפ""ד-2024")</f>
        <v>5855</v>
      </c>
      <c r="E2767" t="s">
        <v>5855</v>
      </c>
      <c r="F2767" t="s">
        <v>5856</v>
      </c>
      <c r="G2767" t="s">
        <v>14</v>
      </c>
      <c r="H2767">
             </c>
      <c r="I2767" t="s">
        <v>14</v>
      </c>
      <c r="J2767" t="s">
        <v>242</v>
      </c>
      <c r="K2767" t="s">
        <v>14</v>
      </c>
      <c r="L2767" t="s">
        <v>20</v>
      </c>
      <c r="M2767" t="s">
        <v>5766</v>
      </c>
      <c r="N2767" t="s">
        <v>14</v>
      </c>
    </row>
    <row r="2768" x14ac:dyDescent="0.25">
      <c r="A2768" t="n">
        <v>25</v>
      </c>
      <c r="B2768" t="s">
        <v>14</v>
      </c>
      <c r="C2768" t="s">
        <v>51</v>
      </c>
      <c r="D2768" s="2" t="s">
        <f>=HYPERLINK("https://main.knesset.gov.il/APPS/legislation/main/bills/2217693", "הצעת חוק המים (תיקון - קביעת תעריפי מים לתעשיית עיבוד תוצרת חקלאית הגדלה בישראל), התשפ""ד-2024")</f>
        <v>5857</v>
      </c>
      <c r="E2768" t="s">
        <v>5857</v>
      </c>
      <c r="F2768" t="s">
        <v>5858</v>
      </c>
      <c r="G2768" t="s">
        <v>14</v>
      </c>
      <c r="H2768">
             </c>
      <c r="I2768" t="s">
        <v>14</v>
      </c>
      <c r="J2768" t="s">
        <v>242</v>
      </c>
      <c r="K2768" t="s">
        <v>14</v>
      </c>
      <c r="L2768" t="s">
        <v>20</v>
      </c>
      <c r="M2768" t="s">
        <v>5766</v>
      </c>
      <c r="N2768" t="s">
        <v>14</v>
      </c>
    </row>
    <row r="2769" x14ac:dyDescent="0.25">
      <c r="A2769" t="n">
        <v>25</v>
      </c>
      <c r="B2769" t="s">
        <v>14</v>
      </c>
      <c r="C2769" t="s">
        <v>51</v>
      </c>
      <c r="D2769" s="2" t="s">
        <f>=HYPERLINK("https://main.knesset.gov.il/APPS/legislation/main/bills/2218703", "הצעת חוק שחרור על-תנאי ממאסר (תיקון - המרת עונש מאסר עולם), התשפ""ד-2024")</f>
        <v>5859</v>
      </c>
      <c r="E2769" t="s">
        <v>5859</v>
      </c>
      <c r="F2769" t="s">
        <v>5860</v>
      </c>
      <c r="G2769" t="s">
        <v>14</v>
      </c>
      <c r="H2769">
             </c>
      <c r="I2769" t="s">
        <v>14</v>
      </c>
      <c r="J2769" t="s">
        <v>242</v>
      </c>
      <c r="K2769" t="s">
        <v>14</v>
      </c>
      <c r="L2769" t="s">
        <v>20</v>
      </c>
      <c r="M2769" t="s">
        <v>5766</v>
      </c>
      <c r="N2769" t="s">
        <v>14</v>
      </c>
    </row>
    <row r="2770" x14ac:dyDescent="0.25">
      <c r="A2770" t="n">
        <v>25</v>
      </c>
      <c r="B2770" t="s">
        <v>14</v>
      </c>
      <c r="C2770" t="s">
        <v>51</v>
      </c>
      <c r="D2770" s="2" t="s">
        <f>=HYPERLINK("https://main.knesset.gov.il/APPS/legislation/main/bills/2220969", "הצעת חוק המים (תיקון - קביעת תעריפי מים לחקלאות), התשפ""ד-2024")</f>
        <v>5129</v>
      </c>
      <c r="E2770" t="s">
        <v>5129</v>
      </c>
      <c r="F2770" t="s">
        <v>5861</v>
      </c>
      <c r="G2770" t="s">
        <v>14</v>
      </c>
      <c r="H2770">
             </c>
      <c r="I2770" t="s">
        <v>14</v>
      </c>
      <c r="J2770" t="s">
        <v>202</v>
      </c>
      <c r="K2770" t="s">
        <v>14</v>
      </c>
      <c r="L2770" t="s">
        <v>20</v>
      </c>
      <c r="M2770" t="s">
        <v>5766</v>
      </c>
      <c r="N2770" t="s">
        <v>14</v>
      </c>
    </row>
    <row r="2771" x14ac:dyDescent="0.25">
      <c r="A2771" t="n">
        <v>25</v>
      </c>
      <c r="B2771" t="s">
        <v>14</v>
      </c>
      <c r="C2771" t="s">
        <v>51</v>
      </c>
      <c r="D2771" s="2" t="s">
        <f>=HYPERLINK("https://main.knesset.gov.il/APPS/legislation/main/bills/2220510", "הצעת חוק למאבק באלימות משטרתית (תיקוני חקיקה), התשפ""ד-2024")</f>
        <v>5862</v>
      </c>
      <c r="E2771" t="s">
        <v>5862</v>
      </c>
      <c r="F2771" t="s">
        <v>5863</v>
      </c>
      <c r="G2771" t="s">
        <v>14</v>
      </c>
      <c r="H2771">
             </c>
      <c r="I2771" t="s">
        <v>14</v>
      </c>
      <c r="J2771" t="s">
        <v>242</v>
      </c>
      <c r="K2771" t="s">
        <v>14</v>
      </c>
      <c r="L2771" t="s">
        <v>20</v>
      </c>
      <c r="M2771" t="s">
        <v>5766</v>
      </c>
      <c r="N2771" t="s">
        <v>14</v>
      </c>
    </row>
    <row r="2772" x14ac:dyDescent="0.25">
      <c r="A2772" t="n">
        <v>25</v>
      </c>
      <c r="B2772" t="s">
        <v>14</v>
      </c>
      <c r="C2772" t="s">
        <v>51</v>
      </c>
      <c r="D2772" s="2" t="s">
        <f>=HYPERLINK("https://main.knesset.gov.il/APPS/legislation/main/bills/2220961", "הצעת חוק לתיקון פקודת הבנקאות (חובת איתור בעלי חשבונות ללא תנועה), התשפ""ד-2024")</f>
        <v>5864</v>
      </c>
      <c r="E2772" t="s">
        <v>5864</v>
      </c>
      <c r="F2772" t="s">
        <v>5865</v>
      </c>
      <c r="G2772" t="s">
        <v>14</v>
      </c>
      <c r="H2772">
             </c>
      <c r="I2772" t="s">
        <v>14</v>
      </c>
      <c r="J2772" t="s">
        <v>242</v>
      </c>
      <c r="K2772" t="s">
        <v>14</v>
      </c>
      <c r="L2772" t="s">
        <v>20</v>
      </c>
      <c r="M2772" t="s">
        <v>5766</v>
      </c>
      <c r="N2772" t="s">
        <v>14</v>
      </c>
    </row>
    <row r="2773" x14ac:dyDescent="0.25">
      <c r="A2773" t="n">
        <v>25</v>
      </c>
      <c r="B2773" t="s">
        <v>14</v>
      </c>
      <c r="C2773" t="s">
        <v>51</v>
      </c>
      <c r="D2773" s="2" t="s">
        <f>=HYPERLINK("https://main.knesset.gov.il/APPS/legislation/main/bills/2221012", "הצעת חוק הבנקאות (שירות ללקוח) (תיקון - הודעה ללקוח על אודות יתרה בחשבון עובר ושב שאינה נושאת ריבית), התשפ""ד-2024")</f>
        <v>5866</v>
      </c>
      <c r="E2773" t="s">
        <v>5866</v>
      </c>
      <c r="F2773" t="s">
        <v>5867</v>
      </c>
      <c r="G2773" t="s">
        <v>14</v>
      </c>
      <c r="H2773">
             </c>
      <c r="I2773" t="s">
        <v>14</v>
      </c>
      <c r="J2773" t="s">
        <v>242</v>
      </c>
      <c r="K2773" t="s">
        <v>14</v>
      </c>
      <c r="L2773" t="s">
        <v>20</v>
      </c>
      <c r="M2773" t="s">
        <v>5766</v>
      </c>
      <c r="N2773" t="s">
        <v>14</v>
      </c>
    </row>
    <row r="2774" x14ac:dyDescent="0.25">
      <c r="A2774" t="n">
        <v>25</v>
      </c>
      <c r="B2774" t="s">
        <v>14</v>
      </c>
      <c r="C2774" t="s">
        <v>51</v>
      </c>
      <c r="D2774" s="2" t="s">
        <f>=HYPERLINK("https://main.knesset.gov.il/APPS/legislation/main/bills/2219734", "הצעת חוק משפחות חיילים שנספו במערכה (תגמולים ושיקום) (תיקון – סיוע בתשלום ביטוח רכב ואגרת רישיון לשכול), התשפ""ד–2024")</f>
        <v>5868</v>
      </c>
      <c r="E2774" t="s">
        <v>5868</v>
      </c>
      <c r="F2774" t="s">
        <v>5869</v>
      </c>
      <c r="G2774" t="s">
        <v>14</v>
      </c>
      <c r="H2774">
             </c>
      <c r="I2774" t="s">
        <v>14</v>
      </c>
      <c r="J2774" t="s">
        <v>242</v>
      </c>
      <c r="K2774" t="s">
        <v>14</v>
      </c>
      <c r="L2774" t="s">
        <v>20</v>
      </c>
      <c r="M2774" t="s">
        <v>5766</v>
      </c>
      <c r="N2774" t="s">
        <v>14</v>
      </c>
    </row>
    <row r="2775" x14ac:dyDescent="0.25">
      <c r="A2775" t="n">
        <v>25</v>
      </c>
      <c r="B2775" t="s">
        <v>14</v>
      </c>
      <c r="C2775" t="s">
        <v>51</v>
      </c>
      <c r="D2775" s="2" t="s">
        <f>=HYPERLINK("https://main.knesset.gov.il/APPS/legislation/main/bills/2220893", "הצעת חוק מגן דוד אדום (תיקון - חיזוק הפיקוח הפרלמנטרי על האגודה), התשפ""ד-2024")</f>
        <v>5870</v>
      </c>
      <c r="E2775" t="s">
        <v>5870</v>
      </c>
      <c r="F2775" t="s">
        <v>5871</v>
      </c>
      <c r="G2775" t="s">
        <v>14</v>
      </c>
      <c r="H2775">
             </c>
      <c r="I2775" t="s">
        <v>14</v>
      </c>
      <c r="J2775" t="s">
        <v>242</v>
      </c>
      <c r="K2775" t="s">
        <v>14</v>
      </c>
      <c r="L2775" t="s">
        <v>20</v>
      </c>
      <c r="M2775" t="s">
        <v>5766</v>
      </c>
      <c r="N2775" t="s">
        <v>14</v>
      </c>
    </row>
    <row r="2776" x14ac:dyDescent="0.25">
      <c r="A2776" t="n">
        <v>25</v>
      </c>
      <c r="B2776" t="s">
        <v>14</v>
      </c>
      <c r="C2776" t="s">
        <v>51</v>
      </c>
      <c r="D2776" s="2" t="s">
        <f>=HYPERLINK("https://main.knesset.gov.il/APPS/legislation/main/bills/2219198", "הצעת חוק-יסוד: הממשלה (תיקון - הכרה בערך הציונות)")</f>
        <v>5872</v>
      </c>
      <c r="E2776" t="s">
        <v>5872</v>
      </c>
      <c r="F2776" t="s">
        <v>5873</v>
      </c>
      <c r="G2776" t="s">
        <v>14</v>
      </c>
      <c r="H2776">
             </c>
      <c r="I2776" t="s">
        <v>14</v>
      </c>
      <c r="J2776" t="s">
        <v>242</v>
      </c>
      <c r="K2776" t="s">
        <v>14</v>
      </c>
      <c r="L2776" t="s">
        <v>20</v>
      </c>
      <c r="M2776" t="s">
        <v>5766</v>
      </c>
      <c r="N2776" t="s">
        <v>14</v>
      </c>
    </row>
    <row r="2777" x14ac:dyDescent="0.25">
      <c r="A2777" t="n">
        <v>25</v>
      </c>
      <c r="B2777" t="s">
        <v>14</v>
      </c>
      <c r="C2777" t="s">
        <v>51</v>
      </c>
      <c r="D2777" s="2" t="s">
        <f>=HYPERLINK("https://main.knesset.gov.il/APPS/legislation/main/bills/2220442", "הצעת חוק העברת הודעת פטירה, התשפ""ד-2024")</f>
        <v>5874</v>
      </c>
      <c r="E2777" t="s">
        <v>5874</v>
      </c>
      <c r="F2777" t="s">
        <v>5875</v>
      </c>
      <c r="G2777" t="s">
        <v>14</v>
      </c>
      <c r="H2777">
             </c>
      <c r="I2777" t="s">
        <v>14</v>
      </c>
      <c r="J2777" t="s">
        <v>242</v>
      </c>
      <c r="K2777" t="s">
        <v>14</v>
      </c>
      <c r="L2777" t="s">
        <v>20</v>
      </c>
      <c r="M2777" t="s">
        <v>5766</v>
      </c>
      <c r="N2777" t="s">
        <v>14</v>
      </c>
    </row>
    <row r="2778" x14ac:dyDescent="0.25">
      <c r="A2778" t="n">
        <v>25</v>
      </c>
      <c r="B2778" t="s">
        <v>14</v>
      </c>
      <c r="C2778" t="s">
        <v>51</v>
      </c>
      <c r="D2778" s="2" t="s">
        <f>=HYPERLINK("https://main.knesset.gov.il/APPS/legislation/main/bills/2213921", "הצעת חוק ביטוח סיעודי ממלכתי (תיקוני חקיקה), התשפ""ד-2024")</f>
        <v>5876</v>
      </c>
      <c r="E2778" t="s">
        <v>5876</v>
      </c>
      <c r="F2778" t="s">
        <v>5877</v>
      </c>
      <c r="G2778" t="s">
        <v>14</v>
      </c>
      <c r="H2778">
             </c>
      <c r="I2778" t="s">
        <v>14</v>
      </c>
      <c r="J2778" t="s">
        <v>242</v>
      </c>
      <c r="K2778" t="s">
        <v>14</v>
      </c>
      <c r="L2778" t="s">
        <v>20</v>
      </c>
      <c r="M2778" t="s">
        <v>5766</v>
      </c>
      <c r="N2778" t="s">
        <v>14</v>
      </c>
    </row>
    <row r="2779" x14ac:dyDescent="0.25">
      <c r="A2779" t="n">
        <v>25</v>
      </c>
      <c r="B2779" t="s">
        <v>14</v>
      </c>
      <c r="C2779" t="s">
        <v>51</v>
      </c>
      <c r="D2779" s="2" t="s">
        <f>=HYPERLINK("https://main.knesset.gov.il/APPS/legislation/main/bills/2219641", "הצעת חוק איסור ניהול חשבון ביישומון החשוף לשליטת מדינה זרה, התשפ""ד-2024")</f>
        <v>5878</v>
      </c>
      <c r="E2779" t="s">
        <v>5878</v>
      </c>
      <c r="F2779" t="s">
        <v>5879</v>
      </c>
      <c r="G2779" t="s">
        <v>14</v>
      </c>
      <c r="H2779">
             </c>
      <c r="I2779" t="s">
        <v>14</v>
      </c>
      <c r="J2779" t="s">
        <v>242</v>
      </c>
      <c r="K2779" t="s">
        <v>14</v>
      </c>
      <c r="L2779" t="s">
        <v>20</v>
      </c>
      <c r="M2779" t="s">
        <v>5766</v>
      </c>
      <c r="N2779" t="s">
        <v>14</v>
      </c>
    </row>
    <row r="2780" x14ac:dyDescent="0.25">
      <c r="A2780" t="n">
        <v>25</v>
      </c>
      <c r="B2780" t="s">
        <v>14</v>
      </c>
      <c r="C2780" t="s">
        <v>51</v>
      </c>
      <c r="D2780" s="2" t="s">
        <f>=HYPERLINK("https://main.knesset.gov.il/APPS/legislation/main/bills/2220366", "הצעת חוק הביטוח הלאומי (תיקון - חישוב תגמול עבור שירות מילואים), התשפ""ד-2024")</f>
        <v>5880</v>
      </c>
      <c r="E2780" t="s">
        <v>5880</v>
      </c>
      <c r="F2780" t="s">
        <v>5881</v>
      </c>
      <c r="G2780" t="s">
        <v>14</v>
      </c>
      <c r="H2780">
             </c>
      <c r="I2780" t="s">
        <v>14</v>
      </c>
      <c r="J2780" t="s">
        <v>242</v>
      </c>
      <c r="K2780" t="s">
        <v>14</v>
      </c>
      <c r="L2780" t="s">
        <v>20</v>
      </c>
      <c r="M2780" t="s">
        <v>5766</v>
      </c>
      <c r="N2780" t="s">
        <v>14</v>
      </c>
    </row>
    <row r="2781" x14ac:dyDescent="0.25">
      <c r="A2781" t="n">
        <v>25</v>
      </c>
      <c r="B2781" t="s">
        <v>14</v>
      </c>
      <c r="C2781" t="s">
        <v>51</v>
      </c>
      <c r="D2781" s="2" t="s">
        <f>=HYPERLINK("https://main.knesset.gov.il/APPS/legislation/main/bills/2219626", "הצעת חוק התכנון והבנייה (תיקון - חלף היטל השבחה), התשפ""ד-2024")</f>
        <v>5882</v>
      </c>
      <c r="E2781" t="s">
        <v>5882</v>
      </c>
      <c r="F2781" t="s">
        <v>5883</v>
      </c>
      <c r="G2781" t="s">
        <v>14</v>
      </c>
      <c r="H2781">
             </c>
      <c r="I2781" t="s">
        <v>14</v>
      </c>
      <c r="J2781" t="s">
        <v>242</v>
      </c>
      <c r="K2781" t="s">
        <v>14</v>
      </c>
      <c r="L2781" t="s">
        <v>20</v>
      </c>
      <c r="M2781" t="s">
        <v>5766</v>
      </c>
      <c r="N2781" t="s">
        <v>14</v>
      </c>
    </row>
    <row r="2782" x14ac:dyDescent="0.25">
      <c r="A2782" t="n">
        <v>25</v>
      </c>
      <c r="B2782" t="s">
        <v>14</v>
      </c>
      <c r="C2782" t="s">
        <v>51</v>
      </c>
      <c r="D2782" s="2" t="s">
        <f>=HYPERLINK("https://main.knesset.gov.il/APPS/legislation/main/bills/2219166", "הצעת חוק דמי נסיעה לעובדי בתי חולים ציבוריים כלליים בתחבורה ציבורית (תיקוני חקיקה), התשפ""ד-2024")</f>
        <v>5884</v>
      </c>
      <c r="E2782" t="s">
        <v>5884</v>
      </c>
      <c r="F2782" t="s">
        <v>5885</v>
      </c>
      <c r="G2782" t="s">
        <v>14</v>
      </c>
      <c r="H2782">
             </c>
      <c r="I2782" t="s">
        <v>14</v>
      </c>
      <c r="J2782" t="s">
        <v>242</v>
      </c>
      <c r="K2782" t="s">
        <v>14</v>
      </c>
      <c r="L2782" t="s">
        <v>20</v>
      </c>
      <c r="M2782" t="s">
        <v>5766</v>
      </c>
      <c r="N2782" t="s">
        <v>14</v>
      </c>
    </row>
    <row r="2783" x14ac:dyDescent="0.25">
      <c r="A2783" t="n">
        <v>25</v>
      </c>
      <c r="B2783" t="s">
        <v>14</v>
      </c>
      <c r="C2783" t="s">
        <v>51</v>
      </c>
      <c r="D2783" s="2" t="s">
        <f>=HYPERLINK("https://main.knesset.gov.il/APPS/legislation/main/bills/2219926", "הצעת חוק אומנה לילדים (תיקון - המשך השמה באומנה לבגיר והעלאת גיל אומן), התשפ""ד-2024")</f>
        <v>5886</v>
      </c>
      <c r="E2783" t="s">
        <v>5886</v>
      </c>
      <c r="F2783" t="s">
        <v>5887</v>
      </c>
      <c r="G2783" t="s">
        <v>14</v>
      </c>
      <c r="H2783">
             </c>
      <c r="I2783" t="s">
        <v>14</v>
      </c>
      <c r="J2783" t="s">
        <v>242</v>
      </c>
      <c r="K2783" t="s">
        <v>14</v>
      </c>
      <c r="L2783" t="s">
        <v>20</v>
      </c>
      <c r="M2783" t="s">
        <v>5766</v>
      </c>
      <c r="N2783" t="s">
        <v>14</v>
      </c>
    </row>
    <row r="2784" x14ac:dyDescent="0.25">
      <c r="A2784" t="n">
        <v>25</v>
      </c>
      <c r="B2784" t="s">
        <v>14</v>
      </c>
      <c r="C2784" t="s">
        <v>51</v>
      </c>
      <c r="D2784" s="2" t="s">
        <f>=HYPERLINK("https://main.knesset.gov.il/APPS/legislation/main/bills/2220426", "הצעת חוק מס להפחתת גודש התנועה באזור גוש דן (תיקון - תנאים להחלת המס), התשפ""ד-2024")</f>
        <v>5888</v>
      </c>
      <c r="E2784" t="s">
        <v>5888</v>
      </c>
      <c r="F2784" t="s">
        <v>5889</v>
      </c>
      <c r="G2784" t="s">
        <v>14</v>
      </c>
      <c r="H2784">
             </c>
      <c r="I2784" t="s">
        <v>14</v>
      </c>
      <c r="J2784" t="s">
        <v>242</v>
      </c>
      <c r="K2784" t="s">
        <v>14</v>
      </c>
      <c r="L2784" t="s">
        <v>20</v>
      </c>
      <c r="M2784" t="s">
        <v>5766</v>
      </c>
      <c r="N2784" t="s">
        <v>14</v>
      </c>
    </row>
    <row r="2785" x14ac:dyDescent="0.25">
      <c r="A2785" t="n">
        <v>25</v>
      </c>
      <c r="B2785" t="s">
        <v>14</v>
      </c>
      <c r="C2785" t="s">
        <v>51</v>
      </c>
      <c r="D2785" s="2" t="s">
        <f>=HYPERLINK("https://main.knesset.gov.il/APPS/legislation/main/bills/2220817", "הצעת חוק זכויות העיוור, התשפ""ד-2024")</f>
        <v>5890</v>
      </c>
      <c r="E2785" t="s">
        <v>5890</v>
      </c>
      <c r="F2785" t="s">
        <v>5891</v>
      </c>
      <c r="G2785" t="s">
        <v>14</v>
      </c>
      <c r="H2785">
             </c>
      <c r="I2785" t="s">
        <v>14</v>
      </c>
      <c r="J2785" t="s">
        <v>242</v>
      </c>
      <c r="K2785" t="s">
        <v>14</v>
      </c>
      <c r="L2785" t="s">
        <v>20</v>
      </c>
      <c r="M2785" t="s">
        <v>5766</v>
      </c>
      <c r="N2785" t="s">
        <v>14</v>
      </c>
    </row>
    <row r="2786" x14ac:dyDescent="0.25">
      <c r="A2786" t="n">
        <v>25</v>
      </c>
      <c r="B2786" t="s">
        <v>14</v>
      </c>
      <c r="C2786" t="s">
        <v>51</v>
      </c>
      <c r="D2786" s="2" t="s">
        <f>=HYPERLINK("https://main.knesset.gov.il/APPS/legislation/main/bills/2219195", "הצעת חוק הסדרת העיסוק במקצועות הבריאות (תיקון - הסדרת מקצוע הליצנות הרפואית), התשפ""ד-2024")</f>
        <v>5892</v>
      </c>
      <c r="E2786" t="s">
        <v>5892</v>
      </c>
      <c r="F2786" t="s">
        <v>5893</v>
      </c>
      <c r="G2786" t="s">
        <v>14</v>
      </c>
      <c r="H2786">
             </c>
      <c r="I2786" t="s">
        <v>14</v>
      </c>
      <c r="J2786" t="s">
        <v>242</v>
      </c>
      <c r="K2786" t="s">
        <v>14</v>
      </c>
      <c r="L2786" t="s">
        <v>20</v>
      </c>
      <c r="M2786" t="s">
        <v>5766</v>
      </c>
      <c r="N2786" t="s">
        <v>14</v>
      </c>
    </row>
    <row r="2787" x14ac:dyDescent="0.25">
      <c r="A2787" t="n">
        <v>25</v>
      </c>
      <c r="B2787" t="s">
        <v>14</v>
      </c>
      <c r="C2787" t="s">
        <v>51</v>
      </c>
      <c r="D2787" s="2" t="s">
        <f>=HYPERLINK("https://main.knesset.gov.il/APPS/legislation/main/bills/2220547", "הצעת חוק משפחות חיילים שנספו במערכה (תגמולים ושיקום) (תיקון - הכרה בסבו וסבתו של הנספה), התשפ""ד-2024")</f>
        <v>5894</v>
      </c>
      <c r="E2787" t="s">
        <v>5894</v>
      </c>
      <c r="F2787" t="s">
        <v>5895</v>
      </c>
      <c r="G2787" t="s">
        <v>14</v>
      </c>
      <c r="H2787">
             </c>
      <c r="I2787" t="s">
        <v>14</v>
      </c>
      <c r="J2787" t="s">
        <v>202</v>
      </c>
      <c r="K2787" t="s">
        <v>14</v>
      </c>
      <c r="L2787" t="s">
        <v>20</v>
      </c>
      <c r="M2787" t="s">
        <v>5766</v>
      </c>
      <c r="N2787" t="s">
        <v>14</v>
      </c>
    </row>
    <row r="2788" x14ac:dyDescent="0.25">
      <c r="A2788" t="n">
        <v>25</v>
      </c>
      <c r="B2788" t="s">
        <v>14</v>
      </c>
      <c r="C2788" t="s">
        <v>51</v>
      </c>
      <c r="D2788" s="2" t="s">
        <f>=HYPERLINK("https://main.knesset.gov.il/APPS/legislation/main/bills/2220367", "הצעת חוק הסיוע המשפטי (תיקון - סיוע משפטי לנכי צה""ל ולנפגעי פעולות איבה), התשפ""ד-2024 ")</f>
        <v>5896</v>
      </c>
      <c r="E2788" t="s">
        <v>5896</v>
      </c>
      <c r="F2788" t="s">
        <v>5897</v>
      </c>
      <c r="G2788" t="s">
        <v>14</v>
      </c>
      <c r="H2788">
             </c>
      <c r="I2788" t="s">
        <v>14</v>
      </c>
      <c r="J2788" t="s">
        <v>242</v>
      </c>
      <c r="K2788" t="s">
        <v>14</v>
      </c>
      <c r="L2788" t="s">
        <v>20</v>
      </c>
      <c r="M2788" t="s">
        <v>5766</v>
      </c>
      <c r="N2788" t="s">
        <v>14</v>
      </c>
    </row>
    <row r="2789" x14ac:dyDescent="0.25">
      <c r="A2789" t="n">
        <v>25</v>
      </c>
      <c r="B2789" t="s">
        <v>14</v>
      </c>
      <c r="C2789" t="s">
        <v>51</v>
      </c>
      <c r="D2789" s="2" t="s">
        <f>=HYPERLINK("https://main.knesset.gov.il/APPS/legislation/main/bills/2218643", "הצעת חוק הגנה על מתחם הר הבית, התשפ""ד-2024")</f>
        <v>5898</v>
      </c>
      <c r="E2789" t="s">
        <v>5898</v>
      </c>
      <c r="F2789" t="s">
        <v>5899</v>
      </c>
      <c r="G2789" t="s">
        <v>14</v>
      </c>
      <c r="H2789">
             </c>
      <c r="I2789" t="s">
        <v>14</v>
      </c>
      <c r="J2789" t="s">
        <v>242</v>
      </c>
      <c r="K2789" t="s">
        <v>14</v>
      </c>
      <c r="L2789" t="s">
        <v>20</v>
      </c>
      <c r="M2789" t="s">
        <v>5766</v>
      </c>
      <c r="N2789" t="s">
        <v>14</v>
      </c>
    </row>
    <row r="2790" x14ac:dyDescent="0.25">
      <c r="A2790" t="n">
        <v>25</v>
      </c>
      <c r="B2790" t="s">
        <v>14</v>
      </c>
      <c r="C2790" t="s">
        <v>51</v>
      </c>
      <c r="D2790" s="2" t="s">
        <f>=HYPERLINK("https://main.knesset.gov.il/APPS/legislation/main/bills/2219485", "הצעת חוק עידוד העסקת קציני ים ישראלים (הוראת שעה), התשפ""ד-2024")</f>
        <v>5900</v>
      </c>
      <c r="E2790" t="s">
        <v>5900</v>
      </c>
      <c r="F2790" t="s">
        <v>5901</v>
      </c>
      <c r="G2790" t="s">
        <v>14</v>
      </c>
      <c r="H2790">
             </c>
      <c r="I2790" t="s">
        <v>14</v>
      </c>
      <c r="J2790" t="s">
        <v>242</v>
      </c>
      <c r="K2790" t="s">
        <v>14</v>
      </c>
      <c r="L2790" t="s">
        <v>20</v>
      </c>
      <c r="M2790" t="s">
        <v>5766</v>
      </c>
      <c r="N2790" t="s">
        <v>14</v>
      </c>
    </row>
    <row r="2791" x14ac:dyDescent="0.25">
      <c r="A2791" t="n">
        <v>25</v>
      </c>
      <c r="B2791" t="s">
        <v>14</v>
      </c>
      <c r="C2791" t="s">
        <v>51</v>
      </c>
      <c r="D2791" s="2" t="s">
        <f>=HYPERLINK("https://main.knesset.gov.il/APPS/legislation/main/bills/2219207", "הצעת חוק להגברת הפיקוח על תהליכי אסדרה של מפוקחי רשות שוק ההון, התשפ""ד-2024")</f>
        <v>5902</v>
      </c>
      <c r="E2791" t="s">
        <v>5902</v>
      </c>
      <c r="F2791" t="s">
        <v>5903</v>
      </c>
      <c r="G2791" t="s">
        <v>14</v>
      </c>
      <c r="H2791">
             </c>
      <c r="I2791" t="s">
        <v>14</v>
      </c>
      <c r="J2791" t="s">
        <v>242</v>
      </c>
      <c r="K2791" t="s">
        <v>14</v>
      </c>
      <c r="L2791" t="s">
        <v>20</v>
      </c>
      <c r="M2791" t="s">
        <v>5766</v>
      </c>
      <c r="N2791" t="s">
        <v>14</v>
      </c>
    </row>
    <row r="2792" x14ac:dyDescent="0.25">
      <c r="A2792" t="n">
        <v>25</v>
      </c>
      <c r="B2792" t="s">
        <v>14</v>
      </c>
      <c r="C2792" t="s">
        <v>51</v>
      </c>
      <c r="D2792" s="2" t="s">
        <f>=HYPERLINK("https://main.knesset.gov.il/APPS/legislation/main/bills/2220988", "הצעת חוק להגברת הפיקוח על אסדרת גופים פיננסיים (תיקוני חקיקה), התשפ""ד-2024")</f>
        <v>5904</v>
      </c>
      <c r="E2792" t="s">
        <v>5904</v>
      </c>
      <c r="F2792" t="s">
        <v>5905</v>
      </c>
      <c r="G2792" t="s">
        <v>14</v>
      </c>
      <c r="H2792">
             </c>
      <c r="I2792" t="s">
        <v>14</v>
      </c>
      <c r="J2792" t="s">
        <v>242</v>
      </c>
      <c r="K2792" t="s">
        <v>14</v>
      </c>
      <c r="L2792" t="s">
        <v>20</v>
      </c>
      <c r="M2792" t="s">
        <v>5766</v>
      </c>
      <c r="N2792" t="s">
        <v>14</v>
      </c>
    </row>
    <row r="2793" x14ac:dyDescent="0.25">
      <c r="A2793" t="n">
        <v>25</v>
      </c>
      <c r="B2793" t="s">
        <v>14</v>
      </c>
      <c r="C2793" t="s">
        <v>51</v>
      </c>
      <c r="D2793" s="2" t="s">
        <f>=HYPERLINK("https://main.knesset.gov.il/APPS/legislation/main/bills/2220574", "הצעת חוק שירות התעסוקה (תיקון - הקמת לשכות תעסוקה), התשפ""ד-2024")</f>
        <v>5906</v>
      </c>
      <c r="E2793" t="s">
        <v>5906</v>
      </c>
      <c r="F2793" t="s">
        <v>5907</v>
      </c>
      <c r="G2793" t="s">
        <v>14</v>
      </c>
      <c r="H2793">
             </c>
      <c r="I2793" t="s">
        <v>14</v>
      </c>
      <c r="J2793" t="s">
        <v>242</v>
      </c>
      <c r="K2793" t="s">
        <v>14</v>
      </c>
      <c r="L2793" t="s">
        <v>20</v>
      </c>
      <c r="M2793" t="s">
        <v>5766</v>
      </c>
      <c r="N2793" t="s">
        <v>14</v>
      </c>
    </row>
    <row r="2794" x14ac:dyDescent="0.25">
      <c r="A2794" t="n">
        <v>25</v>
      </c>
      <c r="B2794" t="s">
        <v>14</v>
      </c>
      <c r="C2794" t="s">
        <v>51</v>
      </c>
      <c r="D2794" s="2" t="s">
        <f>=HYPERLINK("https://main.knesset.gov.il/APPS/legislation/main/bills/2220330", "הצעת חוק שירות התעסוקה (תיקון - הקמת לשכות תעסוקה), התשפ""ד-2024")</f>
        <v>5906</v>
      </c>
      <c r="E2794" t="s">
        <v>5906</v>
      </c>
      <c r="F2794" t="s">
        <v>5908</v>
      </c>
      <c r="G2794" t="s">
        <v>14</v>
      </c>
      <c r="H2794">
             </c>
      <c r="I2794" t="s">
        <v>14</v>
      </c>
      <c r="J2794" t="s">
        <v>242</v>
      </c>
      <c r="K2794" t="s">
        <v>14</v>
      </c>
      <c r="L2794" t="s">
        <v>20</v>
      </c>
      <c r="M2794" t="s">
        <v>5766</v>
      </c>
      <c r="N2794" t="s">
        <v>14</v>
      </c>
    </row>
    <row r="2795" x14ac:dyDescent="0.25">
      <c r="A2795" t="n">
        <v>25</v>
      </c>
      <c r="B2795" t="s">
        <v>14</v>
      </c>
      <c r="C2795" t="s">
        <v>51</v>
      </c>
      <c r="D2795" s="2" t="s">
        <f>=HYPERLINK("https://main.knesset.gov.il/APPS/legislation/main/bills/2204484", "הצעת חוק העונשין (תיקון מס' 153) (החזקה, נשיאה והובלה של כמה כלי נשק), התשפ""ד–2024")</f>
        <v>5909</v>
      </c>
      <c r="E2795" t="s">
        <v>5909</v>
      </c>
      <c r="F2795" t="s">
        <v>5910</v>
      </c>
      <c r="G2795" t="s">
        <v>5911</v>
      </c>
      <c r="H2795">
             </c>
      <c r="I2795" t="s">
        <v>166</v>
      </c>
      <c r="J2795" t="s">
        <v>162</v>
      </c>
      <c r="K2795" t="s">
        <v>27</v>
      </c>
      <c r="L2795" t="s">
        <v>20</v>
      </c>
      <c r="M2795" t="s">
        <v>5766</v>
      </c>
      <c r="N2795" t="s">
        <v>14</v>
      </c>
    </row>
    <row r="2796" x14ac:dyDescent="0.25">
      <c r="A2796" t="n">
        <v>25</v>
      </c>
      <c r="B2796" t="s">
        <v>14</v>
      </c>
      <c r="C2796" t="s">
        <v>51</v>
      </c>
      <c r="D2796" s="2" t="s">
        <f>=HYPERLINK("https://main.knesset.gov.il/APPS/legislation/main/bills/2205309", "חוק לתיקון סדרי הדין (חקירת עדים) (תיקון מס' 10), התשפ""ד–2024")</f>
        <v>5912</v>
      </c>
      <c r="E2796" t="s">
        <v>5912</v>
      </c>
      <c r="F2796" t="s">
        <v>5913</v>
      </c>
      <c r="G2796" t="s">
        <v>5914</v>
      </c>
      <c r="H2796" t="n">
        <v>3267</v>
      </c>
      <c r="I2796" t="s">
        <v>14</v>
      </c>
      <c r="J2796" t="s">
        <v>18</v>
      </c>
      <c r="K2796" t="s">
        <v>27</v>
      </c>
      <c r="L2796" t="s">
        <v>20</v>
      </c>
      <c r="M2796" t="s">
        <v>5915</v>
      </c>
      <c r="N2796" t="s">
        <v>5916</v>
      </c>
    </row>
    <row r="2797" x14ac:dyDescent="0.25">
      <c r="A2797" t="n">
        <v>25</v>
      </c>
      <c r="B2797" t="s">
        <v>14</v>
      </c>
      <c r="C2797" t="s">
        <v>51</v>
      </c>
      <c r="D2797" s="2" t="s">
        <f>=HYPERLINK("https://main.knesset.gov.il/APPS/legislation/main/bills/2210404", "חוק לתיקון פקודת הנמלים (מס' 6), התשפ""ד–2024")</f>
        <v>5917</v>
      </c>
      <c r="E2797" t="s">
        <v>5917</v>
      </c>
      <c r="F2797" t="s">
        <v>5918</v>
      </c>
      <c r="G2797" t="s">
        <v>5919</v>
      </c>
      <c r="H2797" t="n">
        <v>3266</v>
      </c>
      <c r="I2797" t="s">
        <v>14</v>
      </c>
      <c r="J2797" t="s">
        <v>18</v>
      </c>
      <c r="K2797" t="s">
        <v>84</v>
      </c>
      <c r="L2797" t="s">
        <v>20</v>
      </c>
      <c r="M2797" t="s">
        <v>5915</v>
      </c>
      <c r="N2797" t="s">
        <v>5920</v>
      </c>
    </row>
    <row r="2798" x14ac:dyDescent="0.25">
      <c r="A2798" t="n">
        <v>25</v>
      </c>
      <c r="B2798" t="s">
        <v>14</v>
      </c>
      <c r="C2798" t="s">
        <v>51</v>
      </c>
      <c r="D2798" s="2" t="s">
        <f>=HYPERLINK("https://main.knesset.gov.il/APPS/legislation/main/bills/2215357", "חוק זכויות הסטודנט (תיקון מס' 9 – הוראת שעה – חרבות ברזל), התשפ""ד–2024")</f>
        <v>5921</v>
      </c>
      <c r="E2798" t="s">
        <v>5921</v>
      </c>
      <c r="F2798" t="s">
        <v>5922</v>
      </c>
      <c r="G2798" t="s">
        <v>5923</v>
      </c>
      <c r="H2798" t="n">
        <v>3264</v>
      </c>
      <c r="I2798" t="s">
        <v>14</v>
      </c>
      <c r="J2798" t="s">
        <v>18</v>
      </c>
      <c r="K2798" t="s">
        <v>79</v>
      </c>
      <c r="L2798" t="s">
        <v>20</v>
      </c>
      <c r="M2798" t="s">
        <v>5915</v>
      </c>
      <c r="N2798" t="s">
        <v>5924</v>
      </c>
    </row>
    <row r="2799" x14ac:dyDescent="0.25">
      <c r="A2799" t="n">
        <v>25</v>
      </c>
      <c r="B2799" t="s">
        <v>14</v>
      </c>
      <c r="C2799" t="s">
        <v>51</v>
      </c>
      <c r="D2799" s="2" t="s">
        <f>=HYPERLINK("https://main.knesset.gov.il/APPS/legislation/main/bills/2200867", "חוק הבנקאות (רישוי) (תיקון מס' 32), התשפ""ד–2024")</f>
        <v>5925</v>
      </c>
      <c r="E2799" t="s">
        <v>5925</v>
      </c>
      <c r="F2799" t="s">
        <v>5926</v>
      </c>
      <c r="G2799" t="s">
        <v>5927</v>
      </c>
      <c r="H2799" t="n">
        <v>3263</v>
      </c>
      <c r="I2799" t="s">
        <v>14</v>
      </c>
      <c r="J2799" t="s">
        <v>18</v>
      </c>
      <c r="K2799" t="s">
        <v>84</v>
      </c>
      <c r="L2799" t="s">
        <v>20</v>
      </c>
      <c r="M2799" t="s">
        <v>5915</v>
      </c>
      <c r="N2799" t="s">
        <v>5928</v>
      </c>
    </row>
    <row r="2800" x14ac:dyDescent="0.25">
      <c r="A2800" t="n">
        <v>25</v>
      </c>
      <c r="B2800" t="s">
        <v>14</v>
      </c>
      <c r="C2800" t="s">
        <v>51</v>
      </c>
      <c r="D2800" s="2" t="s">
        <f>=HYPERLINK("https://main.knesset.gov.il/APPS/legislation/main/bills/2214546", "חוק לתיקון פקודת מס הכנסה (מס' 273), התשפ""ד–2024")</f>
        <v>5929</v>
      </c>
      <c r="E2800" t="s">
        <v>5929</v>
      </c>
      <c r="F2800" t="s">
        <v>5930</v>
      </c>
      <c r="G2800" t="s">
        <v>5931</v>
      </c>
      <c r="H2800" t="n">
        <v>3262</v>
      </c>
      <c r="I2800" t="s">
        <v>14</v>
      </c>
      <c r="J2800" t="s">
        <v>18</v>
      </c>
      <c r="K2800" t="s">
        <v>24</v>
      </c>
      <c r="L2800" t="s">
        <v>20</v>
      </c>
      <c r="M2800" t="s">
        <v>5915</v>
      </c>
      <c r="N2800" t="s">
        <v>5932</v>
      </c>
    </row>
    <row r="2801" x14ac:dyDescent="0.25">
      <c r="A2801" t="n">
        <v>25</v>
      </c>
      <c r="B2801" t="s">
        <v>14</v>
      </c>
      <c r="C2801" t="s">
        <v>51</v>
      </c>
      <c r="D2801" s="2" t="s">
        <f>=HYPERLINK("https://main.knesset.gov.il/APPS/legislation/main/bills/2201297", "חוק למניעת הטרדה מינית (תיקון מס' 16), התשפ""ד–2024")</f>
        <v>5933</v>
      </c>
      <c r="E2801" t="s">
        <v>5933</v>
      </c>
      <c r="F2801" t="s">
        <v>5934</v>
      </c>
      <c r="G2801" t="s">
        <v>5935</v>
      </c>
      <c r="H2801" t="n">
        <v>3261</v>
      </c>
      <c r="I2801" t="s">
        <v>14</v>
      </c>
      <c r="J2801" t="s">
        <v>18</v>
      </c>
      <c r="K2801" t="s">
        <v>5936</v>
      </c>
      <c r="L2801" t="s">
        <v>20</v>
      </c>
      <c r="M2801" t="s">
        <v>5915</v>
      </c>
      <c r="N2801" t="s">
        <v>14</v>
      </c>
    </row>
    <row r="2802" x14ac:dyDescent="0.25">
      <c r="A2802" t="n">
        <v>25</v>
      </c>
      <c r="B2802" t="s">
        <v>14</v>
      </c>
      <c r="C2802" t="s">
        <v>51</v>
      </c>
      <c r="D2802" s="2" t="s">
        <f>=HYPERLINK("https://main.knesset.gov.il/APPS/legislation/main/bills/2197953", "חוק הקמת מאגר מידע גנטי של כלבים, התשפ""ד–2024")</f>
        <v>5937</v>
      </c>
      <c r="E2802" t="s">
        <v>5937</v>
      </c>
      <c r="F2802" t="s">
        <v>5938</v>
      </c>
      <c r="G2802" t="s">
        <v>5939</v>
      </c>
      <c r="H2802" t="n">
        <v>3260</v>
      </c>
      <c r="I2802" t="s">
        <v>14</v>
      </c>
      <c r="J2802" t="s">
        <v>18</v>
      </c>
      <c r="K2802" t="s">
        <v>84</v>
      </c>
      <c r="L2802" t="s">
        <v>20</v>
      </c>
      <c r="M2802" t="s">
        <v>5915</v>
      </c>
      <c r="N2802" t="s">
        <v>5940</v>
      </c>
    </row>
    <row r="2803" x14ac:dyDescent="0.25">
      <c r="A2803" t="n">
        <v>25</v>
      </c>
      <c r="B2803" t="s">
        <v>14</v>
      </c>
      <c r="C2803" t="s">
        <v>51</v>
      </c>
      <c r="D2803" s="2" t="s">
        <f>=HYPERLINK("https://main.knesset.gov.il/APPS/legislation/main/bills/2195806", "חוק יום בריאות הנפש, התשפ""ד-2024")</f>
        <v>5941</v>
      </c>
      <c r="E2803" t="s">
        <v>5941</v>
      </c>
      <c r="F2803" t="s">
        <v>5942</v>
      </c>
      <c r="G2803" t="s">
        <v>5943</v>
      </c>
      <c r="H2803" t="n">
        <v>3259</v>
      </c>
      <c r="I2803" t="s">
        <v>14</v>
      </c>
      <c r="J2803" t="s">
        <v>18</v>
      </c>
      <c r="K2803" t="s">
        <v>79</v>
      </c>
      <c r="L2803" t="s">
        <v>20</v>
      </c>
      <c r="M2803" t="s">
        <v>5915</v>
      </c>
      <c r="N2803" t="s">
        <v>5944</v>
      </c>
    </row>
    <row r="2804" x14ac:dyDescent="0.25">
      <c r="A2804" t="n">
        <v>25</v>
      </c>
      <c r="B2804" t="s">
        <v>14</v>
      </c>
      <c r="C2804" t="s">
        <v>15</v>
      </c>
      <c r="D2804" s="2" t="s">
        <f>=HYPERLINK("https://main.knesset.gov.il/APPS/legislation/main/bills/2164124", "חוק נטילת אמצעי זיהוי ביומטריים מזרים, הפקת נתוני זיהוי ביומטריים ומאגר מידע, התשפ""ד-2024")</f>
        <v>5945</v>
      </c>
      <c r="E2804" t="s">
        <v>5945</v>
      </c>
      <c r="F2804" t="s">
        <v>14</v>
      </c>
      <c r="G2804" t="s">
        <v>5946</v>
      </c>
      <c r="H2804" t="n">
        <v>3265</v>
      </c>
      <c r="I2804" t="s">
        <v>14</v>
      </c>
      <c r="J2804" t="s">
        <v>18</v>
      </c>
      <c r="K2804" t="s">
        <v>30</v>
      </c>
      <c r="L2804" t="s">
        <v>20</v>
      </c>
      <c r="M2804" t="s">
        <v>5947</v>
      </c>
      <c r="N2804" t="s">
        <v>5948</v>
      </c>
    </row>
    <row r="2805" x14ac:dyDescent="0.25">
      <c r="A2805" t="n">
        <v>25</v>
      </c>
      <c r="B2805" t="s">
        <v>14</v>
      </c>
      <c r="C2805" t="s">
        <v>51</v>
      </c>
      <c r="D2805" s="2" t="s">
        <f>=HYPERLINK("https://main.knesset.gov.il/APPS/legislation/main/bills/2197450", "חוק ניוד מידע רפואי, התשפ""ד-2024")</f>
        <v>5949</v>
      </c>
      <c r="E2805" t="s">
        <v>5949</v>
      </c>
      <c r="F2805" t="s">
        <v>5950</v>
      </c>
      <c r="G2805" t="s">
        <v>5951</v>
      </c>
      <c r="H2805" t="n">
        <v>3258</v>
      </c>
      <c r="I2805" t="s">
        <v>14</v>
      </c>
      <c r="J2805" t="s">
        <v>18</v>
      </c>
      <c r="K2805" t="s">
        <v>361</v>
      </c>
      <c r="L2805" t="s">
        <v>20</v>
      </c>
      <c r="M2805" t="s">
        <v>5947</v>
      </c>
      <c r="N2805" t="s">
        <v>5952</v>
      </c>
    </row>
    <row r="2806" x14ac:dyDescent="0.25">
      <c r="A2806" t="n">
        <v>25</v>
      </c>
      <c r="B2806" t="s">
        <v>14</v>
      </c>
      <c r="C2806" t="s">
        <v>15</v>
      </c>
      <c r="D2806" s="2" t="s">
        <f>=HYPERLINK("https://main.knesset.gov.il/APPS/legislation/main/bills/2217130", "חוק הבנקאות (רישוי) (תיקון מס' 31), התשפ""ד-2024")</f>
        <v>5953</v>
      </c>
      <c r="E2806" t="s">
        <v>5953</v>
      </c>
      <c r="F2806" t="s">
        <v>14</v>
      </c>
      <c r="G2806" t="s">
        <v>5954</v>
      </c>
      <c r="H2806" t="n">
        <v>3257</v>
      </c>
      <c r="I2806" t="s">
        <v>14</v>
      </c>
      <c r="J2806" t="s">
        <v>18</v>
      </c>
      <c r="K2806" t="s">
        <v>84</v>
      </c>
      <c r="L2806" t="s">
        <v>20</v>
      </c>
      <c r="M2806" t="s">
        <v>5947</v>
      </c>
      <c r="N2806" t="s">
        <v>5955</v>
      </c>
    </row>
    <row r="2807" x14ac:dyDescent="0.25">
      <c r="A2807" t="n">
        <v>25</v>
      </c>
      <c r="B2807" t="s">
        <v>14</v>
      </c>
      <c r="C2807" t="s">
        <v>51</v>
      </c>
      <c r="D2807" s="2" t="s">
        <f>=HYPERLINK("https://main.knesset.gov.il/APPS/legislation/main/bills/2212439", "חוק הגישה לתוכן דיגיטלי לאחר פטירתו של אדם, התשפ""ד–2024")</f>
        <v>5956</v>
      </c>
      <c r="E2807" t="s">
        <v>5956</v>
      </c>
      <c r="F2807" t="s">
        <v>5957</v>
      </c>
      <c r="G2807" t="s">
        <v>5958</v>
      </c>
      <c r="H2807" t="n">
        <v>3256</v>
      </c>
      <c r="I2807" t="s">
        <v>14</v>
      </c>
      <c r="J2807" t="s">
        <v>18</v>
      </c>
      <c r="K2807" t="s">
        <v>27</v>
      </c>
      <c r="L2807" t="s">
        <v>20</v>
      </c>
      <c r="M2807" t="s">
        <v>5947</v>
      </c>
      <c r="N2807" t="s">
        <v>5959</v>
      </c>
    </row>
    <row r="2808" x14ac:dyDescent="0.25">
      <c r="A2808" t="n">
        <v>25</v>
      </c>
      <c r="B2808" t="s">
        <v>14</v>
      </c>
      <c r="C2808" t="s">
        <v>15</v>
      </c>
      <c r="D2808" s="2" t="s">
        <f>=HYPERLINK("https://main.knesset.gov.il/APPS/legislation/main/bills/2207375", "חוק בתי המשפט (תיקון מס' 103), התשפ""ד–2024")</f>
        <v>5960</v>
      </c>
      <c r="E2808" t="s">
        <v>5960</v>
      </c>
      <c r="F2808" t="s">
        <v>14</v>
      </c>
      <c r="G2808" t="s">
        <v>5961</v>
      </c>
      <c r="H2808" t="n">
        <v>3255</v>
      </c>
      <c r="I2808" t="s">
        <v>14</v>
      </c>
      <c r="J2808" t="s">
        <v>18</v>
      </c>
      <c r="K2808" t="s">
        <v>27</v>
      </c>
      <c r="L2808" t="s">
        <v>20</v>
      </c>
      <c r="M2808" t="s">
        <v>5947</v>
      </c>
      <c r="N2808" t="s">
        <v>5962</v>
      </c>
    </row>
    <row r="2809" x14ac:dyDescent="0.25">
      <c r="A2809" t="n">
        <v>25</v>
      </c>
      <c r="B2809" t="s">
        <v>14</v>
      </c>
      <c r="C2809" t="s">
        <v>15</v>
      </c>
      <c r="D2809" s="2" t="s">
        <f>=HYPERLINK("https://main.knesset.gov.il/APPS/legislation/main/bills/2218539", "חוק התמודדות עם תקיפות סייבר חמורות במגזר השירותים הדיגיטליים ושירותי האחסון (הוראת שעה – חרבות ברזל) (תיקון), התשפ""ד-2024")</f>
        <v>5963</v>
      </c>
      <c r="E2809" t="s">
        <v>5963</v>
      </c>
      <c r="F2809" t="s">
        <v>14</v>
      </c>
      <c r="G2809" t="s">
        <v>5964</v>
      </c>
      <c r="H2809" t="n">
        <v>3254</v>
      </c>
      <c r="I2809" t="s">
        <v>14</v>
      </c>
      <c r="J2809" t="s">
        <v>18</v>
      </c>
      <c r="K2809" t="s">
        <v>39</v>
      </c>
      <c r="L2809" t="s">
        <v>20</v>
      </c>
      <c r="M2809" t="s">
        <v>5947</v>
      </c>
      <c r="N2809" t="s">
        <v>5965</v>
      </c>
    </row>
    <row r="2810" x14ac:dyDescent="0.25">
      <c r="A2810" t="n">
        <v>25</v>
      </c>
      <c r="B2810" t="s">
        <v>14</v>
      </c>
      <c r="C2810" t="s">
        <v>51</v>
      </c>
      <c r="D2810" s="2" t="s">
        <f>=HYPERLINK("https://main.knesset.gov.il/APPS/legislation/main/bills/2220966", "הצעת חוק הקפאת כספים ששילמה הרשות הפלסטינית בזיקה לטרור מהכספים המועברים אליה מממשלת ישראל (תיקון - חילוט הכספים וניהולם), התשפ""ד-2024")</f>
        <v>5036</v>
      </c>
      <c r="E2810" t="s">
        <v>5036</v>
      </c>
      <c r="F2810" t="s">
        <v>5966</v>
      </c>
      <c r="G2810" t="s">
        <v>14</v>
      </c>
      <c r="H2810">
             </c>
      <c r="I2810" t="s">
        <v>14</v>
      </c>
      <c r="J2810" t="s">
        <v>242</v>
      </c>
      <c r="K2810" t="s">
        <v>14</v>
      </c>
      <c r="L2810" t="s">
        <v>20</v>
      </c>
      <c r="M2810" t="s">
        <v>5947</v>
      </c>
      <c r="N2810" t="s">
        <v>14</v>
      </c>
    </row>
    <row r="2811" x14ac:dyDescent="0.25">
      <c r="A2811" t="n">
        <v>25</v>
      </c>
      <c r="B2811" t="s">
        <v>14</v>
      </c>
      <c r="C2811" t="s">
        <v>51</v>
      </c>
      <c r="D2811" s="2" t="s">
        <f>=HYPERLINK("https://main.knesset.gov.il/APPS/legislation/main/bills/2220527", "הצעת חוק הנחה לחיילי צה""ל לוחמים בתחבורה ציבורית, התשפ""ד-2024")</f>
        <v>5967</v>
      </c>
      <c r="E2811" t="s">
        <v>5967</v>
      </c>
      <c r="F2811" t="s">
        <v>5968</v>
      </c>
      <c r="G2811" t="s">
        <v>14</v>
      </c>
      <c r="H2811">
             </c>
      <c r="I2811" t="s">
        <v>14</v>
      </c>
      <c r="J2811" t="s">
        <v>242</v>
      </c>
      <c r="K2811" t="s">
        <v>14</v>
      </c>
      <c r="L2811" t="s">
        <v>20</v>
      </c>
      <c r="M2811" t="s">
        <v>5947</v>
      </c>
      <c r="N2811" t="s">
        <v>14</v>
      </c>
    </row>
    <row r="2812" x14ac:dyDescent="0.25">
      <c r="A2812" t="n">
        <v>25</v>
      </c>
      <c r="B2812" t="s">
        <v>14</v>
      </c>
      <c r="C2812" t="s">
        <v>51</v>
      </c>
      <c r="D2812" s="2" t="s">
        <f>=HYPERLINK("https://main.knesset.gov.il/APPS/legislation/main/bills/2220528", "הצעת חוק ליווי בני משפחות של משרתים בגופי ביטחון ששלחו יד בנפשם, התשפ""ד-2024")</f>
        <v>5969</v>
      </c>
      <c r="E2812" t="s">
        <v>5969</v>
      </c>
      <c r="F2812" t="s">
        <v>5970</v>
      </c>
      <c r="G2812" t="s">
        <v>14</v>
      </c>
      <c r="H2812">
             </c>
      <c r="I2812" t="s">
        <v>14</v>
      </c>
      <c r="J2812" t="s">
        <v>242</v>
      </c>
      <c r="K2812" t="s">
        <v>14</v>
      </c>
      <c r="L2812" t="s">
        <v>20</v>
      </c>
      <c r="M2812" t="s">
        <v>5947</v>
      </c>
      <c r="N2812" t="s">
        <v>14</v>
      </c>
    </row>
    <row r="2813" x14ac:dyDescent="0.25">
      <c r="A2813" t="n">
        <v>25</v>
      </c>
      <c r="B2813" t="s">
        <v>14</v>
      </c>
      <c r="C2813" t="s">
        <v>51</v>
      </c>
      <c r="D2813" s="2" t="s">
        <f>=HYPERLINK("https://main.knesset.gov.il/APPS/legislation/main/bills/2219735", "הצעת חוק משפחות חיילים שנספו במערכה (תגמולים ושיקום) (תיקון - תגמולים לשכול שאין לו בן זוג שכול), התשפ""ד-2024")</f>
        <v>5971</v>
      </c>
      <c r="E2813" t="s">
        <v>5971</v>
      </c>
      <c r="F2813" t="s">
        <v>5972</v>
      </c>
      <c r="G2813" t="s">
        <v>14</v>
      </c>
      <c r="H2813">
             </c>
      <c r="I2813" t="s">
        <v>14</v>
      </c>
      <c r="J2813" t="s">
        <v>242</v>
      </c>
      <c r="K2813" t="s">
        <v>14</v>
      </c>
      <c r="L2813" t="s">
        <v>20</v>
      </c>
      <c r="M2813" t="s">
        <v>5947</v>
      </c>
      <c r="N2813" t="s">
        <v>14</v>
      </c>
    </row>
    <row r="2814" x14ac:dyDescent="0.25">
      <c r="A2814" t="n">
        <v>25</v>
      </c>
      <c r="B2814" t="s">
        <v>14</v>
      </c>
      <c r="C2814" t="s">
        <v>51</v>
      </c>
      <c r="D2814" s="2" t="s">
        <f>=HYPERLINK("https://main.knesset.gov.il/APPS/legislation/main/bills/2220453", "הצעת חוק הכרה בתרומתם של כלבים בשירות ביטחון, התשפ""ד-2024")</f>
        <v>5973</v>
      </c>
      <c r="E2814" t="s">
        <v>5973</v>
      </c>
      <c r="F2814" t="s">
        <v>5974</v>
      </c>
      <c r="G2814" t="s">
        <v>14</v>
      </c>
      <c r="H2814">
             </c>
      <c r="I2814" t="s">
        <v>14</v>
      </c>
      <c r="J2814" t="s">
        <v>242</v>
      </c>
      <c r="K2814" t="s">
        <v>14</v>
      </c>
      <c r="L2814" t="s">
        <v>20</v>
      </c>
      <c r="M2814" t="s">
        <v>5947</v>
      </c>
      <c r="N2814" t="s">
        <v>14</v>
      </c>
    </row>
    <row r="2815" x14ac:dyDescent="0.25">
      <c r="A2815" t="n">
        <v>25</v>
      </c>
      <c r="B2815" t="s">
        <v>14</v>
      </c>
      <c r="C2815" t="s">
        <v>51</v>
      </c>
      <c r="D2815" s="2" t="s">
        <f>=HYPERLINK("https://main.knesset.gov.il/APPS/legislation/main/bills/2220908", "הצעת חוק משפחות חיילים שנספו במערכה (תגמולים ושיקום) (תיקון - תוספת תגמול להורים שכולים מבוגרים), התשפ""ד-2024")</f>
        <v>5975</v>
      </c>
      <c r="E2815" t="s">
        <v>5975</v>
      </c>
      <c r="F2815" t="s">
        <v>5976</v>
      </c>
      <c r="G2815" t="s">
        <v>14</v>
      </c>
      <c r="H2815">
             </c>
      <c r="I2815" t="s">
        <v>14</v>
      </c>
      <c r="J2815" t="s">
        <v>242</v>
      </c>
      <c r="K2815" t="s">
        <v>14</v>
      </c>
      <c r="L2815" t="s">
        <v>20</v>
      </c>
      <c r="M2815" t="s">
        <v>5947</v>
      </c>
      <c r="N2815" t="s">
        <v>14</v>
      </c>
    </row>
    <row r="2816" x14ac:dyDescent="0.25">
      <c r="A2816" t="n">
        <v>25</v>
      </c>
      <c r="B2816" t="s">
        <v>14</v>
      </c>
      <c r="C2816" t="s">
        <v>51</v>
      </c>
      <c r="D2816" s="2" t="s">
        <f>=HYPERLINK("https://main.knesset.gov.il/APPS/legislation/main/bills/2220387", "הצעת חוק שירות חובה לכל, התשפ""ד-2024")</f>
        <v>5977</v>
      </c>
      <c r="E2816" t="s">
        <v>5977</v>
      </c>
      <c r="F2816" t="s">
        <v>5978</v>
      </c>
      <c r="G2816" t="s">
        <v>14</v>
      </c>
      <c r="H2816">
             </c>
      <c r="I2816" t="s">
        <v>14</v>
      </c>
      <c r="J2816" t="s">
        <v>242</v>
      </c>
      <c r="K2816" t="s">
        <v>14</v>
      </c>
      <c r="L2816" t="s">
        <v>20</v>
      </c>
      <c r="M2816" t="s">
        <v>5947</v>
      </c>
      <c r="N2816" t="s">
        <v>14</v>
      </c>
    </row>
    <row r="2817" x14ac:dyDescent="0.25">
      <c r="A2817" t="n">
        <v>25</v>
      </c>
      <c r="B2817" t="s">
        <v>14</v>
      </c>
      <c r="C2817" t="s">
        <v>51</v>
      </c>
      <c r="D2817" s="2" t="s">
        <f>=HYPERLINK("https://main.knesset.gov.il/APPS/legislation/main/bills/2201957", "הצעת חוק נציבות תלונות אסירים, התשפ""ד-2024")</f>
        <v>5979</v>
      </c>
      <c r="E2817" t="s">
        <v>5979</v>
      </c>
      <c r="F2817" t="s">
        <v>5980</v>
      </c>
      <c r="G2817" t="s">
        <v>14</v>
      </c>
      <c r="H2817">
             </c>
      <c r="I2817" t="s">
        <v>14</v>
      </c>
      <c r="J2817" t="s">
        <v>242</v>
      </c>
      <c r="K2817" t="s">
        <v>14</v>
      </c>
      <c r="L2817" t="s">
        <v>20</v>
      </c>
      <c r="M2817" t="s">
        <v>5947</v>
      </c>
      <c r="N2817" t="s">
        <v>14</v>
      </c>
    </row>
    <row r="2818" x14ac:dyDescent="0.25">
      <c r="A2818" t="n">
        <v>25</v>
      </c>
      <c r="B2818" t="s">
        <v>14</v>
      </c>
      <c r="C2818" t="s">
        <v>51</v>
      </c>
      <c r="D2818" s="2" t="s">
        <f>=HYPERLINK("https://main.knesset.gov.il/APPS/legislation/main/bills/2220537", "הצעת חוק מימון שכר לימוד לסטודנטים באזורי מלחמה ועימות (הוראת שעה - חרבות ברזל), התשפ""ד-2024")</f>
        <v>5981</v>
      </c>
      <c r="E2818" t="s">
        <v>5981</v>
      </c>
      <c r="F2818" t="s">
        <v>5982</v>
      </c>
      <c r="G2818" t="s">
        <v>14</v>
      </c>
      <c r="H2818">
             </c>
      <c r="I2818" t="s">
        <v>14</v>
      </c>
      <c r="J2818" t="s">
        <v>242</v>
      </c>
      <c r="K2818" t="s">
        <v>14</v>
      </c>
      <c r="L2818" t="s">
        <v>20</v>
      </c>
      <c r="M2818" t="s">
        <v>5947</v>
      </c>
      <c r="N2818" t="s">
        <v>14</v>
      </c>
    </row>
    <row r="2819" x14ac:dyDescent="0.25">
      <c r="A2819" t="n">
        <v>25</v>
      </c>
      <c r="B2819" t="s">
        <v>14</v>
      </c>
      <c r="C2819" t="s">
        <v>51</v>
      </c>
      <c r="D2819" s="2" t="s">
        <f>=HYPERLINK("https://main.knesset.gov.il/APPS/legislation/main/bills/2220188", "הצעת חוק מרשם האוכלוסין (תיקון - לאום ארמי), התשפ""ד-2024 ")</f>
        <v>5983</v>
      </c>
      <c r="E2819" t="s">
        <v>5983</v>
      </c>
      <c r="F2819" t="s">
        <v>5984</v>
      </c>
      <c r="G2819" t="s">
        <v>14</v>
      </c>
      <c r="H2819">
             </c>
      <c r="I2819" t="s">
        <v>14</v>
      </c>
      <c r="J2819" t="s">
        <v>242</v>
      </c>
      <c r="K2819" t="s">
        <v>14</v>
      </c>
      <c r="L2819" t="s">
        <v>20</v>
      </c>
      <c r="M2819" t="s">
        <v>5947</v>
      </c>
      <c r="N2819" t="s">
        <v>14</v>
      </c>
    </row>
    <row r="2820" x14ac:dyDescent="0.25">
      <c r="A2820" t="n">
        <v>25</v>
      </c>
      <c r="B2820" t="s">
        <v>14</v>
      </c>
      <c r="C2820" t="s">
        <v>51</v>
      </c>
      <c r="D2820" s="2" t="s">
        <f>=HYPERLINK("https://main.knesset.gov.il/APPS/legislation/main/bills/2220955", "הצעת חוק הפיקוח על שירותים פיננסיים (קופות גמל) (תיקון - הגדלת הסכום המרבי להפקדה בקופות גמל להשקעה), התשפ""ד-2024")</f>
        <v>5985</v>
      </c>
      <c r="E2820" t="s">
        <v>5985</v>
      </c>
      <c r="F2820" t="s">
        <v>5986</v>
      </c>
      <c r="G2820" t="s">
        <v>14</v>
      </c>
      <c r="H2820">
             </c>
      <c r="I2820" t="s">
        <v>14</v>
      </c>
      <c r="J2820" t="s">
        <v>242</v>
      </c>
      <c r="K2820" t="s">
        <v>14</v>
      </c>
      <c r="L2820" t="s">
        <v>20</v>
      </c>
      <c r="M2820" t="s">
        <v>5947</v>
      </c>
      <c r="N2820" t="s">
        <v>14</v>
      </c>
    </row>
    <row r="2821" x14ac:dyDescent="0.25">
      <c r="A2821" t="n">
        <v>25</v>
      </c>
      <c r="B2821" t="s">
        <v>14</v>
      </c>
      <c r="C2821" t="s">
        <v>51</v>
      </c>
      <c r="D2821" s="2" t="s">
        <f>=HYPERLINK("https://main.knesset.gov.il/APPS/legislation/main/bills/2220970", "הצעת חוק הביטוח הלאומי (תיקון - שלילת קצבאות שמשולמות לפעילי טרור ובני משפחותיהם מחוץ לישראל), התשפ""ד-2024")</f>
        <v>5987</v>
      </c>
      <c r="E2821" t="s">
        <v>5987</v>
      </c>
      <c r="F2821" t="s">
        <v>5988</v>
      </c>
      <c r="G2821" t="s">
        <v>14</v>
      </c>
      <c r="H2821">
             </c>
      <c r="I2821" t="s">
        <v>14</v>
      </c>
      <c r="J2821" t="s">
        <v>242</v>
      </c>
      <c r="K2821" t="s">
        <v>14</v>
      </c>
      <c r="L2821" t="s">
        <v>20</v>
      </c>
      <c r="M2821" t="s">
        <v>5947</v>
      </c>
      <c r="N2821" t="s">
        <v>14</v>
      </c>
    </row>
    <row r="2822" x14ac:dyDescent="0.25">
      <c r="A2822" t="n">
        <v>25</v>
      </c>
      <c r="B2822" t="s">
        <v>14</v>
      </c>
      <c r="C2822" t="s">
        <v>51</v>
      </c>
      <c r="D2822" s="2" t="s">
        <f>=HYPERLINK("https://main.knesset.gov.il/APPS/legislation/main/bills/2220959", "הצעת חוק הביטוח הלאומי (תיקון - הגבלת שכר טרחה עבור טיפול בתביעה לנפגעי איבה), התשפ""ד-2024")</f>
        <v>5989</v>
      </c>
      <c r="E2822" t="s">
        <v>5989</v>
      </c>
      <c r="F2822" t="s">
        <v>5990</v>
      </c>
      <c r="G2822" t="s">
        <v>14</v>
      </c>
      <c r="H2822">
             </c>
      <c r="I2822" t="s">
        <v>14</v>
      </c>
      <c r="J2822" t="s">
        <v>242</v>
      </c>
      <c r="K2822" t="s">
        <v>14</v>
      </c>
      <c r="L2822" t="s">
        <v>20</v>
      </c>
      <c r="M2822" t="s">
        <v>5947</v>
      </c>
      <c r="N2822" t="s">
        <v>14</v>
      </c>
    </row>
    <row r="2823" x14ac:dyDescent="0.25">
      <c r="A2823" t="n">
        <v>25</v>
      </c>
      <c r="B2823" t="s">
        <v>14</v>
      </c>
      <c r="C2823" t="s">
        <v>51</v>
      </c>
      <c r="D2823" s="2" t="s">
        <f>=HYPERLINK("https://main.knesset.gov.il/APPS/legislation/main/bills/2209289", "הצעת חוק ביטוח סיעוד ממלכתי (תיקוני חקיקה), התשפ""ד-2024")</f>
        <v>5991</v>
      </c>
      <c r="E2823" t="s">
        <v>5991</v>
      </c>
      <c r="F2823" t="s">
        <v>5992</v>
      </c>
      <c r="G2823" t="s">
        <v>14</v>
      </c>
      <c r="H2823">
             </c>
      <c r="I2823" t="s">
        <v>14</v>
      </c>
      <c r="J2823" t="s">
        <v>242</v>
      </c>
      <c r="K2823" t="s">
        <v>14</v>
      </c>
      <c r="L2823" t="s">
        <v>20</v>
      </c>
      <c r="M2823" t="s">
        <v>5947</v>
      </c>
      <c r="N2823" t="s">
        <v>14</v>
      </c>
    </row>
    <row r="2824" x14ac:dyDescent="0.25">
      <c r="A2824" t="n">
        <v>25</v>
      </c>
      <c r="B2824" t="s">
        <v>14</v>
      </c>
      <c r="C2824" t="s">
        <v>51</v>
      </c>
      <c r="D2824" s="2" t="s">
        <f>=HYPERLINK("https://main.knesset.gov.il/APPS/legislation/main/bills/2220958", "הצעת חוק הרשות הלאומית למאבק בעוני, התשפ""ד-2024")</f>
        <v>5993</v>
      </c>
      <c r="E2824" t="s">
        <v>5993</v>
      </c>
      <c r="F2824" t="s">
        <v>5994</v>
      </c>
      <c r="G2824" t="s">
        <v>14</v>
      </c>
      <c r="H2824">
             </c>
      <c r="I2824" t="s">
        <v>14</v>
      </c>
      <c r="J2824" t="s">
        <v>242</v>
      </c>
      <c r="K2824" t="s">
        <v>14</v>
      </c>
      <c r="L2824" t="s">
        <v>20</v>
      </c>
      <c r="M2824" t="s">
        <v>5947</v>
      </c>
      <c r="N2824" t="s">
        <v>14</v>
      </c>
    </row>
    <row r="2825" x14ac:dyDescent="0.25">
      <c r="A2825" t="n">
        <v>25</v>
      </c>
      <c r="B2825" t="s">
        <v>14</v>
      </c>
      <c r="C2825" t="s">
        <v>51</v>
      </c>
      <c r="D2825" s="2" t="s">
        <f>=HYPERLINK("https://main.knesset.gov.il/APPS/legislation/main/bills/2219055", "הצעת חוק היקף עבודה במתכונת חודשית, התשפ""ד-2024")</f>
        <v>5995</v>
      </c>
      <c r="E2825" t="s">
        <v>5995</v>
      </c>
      <c r="F2825" t="s">
        <v>5996</v>
      </c>
      <c r="G2825" t="s">
        <v>14</v>
      </c>
      <c r="H2825">
             </c>
      <c r="I2825" t="s">
        <v>14</v>
      </c>
      <c r="J2825" t="s">
        <v>242</v>
      </c>
      <c r="K2825" t="s">
        <v>14</v>
      </c>
      <c r="L2825" t="s">
        <v>20</v>
      </c>
      <c r="M2825" t="s">
        <v>5947</v>
      </c>
      <c r="N2825" t="s">
        <v>14</v>
      </c>
    </row>
    <row r="2826" x14ac:dyDescent="0.25">
      <c r="A2826" t="n">
        <v>25</v>
      </c>
      <c r="B2826" t="s">
        <v>14</v>
      </c>
      <c r="C2826" t="s">
        <v>51</v>
      </c>
      <c r="D2826" s="2" t="s">
        <f>=HYPERLINK("https://main.knesset.gov.il/APPS/legislation/main/bills/2220956", "הצעת חוק העונשין (תיקון - מאבק בפשיעה החקלאית), התשפ""ד-2024 ")</f>
        <v>5997</v>
      </c>
      <c r="E2826" t="s">
        <v>5997</v>
      </c>
      <c r="F2826" t="s">
        <v>5998</v>
      </c>
      <c r="G2826" t="s">
        <v>14</v>
      </c>
      <c r="H2826">
             </c>
      <c r="I2826" t="s">
        <v>14</v>
      </c>
      <c r="J2826" t="s">
        <v>242</v>
      </c>
      <c r="K2826" t="s">
        <v>14</v>
      </c>
      <c r="L2826" t="s">
        <v>20</v>
      </c>
      <c r="M2826" t="s">
        <v>5947</v>
      </c>
      <c r="N2826" t="s">
        <v>14</v>
      </c>
    </row>
    <row r="2827" x14ac:dyDescent="0.25">
      <c r="A2827" t="n">
        <v>25</v>
      </c>
      <c r="B2827" t="s">
        <v>14</v>
      </c>
      <c r="C2827" t="s">
        <v>51</v>
      </c>
      <c r="D2827" s="2" t="s">
        <f>=HYPERLINK("https://main.knesset.gov.il/APPS/legislation/main/bills/2220553", "הצעת חוק לתיקון פקודת מס הכנסה (הוראת שעה - חרבות ברזל) (נקודות זיכוי בעד בן זוג במילואים), התשפ""ד-2024")</f>
        <v>5999</v>
      </c>
      <c r="E2827" t="s">
        <v>5999</v>
      </c>
      <c r="F2827" t="s">
        <v>6000</v>
      </c>
      <c r="G2827" t="s">
        <v>14</v>
      </c>
      <c r="H2827">
             </c>
      <c r="I2827" t="s">
        <v>14</v>
      </c>
      <c r="J2827" t="s">
        <v>242</v>
      </c>
      <c r="K2827" t="s">
        <v>14</v>
      </c>
      <c r="L2827" t="s">
        <v>20</v>
      </c>
      <c r="M2827" t="s">
        <v>5947</v>
      </c>
      <c r="N2827" t="s">
        <v>14</v>
      </c>
    </row>
    <row r="2828" x14ac:dyDescent="0.25">
      <c r="A2828" t="n">
        <v>25</v>
      </c>
      <c r="B2828" t="s">
        <v>14</v>
      </c>
      <c r="C2828" t="s">
        <v>51</v>
      </c>
      <c r="D2828" s="2" t="s">
        <f>=HYPERLINK("https://main.knesset.gov.il/APPS/legislation/main/bills/2220953", "הצעת חוק הסיוע המשפטי (תיקון - נפגעי עבירות מין), התשפ""ד-2024")</f>
        <v>6001</v>
      </c>
      <c r="E2828" t="s">
        <v>6001</v>
      </c>
      <c r="F2828" t="s">
        <v>6002</v>
      </c>
      <c r="G2828" t="s">
        <v>14</v>
      </c>
      <c r="H2828">
             </c>
      <c r="I2828" t="s">
        <v>14</v>
      </c>
      <c r="J2828" t="s">
        <v>242</v>
      </c>
      <c r="K2828" t="s">
        <v>14</v>
      </c>
      <c r="L2828" t="s">
        <v>20</v>
      </c>
      <c r="M2828" t="s">
        <v>5947</v>
      </c>
      <c r="N2828" t="s">
        <v>14</v>
      </c>
    </row>
    <row r="2829" x14ac:dyDescent="0.25">
      <c r="A2829" t="n">
        <v>25</v>
      </c>
      <c r="B2829" t="s">
        <v>14</v>
      </c>
      <c r="C2829" t="s">
        <v>51</v>
      </c>
      <c r="D2829" s="2" t="s">
        <f>=HYPERLINK("https://main.knesset.gov.il/APPS/legislation/main/bills/2220434", "הצעת חוק סל הקליטה (תיקון - זכאות בני משפחה של עולה), התשפ""ד-2024")</f>
        <v>6003</v>
      </c>
      <c r="E2829" t="s">
        <v>6003</v>
      </c>
      <c r="F2829" t="s">
        <v>6004</v>
      </c>
      <c r="G2829" t="s">
        <v>14</v>
      </c>
      <c r="H2829">
             </c>
      <c r="I2829" t="s">
        <v>14</v>
      </c>
      <c r="J2829" t="s">
        <v>242</v>
      </c>
      <c r="K2829" t="s">
        <v>14</v>
      </c>
      <c r="L2829" t="s">
        <v>20</v>
      </c>
      <c r="M2829" t="s">
        <v>5947</v>
      </c>
      <c r="N2829" t="s">
        <v>14</v>
      </c>
    </row>
    <row r="2830" x14ac:dyDescent="0.25">
      <c r="A2830" t="n">
        <v>25</v>
      </c>
      <c r="B2830" t="s">
        <v>14</v>
      </c>
      <c r="C2830" t="s">
        <v>51</v>
      </c>
      <c r="D2830" s="2" t="s">
        <f>=HYPERLINK("https://main.knesset.gov.il/APPS/legislation/main/bills/2219085", "הצעת חוק הביטוח הלאומי (תיקון - מענק לכיסוי הוצאות בלידת בית), התשפ""ד-2024")</f>
        <v>6005</v>
      </c>
      <c r="E2830" t="s">
        <v>6005</v>
      </c>
      <c r="F2830" t="s">
        <v>6006</v>
      </c>
      <c r="G2830" t="s">
        <v>14</v>
      </c>
      <c r="H2830">
             </c>
      <c r="I2830" t="s">
        <v>14</v>
      </c>
      <c r="J2830" t="s">
        <v>242</v>
      </c>
      <c r="K2830" t="s">
        <v>14</v>
      </c>
      <c r="L2830" t="s">
        <v>20</v>
      </c>
      <c r="M2830" t="s">
        <v>5947</v>
      </c>
      <c r="N2830" t="s">
        <v>14</v>
      </c>
    </row>
    <row r="2831" x14ac:dyDescent="0.25">
      <c r="A2831" t="n">
        <v>25</v>
      </c>
      <c r="B2831" t="s">
        <v>14</v>
      </c>
      <c r="C2831" t="s">
        <v>51</v>
      </c>
      <c r="D2831" s="2" t="s">
        <f>=HYPERLINK("https://main.knesset.gov.il/APPS/legislation/main/bills/2220432", "הצעת חוק לשכת עורכי הדין (תיקון - התמחות ומבחני הסמכה), התשפ""ד-2024")</f>
        <v>6007</v>
      </c>
      <c r="E2831" t="s">
        <v>6007</v>
      </c>
      <c r="F2831" t="s">
        <v>6008</v>
      </c>
      <c r="G2831" t="s">
        <v>14</v>
      </c>
      <c r="H2831">
             </c>
      <c r="I2831" t="s">
        <v>14</v>
      </c>
      <c r="J2831" t="s">
        <v>242</v>
      </c>
      <c r="K2831" t="s">
        <v>14</v>
      </c>
      <c r="L2831" t="s">
        <v>20</v>
      </c>
      <c r="M2831" t="s">
        <v>5947</v>
      </c>
      <c r="N2831" t="s">
        <v>14</v>
      </c>
    </row>
    <row r="2832" x14ac:dyDescent="0.25">
      <c r="A2832" t="n">
        <v>25</v>
      </c>
      <c r="B2832" t="s">
        <v>14</v>
      </c>
      <c r="C2832" t="s">
        <v>51</v>
      </c>
      <c r="D2832" s="2" t="s">
        <f>=HYPERLINK("https://main.knesset.gov.il/APPS/legislation/main/bills/2220901", "הצעת חוק משפחות חיילים שנספו במערכה (תגמולים ושיקום) (תיקון - תגמולים ושיקום לאישה שהיא הורה ליתומיו של נספה), התשפ""ד-2024")</f>
        <v>6009</v>
      </c>
      <c r="E2832" t="s">
        <v>6009</v>
      </c>
      <c r="F2832" t="s">
        <v>6010</v>
      </c>
      <c r="G2832" t="s">
        <v>14</v>
      </c>
      <c r="H2832">
             </c>
      <c r="I2832" t="s">
        <v>14</v>
      </c>
      <c r="J2832" t="s">
        <v>242</v>
      </c>
      <c r="K2832" t="s">
        <v>14</v>
      </c>
      <c r="L2832" t="s">
        <v>20</v>
      </c>
      <c r="M2832" t="s">
        <v>5947</v>
      </c>
      <c r="N2832" t="s">
        <v>14</v>
      </c>
    </row>
    <row r="2833" x14ac:dyDescent="0.25">
      <c r="A2833" t="n">
        <v>25</v>
      </c>
      <c r="B2833" t="s">
        <v>14</v>
      </c>
      <c r="C2833" t="s">
        <v>51</v>
      </c>
      <c r="D2833" s="2" t="s">
        <f>=HYPERLINK("https://main.knesset.gov.il/APPS/legislation/main/bills/2220532", "הצעת חוק התאמת לוח חופשות הלימודים לשעות העבודה והמנוחה במשק (תיקוני חקיקה), התשפ""ד-2024")</f>
        <v>6011</v>
      </c>
      <c r="E2833" t="s">
        <v>6011</v>
      </c>
      <c r="F2833" t="s">
        <v>6012</v>
      </c>
      <c r="G2833" t="s">
        <v>14</v>
      </c>
      <c r="H2833">
             </c>
      <c r="I2833" t="s">
        <v>14</v>
      </c>
      <c r="J2833" t="s">
        <v>242</v>
      </c>
      <c r="K2833" t="s">
        <v>14</v>
      </c>
      <c r="L2833" t="s">
        <v>20</v>
      </c>
      <c r="M2833" t="s">
        <v>5947</v>
      </c>
      <c r="N2833" t="s">
        <v>14</v>
      </c>
    </row>
    <row r="2834" x14ac:dyDescent="0.25">
      <c r="A2834" t="n">
        <v>25</v>
      </c>
      <c r="B2834" t="s">
        <v>14</v>
      </c>
      <c r="C2834" t="s">
        <v>51</v>
      </c>
      <c r="D2834" s="2" t="s">
        <f>=HYPERLINK("https://main.knesset.gov.il/APPS/legislation/main/bills/2220571", "הצעת חוק הפיקוח על מעונות יום לפעוטות (תיקון - סמכות משרד החינוך), התשפ""ד-2024")</f>
        <v>6013</v>
      </c>
      <c r="E2834" t="s">
        <v>6013</v>
      </c>
      <c r="F2834" t="s">
        <v>6014</v>
      </c>
      <c r="G2834" t="s">
        <v>14</v>
      </c>
      <c r="H2834">
             </c>
      <c r="I2834" t="s">
        <v>14</v>
      </c>
      <c r="J2834" t="s">
        <v>242</v>
      </c>
      <c r="K2834" t="s">
        <v>14</v>
      </c>
      <c r="L2834" t="s">
        <v>20</v>
      </c>
      <c r="M2834" t="s">
        <v>5947</v>
      </c>
      <c r="N2834" t="s">
        <v>14</v>
      </c>
    </row>
    <row r="2835" x14ac:dyDescent="0.25">
      <c r="A2835" t="n">
        <v>25</v>
      </c>
      <c r="B2835" t="s">
        <v>14</v>
      </c>
      <c r="C2835" t="s">
        <v>51</v>
      </c>
      <c r="D2835" s="2" t="s">
        <f>=HYPERLINK("https://main.knesset.gov.il/APPS/legislation/main/bills/2220962", "הצעת חוק המאבק בטרור (תיקון - סנקציות על מוסדות פיננסיים), התשפ""ד-2024")</f>
        <v>6015</v>
      </c>
      <c r="E2835" t="s">
        <v>6015</v>
      </c>
      <c r="F2835" t="s">
        <v>6016</v>
      </c>
      <c r="G2835" t="s">
        <v>14</v>
      </c>
      <c r="H2835">
             </c>
      <c r="I2835" t="s">
        <v>14</v>
      </c>
      <c r="J2835" t="s">
        <v>242</v>
      </c>
      <c r="K2835" t="s">
        <v>14</v>
      </c>
      <c r="L2835" t="s">
        <v>20</v>
      </c>
      <c r="M2835" t="s">
        <v>5947</v>
      </c>
      <c r="N2835" t="s">
        <v>14</v>
      </c>
    </row>
    <row r="2836" x14ac:dyDescent="0.25">
      <c r="A2836" t="n">
        <v>25</v>
      </c>
      <c r="B2836" t="s">
        <v>14</v>
      </c>
      <c r="C2836" t="s">
        <v>51</v>
      </c>
      <c r="D2836" s="2" t="s">
        <f>=HYPERLINK("https://main.knesset.gov.il/APPS/legislation/main/bills/2218280", "הצעת חוק מוכנות ותגובה לתקריות של זיהום הים והסביבה החופית בשמן, התשפ""ד-2024")</f>
        <v>6017</v>
      </c>
      <c r="E2836" t="s">
        <v>6017</v>
      </c>
      <c r="F2836" t="s">
        <v>6018</v>
      </c>
      <c r="G2836" t="s">
        <v>14</v>
      </c>
      <c r="H2836">
             </c>
      <c r="I2836" t="s">
        <v>14</v>
      </c>
      <c r="J2836" t="s">
        <v>242</v>
      </c>
      <c r="K2836" t="s">
        <v>14</v>
      </c>
      <c r="L2836" t="s">
        <v>20</v>
      </c>
      <c r="M2836" t="s">
        <v>5947</v>
      </c>
      <c r="N2836" t="s">
        <v>14</v>
      </c>
    </row>
    <row r="2837" x14ac:dyDescent="0.25">
      <c r="A2837" t="n">
        <v>25</v>
      </c>
      <c r="B2837" t="s">
        <v>14</v>
      </c>
      <c r="C2837" t="s">
        <v>51</v>
      </c>
      <c r="D2837" s="2" t="s">
        <f>=HYPERLINK("https://main.knesset.gov.il/APPS/legislation/main/bills/2220542", "הצעת חוק הנכים (תגמולים ושיקום) (תיקון - פצועים בשירות סדיר), התשפ""ד-2024")</f>
        <v>6019</v>
      </c>
      <c r="E2837" t="s">
        <v>6019</v>
      </c>
      <c r="F2837" t="s">
        <v>6020</v>
      </c>
      <c r="G2837" t="s">
        <v>14</v>
      </c>
      <c r="H2837">
             </c>
      <c r="I2837" t="s">
        <v>14</v>
      </c>
      <c r="J2837" t="s">
        <v>242</v>
      </c>
      <c r="K2837" t="s">
        <v>14</v>
      </c>
      <c r="L2837" t="s">
        <v>20</v>
      </c>
      <c r="M2837" t="s">
        <v>5947</v>
      </c>
      <c r="N2837" t="s">
        <v>14</v>
      </c>
    </row>
    <row r="2838" x14ac:dyDescent="0.25">
      <c r="A2838" t="n">
        <v>25</v>
      </c>
      <c r="B2838" t="s">
        <v>14</v>
      </c>
      <c r="C2838" t="s">
        <v>51</v>
      </c>
      <c r="D2838" s="2" t="s">
        <f>=HYPERLINK("https://main.knesset.gov.il/APPS/legislation/main/bills/2220640", "הצעת חוק התכנון והבנייה (תיקון - חובת הקמת מערכת סולארית לייצור חשמל במבנים), התשפ""ד-2024")</f>
        <v>6021</v>
      </c>
      <c r="E2838" t="s">
        <v>6021</v>
      </c>
      <c r="F2838" t="s">
        <v>6022</v>
      </c>
      <c r="G2838" t="s">
        <v>14</v>
      </c>
      <c r="H2838">
             </c>
      <c r="I2838" t="s">
        <v>14</v>
      </c>
      <c r="J2838" t="s">
        <v>242</v>
      </c>
      <c r="K2838" t="s">
        <v>14</v>
      </c>
      <c r="L2838" t="s">
        <v>20</v>
      </c>
      <c r="M2838" t="s">
        <v>5947</v>
      </c>
      <c r="N2838" t="s">
        <v>14</v>
      </c>
    </row>
    <row r="2839" x14ac:dyDescent="0.25">
      <c r="A2839" t="n">
        <v>25</v>
      </c>
      <c r="B2839" t="s">
        <v>14</v>
      </c>
      <c r="C2839" t="s">
        <v>51</v>
      </c>
      <c r="D2839" s="2" t="s">
        <f>=HYPERLINK("https://main.knesset.gov.il/APPS/legislation/main/bills/2220539", "הצעת חוק חובת המכרזים (תיקון - עידוד עסקים קטנים ובינוניים בשליטת משרתי מילואים), התשפ""ד-2024")</f>
        <v>6023</v>
      </c>
      <c r="E2839" t="s">
        <v>6023</v>
      </c>
      <c r="F2839" t="s">
        <v>6024</v>
      </c>
      <c r="G2839" t="s">
        <v>14</v>
      </c>
      <c r="H2839">
             </c>
      <c r="I2839" t="s">
        <v>14</v>
      </c>
      <c r="J2839" t="s">
        <v>242</v>
      </c>
      <c r="K2839" t="s">
        <v>14</v>
      </c>
      <c r="L2839" t="s">
        <v>20</v>
      </c>
      <c r="M2839" t="s">
        <v>5947</v>
      </c>
      <c r="N2839" t="s">
        <v>14</v>
      </c>
    </row>
    <row r="2840" x14ac:dyDescent="0.25">
      <c r="A2840" t="n">
        <v>25</v>
      </c>
      <c r="B2840" t="s">
        <v>14</v>
      </c>
      <c r="C2840" t="s">
        <v>51</v>
      </c>
      <c r="D2840" s="2" t="s">
        <f>=HYPERLINK("https://main.knesset.gov.il/APPS/legislation/main/bills/2220544", "הצעת חוק הרשויות המקומיות (פטור חיילים, נפגעי מלחמה ושוטרים מארנונה) (תיקון - פטור מארנונה לבית עסק של משרת בשירות מילואים פעיל), התשפ""ד-2024")</f>
        <v>6025</v>
      </c>
      <c r="E2840" t="s">
        <v>6025</v>
      </c>
      <c r="F2840" t="s">
        <v>6026</v>
      </c>
      <c r="G2840" t="s">
        <v>14</v>
      </c>
      <c r="H2840">
             </c>
      <c r="I2840" t="s">
        <v>14</v>
      </c>
      <c r="J2840" t="s">
        <v>242</v>
      </c>
      <c r="K2840" t="s">
        <v>14</v>
      </c>
      <c r="L2840" t="s">
        <v>20</v>
      </c>
      <c r="M2840" t="s">
        <v>5947</v>
      </c>
      <c r="N2840" t="s">
        <v>14</v>
      </c>
    </row>
    <row r="2841" x14ac:dyDescent="0.25">
      <c r="A2841" t="n">
        <v>25</v>
      </c>
      <c r="B2841" t="s">
        <v>14</v>
      </c>
      <c r="C2841" t="s">
        <v>51</v>
      </c>
      <c r="D2841" s="2" t="s">
        <f>=HYPERLINK("https://main.knesset.gov.il/APPS/legislation/main/bills/2220536", "הצעת חוק החיילים המשוחררים (החזרה לעבודה) (תיקון - הרחבת תקופת הגנה מפני פיטורים למשרתים במילואים), התשפ""ד-2024")</f>
        <v>6027</v>
      </c>
      <c r="E2841" t="s">
        <v>6027</v>
      </c>
      <c r="F2841" t="s">
        <v>6028</v>
      </c>
      <c r="G2841" t="s">
        <v>14</v>
      </c>
      <c r="H2841">
             </c>
      <c r="I2841" t="s">
        <v>14</v>
      </c>
      <c r="J2841" t="s">
        <v>242</v>
      </c>
      <c r="K2841" t="s">
        <v>14</v>
      </c>
      <c r="L2841" t="s">
        <v>20</v>
      </c>
      <c r="M2841" t="s">
        <v>5947</v>
      </c>
      <c r="N2841" t="s">
        <v>14</v>
      </c>
    </row>
    <row r="2842" x14ac:dyDescent="0.25">
      <c r="A2842" t="n">
        <v>25</v>
      </c>
      <c r="B2842" t="s">
        <v>14</v>
      </c>
      <c r="C2842" t="s">
        <v>51</v>
      </c>
      <c r="D2842" s="2" t="s">
        <f>=HYPERLINK("https://main.knesset.gov.il/APPS/legislation/main/bills/2220653", "הצעת חוק-יסוד: הממשלה (תיקון - תקופת כהונה מרבית בתפקיד ראש הממשלה)")</f>
        <v>6029</v>
      </c>
      <c r="E2842" t="s">
        <v>6029</v>
      </c>
      <c r="F2842" t="s">
        <v>6030</v>
      </c>
      <c r="G2842" t="s">
        <v>14</v>
      </c>
      <c r="H2842">
             </c>
      <c r="I2842" t="s">
        <v>14</v>
      </c>
      <c r="J2842" t="s">
        <v>242</v>
      </c>
      <c r="K2842" t="s">
        <v>14</v>
      </c>
      <c r="L2842" t="s">
        <v>20</v>
      </c>
      <c r="M2842" t="s">
        <v>5947</v>
      </c>
      <c r="N2842" t="s">
        <v>14</v>
      </c>
    </row>
    <row r="2843" x14ac:dyDescent="0.25">
      <c r="A2843" t="n">
        <v>25</v>
      </c>
      <c r="B2843" t="s">
        <v>14</v>
      </c>
      <c r="C2843" t="s">
        <v>51</v>
      </c>
      <c r="D2843" s="2" t="s">
        <f>=HYPERLINK("https://main.knesset.gov.il/APPS/legislation/main/bills/2220666", "הצעת חוק תחנות טיפת חלב, התשפ''ד-2024")</f>
        <v>6031</v>
      </c>
      <c r="E2843" t="s">
        <v>6031</v>
      </c>
      <c r="F2843" t="s">
        <v>6032</v>
      </c>
      <c r="G2843" t="s">
        <v>14</v>
      </c>
      <c r="H2843">
             </c>
      <c r="I2843" t="s">
        <v>14</v>
      </c>
      <c r="J2843" t="s">
        <v>242</v>
      </c>
      <c r="K2843" t="s">
        <v>14</v>
      </c>
      <c r="L2843" t="s">
        <v>20</v>
      </c>
      <c r="M2843" t="s">
        <v>5947</v>
      </c>
      <c r="N2843" t="s">
        <v>14</v>
      </c>
    </row>
    <row r="2844" x14ac:dyDescent="0.25">
      <c r="A2844" t="n">
        <v>25</v>
      </c>
      <c r="B2844" t="s">
        <v>14</v>
      </c>
      <c r="C2844" t="s">
        <v>51</v>
      </c>
      <c r="D2844" s="2" t="s">
        <f>=HYPERLINK("https://main.knesset.gov.il/APPS/legislation/main/bills/2220543", "הצעת חוק תחנות טיפת חלב, התשפ''ד-2024")</f>
        <v>6031</v>
      </c>
      <c r="E2844" t="s">
        <v>6031</v>
      </c>
      <c r="F2844" t="s">
        <v>6033</v>
      </c>
      <c r="G2844" t="s">
        <v>14</v>
      </c>
      <c r="H2844">
             </c>
      <c r="I2844" t="s">
        <v>14</v>
      </c>
      <c r="J2844" t="s">
        <v>242</v>
      </c>
      <c r="K2844" t="s">
        <v>14</v>
      </c>
      <c r="L2844" t="s">
        <v>20</v>
      </c>
      <c r="M2844" t="s">
        <v>5947</v>
      </c>
      <c r="N2844" t="s">
        <v>14</v>
      </c>
    </row>
    <row r="2845" x14ac:dyDescent="0.25">
      <c r="A2845" t="n">
        <v>25</v>
      </c>
      <c r="B2845" t="s">
        <v>14</v>
      </c>
      <c r="C2845" t="s">
        <v>51</v>
      </c>
      <c r="D2845" s="2" t="s">
        <f>=HYPERLINK("https://main.knesset.gov.il/APPS/legislation/main/bills/2220680", "הצעת חוק הכנסת (תיקון – חובת התייצבות בפני ועדות הכנסת), התשפ""ד–2024")</f>
        <v>6034</v>
      </c>
      <c r="E2845" t="s">
        <v>6034</v>
      </c>
      <c r="F2845" t="s">
        <v>6035</v>
      </c>
      <c r="G2845" t="s">
        <v>14</v>
      </c>
      <c r="H2845">
             </c>
      <c r="I2845" t="s">
        <v>14</v>
      </c>
      <c r="J2845" t="s">
        <v>242</v>
      </c>
      <c r="K2845" t="s">
        <v>14</v>
      </c>
      <c r="L2845" t="s">
        <v>20</v>
      </c>
      <c r="M2845" t="s">
        <v>5947</v>
      </c>
      <c r="N2845" t="s">
        <v>14</v>
      </c>
    </row>
    <row r="2846" x14ac:dyDescent="0.25">
      <c r="A2846" t="n">
        <v>25</v>
      </c>
      <c r="B2846" t="s">
        <v>14</v>
      </c>
      <c r="C2846" t="s">
        <v>51</v>
      </c>
      <c r="D2846" s="2" t="s">
        <f>=HYPERLINK("https://main.knesset.gov.il/APPS/legislation/main/bills/2220658", "הצעת חוק זיכרון השואה והגבורה - יד ושם (תיקון - הנצחת גבורתם ופעילותם של יהודים שחרפו נפשם על מנת להציל את בני עמם בשטחים הכבושים על ידי הנאצים), התשפ""ד-2024")</f>
        <v>6036</v>
      </c>
      <c r="E2846" t="s">
        <v>6036</v>
      </c>
      <c r="F2846" t="s">
        <v>6037</v>
      </c>
      <c r="G2846" t="s">
        <v>14</v>
      </c>
      <c r="H2846">
             </c>
      <c r="I2846" t="s">
        <v>14</v>
      </c>
      <c r="J2846" t="s">
        <v>242</v>
      </c>
      <c r="K2846" t="s">
        <v>14</v>
      </c>
      <c r="L2846" t="s">
        <v>20</v>
      </c>
      <c r="M2846" t="s">
        <v>5947</v>
      </c>
      <c r="N2846" t="s">
        <v>14</v>
      </c>
    </row>
    <row r="2847" x14ac:dyDescent="0.25">
      <c r="A2847" t="n">
        <v>25</v>
      </c>
      <c r="B2847" t="s">
        <v>14</v>
      </c>
      <c r="C2847" t="s">
        <v>51</v>
      </c>
      <c r="D2847" s="2" t="s">
        <f>=HYPERLINK("https://main.knesset.gov.il/APPS/legislation/main/bills/2220535", "הצעת חוק החיילים המשוחררים (החזרה לעבודה) (תיקון - צבירת חופשה למשרתים במילואים), התשפ""ד-2024")</f>
        <v>6038</v>
      </c>
      <c r="E2847" t="s">
        <v>6038</v>
      </c>
      <c r="F2847" t="s">
        <v>6039</v>
      </c>
      <c r="G2847" t="s">
        <v>14</v>
      </c>
      <c r="H2847">
             </c>
      <c r="I2847" t="s">
        <v>14</v>
      </c>
      <c r="J2847" t="s">
        <v>242</v>
      </c>
      <c r="K2847" t="s">
        <v>14</v>
      </c>
      <c r="L2847" t="s">
        <v>20</v>
      </c>
      <c r="M2847" t="s">
        <v>5947</v>
      </c>
      <c r="N2847" t="s">
        <v>14</v>
      </c>
    </row>
    <row r="2848" x14ac:dyDescent="0.25">
      <c r="A2848" t="n">
        <v>25</v>
      </c>
      <c r="B2848" t="s">
        <v>14</v>
      </c>
      <c r="C2848" t="s">
        <v>51</v>
      </c>
      <c r="D2848" s="2" t="s">
        <f>=HYPERLINK("https://main.knesset.gov.il/APPS/legislation/main/bills/2197154", "הצעת חוק להפסקת פעילות סוכנות הסעד והתעסוקה של האו""ם לפליטי פלסטין במזרח הקרוב (אונר""א), התשפ""ג-2022")</f>
        <v>6040</v>
      </c>
      <c r="E2848" t="s">
        <v>6040</v>
      </c>
      <c r="F2848" t="s">
        <v>6041</v>
      </c>
      <c r="G2848" t="s">
        <v>14</v>
      </c>
      <c r="H2848">
             </c>
      <c r="I2848" t="s">
        <v>14</v>
      </c>
      <c r="J2848" t="s">
        <v>183</v>
      </c>
      <c r="K2848" t="s">
        <v>39</v>
      </c>
      <c r="L2848" t="s">
        <v>20</v>
      </c>
      <c r="M2848" t="s">
        <v>5947</v>
      </c>
      <c r="N2848" t="s">
        <v>14</v>
      </c>
    </row>
    <row r="2849" x14ac:dyDescent="0.25">
      <c r="A2849" t="n">
        <v>25</v>
      </c>
      <c r="B2849" t="s">
        <v>14</v>
      </c>
      <c r="C2849" t="s">
        <v>51</v>
      </c>
      <c r="D2849" s="2" t="s">
        <f>=HYPERLINK("https://main.knesset.gov.il/APPS/legislation/main/bills/2207619", "הצעת חוק העונשין (תיקון - חזקת סוחר בכלי נשק), התשפ""ג-2023")</f>
        <v>6042</v>
      </c>
      <c r="E2849" t="s">
        <v>6042</v>
      </c>
      <c r="F2849" t="s">
        <v>6043</v>
      </c>
      <c r="G2849" t="s">
        <v>14</v>
      </c>
      <c r="H2849">
             </c>
      <c r="I2849" t="s">
        <v>14</v>
      </c>
      <c r="J2849" t="s">
        <v>183</v>
      </c>
      <c r="K2849" t="s">
        <v>27</v>
      </c>
      <c r="L2849" t="s">
        <v>20</v>
      </c>
      <c r="M2849" t="s">
        <v>6044</v>
      </c>
      <c r="N2849" t="s">
        <v>14</v>
      </c>
    </row>
    <row r="2850" x14ac:dyDescent="0.25">
      <c r="A2850" t="n">
        <v>25</v>
      </c>
      <c r="B2850" t="s">
        <v>14</v>
      </c>
      <c r="C2850" t="s">
        <v>51</v>
      </c>
      <c r="D2850" s="2" t="s">
        <f>=HYPERLINK("https://main.knesset.gov.il/APPS/legislation/main/bills/2200153", "הצעת חוק הסיוע המשפטי (תיקון - נפגעי עבירות מין), התשפ""ג-2023")</f>
        <v>6045</v>
      </c>
      <c r="E2850" t="s">
        <v>6045</v>
      </c>
      <c r="F2850" t="s">
        <v>6046</v>
      </c>
      <c r="G2850" t="s">
        <v>14</v>
      </c>
      <c r="H2850">
             </c>
      <c r="I2850" t="s">
        <v>14</v>
      </c>
      <c r="J2850" t="s">
        <v>183</v>
      </c>
      <c r="K2850" t="s">
        <v>27</v>
      </c>
      <c r="L2850" t="s">
        <v>20</v>
      </c>
      <c r="M2850" t="s">
        <v>6044</v>
      </c>
      <c r="N2850" t="s">
        <v>14</v>
      </c>
    </row>
    <row r="2851" x14ac:dyDescent="0.25">
      <c r="A2851" t="n">
        <v>25</v>
      </c>
      <c r="B2851" t="s">
        <v>14</v>
      </c>
      <c r="C2851" t="s">
        <v>51</v>
      </c>
      <c r="D2851" s="2" t="s">
        <f>=HYPERLINK("https://main.knesset.gov.il/APPS/legislation/main/bills/2197036", "הצעת חוק צער בעלי חיים (הגנה על בעלי חיים) (תיקון מס' 12) (איסור עיסוק ברבייה ובמכירה של כלבים ללא היתר), התשפ""ד–2024")</f>
        <v>6047</v>
      </c>
      <c r="E2851" t="s">
        <v>6047</v>
      </c>
      <c r="F2851" t="s">
        <v>6048</v>
      </c>
      <c r="G2851" t="s">
        <v>6049</v>
      </c>
      <c r="H2851">
             </c>
      <c r="I2851" t="s">
        <v>166</v>
      </c>
      <c r="J2851" t="s">
        <v>38</v>
      </c>
      <c r="K2851" t="s">
        <v>79</v>
      </c>
      <c r="L2851" t="s">
        <v>20</v>
      </c>
      <c r="M2851" t="s">
        <v>6050</v>
      </c>
      <c r="N2851" t="s">
        <v>14</v>
      </c>
    </row>
    <row r="2852" x14ac:dyDescent="0.25">
      <c r="A2852" t="n">
        <v>25</v>
      </c>
      <c r="B2852" t="s">
        <v>14</v>
      </c>
      <c r="C2852" t="s">
        <v>51</v>
      </c>
      <c r="D2852" s="2" t="s">
        <f>=HYPERLINK("https://main.knesset.gov.il/APPS/legislation/main/bills/2217565", "הצעת חוק ביטוח בריאות ממלכתי (תיקון - מתן מענה מנומק על ידי קופת החולים), התשפ""ד-2024")</f>
        <v>6051</v>
      </c>
      <c r="E2852" t="s">
        <v>6051</v>
      </c>
      <c r="F2852" t="s">
        <v>6052</v>
      </c>
      <c r="G2852" t="s">
        <v>14</v>
      </c>
      <c r="H2852">
             </c>
      <c r="I2852" t="s">
        <v>14</v>
      </c>
      <c r="J2852" t="s">
        <v>152</v>
      </c>
      <c r="K2852" t="s">
        <v>361</v>
      </c>
      <c r="L2852" t="s">
        <v>20</v>
      </c>
      <c r="M2852" t="s">
        <v>6050</v>
      </c>
      <c r="N2852" t="s">
        <v>14</v>
      </c>
    </row>
    <row r="2853" x14ac:dyDescent="0.25">
      <c r="A2853" t="n">
        <v>25</v>
      </c>
      <c r="B2853" t="s">
        <v>14</v>
      </c>
      <c r="C2853" t="s">
        <v>51</v>
      </c>
      <c r="D2853" s="2" t="s">
        <f>=HYPERLINK("https://main.knesset.gov.il/APPS/legislation/main/bills/2215076", "הצעת חוק ביטוח בריאות ממלכתי (תיקון - מתן מענה מנומק על ידי קופת החולים), התשפ""ד-2024")</f>
        <v>6051</v>
      </c>
      <c r="E2853" t="s">
        <v>6051</v>
      </c>
      <c r="F2853" t="s">
        <v>6053</v>
      </c>
      <c r="G2853" t="s">
        <v>14</v>
      </c>
      <c r="H2853">
             </c>
      <c r="I2853" t="s">
        <v>14</v>
      </c>
      <c r="J2853" t="s">
        <v>152</v>
      </c>
      <c r="K2853" t="s">
        <v>361</v>
      </c>
      <c r="L2853" t="s">
        <v>20</v>
      </c>
      <c r="M2853" t="s">
        <v>6050</v>
      </c>
      <c r="N2853" t="s">
        <v>14</v>
      </c>
    </row>
    <row r="2854" x14ac:dyDescent="0.25">
      <c r="A2854" t="n">
        <v>25</v>
      </c>
      <c r="B2854" t="s">
        <v>14</v>
      </c>
      <c r="C2854" t="s">
        <v>51</v>
      </c>
      <c r="D2854" s="2" t="s">
        <f>=HYPERLINK("https://main.knesset.gov.il/APPS/legislation/main/bills/2213398", "הצעת חוק ביטוח בריאות ממלכתי (תיקון מס' 70) (מענה מנומק על אי-אישור קבלת שירות בריאות מקופת חולים), התשפ""ד–2024")</f>
        <v>6054</v>
      </c>
      <c r="E2854" t="s">
        <v>6054</v>
      </c>
      <c r="F2854" t="s">
        <v>6055</v>
      </c>
      <c r="G2854" t="s">
        <v>6056</v>
      </c>
      <c r="H2854">
             </c>
      <c r="I2854" t="s">
        <v>14</v>
      </c>
      <c r="J2854" t="s">
        <v>38</v>
      </c>
      <c r="K2854" t="s">
        <v>361</v>
      </c>
      <c r="L2854" t="s">
        <v>20</v>
      </c>
      <c r="M2854" t="s">
        <v>6050</v>
      </c>
      <c r="N2854" t="s">
        <v>14</v>
      </c>
    </row>
    <row r="2855" x14ac:dyDescent="0.25">
      <c r="A2855" t="n">
        <v>25</v>
      </c>
      <c r="B2855" t="s">
        <v>14</v>
      </c>
      <c r="C2855" t="s">
        <v>51</v>
      </c>
      <c r="D2855" s="2" t="s">
        <f>=HYPERLINK("https://main.knesset.gov.il/APPS/legislation/main/bills/2208047", "הצעת חוק הכשרות המשפטית והאפוטרופסות (תיקון - סמכויות האפוטרופוס), התשפ""ג-2023")</f>
        <v>6057</v>
      </c>
      <c r="E2855" t="s">
        <v>6057</v>
      </c>
      <c r="F2855" t="s">
        <v>6058</v>
      </c>
      <c r="G2855" t="s">
        <v>14</v>
      </c>
      <c r="H2855">
             </c>
      <c r="I2855" t="s">
        <v>14</v>
      </c>
      <c r="J2855" t="s">
        <v>183</v>
      </c>
      <c r="K2855" t="s">
        <v>27</v>
      </c>
      <c r="L2855" t="s">
        <v>20</v>
      </c>
      <c r="M2855" t="s">
        <v>6050</v>
      </c>
      <c r="N2855" t="s">
        <v>14</v>
      </c>
    </row>
    <row r="2856" x14ac:dyDescent="0.25">
      <c r="A2856" t="n">
        <v>25</v>
      </c>
      <c r="B2856" t="s">
        <v>14</v>
      </c>
      <c r="C2856" t="s">
        <v>51</v>
      </c>
      <c r="D2856" s="2" t="s">
        <f>=HYPERLINK("https://main.knesset.gov.il/APPS/legislation/main/bills/2200510", "הצעת חוק עקרונות האסדרה (תיקון - פקיעת אסדרה), התשפ""ג-2023")</f>
        <v>6059</v>
      </c>
      <c r="E2856" t="s">
        <v>6059</v>
      </c>
      <c r="F2856" t="s">
        <v>6060</v>
      </c>
      <c r="G2856" t="s">
        <v>14</v>
      </c>
      <c r="H2856">
             </c>
      <c r="I2856" t="s">
        <v>14</v>
      </c>
      <c r="J2856" t="s">
        <v>183</v>
      </c>
      <c r="K2856" t="s">
        <v>27</v>
      </c>
      <c r="L2856" t="s">
        <v>20</v>
      </c>
      <c r="M2856" t="s">
        <v>6061</v>
      </c>
      <c r="N2856" t="s">
        <v>14</v>
      </c>
    </row>
    <row r="2857" x14ac:dyDescent="0.25">
      <c r="A2857" t="n">
        <v>25</v>
      </c>
      <c r="B2857" t="s">
        <v>14</v>
      </c>
      <c r="C2857" t="s">
        <v>51</v>
      </c>
      <c r="D2857" s="2" t="s">
        <f>=HYPERLINK("https://main.knesset.gov.il/APPS/legislation/main/bills/2218845", "הצעת חוק המועצה להשכלה גבוהה (תיקון - פיטורי סגל אקדמי בשל הסתה או תמיכה בטרור והפחתת תקציב), התשפ""ד-2024")</f>
        <v>6062</v>
      </c>
      <c r="E2857" t="s">
        <v>6062</v>
      </c>
      <c r="F2857" t="s">
        <v>6063</v>
      </c>
      <c r="G2857" t="s">
        <v>14</v>
      </c>
      <c r="H2857">
             </c>
      <c r="I2857" t="s">
        <v>14</v>
      </c>
      <c r="J2857" t="s">
        <v>152</v>
      </c>
      <c r="K2857" t="s">
        <v>79</v>
      </c>
      <c r="L2857" t="s">
        <v>20</v>
      </c>
      <c r="M2857" t="s">
        <v>6061</v>
      </c>
      <c r="N2857" t="s">
        <v>14</v>
      </c>
    </row>
    <row r="2858" x14ac:dyDescent="0.25">
      <c r="A2858" t="n">
        <v>25</v>
      </c>
      <c r="B2858" t="s">
        <v>14</v>
      </c>
      <c r="C2858" t="s">
        <v>15</v>
      </c>
      <c r="D2858" s="2" t="s">
        <f>=HYPERLINK("https://main.knesset.gov.il/APPS/legislation/main/bills/2220380", "חוק מניעת פגיעת גוף שידורים זר בביטחון המדינה (הוראת שעה – חרבות ברזל) (תיקון), התשפ""ד–2024")</f>
        <v>6064</v>
      </c>
      <c r="E2858" t="s">
        <v>6064</v>
      </c>
      <c r="F2858" t="s">
        <v>14</v>
      </c>
      <c r="G2858" t="s">
        <v>6065</v>
      </c>
      <c r="H2858" t="n">
        <v>3253</v>
      </c>
      <c r="I2858" t="s">
        <v>14</v>
      </c>
      <c r="J2858" t="s">
        <v>18</v>
      </c>
      <c r="K2858" t="s">
        <v>19</v>
      </c>
      <c r="L2858" t="s">
        <v>20</v>
      </c>
      <c r="M2858" t="s">
        <v>6061</v>
      </c>
      <c r="N2858" t="s">
        <v>6066</v>
      </c>
    </row>
    <row r="2859" x14ac:dyDescent="0.25">
      <c r="A2859" t="n">
        <v>25</v>
      </c>
      <c r="B2859" t="s">
        <v>14</v>
      </c>
      <c r="C2859" t="s">
        <v>51</v>
      </c>
      <c r="D2859" s="2" t="s">
        <f>=HYPERLINK("https://main.knesset.gov.il/APPS/legislation/main/bills/2218628", "הצעת חוק הקמת ועדת חקירה ממלכתית לאירועי 7 באוקטובר ומלחמת חרבות ברזל, התשפ""ד-2024")</f>
        <v>6067</v>
      </c>
      <c r="E2859" t="s">
        <v>6067</v>
      </c>
      <c r="F2859" t="s">
        <v>6068</v>
      </c>
      <c r="G2859" t="s">
        <v>14</v>
      </c>
      <c r="H2859">
             </c>
      <c r="I2859" t="s">
        <v>14</v>
      </c>
      <c r="J2859" t="s">
        <v>193</v>
      </c>
      <c r="K2859" t="s">
        <v>14</v>
      </c>
      <c r="L2859" t="s">
        <v>20</v>
      </c>
      <c r="M2859" t="s">
        <v>6061</v>
      </c>
      <c r="N2859" t="s">
        <v>14</v>
      </c>
    </row>
    <row r="2860" x14ac:dyDescent="0.25">
      <c r="A2860" t="n">
        <v>25</v>
      </c>
      <c r="B2860" t="s">
        <v>14</v>
      </c>
      <c r="C2860" t="s">
        <v>51</v>
      </c>
      <c r="D2860" s="2" t="s">
        <f>=HYPERLINK("https://main.knesset.gov.il/APPS/legislation/main/bills/2218567", "הצעת חוק הקמת ועדת חקירה ממלכתית לאירועי 7 באוקטובר, התשפ""ד-2024")</f>
        <v>6069</v>
      </c>
      <c r="E2860" t="s">
        <v>6069</v>
      </c>
      <c r="F2860" t="s">
        <v>6070</v>
      </c>
      <c r="G2860" t="s">
        <v>14</v>
      </c>
      <c r="H2860">
             </c>
      <c r="I2860" t="s">
        <v>14</v>
      </c>
      <c r="J2860" t="s">
        <v>193</v>
      </c>
      <c r="K2860" t="s">
        <v>14</v>
      </c>
      <c r="L2860" t="s">
        <v>20</v>
      </c>
      <c r="M2860" t="s">
        <v>6061</v>
      </c>
      <c r="N2860" t="s">
        <v>14</v>
      </c>
    </row>
    <row r="2861" x14ac:dyDescent="0.25">
      <c r="A2861" t="n">
        <v>25</v>
      </c>
      <c r="B2861" t="s">
        <v>14</v>
      </c>
      <c r="C2861" t="s">
        <v>51</v>
      </c>
      <c r="D2861" s="2" t="s">
        <f>=HYPERLINK("https://main.knesset.gov.il/APPS/legislation/main/bills/2212318", "הצעת חוק היחידה המיוחדת לחילופי מידע של גופי הביטחון והרשויות האזרחיות, התשפ""ד-2024 ")</f>
        <v>6071</v>
      </c>
      <c r="E2861" t="s">
        <v>6071</v>
      </c>
      <c r="F2861" t="s">
        <v>6072</v>
      </c>
      <c r="G2861" t="s">
        <v>14</v>
      </c>
      <c r="H2861">
             </c>
      <c r="I2861" t="s">
        <v>14</v>
      </c>
      <c r="J2861" t="s">
        <v>193</v>
      </c>
      <c r="K2861" t="s">
        <v>14</v>
      </c>
      <c r="L2861" t="s">
        <v>20</v>
      </c>
      <c r="M2861" t="s">
        <v>6061</v>
      </c>
      <c r="N2861" t="s">
        <v>14</v>
      </c>
    </row>
    <row r="2862" x14ac:dyDescent="0.25">
      <c r="A2862" t="n">
        <v>25</v>
      </c>
      <c r="B2862" t="s">
        <v>14</v>
      </c>
      <c r="C2862" t="s">
        <v>51</v>
      </c>
      <c r="D2862" s="2" t="s">
        <f>=HYPERLINK("https://main.knesset.gov.il/APPS/legislation/main/bills/2212839", "הצעת חוק הביטוח הלאומי (תיקון - החשבת תקופת מילואים לעניין עבודה מועדפת), התשפ""ד-2024")</f>
        <v>6073</v>
      </c>
      <c r="E2862" t="s">
        <v>6073</v>
      </c>
      <c r="F2862" t="s">
        <v>6074</v>
      </c>
      <c r="G2862" t="s">
        <v>14</v>
      </c>
      <c r="H2862">
             </c>
      <c r="I2862" t="s">
        <v>14</v>
      </c>
      <c r="J2862" t="s">
        <v>202</v>
      </c>
      <c r="K2862" t="s">
        <v>14</v>
      </c>
      <c r="L2862" t="s">
        <v>20</v>
      </c>
      <c r="M2862" t="s">
        <v>6061</v>
      </c>
      <c r="N2862" t="s">
        <v>14</v>
      </c>
    </row>
    <row r="2863" x14ac:dyDescent="0.25">
      <c r="A2863" t="n">
        <v>25</v>
      </c>
      <c r="B2863" t="s">
        <v>14</v>
      </c>
      <c r="C2863" t="s">
        <v>51</v>
      </c>
      <c r="D2863" s="2" t="s">
        <f>=HYPERLINK("https://main.knesset.gov.il/APPS/legislation/main/bills/2211486", "הצעת חוק הביטוח הלאומי (תיקון - הארכת תקופת הזכאות למענק עבודה מועדפת בחקלאות ובבנייה) (הוראת שעה), התשפ""ד-2024")</f>
        <v>6075</v>
      </c>
      <c r="E2863" t="s">
        <v>6075</v>
      </c>
      <c r="F2863" t="s">
        <v>6076</v>
      </c>
      <c r="G2863" t="s">
        <v>14</v>
      </c>
      <c r="H2863">
             </c>
      <c r="I2863" t="s">
        <v>14</v>
      </c>
      <c r="J2863" t="s">
        <v>202</v>
      </c>
      <c r="K2863" t="s">
        <v>14</v>
      </c>
      <c r="L2863" t="s">
        <v>20</v>
      </c>
      <c r="M2863" t="s">
        <v>6061</v>
      </c>
      <c r="N2863" t="s">
        <v>14</v>
      </c>
    </row>
    <row r="2864" x14ac:dyDescent="0.25">
      <c r="A2864" t="n">
        <v>25</v>
      </c>
      <c r="B2864" t="s">
        <v>14</v>
      </c>
      <c r="C2864" t="s">
        <v>51</v>
      </c>
      <c r="D2864" s="2" t="s">
        <f>=HYPERLINK("https://main.knesset.gov.il/APPS/legislation/main/bills/2211050", "הצעת חוק יום הזיכרון לטבח שמחת תורה, התשפ""ד-2023")</f>
        <v>6077</v>
      </c>
      <c r="E2864" t="s">
        <v>6077</v>
      </c>
      <c r="F2864" t="s">
        <v>6078</v>
      </c>
      <c r="G2864" t="s">
        <v>14</v>
      </c>
      <c r="H2864">
             </c>
      <c r="I2864" t="s">
        <v>14</v>
      </c>
      <c r="J2864" t="s">
        <v>193</v>
      </c>
      <c r="K2864" t="s">
        <v>14</v>
      </c>
      <c r="L2864" t="s">
        <v>20</v>
      </c>
      <c r="M2864" t="s">
        <v>6061</v>
      </c>
      <c r="N2864" t="s">
        <v>14</v>
      </c>
    </row>
    <row r="2865" x14ac:dyDescent="0.25">
      <c r="A2865" t="n">
        <v>25</v>
      </c>
      <c r="B2865" t="s">
        <v>14</v>
      </c>
      <c r="C2865" t="s">
        <v>51</v>
      </c>
      <c r="D2865" s="2" t="s">
        <f>=HYPERLINK("https://main.knesset.gov.il/APPS/legislation/main/bills/2205846", "הצעת חוק הביטוח הלאומי (תיקון - עבודה במסגרות טיפוליות), התשפ""ג-2023")</f>
        <v>6079</v>
      </c>
      <c r="E2865" t="s">
        <v>6079</v>
      </c>
      <c r="F2865" t="s">
        <v>6080</v>
      </c>
      <c r="G2865" t="s">
        <v>14</v>
      </c>
      <c r="H2865">
             </c>
      <c r="I2865" t="s">
        <v>14</v>
      </c>
      <c r="J2865" t="s">
        <v>202</v>
      </c>
      <c r="K2865" t="s">
        <v>14</v>
      </c>
      <c r="L2865" t="s">
        <v>20</v>
      </c>
      <c r="M2865" t="s">
        <v>6061</v>
      </c>
      <c r="N2865" t="s">
        <v>14</v>
      </c>
    </row>
    <row r="2866" x14ac:dyDescent="0.25">
      <c r="A2866" t="n">
        <v>25</v>
      </c>
      <c r="B2866" t="s">
        <v>14</v>
      </c>
      <c r="C2866" t="s">
        <v>51</v>
      </c>
      <c r="D2866" s="2" t="s">
        <f>=HYPERLINK("https://main.knesset.gov.il/APPS/legislation/main/bills/2199467", "הצעת חוק להענקת זכויות במקרקעין ביישוב מיעוטים למי שנבצר ממנו להשלים את שירותו הצבאי ולאלמנות צה""ל (תיקוני חקיקה), התשפ""ג-2023")</f>
        <v>6081</v>
      </c>
      <c r="E2866" t="s">
        <v>6081</v>
      </c>
      <c r="F2866" t="s">
        <v>6082</v>
      </c>
      <c r="G2866" t="s">
        <v>14</v>
      </c>
      <c r="H2866">
             </c>
      <c r="I2866" t="s">
        <v>14</v>
      </c>
      <c r="J2866" t="s">
        <v>152</v>
      </c>
      <c r="K2866" t="s">
        <v>39</v>
      </c>
      <c r="L2866" t="s">
        <v>20</v>
      </c>
      <c r="M2866" t="s">
        <v>6061</v>
      </c>
      <c r="N2866" t="s">
        <v>14</v>
      </c>
    </row>
    <row r="2867" x14ac:dyDescent="0.25">
      <c r="A2867" t="n">
        <v>25</v>
      </c>
      <c r="B2867" t="s">
        <v>14</v>
      </c>
      <c r="C2867" t="s">
        <v>51</v>
      </c>
      <c r="D2867" s="2" t="s">
        <f>=HYPERLINK("https://main.knesset.gov.il/APPS/legislation/main/bills/2196989", "הצעת חוק סדר הדין הפלילי (סמכויות אכיפה - מעצרים) (תיקון - הגדרת מסוכנות של פוגעים בבעלי חיים), התשפ""ג-2023")</f>
        <v>6083</v>
      </c>
      <c r="E2867" t="s">
        <v>6083</v>
      </c>
      <c r="F2867" t="s">
        <v>6084</v>
      </c>
      <c r="G2867" t="s">
        <v>14</v>
      </c>
      <c r="H2867">
             </c>
      <c r="I2867" t="s">
        <v>14</v>
      </c>
      <c r="J2867" t="s">
        <v>193</v>
      </c>
      <c r="K2867" t="s">
        <v>14</v>
      </c>
      <c r="L2867" t="s">
        <v>20</v>
      </c>
      <c r="M2867" t="s">
        <v>6061</v>
      </c>
      <c r="N2867" t="s">
        <v>14</v>
      </c>
    </row>
    <row r="2868" x14ac:dyDescent="0.25">
      <c r="A2868" t="n">
        <v>25</v>
      </c>
      <c r="B2868" t="s">
        <v>14</v>
      </c>
      <c r="C2868" t="s">
        <v>51</v>
      </c>
      <c r="D2868" s="2" t="s">
        <f>=HYPERLINK("https://main.knesset.gov.il/APPS/legislation/main/bills/2198712", "הצעת חוק הביטוח הלאומי (תיקון - עבודה מועדפת בענף המסעדנות), התשפ""ג-2023")</f>
        <v>6085</v>
      </c>
      <c r="E2868" t="s">
        <v>6085</v>
      </c>
      <c r="F2868" t="s">
        <v>6086</v>
      </c>
      <c r="G2868" t="s">
        <v>14</v>
      </c>
      <c r="H2868">
             </c>
      <c r="I2868" t="s">
        <v>14</v>
      </c>
      <c r="J2868" t="s">
        <v>193</v>
      </c>
      <c r="K2868" t="s">
        <v>14</v>
      </c>
      <c r="L2868" t="s">
        <v>20</v>
      </c>
      <c r="M2868" t="s">
        <v>6061</v>
      </c>
      <c r="N2868" t="s">
        <v>14</v>
      </c>
    </row>
    <row r="2869" x14ac:dyDescent="0.25">
      <c r="A2869" t="n">
        <v>25</v>
      </c>
      <c r="B2869" t="s">
        <v>14</v>
      </c>
      <c r="C2869" t="s">
        <v>51</v>
      </c>
      <c r="D2869" s="2" t="s">
        <f>=HYPERLINK("https://main.knesset.gov.il/APPS/legislation/main/bills/2198081", "הצעת חוק רכזי ביטחון שוטף צבאיים, התשפ''ג-2023")</f>
        <v>6087</v>
      </c>
      <c r="E2869" t="s">
        <v>6087</v>
      </c>
      <c r="F2869" t="s">
        <v>6088</v>
      </c>
      <c r="G2869" t="s">
        <v>14</v>
      </c>
      <c r="H2869">
             </c>
      <c r="I2869" t="s">
        <v>14</v>
      </c>
      <c r="J2869" t="s">
        <v>193</v>
      </c>
      <c r="K2869" t="s">
        <v>14</v>
      </c>
      <c r="L2869" t="s">
        <v>20</v>
      </c>
      <c r="M2869" t="s">
        <v>6061</v>
      </c>
      <c r="N2869" t="s">
        <v>14</v>
      </c>
    </row>
    <row r="2870" x14ac:dyDescent="0.25">
      <c r="A2870" t="n">
        <v>25</v>
      </c>
      <c r="B2870" t="s">
        <v>14</v>
      </c>
      <c r="C2870" t="s">
        <v>51</v>
      </c>
      <c r="D2870" s="2" t="s">
        <f>=HYPERLINK("https://main.knesset.gov.il/APPS/legislation/main/bills/2196717", "הצעת חוק הרשות לטיפול בנפגעי הלם קרב, התשפ""ג-2022")</f>
        <v>6089</v>
      </c>
      <c r="E2870" t="s">
        <v>6089</v>
      </c>
      <c r="F2870" t="s">
        <v>6090</v>
      </c>
      <c r="G2870" t="s">
        <v>14</v>
      </c>
      <c r="H2870">
             </c>
      <c r="I2870" t="s">
        <v>14</v>
      </c>
      <c r="J2870" t="s">
        <v>193</v>
      </c>
      <c r="K2870" t="s">
        <v>14</v>
      </c>
      <c r="L2870" t="s">
        <v>20</v>
      </c>
      <c r="M2870" t="s">
        <v>6061</v>
      </c>
      <c r="N2870" t="s">
        <v>14</v>
      </c>
    </row>
    <row r="2871" x14ac:dyDescent="0.25">
      <c r="A2871" t="n">
        <v>25</v>
      </c>
      <c r="B2871" t="s">
        <v>14</v>
      </c>
      <c r="C2871" t="s">
        <v>51</v>
      </c>
      <c r="D2871" s="2" t="s">
        <f>=HYPERLINK("https://main.knesset.gov.il/APPS/legislation/main/bills/2197660", "הצעת חוק מס ערך מוסף (תיקון - מס בשיעור אפס על ספרי לימוד), התשפ""ג-2022")</f>
        <v>6091</v>
      </c>
      <c r="E2871" t="s">
        <v>6091</v>
      </c>
      <c r="F2871" t="s">
        <v>6092</v>
      </c>
      <c r="G2871" t="s">
        <v>14</v>
      </c>
      <c r="H2871">
             </c>
      <c r="I2871" t="s">
        <v>14</v>
      </c>
      <c r="J2871" t="s">
        <v>193</v>
      </c>
      <c r="K2871" t="s">
        <v>14</v>
      </c>
      <c r="L2871" t="s">
        <v>20</v>
      </c>
      <c r="M2871" t="s">
        <v>6061</v>
      </c>
      <c r="N2871" t="s">
        <v>14</v>
      </c>
    </row>
    <row r="2872" x14ac:dyDescent="0.25">
      <c r="A2872" t="n">
        <v>25</v>
      </c>
      <c r="B2872" t="s">
        <v>14</v>
      </c>
      <c r="C2872" t="s">
        <v>51</v>
      </c>
      <c r="D2872" s="2" t="s">
        <f>=HYPERLINK("https://main.knesset.gov.il/APPS/legislation/main/bills/2197010", "הצעת חוק רכזי ביטחון שוטף צבאיים, התשפ""ג-2022")</f>
        <v>6093</v>
      </c>
      <c r="E2872" t="s">
        <v>6093</v>
      </c>
      <c r="F2872" t="s">
        <v>6094</v>
      </c>
      <c r="G2872" t="s">
        <v>14</v>
      </c>
      <c r="H2872">
             </c>
      <c r="I2872" t="s">
        <v>14</v>
      </c>
      <c r="J2872" t="s">
        <v>193</v>
      </c>
      <c r="K2872" t="s">
        <v>14</v>
      </c>
      <c r="L2872" t="s">
        <v>20</v>
      </c>
      <c r="M2872" t="s">
        <v>6061</v>
      </c>
      <c r="N2872" t="s">
        <v>14</v>
      </c>
    </row>
    <row r="2873" x14ac:dyDescent="0.25">
      <c r="A2873" t="n">
        <v>25</v>
      </c>
      <c r="B2873" t="s">
        <v>14</v>
      </c>
      <c r="C2873" t="s">
        <v>51</v>
      </c>
      <c r="D2873" s="2" t="s">
        <f>=HYPERLINK("https://main.knesset.gov.il/APPS/legislation/main/bills/2195787", "הצעת חוק העונשין (תיקון - השחתת מודעות על רקע מגדר), התשפ""ג-2022")</f>
        <v>6095</v>
      </c>
      <c r="E2873" t="s">
        <v>6095</v>
      </c>
      <c r="F2873" t="s">
        <v>6096</v>
      </c>
      <c r="G2873" t="s">
        <v>14</v>
      </c>
      <c r="H2873">
             </c>
      <c r="I2873" t="s">
        <v>14</v>
      </c>
      <c r="J2873" t="s">
        <v>193</v>
      </c>
      <c r="K2873" t="s">
        <v>14</v>
      </c>
      <c r="L2873" t="s">
        <v>20</v>
      </c>
      <c r="M2873" t="s">
        <v>6061</v>
      </c>
      <c r="N2873" t="s">
        <v>14</v>
      </c>
    </row>
    <row r="2874" x14ac:dyDescent="0.25">
      <c r="A2874" t="n">
        <v>25</v>
      </c>
      <c r="B2874" t="s">
        <v>14</v>
      </c>
      <c r="C2874" t="s">
        <v>51</v>
      </c>
      <c r="D2874" s="2" t="s">
        <f>=HYPERLINK("https://main.knesset.gov.il/APPS/legislation/main/bills/2195890", "הצעת חוק ההוצאה לפועל (תיקון - טלפונים ניידים ומחשבים אישיים), התשפ""ג-2022")</f>
        <v>6097</v>
      </c>
      <c r="E2874" t="s">
        <v>6097</v>
      </c>
      <c r="F2874" t="s">
        <v>6098</v>
      </c>
      <c r="G2874" t="s">
        <v>14</v>
      </c>
      <c r="H2874">
             </c>
      <c r="I2874" t="s">
        <v>14</v>
      </c>
      <c r="J2874" t="s">
        <v>183</v>
      </c>
      <c r="K2874" t="s">
        <v>27</v>
      </c>
      <c r="L2874" t="s">
        <v>20</v>
      </c>
      <c r="M2874" t="s">
        <v>6099</v>
      </c>
      <c r="N2874" t="s">
        <v>14</v>
      </c>
    </row>
    <row r="2875" x14ac:dyDescent="0.25">
      <c r="A2875" t="n">
        <v>25</v>
      </c>
      <c r="B2875" t="s">
        <v>14</v>
      </c>
      <c r="C2875" t="s">
        <v>51</v>
      </c>
      <c r="D2875" s="2" t="s">
        <f>=HYPERLINK("https://main.knesset.gov.il/APPS/legislation/main/bills/2205959", "הצעת חוק לתיקון פקודת מסי העירייה ומסי הממשלה (פטורין) (פטור מארנונה למצללה), התשפ""ג-2023 ")</f>
        <v>6100</v>
      </c>
      <c r="E2875" t="s">
        <v>6100</v>
      </c>
      <c r="F2875" t="s">
        <v>6101</v>
      </c>
      <c r="G2875" t="s">
        <v>14</v>
      </c>
      <c r="H2875">
             </c>
      <c r="I2875" t="s">
        <v>14</v>
      </c>
      <c r="J2875" t="s">
        <v>152</v>
      </c>
      <c r="K2875" t="s">
        <v>24</v>
      </c>
      <c r="L2875" t="s">
        <v>20</v>
      </c>
      <c r="M2875" t="s">
        <v>6099</v>
      </c>
      <c r="N2875" t="s">
        <v>14</v>
      </c>
    </row>
    <row r="2876" x14ac:dyDescent="0.25">
      <c r="A2876" t="n">
        <v>25</v>
      </c>
      <c r="B2876" t="s">
        <v>14</v>
      </c>
      <c r="C2876" t="s">
        <v>51</v>
      </c>
      <c r="D2876" s="2" t="s">
        <f>=HYPERLINK("https://main.knesset.gov.il/APPS/legislation/main/bills/2215274", "הצעת חוק לתיקון פקודת בריאות העם (הנגשת מידע ופנקס חיסונים למחוסן), התשפ""ד-2024")</f>
        <v>6102</v>
      </c>
      <c r="E2876" t="s">
        <v>6102</v>
      </c>
      <c r="F2876" t="s">
        <v>6103</v>
      </c>
      <c r="G2876" t="s">
        <v>14</v>
      </c>
      <c r="H2876">
             </c>
      <c r="I2876" t="s">
        <v>14</v>
      </c>
      <c r="J2876" t="s">
        <v>183</v>
      </c>
      <c r="K2876" t="s">
        <v>361</v>
      </c>
      <c r="L2876" t="s">
        <v>20</v>
      </c>
      <c r="M2876" t="s">
        <v>6099</v>
      </c>
      <c r="N2876" t="s">
        <v>14</v>
      </c>
    </row>
    <row r="2877" x14ac:dyDescent="0.25">
      <c r="A2877" t="n">
        <v>25</v>
      </c>
      <c r="B2877" t="s">
        <v>14</v>
      </c>
      <c r="C2877" t="s">
        <v>51</v>
      </c>
      <c r="D2877" s="2" t="s">
        <f>=HYPERLINK("https://main.knesset.gov.il/APPS/legislation/main/bills/2209394", "חוק מחיקת רישומים פליליים ומשטרתיים של יוצאי אתיופיה, התשפ""ד–2024")</f>
        <v>6104</v>
      </c>
      <c r="E2877" t="s">
        <v>6104</v>
      </c>
      <c r="F2877" t="s">
        <v>6105</v>
      </c>
      <c r="G2877" t="s">
        <v>6106</v>
      </c>
      <c r="H2877" t="n">
        <v>3252</v>
      </c>
      <c r="I2877" t="s">
        <v>14</v>
      </c>
      <c r="J2877" t="s">
        <v>18</v>
      </c>
      <c r="K2877" t="s">
        <v>27</v>
      </c>
      <c r="L2877" t="s">
        <v>20</v>
      </c>
      <c r="M2877" t="s">
        <v>6099</v>
      </c>
      <c r="N2877" t="s">
        <v>6107</v>
      </c>
    </row>
    <row r="2878" x14ac:dyDescent="0.25">
      <c r="A2878" t="n">
        <v>25</v>
      </c>
      <c r="B2878" t="s">
        <v>14</v>
      </c>
      <c r="C2878" t="s">
        <v>51</v>
      </c>
      <c r="D2878" s="2" t="s">
        <f>=HYPERLINK("https://main.knesset.gov.il/APPS/legislation/main/bills/2213647", "חוק שיקום נכי נפש בקהילה (תיקון מס' 2), התשפ""ד-2024")</f>
        <v>6108</v>
      </c>
      <c r="E2878" t="s">
        <v>6108</v>
      </c>
      <c r="F2878" t="s">
        <v>6109</v>
      </c>
      <c r="G2878" t="s">
        <v>6110</v>
      </c>
      <c r="H2878" t="n">
        <v>3251</v>
      </c>
      <c r="I2878" t="s">
        <v>14</v>
      </c>
      <c r="J2878" t="s">
        <v>18</v>
      </c>
      <c r="K2878" t="s">
        <v>46</v>
      </c>
      <c r="L2878" t="s">
        <v>20</v>
      </c>
      <c r="M2878" t="s">
        <v>6099</v>
      </c>
      <c r="N2878" t="s">
        <v>6111</v>
      </c>
    </row>
    <row r="2879" x14ac:dyDescent="0.25">
      <c r="A2879" t="n">
        <v>25</v>
      </c>
      <c r="B2879" t="s">
        <v>14</v>
      </c>
      <c r="C2879" t="s">
        <v>51</v>
      </c>
      <c r="D2879" s="2" t="s">
        <f>=HYPERLINK("https://main.knesset.gov.il/APPS/legislation/main/bills/2196745", "חוק הגנה על זכויות בדירת המשפחה של ילד שהורהו הומת בידי בן זוגו, התשפ""ד-2024")</f>
        <v>6112</v>
      </c>
      <c r="E2879" t="s">
        <v>6112</v>
      </c>
      <c r="F2879" t="s">
        <v>6113</v>
      </c>
      <c r="G2879" t="s">
        <v>6114</v>
      </c>
      <c r="H2879" t="n">
        <v>3250</v>
      </c>
      <c r="I2879" t="s">
        <v>14</v>
      </c>
      <c r="J2879" t="s">
        <v>18</v>
      </c>
      <c r="K2879" t="s">
        <v>27</v>
      </c>
      <c r="L2879" t="s">
        <v>20</v>
      </c>
      <c r="M2879" t="s">
        <v>6099</v>
      </c>
      <c r="N2879" t="s">
        <v>6115</v>
      </c>
    </row>
    <row r="2880" x14ac:dyDescent="0.25">
      <c r="A2880" t="n">
        <v>25</v>
      </c>
      <c r="B2880" t="s">
        <v>14</v>
      </c>
      <c r="C2880" t="s">
        <v>51</v>
      </c>
      <c r="D2880" s="2" t="s">
        <f>=HYPERLINK("https://main.knesset.gov.il/APPS/legislation/main/bills/2200991", "הצעת חוק להסדרת המגורים בשטחי מרעה, התשפ""ג-2023")</f>
        <v>4250</v>
      </c>
      <c r="E2880" t="s">
        <v>4250</v>
      </c>
      <c r="F2880" t="s">
        <v>6116</v>
      </c>
      <c r="G2880" t="s">
        <v>14</v>
      </c>
      <c r="H2880">
             </c>
      <c r="I2880" t="s">
        <v>14</v>
      </c>
      <c r="J2880" t="s">
        <v>183</v>
      </c>
      <c r="K2880" t="s">
        <v>30</v>
      </c>
      <c r="L2880" t="s">
        <v>20</v>
      </c>
      <c r="M2880" t="s">
        <v>6117</v>
      </c>
      <c r="N2880" t="s">
        <v>14</v>
      </c>
    </row>
    <row r="2881" x14ac:dyDescent="0.25">
      <c r="A2881" t="n">
        <v>25</v>
      </c>
      <c r="B2881" t="s">
        <v>14</v>
      </c>
      <c r="C2881" t="s">
        <v>51</v>
      </c>
      <c r="D2881" s="2" t="s">
        <f>=HYPERLINK("https://main.knesset.gov.il/APPS/legislation/main/bills/2200934", "הצעת חוק להסדרת המגורים בשטחי מרעה, התשפ""ג-2023")</f>
        <v>4250</v>
      </c>
      <c r="E2881" t="s">
        <v>4250</v>
      </c>
      <c r="F2881" t="s">
        <v>6118</v>
      </c>
      <c r="G2881" t="s">
        <v>14</v>
      </c>
      <c r="H2881">
             </c>
      <c r="I2881" t="s">
        <v>14</v>
      </c>
      <c r="J2881" t="s">
        <v>183</v>
      </c>
      <c r="K2881" t="s">
        <v>30</v>
      </c>
      <c r="L2881" t="s">
        <v>20</v>
      </c>
      <c r="M2881" t="s">
        <v>6117</v>
      </c>
      <c r="N2881" t="s">
        <v>14</v>
      </c>
    </row>
    <row r="2882" x14ac:dyDescent="0.25">
      <c r="A2882" t="n">
        <v>25</v>
      </c>
      <c r="B2882" t="s">
        <v>14</v>
      </c>
      <c r="C2882" t="s">
        <v>51</v>
      </c>
      <c r="D2882" s="2" t="s">
        <f>=HYPERLINK("https://main.knesset.gov.il/APPS/legislation/main/bills/2200920", "הצעת חוק להסדרת המגורים בשטחי מרעה, התשפ""ג-2023")</f>
        <v>4250</v>
      </c>
      <c r="E2882" t="s">
        <v>4250</v>
      </c>
      <c r="F2882" t="s">
        <v>6119</v>
      </c>
      <c r="G2882" t="s">
        <v>14</v>
      </c>
      <c r="H2882">
             </c>
      <c r="I2882" t="s">
        <v>14</v>
      </c>
      <c r="J2882" t="s">
        <v>183</v>
      </c>
      <c r="K2882" t="s">
        <v>30</v>
      </c>
      <c r="L2882" t="s">
        <v>20</v>
      </c>
      <c r="M2882" t="s">
        <v>6117</v>
      </c>
      <c r="N2882" t="s">
        <v>14</v>
      </c>
    </row>
    <row r="2883" x14ac:dyDescent="0.25">
      <c r="A2883" t="n">
        <v>25</v>
      </c>
      <c r="B2883" t="s">
        <v>14</v>
      </c>
      <c r="C2883" t="s">
        <v>51</v>
      </c>
      <c r="D2883" s="2" t="s">
        <f>=HYPERLINK("https://main.knesset.gov.il/APPS/legislation/main/bills/2200965", "הצעת חוק להסדרת המגורים בשטחי מרעה, התשפ""ג-2023")</f>
        <v>4250</v>
      </c>
      <c r="E2883" t="s">
        <v>4250</v>
      </c>
      <c r="F2883" t="s">
        <v>6120</v>
      </c>
      <c r="G2883" t="s">
        <v>14</v>
      </c>
      <c r="H2883">
             </c>
      <c r="I2883" t="s">
        <v>14</v>
      </c>
      <c r="J2883" t="s">
        <v>183</v>
      </c>
      <c r="K2883" t="s">
        <v>30</v>
      </c>
      <c r="L2883" t="s">
        <v>20</v>
      </c>
      <c r="M2883" t="s">
        <v>6117</v>
      </c>
      <c r="N2883" t="s">
        <v>14</v>
      </c>
    </row>
    <row r="2884" x14ac:dyDescent="0.25">
      <c r="A2884" t="n">
        <v>25</v>
      </c>
      <c r="B2884" t="s">
        <v>14</v>
      </c>
      <c r="C2884" t="s">
        <v>15</v>
      </c>
      <c r="D2884" s="2" t="s">
        <f>=HYPERLINK("https://main.knesset.gov.il/APPS/legislation/main/bills/2207736", "חוק שוויון זכויות לאנשים עם מוגבלות (תיקון מס' 22 והוראת שעה) (תיקון), התשפ""ד-2024")</f>
        <v>6121</v>
      </c>
      <c r="E2884" t="s">
        <v>6121</v>
      </c>
      <c r="F2884" t="s">
        <v>14</v>
      </c>
      <c r="G2884" t="s">
        <v>6122</v>
      </c>
      <c r="H2884" t="n">
        <v>3249</v>
      </c>
      <c r="I2884" t="s">
        <v>14</v>
      </c>
      <c r="J2884" t="s">
        <v>18</v>
      </c>
      <c r="K2884" t="s">
        <v>46</v>
      </c>
      <c r="L2884" t="s">
        <v>20</v>
      </c>
      <c r="M2884" t="s">
        <v>6117</v>
      </c>
      <c r="N2884" t="s">
        <v>6123</v>
      </c>
    </row>
    <row r="2885" x14ac:dyDescent="0.25">
      <c r="A2885" t="n">
        <v>25</v>
      </c>
      <c r="B2885" t="s">
        <v>14</v>
      </c>
      <c r="C2885" t="s">
        <v>51</v>
      </c>
      <c r="D2885" s="2" t="s">
        <f>=HYPERLINK("https://main.knesset.gov.il/APPS/legislation/main/bills/2203869", "חוק סמכויות לשם שמירה על ביטחון הציבור (תיקון מס' 8), התשפ""ד–2024")</f>
        <v>6124</v>
      </c>
      <c r="E2885" t="s">
        <v>6124</v>
      </c>
      <c r="F2885" t="s">
        <v>2849</v>
      </c>
      <c r="G2885" t="s">
        <v>6125</v>
      </c>
      <c r="H2885" t="n">
        <v>3248</v>
      </c>
      <c r="I2885" t="s">
        <v>14</v>
      </c>
      <c r="J2885" t="s">
        <v>18</v>
      </c>
      <c r="K2885" t="s">
        <v>19</v>
      </c>
      <c r="L2885" t="s">
        <v>20</v>
      </c>
      <c r="M2885" t="s">
        <v>6117</v>
      </c>
      <c r="N2885" t="s">
        <v>6126</v>
      </c>
    </row>
    <row r="2886" x14ac:dyDescent="0.25">
      <c r="A2886" t="n">
        <v>25</v>
      </c>
      <c r="B2886" t="s">
        <v>14</v>
      </c>
      <c r="C2886" t="s">
        <v>15</v>
      </c>
      <c r="D2886" s="2" t="s">
        <f>=HYPERLINK("https://main.knesset.gov.il/APPS/legislation/main/bills/2217170", "חוק מקורות אנרגיה (תיקון מס' 5), התשפ""ד-2024")</f>
        <v>6127</v>
      </c>
      <c r="E2886" t="s">
        <v>6127</v>
      </c>
      <c r="F2886" t="s">
        <v>14</v>
      </c>
      <c r="G2886" t="s">
        <v>6128</v>
      </c>
      <c r="H2886" t="n">
        <v>3247</v>
      </c>
      <c r="I2886" t="s">
        <v>14</v>
      </c>
      <c r="J2886" t="s">
        <v>18</v>
      </c>
      <c r="K2886" t="s">
        <v>84</v>
      </c>
      <c r="L2886" t="s">
        <v>20</v>
      </c>
      <c r="M2886" t="s">
        <v>6117</v>
      </c>
      <c r="N2886" t="s">
        <v>6129</v>
      </c>
    </row>
    <row r="2887" x14ac:dyDescent="0.25">
      <c r="A2887" t="n">
        <v>25</v>
      </c>
      <c r="B2887" t="s">
        <v>14</v>
      </c>
      <c r="C2887" t="s">
        <v>51</v>
      </c>
      <c r="D2887" s="2" t="s">
        <f>=HYPERLINK("https://main.knesset.gov.il/APPS/legislation/main/bills/2156160", "חוק הביטוח הלאומי (תיקון מס' 247), התשפ""ד–2024")</f>
        <v>6130</v>
      </c>
      <c r="E2887" t="s">
        <v>6130</v>
      </c>
      <c r="F2887" t="s">
        <v>6131</v>
      </c>
      <c r="G2887" t="s">
        <v>6132</v>
      </c>
      <c r="H2887" t="n">
        <v>3246</v>
      </c>
      <c r="I2887" t="s">
        <v>14</v>
      </c>
      <c r="J2887" t="s">
        <v>18</v>
      </c>
      <c r="K2887" t="s">
        <v>24</v>
      </c>
      <c r="L2887" t="s">
        <v>20</v>
      </c>
      <c r="M2887" t="s">
        <v>6117</v>
      </c>
      <c r="N2887" t="s">
        <v>6133</v>
      </c>
    </row>
    <row r="2888" x14ac:dyDescent="0.25">
      <c r="A2888" t="n">
        <v>25</v>
      </c>
      <c r="B2888" t="s">
        <v>14</v>
      </c>
      <c r="C2888" t="s">
        <v>15</v>
      </c>
      <c r="D2888" s="2" t="s">
        <f>=HYPERLINK("https://main.knesset.gov.il/APPS/legislation/main/bills/2220055", "חוק לתיקון ולהארכת תוקפן של תקנות שעת חירום (חרבות ברזל) (פגישה עם עורך דין של עצור בעבירת ביטחון) (תיקון מס' 3), התשפ""ד-2024")</f>
        <v>6134</v>
      </c>
      <c r="E2888" t="s">
        <v>6134</v>
      </c>
      <c r="F2888" t="s">
        <v>14</v>
      </c>
      <c r="G2888" t="s">
        <v>6135</v>
      </c>
      <c r="H2888" t="n">
        <v>3245</v>
      </c>
      <c r="I2888" t="s">
        <v>14</v>
      </c>
      <c r="J2888" t="s">
        <v>18</v>
      </c>
      <c r="K2888" t="s">
        <v>27</v>
      </c>
      <c r="L2888" t="s">
        <v>20</v>
      </c>
      <c r="M2888" t="s">
        <v>6117</v>
      </c>
      <c r="N2888" t="s">
        <v>6136</v>
      </c>
    </row>
    <row r="2889" x14ac:dyDescent="0.25">
      <c r="A2889" t="n">
        <v>25</v>
      </c>
      <c r="B2889" t="s">
        <v>14</v>
      </c>
      <c r="C2889" t="s">
        <v>15</v>
      </c>
      <c r="D2889" s="2" t="s">
        <f>=HYPERLINK("https://main.knesset.gov.il/APPS/legislation/main/bills/2220054", "חוק לתיקון ולהארכת תוקפן של תקנות שעת חירום (חרבות ברזל) (הארכת מעצר לחשוד בעבירת ביטחון) (תיקון מס' 3), התשפ""ד-2024")</f>
        <v>6137</v>
      </c>
      <c r="E2889" t="s">
        <v>6137</v>
      </c>
      <c r="F2889" t="s">
        <v>14</v>
      </c>
      <c r="G2889" t="s">
        <v>6138</v>
      </c>
      <c r="H2889" t="n">
        <v>3244</v>
      </c>
      <c r="I2889" t="s">
        <v>14</v>
      </c>
      <c r="J2889" t="s">
        <v>18</v>
      </c>
      <c r="K2889" t="s">
        <v>27</v>
      </c>
      <c r="L2889" t="s">
        <v>20</v>
      </c>
      <c r="M2889" t="s">
        <v>6117</v>
      </c>
      <c r="N2889" t="s">
        <v>6139</v>
      </c>
    </row>
    <row r="2890" x14ac:dyDescent="0.25">
      <c r="A2890" t="n">
        <v>25</v>
      </c>
      <c r="B2890" t="s">
        <v>14</v>
      </c>
      <c r="C2890" t="s">
        <v>51</v>
      </c>
      <c r="D2890" s="2" t="s">
        <f>=HYPERLINK("https://main.knesset.gov.il/APPS/legislation/main/bills/2220433", "הצעת חוק הכנסת (תיקון - אמירת אמת והתייצבות בפני ועדות הכנסת), התשפ""ד-2024")</f>
        <v>6140</v>
      </c>
      <c r="E2890" t="s">
        <v>6140</v>
      </c>
      <c r="F2890" t="s">
        <v>6141</v>
      </c>
      <c r="G2890" t="s">
        <v>14</v>
      </c>
      <c r="H2890">
             </c>
      <c r="I2890" t="s">
        <v>14</v>
      </c>
      <c r="J2890" t="s">
        <v>242</v>
      </c>
      <c r="K2890" t="s">
        <v>14</v>
      </c>
      <c r="L2890" t="s">
        <v>20</v>
      </c>
      <c r="M2890" t="s">
        <v>6117</v>
      </c>
      <c r="N2890" t="s">
        <v>14</v>
      </c>
    </row>
    <row r="2891" x14ac:dyDescent="0.25">
      <c r="A2891" t="n">
        <v>25</v>
      </c>
      <c r="B2891" t="s">
        <v>14</v>
      </c>
      <c r="C2891" t="s">
        <v>51</v>
      </c>
      <c r="D2891" s="2" t="s">
        <f>=HYPERLINK("https://main.knesset.gov.il/APPS/legislation/main/bills/2219889", "הצעת חוק יסודות התקציב (תיקון - אישור תוספת שכרית לגוף ביטחוני והעברת תקציב בין תוכניות ובין משרדים - הוראת שעה), התשפ""ד-2024")</f>
        <v>6142</v>
      </c>
      <c r="E2891" t="s">
        <v>6142</v>
      </c>
      <c r="F2891" t="s">
        <v>6143</v>
      </c>
      <c r="G2891" t="s">
        <v>14</v>
      </c>
      <c r="H2891">
             </c>
      <c r="I2891" t="s">
        <v>14</v>
      </c>
      <c r="J2891" t="s">
        <v>202</v>
      </c>
      <c r="K2891" t="s">
        <v>14</v>
      </c>
      <c r="L2891" t="s">
        <v>20</v>
      </c>
      <c r="M2891" t="s">
        <v>6117</v>
      </c>
      <c r="N2891" t="s">
        <v>14</v>
      </c>
    </row>
    <row r="2892" x14ac:dyDescent="0.25">
      <c r="A2892" t="n">
        <v>25</v>
      </c>
      <c r="B2892" t="s">
        <v>14</v>
      </c>
      <c r="C2892" t="s">
        <v>51</v>
      </c>
      <c r="D2892" s="2" t="s">
        <f>=HYPERLINK("https://main.knesset.gov.il/APPS/legislation/main/bills/2220533", "הצעת חוק הביטוח הלאומי (תיקון - עבודה מועדפת ביישובי עוטף הגבול הדרומי והצפוני) (הוראת שעה), התשפ""ד-2024")</f>
        <v>5144</v>
      </c>
      <c r="E2892" t="s">
        <v>5144</v>
      </c>
      <c r="F2892" t="s">
        <v>6144</v>
      </c>
      <c r="G2892" t="s">
        <v>14</v>
      </c>
      <c r="H2892">
             </c>
      <c r="I2892" t="s">
        <v>14</v>
      </c>
      <c r="J2892" t="s">
        <v>242</v>
      </c>
      <c r="K2892" t="s">
        <v>14</v>
      </c>
      <c r="L2892" t="s">
        <v>20</v>
      </c>
      <c r="M2892" t="s">
        <v>6117</v>
      </c>
      <c r="N2892" t="s">
        <v>14</v>
      </c>
    </row>
    <row r="2893" x14ac:dyDescent="0.25">
      <c r="A2893" t="n">
        <v>25</v>
      </c>
      <c r="B2893" t="s">
        <v>14</v>
      </c>
      <c r="C2893" t="s">
        <v>51</v>
      </c>
      <c r="D2893" s="2" t="s">
        <f>=HYPERLINK("https://main.knesset.gov.il/APPS/legislation/main/bills/2220529",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6145</v>
      </c>
      <c r="E2893" t="s">
        <v>6145</v>
      </c>
      <c r="F2893" t="s">
        <v>6146</v>
      </c>
      <c r="G2893" t="s">
        <v>14</v>
      </c>
      <c r="H2893">
             </c>
      <c r="I2893" t="s">
        <v>14</v>
      </c>
      <c r="J2893" t="s">
        <v>242</v>
      </c>
      <c r="K2893" t="s">
        <v>14</v>
      </c>
      <c r="L2893" t="s">
        <v>20</v>
      </c>
      <c r="M2893" t="s">
        <v>6117</v>
      </c>
      <c r="N2893" t="s">
        <v>14</v>
      </c>
    </row>
    <row r="2894" x14ac:dyDescent="0.25">
      <c r="A2894" t="n">
        <v>25</v>
      </c>
      <c r="B2894" t="s">
        <v>14</v>
      </c>
      <c r="C2894" t="s">
        <v>51</v>
      </c>
      <c r="D2894" s="2" t="s">
        <f>=HYPERLINK("https://main.knesset.gov.il/APPS/legislation/main/bills/2218084", "הצעת חוק עיטור הפציעה הקרבית, התשפ""ד-2024 ")</f>
        <v>6147</v>
      </c>
      <c r="E2894" t="s">
        <v>6147</v>
      </c>
      <c r="F2894" t="s">
        <v>6148</v>
      </c>
      <c r="G2894" t="s">
        <v>14</v>
      </c>
      <c r="H2894">
             </c>
      <c r="I2894" t="s">
        <v>14</v>
      </c>
      <c r="J2894" t="s">
        <v>242</v>
      </c>
      <c r="K2894" t="s">
        <v>14</v>
      </c>
      <c r="L2894" t="s">
        <v>20</v>
      </c>
      <c r="M2894" t="s">
        <v>6117</v>
      </c>
      <c r="N2894" t="s">
        <v>14</v>
      </c>
    </row>
    <row r="2895" x14ac:dyDescent="0.25">
      <c r="A2895" t="n">
        <v>25</v>
      </c>
      <c r="B2895" t="s">
        <v>14</v>
      </c>
      <c r="C2895" t="s">
        <v>51</v>
      </c>
      <c r="D2895" s="2" t="s">
        <f>=HYPERLINK("https://main.knesset.gov.il/APPS/legislation/main/bills/2219766", "הצעת חוק העונשין (תיקון מס' 140 - הוראת שעה) (תיקון - הארכת תוקף ושינוי הוועדה המפקחת), התשפ""ד-2024")</f>
        <v>6149</v>
      </c>
      <c r="E2895" t="s">
        <v>6149</v>
      </c>
      <c r="F2895" t="s">
        <v>6150</v>
      </c>
      <c r="G2895" t="s">
        <v>14</v>
      </c>
      <c r="H2895">
             </c>
      <c r="I2895" t="s">
        <v>14</v>
      </c>
      <c r="J2895" t="s">
        <v>242</v>
      </c>
      <c r="K2895" t="s">
        <v>14</v>
      </c>
      <c r="L2895" t="s">
        <v>20</v>
      </c>
      <c r="M2895" t="s">
        <v>6117</v>
      </c>
      <c r="N2895" t="s">
        <v>14</v>
      </c>
    </row>
    <row r="2896" x14ac:dyDescent="0.25">
      <c r="A2896" t="n">
        <v>25</v>
      </c>
      <c r="B2896" t="s">
        <v>14</v>
      </c>
      <c r="C2896" t="s">
        <v>51</v>
      </c>
      <c r="D2896" s="2" t="s">
        <f>=HYPERLINK("https://main.knesset.gov.il/APPS/legislation/main/bills/2220198", "הצעת חוק יום לציון אסון יהודי תימן (גירוש מוזע), התשפ""ד-2024")</f>
        <v>6151</v>
      </c>
      <c r="E2896" t="s">
        <v>6151</v>
      </c>
      <c r="F2896" t="s">
        <v>6152</v>
      </c>
      <c r="G2896" t="s">
        <v>14</v>
      </c>
      <c r="H2896">
             </c>
      <c r="I2896" t="s">
        <v>14</v>
      </c>
      <c r="J2896" t="s">
        <v>242</v>
      </c>
      <c r="K2896" t="s">
        <v>14</v>
      </c>
      <c r="L2896" t="s">
        <v>20</v>
      </c>
      <c r="M2896" t="s">
        <v>6117</v>
      </c>
      <c r="N2896" t="s">
        <v>14</v>
      </c>
    </row>
    <row r="2897" x14ac:dyDescent="0.25">
      <c r="A2897" t="n">
        <v>25</v>
      </c>
      <c r="B2897" t="s">
        <v>14</v>
      </c>
      <c r="C2897" t="s">
        <v>51</v>
      </c>
      <c r="D2897" s="2" t="s">
        <f>=HYPERLINK("https://main.knesset.gov.il/APPS/legislation/main/bills/2219746", "הצעת חוק משפחות חיילים שנספו במערכה (תגמולים ושיקום) (תיקון - תגמולים ושיקום לאישה שהיא הורה ליתומיו של נספה), התשפ""ד-2024")</f>
        <v>6009</v>
      </c>
      <c r="E2897" t="s">
        <v>6009</v>
      </c>
      <c r="F2897" t="s">
        <v>6153</v>
      </c>
      <c r="G2897" t="s">
        <v>14</v>
      </c>
      <c r="H2897">
             </c>
      <c r="I2897" t="s">
        <v>14</v>
      </c>
      <c r="J2897" t="s">
        <v>242</v>
      </c>
      <c r="K2897" t="s">
        <v>14</v>
      </c>
      <c r="L2897" t="s">
        <v>20</v>
      </c>
      <c r="M2897" t="s">
        <v>6117</v>
      </c>
      <c r="N2897" t="s">
        <v>14</v>
      </c>
    </row>
    <row r="2898" x14ac:dyDescent="0.25">
      <c r="A2898" t="n">
        <v>25</v>
      </c>
      <c r="B2898" t="s">
        <v>14</v>
      </c>
      <c r="C2898" t="s">
        <v>51</v>
      </c>
      <c r="D2898" s="2" t="s">
        <f>=HYPERLINK("https://main.knesset.gov.il/APPS/legislation/main/bills/2220526", "הצעת חוק זכויות החולה (תיקון - קבלת חוות דעת נוספת על מצב רפואי), התשפ""ד-2024")</f>
        <v>6154</v>
      </c>
      <c r="E2898" t="s">
        <v>6154</v>
      </c>
      <c r="F2898" t="s">
        <v>6155</v>
      </c>
      <c r="G2898" t="s">
        <v>14</v>
      </c>
      <c r="H2898">
             </c>
      <c r="I2898" t="s">
        <v>14</v>
      </c>
      <c r="J2898" t="s">
        <v>242</v>
      </c>
      <c r="K2898" t="s">
        <v>14</v>
      </c>
      <c r="L2898" t="s">
        <v>20</v>
      </c>
      <c r="M2898" t="s">
        <v>6117</v>
      </c>
      <c r="N2898" t="s">
        <v>14</v>
      </c>
    </row>
    <row r="2899" x14ac:dyDescent="0.25">
      <c r="A2899" t="n">
        <v>25</v>
      </c>
      <c r="B2899" t="s">
        <v>14</v>
      </c>
      <c r="C2899" t="s">
        <v>51</v>
      </c>
      <c r="D2899" s="2" t="s">
        <f>=HYPERLINK("https://main.knesset.gov.il/APPS/legislation/main/bills/2220364", "הצעת חוק הירושה (תיקון - זכאות מתמודד נפש לרשת), התשפ""ד-2024")</f>
        <v>6156</v>
      </c>
      <c r="E2899" t="s">
        <v>6156</v>
      </c>
      <c r="F2899" t="s">
        <v>6157</v>
      </c>
      <c r="G2899" t="s">
        <v>14</v>
      </c>
      <c r="H2899">
             </c>
      <c r="I2899" t="s">
        <v>14</v>
      </c>
      <c r="J2899" t="s">
        <v>242</v>
      </c>
      <c r="K2899" t="s">
        <v>14</v>
      </c>
      <c r="L2899" t="s">
        <v>20</v>
      </c>
      <c r="M2899" t="s">
        <v>6117</v>
      </c>
      <c r="N2899" t="s">
        <v>14</v>
      </c>
    </row>
    <row r="2900" x14ac:dyDescent="0.25">
      <c r="A2900" t="n">
        <v>25</v>
      </c>
      <c r="B2900" t="s">
        <v>14</v>
      </c>
      <c r="C2900" t="s">
        <v>51</v>
      </c>
      <c r="D2900" s="2" t="s">
        <f>=HYPERLINK("https://main.knesset.gov.il/APPS/legislation/main/bills/2220525", "הצעת חוק הנצחת זכרם וגבורתם של נופלי ושורדי מלחמת עוטף ישראל, התשפ""ד-2024")</f>
        <v>6158</v>
      </c>
      <c r="E2900" t="s">
        <v>6158</v>
      </c>
      <c r="F2900" t="s">
        <v>6159</v>
      </c>
      <c r="G2900" t="s">
        <v>14</v>
      </c>
      <c r="H2900">
             </c>
      <c r="I2900" t="s">
        <v>14</v>
      </c>
      <c r="J2900" t="s">
        <v>242</v>
      </c>
      <c r="K2900" t="s">
        <v>14</v>
      </c>
      <c r="L2900" t="s">
        <v>20</v>
      </c>
      <c r="M2900" t="s">
        <v>6117</v>
      </c>
      <c r="N2900" t="s">
        <v>14</v>
      </c>
    </row>
    <row r="2901" x14ac:dyDescent="0.25">
      <c r="A2901" t="n">
        <v>25</v>
      </c>
      <c r="B2901" t="s">
        <v>14</v>
      </c>
      <c r="C2901" t="s">
        <v>51</v>
      </c>
      <c r="D2901" s="2" t="s">
        <f>=HYPERLINK("https://main.knesset.gov.il/APPS/legislation/main/bills/2219758", "הצעת חוק להטמעת מורשת יהדות צפון אפריקה במערכת החינוך וההשכלה הגבוהה, התשפ""ד-2024")</f>
        <v>6160</v>
      </c>
      <c r="E2901" t="s">
        <v>6160</v>
      </c>
      <c r="F2901" t="s">
        <v>6161</v>
      </c>
      <c r="G2901" t="s">
        <v>14</v>
      </c>
      <c r="H2901">
             </c>
      <c r="I2901" t="s">
        <v>14</v>
      </c>
      <c r="J2901" t="s">
        <v>242</v>
      </c>
      <c r="K2901" t="s">
        <v>14</v>
      </c>
      <c r="L2901" t="s">
        <v>20</v>
      </c>
      <c r="M2901" t="s">
        <v>6117</v>
      </c>
      <c r="N2901" t="s">
        <v>14</v>
      </c>
    </row>
    <row r="2902" x14ac:dyDescent="0.25">
      <c r="A2902" t="n">
        <v>25</v>
      </c>
      <c r="B2902" t="s">
        <v>14</v>
      </c>
      <c r="C2902" t="s">
        <v>51</v>
      </c>
      <c r="D2902" s="2" t="s">
        <f>=HYPERLINK("https://main.knesset.gov.il/APPS/legislation/main/bills/2219559", "הצעת חוק צער בעלי חיים (הגנה על בעלי חיים) (תיקון - המעמד המשפטי של בעל חיים כיצור חי בעל תחושות ורגשות), התשפ""ד-2024")</f>
        <v>6162</v>
      </c>
      <c r="E2902" t="s">
        <v>6162</v>
      </c>
      <c r="F2902" t="s">
        <v>6163</v>
      </c>
      <c r="G2902" t="s">
        <v>14</v>
      </c>
      <c r="H2902">
             </c>
      <c r="I2902" t="s">
        <v>14</v>
      </c>
      <c r="J2902" t="s">
        <v>242</v>
      </c>
      <c r="K2902" t="s">
        <v>14</v>
      </c>
      <c r="L2902" t="s">
        <v>20</v>
      </c>
      <c r="M2902" t="s">
        <v>6117</v>
      </c>
      <c r="N2902" t="s">
        <v>14</v>
      </c>
    </row>
    <row r="2903" x14ac:dyDescent="0.25">
      <c r="A2903" t="n">
        <v>25</v>
      </c>
      <c r="B2903" t="s">
        <v>14</v>
      </c>
      <c r="C2903" t="s">
        <v>51</v>
      </c>
      <c r="D2903" s="2" t="s">
        <f>=HYPERLINK("https://main.knesset.gov.il/APPS/legislation/main/bills/2219450", "הצעת חוק התגמולים לנפגעי פעולות איבה (תיקון - קבורה בחלקה לבחירת המשפחה), התשפ""ד-2024")</f>
        <v>6164</v>
      </c>
      <c r="E2903" t="s">
        <v>6164</v>
      </c>
      <c r="F2903" t="s">
        <v>6165</v>
      </c>
      <c r="G2903" t="s">
        <v>14</v>
      </c>
      <c r="H2903">
             </c>
      <c r="I2903" t="s">
        <v>14</v>
      </c>
      <c r="J2903" t="s">
        <v>242</v>
      </c>
      <c r="K2903" t="s">
        <v>14</v>
      </c>
      <c r="L2903" t="s">
        <v>20</v>
      </c>
      <c r="M2903" t="s">
        <v>6117</v>
      </c>
      <c r="N2903" t="s">
        <v>14</v>
      </c>
    </row>
    <row r="2904" x14ac:dyDescent="0.25">
      <c r="A2904" t="n">
        <v>25</v>
      </c>
      <c r="B2904" t="s">
        <v>14</v>
      </c>
      <c r="C2904" t="s">
        <v>51</v>
      </c>
      <c r="D2904" s="2" t="s">
        <f>=HYPERLINK("https://main.knesset.gov.il/APPS/legislation/main/bills/2220530", "הצעת חוק שוויון זכויות לאנשים עם מוגבלות (תיקון - הנפקת תעודות לבעלי מוגבלות בראיה), התשפ""ד-2024")</f>
        <v>6166</v>
      </c>
      <c r="E2904" t="s">
        <v>6166</v>
      </c>
      <c r="F2904" t="s">
        <v>6167</v>
      </c>
      <c r="G2904" t="s">
        <v>14</v>
      </c>
      <c r="H2904">
             </c>
      <c r="I2904" t="s">
        <v>14</v>
      </c>
      <c r="J2904" t="s">
        <v>242</v>
      </c>
      <c r="K2904" t="s">
        <v>14</v>
      </c>
      <c r="L2904" t="s">
        <v>20</v>
      </c>
      <c r="M2904" t="s">
        <v>6117</v>
      </c>
      <c r="N2904" t="s">
        <v>14</v>
      </c>
    </row>
    <row r="2905" x14ac:dyDescent="0.25">
      <c r="A2905" t="n">
        <v>25</v>
      </c>
      <c r="B2905" t="s">
        <v>14</v>
      </c>
      <c r="C2905" t="s">
        <v>51</v>
      </c>
      <c r="D2905" s="2" t="s">
        <f>=HYPERLINK("https://main.knesset.gov.il/APPS/legislation/main/bills/2220203", "הצעת חוק שוויון זכויות לאנשים עם מוגבלות (תיקון - הנפקת תעודות לבעלי מוגבלות בראיה), התשפ""ד-2024")</f>
        <v>6166</v>
      </c>
      <c r="E2905" t="s">
        <v>6166</v>
      </c>
      <c r="F2905" t="s">
        <v>6168</v>
      </c>
      <c r="G2905" t="s">
        <v>14</v>
      </c>
      <c r="H2905">
             </c>
      <c r="I2905" t="s">
        <v>14</v>
      </c>
      <c r="J2905" t="s">
        <v>242</v>
      </c>
      <c r="K2905" t="s">
        <v>14</v>
      </c>
      <c r="L2905" t="s">
        <v>20</v>
      </c>
      <c r="M2905" t="s">
        <v>6117</v>
      </c>
      <c r="N2905" t="s">
        <v>14</v>
      </c>
    </row>
    <row r="2906" x14ac:dyDescent="0.25">
      <c r="A2906" t="n">
        <v>25</v>
      </c>
      <c r="B2906" t="s">
        <v>14</v>
      </c>
      <c r="C2906" t="s">
        <v>51</v>
      </c>
      <c r="D2906" s="2" t="s">
        <f>=HYPERLINK("https://main.knesset.gov.il/APPS/legislation/main/bills/2219104", "הצעת חוק הבנקאות (שירות ללקוח) (תיקון - סירוב בלתי סביר למתן שירות בנקאי בשל הטלת עיצומים מצד מדינה זרה), התשפ""ד-2024")</f>
        <v>6169</v>
      </c>
      <c r="E2906" t="s">
        <v>6169</v>
      </c>
      <c r="F2906" t="s">
        <v>6170</v>
      </c>
      <c r="G2906" t="s">
        <v>14</v>
      </c>
      <c r="H2906">
             </c>
      <c r="I2906" t="s">
        <v>14</v>
      </c>
      <c r="J2906" t="s">
        <v>202</v>
      </c>
      <c r="K2906" t="s">
        <v>14</v>
      </c>
      <c r="L2906" t="s">
        <v>20</v>
      </c>
      <c r="M2906" t="s">
        <v>6117</v>
      </c>
      <c r="N2906" t="s">
        <v>14</v>
      </c>
    </row>
    <row r="2907" x14ac:dyDescent="0.25">
      <c r="A2907" t="n">
        <v>25</v>
      </c>
      <c r="B2907" t="s">
        <v>14</v>
      </c>
      <c r="C2907" t="s">
        <v>51</v>
      </c>
      <c r="D2907" s="2" t="s">
        <f>=HYPERLINK("https://main.knesset.gov.il/APPS/legislation/main/bills/2220205", "הצעת חוק הגבלת השימוש ורישום פעולות בחלקי רכב משומשים (מניעת גניבות) (תיקון - חובות החלות בעת רכישה או מכירה של רכב ניזוק), התשפ""ד-2024")</f>
        <v>6171</v>
      </c>
      <c r="E2907" t="s">
        <v>6171</v>
      </c>
      <c r="F2907" t="s">
        <v>6172</v>
      </c>
      <c r="G2907" t="s">
        <v>14</v>
      </c>
      <c r="H2907">
             </c>
      <c r="I2907" t="s">
        <v>14</v>
      </c>
      <c r="J2907" t="s">
        <v>242</v>
      </c>
      <c r="K2907" t="s">
        <v>14</v>
      </c>
      <c r="L2907" t="s">
        <v>20</v>
      </c>
      <c r="M2907" t="s">
        <v>6117</v>
      </c>
      <c r="N2907" t="s">
        <v>14</v>
      </c>
    </row>
    <row r="2908" x14ac:dyDescent="0.25">
      <c r="A2908" t="n">
        <v>25</v>
      </c>
      <c r="B2908" t="s">
        <v>14</v>
      </c>
      <c r="C2908" t="s">
        <v>51</v>
      </c>
      <c r="D2908" s="2" t="s">
        <f>=HYPERLINK("https://main.knesset.gov.il/APPS/legislation/main/bills/2220213", "הצעת חוק הכשרות המשפטית והאפוטרופסות (תיקון - קבלת אישור מראש לביצוע עסקה), התשפ""ד-2024")</f>
        <v>6173</v>
      </c>
      <c r="E2908" t="s">
        <v>6173</v>
      </c>
      <c r="F2908" t="s">
        <v>6174</v>
      </c>
      <c r="G2908" t="s">
        <v>14</v>
      </c>
      <c r="H2908">
             </c>
      <c r="I2908" t="s">
        <v>14</v>
      </c>
      <c r="J2908" t="s">
        <v>242</v>
      </c>
      <c r="K2908" t="s">
        <v>14</v>
      </c>
      <c r="L2908" t="s">
        <v>20</v>
      </c>
      <c r="M2908" t="s">
        <v>6117</v>
      </c>
      <c r="N2908" t="s">
        <v>14</v>
      </c>
    </row>
    <row r="2909" x14ac:dyDescent="0.25">
      <c r="A2909" t="n">
        <v>25</v>
      </c>
      <c r="B2909" t="s">
        <v>14</v>
      </c>
      <c r="C2909" t="s">
        <v>51</v>
      </c>
      <c r="D2909" s="2" t="s">
        <f>=HYPERLINK("https://main.knesset.gov.il/APPS/legislation/main/bills/2220089", "הצעת חוק התקשורת (בזק ושידורים) (תיקון - הקפאת שימוש במספר טלפון של חייל שנספה במערכה או אדם שנספה בפעולת איבה), התשפ""ד-2024")</f>
        <v>6175</v>
      </c>
      <c r="E2909" t="s">
        <v>6175</v>
      </c>
      <c r="F2909" t="s">
        <v>6176</v>
      </c>
      <c r="G2909" t="s">
        <v>14</v>
      </c>
      <c r="H2909">
             </c>
      <c r="I2909" t="s">
        <v>14</v>
      </c>
      <c r="J2909" t="s">
        <v>202</v>
      </c>
      <c r="K2909" t="s">
        <v>14</v>
      </c>
      <c r="L2909" t="s">
        <v>20</v>
      </c>
      <c r="M2909" t="s">
        <v>6117</v>
      </c>
      <c r="N2909" t="s">
        <v>14</v>
      </c>
    </row>
    <row r="2910" x14ac:dyDescent="0.25">
      <c r="A2910" t="n">
        <v>25</v>
      </c>
      <c r="B2910" t="s">
        <v>14</v>
      </c>
      <c r="C2910" t="s">
        <v>51</v>
      </c>
      <c r="D2910" s="2" t="s">
        <f>=HYPERLINK("https://main.knesset.gov.il/APPS/legislation/main/bills/2196054", "הצעת חוק הסיוע המשפטי (תיקון - סיוע משפטי לנפגעי עבירות), התשפ""ג-2022")</f>
        <v>6177</v>
      </c>
      <c r="E2910" t="s">
        <v>6177</v>
      </c>
      <c r="F2910" t="s">
        <v>6178</v>
      </c>
      <c r="G2910" t="s">
        <v>14</v>
      </c>
      <c r="H2910">
             </c>
      <c r="I2910" t="s">
        <v>14</v>
      </c>
      <c r="J2910" t="s">
        <v>183</v>
      </c>
      <c r="K2910" t="s">
        <v>27</v>
      </c>
      <c r="L2910" t="s">
        <v>20</v>
      </c>
      <c r="M2910" t="s">
        <v>6179</v>
      </c>
      <c r="N2910" t="s">
        <v>14</v>
      </c>
    </row>
    <row r="2911" x14ac:dyDescent="0.25">
      <c r="A2911" t="n">
        <v>25</v>
      </c>
      <c r="B2911" t="s">
        <v>14</v>
      </c>
      <c r="C2911" t="s">
        <v>51</v>
      </c>
      <c r="D2911" s="2" t="s">
        <f>=HYPERLINK("https://main.knesset.gov.il/APPS/legislation/main/bills/2215240", "הצעת חוק פיקוח על מחירי מצרכים ושירותים (תיקון - פיקוח על מוצרי מזון בריא בסיסיים), התשפ""ד-2024 ")</f>
        <v>6180</v>
      </c>
      <c r="E2911" t="s">
        <v>6180</v>
      </c>
      <c r="F2911" t="s">
        <v>6181</v>
      </c>
      <c r="G2911" t="s">
        <v>14</v>
      </c>
      <c r="H2911">
             </c>
      <c r="I2911" t="s">
        <v>14</v>
      </c>
      <c r="J2911" t="s">
        <v>202</v>
      </c>
      <c r="K2911" t="s">
        <v>14</v>
      </c>
      <c r="L2911" t="s">
        <v>20</v>
      </c>
      <c r="M2911" t="s">
        <v>6182</v>
      </c>
      <c r="N2911" t="s">
        <v>14</v>
      </c>
    </row>
    <row r="2912" x14ac:dyDescent="0.25">
      <c r="A2912" t="n">
        <v>25</v>
      </c>
      <c r="B2912" t="s">
        <v>14</v>
      </c>
      <c r="C2912" t="s">
        <v>51</v>
      </c>
      <c r="D2912" s="2" t="s">
        <f>=HYPERLINK("https://main.knesset.gov.il/APPS/legislation/main/bills/2215925", "הצעת חוק חניה לנכים (תיקון - זכאות תג נכה לצמיתות), התשפ""ד-2024")</f>
        <v>6183</v>
      </c>
      <c r="E2912" t="s">
        <v>6183</v>
      </c>
      <c r="F2912" t="s">
        <v>6184</v>
      </c>
      <c r="G2912" t="s">
        <v>14</v>
      </c>
      <c r="H2912">
             </c>
      <c r="I2912" t="s">
        <v>14</v>
      </c>
      <c r="J2912" t="s">
        <v>202</v>
      </c>
      <c r="K2912" t="s">
        <v>14</v>
      </c>
      <c r="L2912" t="s">
        <v>20</v>
      </c>
      <c r="M2912" t="s">
        <v>6182</v>
      </c>
      <c r="N2912" t="s">
        <v>14</v>
      </c>
    </row>
    <row r="2913" x14ac:dyDescent="0.25">
      <c r="A2913" t="n">
        <v>25</v>
      </c>
      <c r="B2913" t="s">
        <v>14</v>
      </c>
      <c r="C2913" t="s">
        <v>51</v>
      </c>
      <c r="D2913" s="2" t="s">
        <f>=HYPERLINK("https://main.knesset.gov.il/APPS/legislation/main/bills/2211338", "הצעת חוק-יסוד: ישראל - מדינת הלאום של העם היהודי (תיקון - הוספת עקרון השוויון בפני החוק ועיגון מעמדה של מגילת העצמאות)")</f>
        <v>5641</v>
      </c>
      <c r="E2913" t="s">
        <v>5641</v>
      </c>
      <c r="F2913" t="s">
        <v>6185</v>
      </c>
      <c r="G2913" t="s">
        <v>14</v>
      </c>
      <c r="H2913">
             </c>
      <c r="I2913" t="s">
        <v>14</v>
      </c>
      <c r="J2913" t="s">
        <v>193</v>
      </c>
      <c r="K2913" t="s">
        <v>14</v>
      </c>
      <c r="L2913" t="s">
        <v>20</v>
      </c>
      <c r="M2913" t="s">
        <v>6182</v>
      </c>
      <c r="N2913" t="s">
        <v>14</v>
      </c>
    </row>
    <row r="2914" x14ac:dyDescent="0.25">
      <c r="A2914" t="n">
        <v>25</v>
      </c>
      <c r="B2914" t="s">
        <v>14</v>
      </c>
      <c r="C2914" t="s">
        <v>51</v>
      </c>
      <c r="D2914" s="2" t="s">
        <f>=HYPERLINK("https://main.knesset.gov.il/APPS/legislation/main/bills/2198751", "הצעת חוק פיקוח על מחירי מצרכים ושירותים (תיקון - פיקוח על מוצרי מזון בריא בסיסיים), התשפ""ג-2023 ")</f>
        <v>6186</v>
      </c>
      <c r="E2914" t="s">
        <v>6186</v>
      </c>
      <c r="F2914" t="s">
        <v>6187</v>
      </c>
      <c r="G2914" t="s">
        <v>14</v>
      </c>
      <c r="H2914">
             </c>
      <c r="I2914" t="s">
        <v>14</v>
      </c>
      <c r="J2914" t="s">
        <v>202</v>
      </c>
      <c r="K2914" t="s">
        <v>14</v>
      </c>
      <c r="L2914" t="s">
        <v>20</v>
      </c>
      <c r="M2914" t="s">
        <v>6182</v>
      </c>
      <c r="N2914" t="s">
        <v>14</v>
      </c>
    </row>
    <row r="2915" x14ac:dyDescent="0.25">
      <c r="A2915" t="n">
        <v>25</v>
      </c>
      <c r="B2915" t="s">
        <v>14</v>
      </c>
      <c r="C2915" t="s">
        <v>51</v>
      </c>
      <c r="D2915" s="2" t="s">
        <f>=HYPERLINK("https://main.knesset.gov.il/APPS/legislation/main/bills/2198326", "הצעת חוק זכויות הסטודנט (תיקון - התאמות לאוכלוסייה הערבית - חגים), התשפ""ג-2023")</f>
        <v>6188</v>
      </c>
      <c r="E2915" t="s">
        <v>6188</v>
      </c>
      <c r="F2915" t="s">
        <v>6189</v>
      </c>
      <c r="G2915" t="s">
        <v>14</v>
      </c>
      <c r="H2915">
             </c>
      <c r="I2915" t="s">
        <v>14</v>
      </c>
      <c r="J2915" t="s">
        <v>193</v>
      </c>
      <c r="K2915" t="s">
        <v>14</v>
      </c>
      <c r="L2915" t="s">
        <v>20</v>
      </c>
      <c r="M2915" t="s">
        <v>6182</v>
      </c>
      <c r="N2915" t="s">
        <v>14</v>
      </c>
    </row>
    <row r="2916" x14ac:dyDescent="0.25">
      <c r="A2916" t="n">
        <v>25</v>
      </c>
      <c r="B2916" t="s">
        <v>14</v>
      </c>
      <c r="C2916" t="s">
        <v>51</v>
      </c>
      <c r="D2916" s="2" t="s">
        <f>=HYPERLINK("https://main.knesset.gov.il/APPS/legislation/main/bills/2197974", "הצעת חוק התכנון והבנייה (תיקון - ביטול התניית חיבור לחשמל, מים וטלפון באישור תאגיד המים), התשפ""ג-2022")</f>
        <v>6190</v>
      </c>
      <c r="E2916" t="s">
        <v>6190</v>
      </c>
      <c r="F2916" t="s">
        <v>6191</v>
      </c>
      <c r="G2916" t="s">
        <v>14</v>
      </c>
      <c r="H2916">
             </c>
      <c r="I2916" t="s">
        <v>14</v>
      </c>
      <c r="J2916" t="s">
        <v>193</v>
      </c>
      <c r="K2916" t="s">
        <v>14</v>
      </c>
      <c r="L2916" t="s">
        <v>20</v>
      </c>
      <c r="M2916" t="s">
        <v>6182</v>
      </c>
      <c r="N2916" t="s">
        <v>14</v>
      </c>
    </row>
    <row r="2917" x14ac:dyDescent="0.25">
      <c r="A2917" t="n">
        <v>25</v>
      </c>
      <c r="B2917" t="s">
        <v>14</v>
      </c>
      <c r="C2917" t="s">
        <v>51</v>
      </c>
      <c r="D2917" s="2" t="s">
        <f>=HYPERLINK("https://main.knesset.gov.il/APPS/legislation/main/bills/2196689", "הצעת חוק עבודת נשים (תיקון - תקופת לידה והורות להורה יחיד), התשפ""ג-2022")</f>
        <v>6192</v>
      </c>
      <c r="E2917" t="s">
        <v>6192</v>
      </c>
      <c r="F2917" t="s">
        <v>6193</v>
      </c>
      <c r="G2917" t="s">
        <v>14</v>
      </c>
      <c r="H2917">
             </c>
      <c r="I2917" t="s">
        <v>14</v>
      </c>
      <c r="J2917" t="s">
        <v>152</v>
      </c>
      <c r="K2917" t="s">
        <v>46</v>
      </c>
      <c r="L2917" t="s">
        <v>20</v>
      </c>
      <c r="M2917" t="s">
        <v>6182</v>
      </c>
      <c r="N2917" t="s">
        <v>14</v>
      </c>
    </row>
    <row r="2918" x14ac:dyDescent="0.25">
      <c r="A2918" t="n">
        <v>25</v>
      </c>
      <c r="B2918" t="s">
        <v>14</v>
      </c>
      <c r="C2918" t="s">
        <v>51</v>
      </c>
      <c r="D2918" s="2" t="s">
        <f>=HYPERLINK("https://main.knesset.gov.il/APPS/legislation/main/bills/2198905", "הצעת חוק הסדרים במשק המדינה (תיקוני חקיקה להשגת יעדי התקציב) (תיקון - חישוב עליית מחירי הארנונה), התשפ""ג-2023")</f>
        <v>6194</v>
      </c>
      <c r="E2918" t="s">
        <v>6194</v>
      </c>
      <c r="F2918" t="s">
        <v>6195</v>
      </c>
      <c r="G2918" t="s">
        <v>14</v>
      </c>
      <c r="H2918">
             </c>
      <c r="I2918" t="s">
        <v>14</v>
      </c>
      <c r="J2918" t="s">
        <v>152</v>
      </c>
      <c r="K2918" t="s">
        <v>24</v>
      </c>
      <c r="L2918" t="s">
        <v>20</v>
      </c>
      <c r="M2918" t="s">
        <v>6196</v>
      </c>
      <c r="N2918" t="s">
        <v>14</v>
      </c>
    </row>
    <row r="2919" x14ac:dyDescent="0.25">
      <c r="A2919" t="n">
        <v>25</v>
      </c>
      <c r="B2919" t="s">
        <v>14</v>
      </c>
      <c r="C2919" t="s">
        <v>51</v>
      </c>
      <c r="D2919" s="2" t="s">
        <f>=HYPERLINK("https://main.knesset.gov.il/APPS/legislation/main/bills/2214518", "הצעת חוק לתיקון פקודת החסינות וזכויות-היתר של האומות המאוחדות (ביטול החסינויות וזכויות-היתר של סוכנות הסעד והתעסוקה של האו""ם לפליטי פלסטין במזרח הקרוב (אונר""א)), התשפ""ד-2024")</f>
        <v>6197</v>
      </c>
      <c r="E2919" t="s">
        <v>6197</v>
      </c>
      <c r="F2919" t="s">
        <v>6198</v>
      </c>
      <c r="G2919" t="s">
        <v>14</v>
      </c>
      <c r="H2919">
             </c>
      <c r="I2919" t="s">
        <v>14</v>
      </c>
      <c r="J2919" t="s">
        <v>183</v>
      </c>
      <c r="K2919" t="s">
        <v>39</v>
      </c>
      <c r="L2919" t="s">
        <v>20</v>
      </c>
      <c r="M2919" t="s">
        <v>6196</v>
      </c>
      <c r="N2919" t="s">
        <v>14</v>
      </c>
    </row>
    <row r="2920" x14ac:dyDescent="0.25">
      <c r="A2920" t="n">
        <v>25</v>
      </c>
      <c r="B2920" t="s">
        <v>14</v>
      </c>
      <c r="C2920" t="s">
        <v>51</v>
      </c>
      <c r="D2920" s="2" t="s">
        <f>=HYPERLINK("https://main.knesset.gov.il/APPS/legislation/main/bills/2207137", "הצעת חוק-יסוד: ירושלים בירת ישראל (תיקון - איסור על פתיחת נציגות דיפלומטית זרה)")</f>
        <v>6199</v>
      </c>
      <c r="E2920" t="s">
        <v>6199</v>
      </c>
      <c r="F2920" t="s">
        <v>6200</v>
      </c>
      <c r="G2920" t="s">
        <v>14</v>
      </c>
      <c r="H2920">
             </c>
      <c r="I2920" t="s">
        <v>14</v>
      </c>
      <c r="J2920" t="s">
        <v>183</v>
      </c>
      <c r="K2920" t="s">
        <v>27</v>
      </c>
      <c r="L2920" t="s">
        <v>20</v>
      </c>
      <c r="M2920" t="s">
        <v>6196</v>
      </c>
      <c r="N2920" t="s">
        <v>14</v>
      </c>
    </row>
    <row r="2921" x14ac:dyDescent="0.25">
      <c r="A2921" t="n">
        <v>25</v>
      </c>
      <c r="B2921" t="s">
        <v>14</v>
      </c>
      <c r="C2921" t="s">
        <v>51</v>
      </c>
      <c r="D2921" s="2" t="s">
        <f>=HYPERLINK("https://main.knesset.gov.il/APPS/legislation/main/bills/2199051", "הצעת חוק שוויון ההזדמנויות בעבודה (תיקון - הארכת תקופת ההתיישנות), התשפ""ג-2023")</f>
        <v>6201</v>
      </c>
      <c r="E2921" t="s">
        <v>6201</v>
      </c>
      <c r="F2921" t="s">
        <v>6202</v>
      </c>
      <c r="G2921" t="s">
        <v>14</v>
      </c>
      <c r="H2921">
             </c>
      <c r="I2921" t="s">
        <v>14</v>
      </c>
      <c r="J2921" t="s">
        <v>183</v>
      </c>
      <c r="K2921" t="s">
        <v>46</v>
      </c>
      <c r="L2921" t="s">
        <v>20</v>
      </c>
      <c r="M2921" t="s">
        <v>6203</v>
      </c>
      <c r="N2921" t="s">
        <v>14</v>
      </c>
    </row>
    <row r="2922" x14ac:dyDescent="0.25">
      <c r="A2922" t="n">
        <v>25</v>
      </c>
      <c r="B2922" t="s">
        <v>14</v>
      </c>
      <c r="C2922" t="s">
        <v>51</v>
      </c>
      <c r="D2922" s="2" t="s">
        <f>=HYPERLINK("https://main.knesset.gov.il/APPS/legislation/main/bills/2198001", "הצעת חוק שוויון ההזדמנויות בעבודה (תיקון - הארכת תקופת ההתיישנות), התשפ""ג-2023")</f>
        <v>6201</v>
      </c>
      <c r="E2922" t="s">
        <v>6201</v>
      </c>
      <c r="F2922" t="s">
        <v>6204</v>
      </c>
      <c r="G2922" t="s">
        <v>14</v>
      </c>
      <c r="H2922">
             </c>
      <c r="I2922" t="s">
        <v>14</v>
      </c>
      <c r="J2922" t="s">
        <v>183</v>
      </c>
      <c r="K2922" t="s">
        <v>46</v>
      </c>
      <c r="L2922" t="s">
        <v>20</v>
      </c>
      <c r="M2922" t="s">
        <v>6203</v>
      </c>
      <c r="N2922" t="s">
        <v>14</v>
      </c>
    </row>
    <row r="2923" x14ac:dyDescent="0.25">
      <c r="A2923" t="n">
        <v>25</v>
      </c>
      <c r="B2923" t="s">
        <v>14</v>
      </c>
      <c r="C2923" t="s">
        <v>15</v>
      </c>
      <c r="D2923" s="2" t="s">
        <f>=HYPERLINK("https://main.knesset.gov.il/APPS/legislation/main/bills/2204242", "פרק ז' (רכבת תחתית (מטרו) – רכיב למימון) מתוך הצעת חוק ההתייעלות הכלכלית (תיקוני חקיקה להשגת יעדי התקציב לשנות התקציב 2023 ו-2024), התשפ""ג-2023 [פוצלה לפי סעיף 84(ב) לתקנון]")</f>
        <v>6205</v>
      </c>
      <c r="E2923" t="s">
        <v>6205</v>
      </c>
      <c r="F2923" t="s">
        <v>14</v>
      </c>
      <c r="G2923" t="s">
        <v>81</v>
      </c>
      <c r="H2923">
             </c>
      <c r="I2923" t="s">
        <v>14</v>
      </c>
      <c r="J2923" t="s">
        <v>183</v>
      </c>
      <c r="K2923" t="s">
        <v>30</v>
      </c>
      <c r="L2923" t="s">
        <v>20</v>
      </c>
      <c r="M2923" t="s">
        <v>6203</v>
      </c>
      <c r="N2923" t="s">
        <v>14</v>
      </c>
    </row>
    <row r="2924" x14ac:dyDescent="0.25">
      <c r="A2924" t="n">
        <v>25</v>
      </c>
      <c r="B2924" t="s">
        <v>14</v>
      </c>
      <c r="C2924" t="s">
        <v>51</v>
      </c>
      <c r="D2924" s="2" t="s">
        <f>=HYPERLINK("https://main.knesset.gov.il/APPS/legislation/main/bills/2219446", "הצעת חוק תחנות טיפת חלב, התשפ''ד-2024")</f>
        <v>6031</v>
      </c>
      <c r="E2924" t="s">
        <v>6031</v>
      </c>
      <c r="F2924" t="s">
        <v>6206</v>
      </c>
      <c r="G2924" t="s">
        <v>14</v>
      </c>
      <c r="H2924">
             </c>
      <c r="I2924" t="s">
        <v>14</v>
      </c>
      <c r="J2924" t="s">
        <v>242</v>
      </c>
      <c r="K2924" t="s">
        <v>14</v>
      </c>
      <c r="L2924" t="s">
        <v>20</v>
      </c>
      <c r="M2924" t="s">
        <v>6203</v>
      </c>
      <c r="N2924" t="s">
        <v>14</v>
      </c>
    </row>
    <row r="2925" x14ac:dyDescent="0.25">
      <c r="A2925" t="n">
        <v>25</v>
      </c>
      <c r="B2925" t="s">
        <v>14</v>
      </c>
      <c r="C2925" t="s">
        <v>51</v>
      </c>
      <c r="D2925" s="2" t="s">
        <f>=HYPERLINK("https://main.knesset.gov.il/APPS/legislation/main/bills/2220142", "הצעת חוק המועצה לענף הלול (ייצור ושיווק) (תיקון - סימון ביצים), התשפ""ד-2024")</f>
        <v>6207</v>
      </c>
      <c r="E2925" t="s">
        <v>6207</v>
      </c>
      <c r="F2925" t="s">
        <v>6208</v>
      </c>
      <c r="G2925" t="s">
        <v>14</v>
      </c>
      <c r="H2925">
             </c>
      <c r="I2925" t="s">
        <v>14</v>
      </c>
      <c r="J2925" t="s">
        <v>242</v>
      </c>
      <c r="K2925" t="s">
        <v>14</v>
      </c>
      <c r="L2925" t="s">
        <v>20</v>
      </c>
      <c r="M2925" t="s">
        <v>6203</v>
      </c>
      <c r="N2925" t="s">
        <v>14</v>
      </c>
    </row>
    <row r="2926" x14ac:dyDescent="0.25">
      <c r="A2926" t="n">
        <v>25</v>
      </c>
      <c r="B2926" t="s">
        <v>14</v>
      </c>
      <c r="C2926" t="s">
        <v>51</v>
      </c>
      <c r="D2926" s="2" t="s">
        <f>=HYPERLINK("https://main.knesset.gov.il/APPS/legislation/main/bills/2220245", "הצעת חוק שירות המדינה (מינויים) (תיקון - מינוי נציב שירות המדינה ומינויים באמצעות ועדת איתור), התשפ""ד-2024")</f>
        <v>6209</v>
      </c>
      <c r="E2926" t="s">
        <v>6209</v>
      </c>
      <c r="F2926" t="s">
        <v>6210</v>
      </c>
      <c r="G2926" t="s">
        <v>14</v>
      </c>
      <c r="H2926">
             </c>
      <c r="I2926" t="s">
        <v>14</v>
      </c>
      <c r="J2926" t="s">
        <v>242</v>
      </c>
      <c r="K2926" t="s">
        <v>14</v>
      </c>
      <c r="L2926" t="s">
        <v>20</v>
      </c>
      <c r="M2926" t="s">
        <v>6203</v>
      </c>
      <c r="N2926" t="s">
        <v>14</v>
      </c>
    </row>
    <row r="2927" x14ac:dyDescent="0.25">
      <c r="A2927" t="n">
        <v>25</v>
      </c>
      <c r="B2927" t="s">
        <v>14</v>
      </c>
      <c r="C2927" t="s">
        <v>51</v>
      </c>
      <c r="D2927" s="2" t="s">
        <f>=HYPERLINK("https://main.knesset.gov.il/APPS/legislation/main/bills/2216437", "הצעת חוק העונשין (תיקון - חיוב בהוצאות משפט שהוציא נפגע העבירה), התשפ""ד-2024")</f>
        <v>6211</v>
      </c>
      <c r="E2927" t="s">
        <v>6211</v>
      </c>
      <c r="F2927" t="s">
        <v>6212</v>
      </c>
      <c r="G2927" t="s">
        <v>14</v>
      </c>
      <c r="H2927">
             </c>
      <c r="I2927" t="s">
        <v>14</v>
      </c>
      <c r="J2927" t="s">
        <v>242</v>
      </c>
      <c r="K2927" t="s">
        <v>14</v>
      </c>
      <c r="L2927" t="s">
        <v>20</v>
      </c>
      <c r="M2927" t="s">
        <v>6203</v>
      </c>
      <c r="N2927" t="s">
        <v>14</v>
      </c>
    </row>
    <row r="2928" x14ac:dyDescent="0.25">
      <c r="A2928" t="n">
        <v>25</v>
      </c>
      <c r="B2928" t="s">
        <v>14</v>
      </c>
      <c r="C2928" t="s">
        <v>51</v>
      </c>
      <c r="D2928" s="2" t="s">
        <f>=HYPERLINK("https://main.knesset.gov.il/APPS/legislation/main/bills/2220143", "הצעת חוק מועדי כינוס הכנסת בתקופת מלחמת חרבות ברזל וביטול הפגרה (הוראת שעה), התשפ""ד-2024 ")</f>
        <v>6213</v>
      </c>
      <c r="E2928" t="s">
        <v>6213</v>
      </c>
      <c r="F2928" t="s">
        <v>6214</v>
      </c>
      <c r="G2928" t="s">
        <v>14</v>
      </c>
      <c r="H2928">
             </c>
      <c r="I2928" t="s">
        <v>14</v>
      </c>
      <c r="J2928" t="s">
        <v>242</v>
      </c>
      <c r="K2928" t="s">
        <v>14</v>
      </c>
      <c r="L2928" t="s">
        <v>20</v>
      </c>
      <c r="M2928" t="s">
        <v>6203</v>
      </c>
      <c r="N2928" t="s">
        <v>14</v>
      </c>
    </row>
    <row r="2929" x14ac:dyDescent="0.25">
      <c r="A2929" t="n">
        <v>25</v>
      </c>
      <c r="B2929" t="s">
        <v>14</v>
      </c>
      <c r="C2929" t="s">
        <v>51</v>
      </c>
      <c r="D2929" s="2" t="s">
        <f>=HYPERLINK("https://main.knesset.gov.il/APPS/legislation/main/bills/2220141", "הצעת חוק הכנסת (תיקון - כינוס הכנסת בעת מצב מיוחד בעורף או מצב מלחמה), התשפ""ד-2024")</f>
        <v>6215</v>
      </c>
      <c r="E2929" t="s">
        <v>6215</v>
      </c>
      <c r="F2929" t="s">
        <v>6216</v>
      </c>
      <c r="G2929" t="s">
        <v>14</v>
      </c>
      <c r="H2929">
             </c>
      <c r="I2929" t="s">
        <v>14</v>
      </c>
      <c r="J2929" t="s">
        <v>242</v>
      </c>
      <c r="K2929" t="s">
        <v>14</v>
      </c>
      <c r="L2929" t="s">
        <v>20</v>
      </c>
      <c r="M2929" t="s">
        <v>6203</v>
      </c>
      <c r="N2929" t="s">
        <v>14</v>
      </c>
    </row>
    <row r="2930" x14ac:dyDescent="0.25">
      <c r="A2930" t="n">
        <v>25</v>
      </c>
      <c r="B2930" t="s">
        <v>14</v>
      </c>
      <c r="C2930" t="s">
        <v>51</v>
      </c>
      <c r="D2930" s="2" t="s">
        <f>=HYPERLINK("https://main.knesset.gov.il/APPS/legislation/main/bills/2219398", "הצעת חוק לתיקון פקודת התעבורה (סימון אחיד להסדרי חניה), התשפ""ד-2024")</f>
        <v>6217</v>
      </c>
      <c r="E2930" t="s">
        <v>6217</v>
      </c>
      <c r="F2930" t="s">
        <v>6218</v>
      </c>
      <c r="G2930" t="s">
        <v>14</v>
      </c>
      <c r="H2930">
             </c>
      <c r="I2930" t="s">
        <v>14</v>
      </c>
      <c r="J2930" t="s">
        <v>242</v>
      </c>
      <c r="K2930" t="s">
        <v>14</v>
      </c>
      <c r="L2930" t="s">
        <v>20</v>
      </c>
      <c r="M2930" t="s">
        <v>6203</v>
      </c>
      <c r="N2930" t="s">
        <v>14</v>
      </c>
    </row>
    <row r="2931" x14ac:dyDescent="0.25">
      <c r="A2931" t="n">
        <v>25</v>
      </c>
      <c r="B2931" t="s">
        <v>14</v>
      </c>
      <c r="C2931" t="s">
        <v>51</v>
      </c>
      <c r="D2931" s="2" t="s">
        <f>=HYPERLINK("https://main.knesset.gov.il/APPS/legislation/main/bills/2220320", "הצעת חוק דמי הבראה, התשפ""ד-2024")</f>
        <v>6219</v>
      </c>
      <c r="E2931" t="s">
        <v>6219</v>
      </c>
      <c r="F2931" t="s">
        <v>6220</v>
      </c>
      <c r="G2931" t="s">
        <v>14</v>
      </c>
      <c r="H2931">
             </c>
      <c r="I2931" t="s">
        <v>14</v>
      </c>
      <c r="J2931" t="s">
        <v>1372</v>
      </c>
      <c r="K2931" t="s">
        <v>14</v>
      </c>
      <c r="L2931" t="s">
        <v>20</v>
      </c>
      <c r="M2931" t="s">
        <v>6203</v>
      </c>
      <c r="N2931" t="s">
        <v>14</v>
      </c>
    </row>
    <row r="2932" x14ac:dyDescent="0.25">
      <c r="A2932" t="n">
        <v>25</v>
      </c>
      <c r="B2932" t="s">
        <v>14</v>
      </c>
      <c r="C2932" t="s">
        <v>51</v>
      </c>
      <c r="D2932" s="2" t="s">
        <f>=HYPERLINK("https://main.knesset.gov.il/APPS/legislation/main/bills/2220212", "הצעת חוק המכר (דירות) (תיקון - חובת מסירת תוכניות הדירה לקונה), התשפ""ד-2024")</f>
        <v>6221</v>
      </c>
      <c r="E2932" t="s">
        <v>6221</v>
      </c>
      <c r="F2932" t="s">
        <v>6222</v>
      </c>
      <c r="G2932" t="s">
        <v>14</v>
      </c>
      <c r="H2932">
             </c>
      <c r="I2932" t="s">
        <v>14</v>
      </c>
      <c r="J2932" t="s">
        <v>242</v>
      </c>
      <c r="K2932" t="s">
        <v>14</v>
      </c>
      <c r="L2932" t="s">
        <v>20</v>
      </c>
      <c r="M2932" t="s">
        <v>6203</v>
      </c>
      <c r="N2932" t="s">
        <v>14</v>
      </c>
    </row>
    <row r="2933" x14ac:dyDescent="0.25">
      <c r="A2933" t="n">
        <v>25</v>
      </c>
      <c r="B2933" t="s">
        <v>14</v>
      </c>
      <c r="C2933" t="s">
        <v>51</v>
      </c>
      <c r="D2933" s="2" t="s">
        <f>=HYPERLINK("https://main.knesset.gov.il/APPS/legislation/main/bills/2220232", "הצעת חוק משפחות חיילים שנספו במערכה (תגמולים ושיקום) (תיקון - תגמולי יתומים, אלמנות וגרושות), התשפ""ד-2024")</f>
        <v>1617</v>
      </c>
      <c r="E2933" t="s">
        <v>1617</v>
      </c>
      <c r="F2933" t="s">
        <v>6223</v>
      </c>
      <c r="G2933" t="s">
        <v>14</v>
      </c>
      <c r="H2933">
             </c>
      <c r="I2933" t="s">
        <v>14</v>
      </c>
      <c r="J2933" t="s">
        <v>242</v>
      </c>
      <c r="K2933" t="s">
        <v>14</v>
      </c>
      <c r="L2933" t="s">
        <v>20</v>
      </c>
      <c r="M2933" t="s">
        <v>6203</v>
      </c>
      <c r="N2933" t="s">
        <v>14</v>
      </c>
    </row>
    <row r="2934" x14ac:dyDescent="0.25">
      <c r="A2934" t="n">
        <v>25</v>
      </c>
      <c r="B2934" t="s">
        <v>14</v>
      </c>
      <c r="C2934" t="s">
        <v>51</v>
      </c>
      <c r="D2934" s="2" t="s">
        <f>=HYPERLINK("https://main.knesset.gov.il/APPS/legislation/main/bills/2220206", "הצעת חוק משפחות חיילים שנספו במערכה (תגמולים ושיקום) (תיקון - תגמולי יתומים, אלמנות וגרושות), התשפ""ד-2024")</f>
        <v>1617</v>
      </c>
      <c r="E2934" t="s">
        <v>1617</v>
      </c>
      <c r="F2934" t="s">
        <v>6224</v>
      </c>
      <c r="G2934" t="s">
        <v>14</v>
      </c>
      <c r="H2934">
             </c>
      <c r="I2934" t="s">
        <v>14</v>
      </c>
      <c r="J2934" t="s">
        <v>242</v>
      </c>
      <c r="K2934" t="s">
        <v>14</v>
      </c>
      <c r="L2934" t="s">
        <v>20</v>
      </c>
      <c r="M2934" t="s">
        <v>6203</v>
      </c>
      <c r="N2934" t="s">
        <v>14</v>
      </c>
    </row>
    <row r="2935" x14ac:dyDescent="0.25">
      <c r="A2935" t="n">
        <v>25</v>
      </c>
      <c r="B2935" t="s">
        <v>14</v>
      </c>
      <c r="C2935" t="s">
        <v>51</v>
      </c>
      <c r="D2935" s="2" t="s">
        <f>=HYPERLINK("https://main.knesset.gov.il/APPS/legislation/main/bills/2196857", "חוק הירושה (תיקון מס' 21), התשפ""ד–2024")</f>
        <v>6225</v>
      </c>
      <c r="E2935" t="s">
        <v>6225</v>
      </c>
      <c r="F2935" t="s">
        <v>6226</v>
      </c>
      <c r="G2935" t="s">
        <v>6114</v>
      </c>
      <c r="H2935" t="n">
        <v>3243</v>
      </c>
      <c r="I2935" t="s">
        <v>14</v>
      </c>
      <c r="J2935" t="s">
        <v>18</v>
      </c>
      <c r="K2935" t="s">
        <v>27</v>
      </c>
      <c r="L2935" t="s">
        <v>20</v>
      </c>
      <c r="M2935" t="s">
        <v>6227</v>
      </c>
      <c r="N2935" t="s">
        <v>6228</v>
      </c>
    </row>
    <row r="2936" x14ac:dyDescent="0.25">
      <c r="A2936" t="n">
        <v>25</v>
      </c>
      <c r="B2936" t="s">
        <v>14</v>
      </c>
      <c r="C2936" t="s">
        <v>15</v>
      </c>
      <c r="D2936" s="2" t="s">
        <f>=HYPERLINK("https://main.knesset.gov.il/APPS/legislation/main/bills/2218798", "חוק לדחיית הבחירות הכלליות לרשויות המקומיות (תיקון מס' 2), התשפ""ד-2024")</f>
        <v>6229</v>
      </c>
      <c r="E2936" t="s">
        <v>6229</v>
      </c>
      <c r="F2936" t="s">
        <v>14</v>
      </c>
      <c r="G2936" t="s">
        <v>6230</v>
      </c>
      <c r="H2936" t="n">
        <v>3241</v>
      </c>
      <c r="I2936" t="s">
        <v>14</v>
      </c>
      <c r="J2936" t="s">
        <v>18</v>
      </c>
      <c r="K2936" t="s">
        <v>30</v>
      </c>
      <c r="L2936" t="s">
        <v>20</v>
      </c>
      <c r="M2936" t="s">
        <v>6227</v>
      </c>
      <c r="N2936" t="s">
        <v>6231</v>
      </c>
    </row>
    <row r="2937" x14ac:dyDescent="0.25">
      <c r="A2937" t="n">
        <v>25</v>
      </c>
      <c r="B2937" t="s">
        <v>14</v>
      </c>
      <c r="C2937" t="s">
        <v>20</v>
      </c>
      <c r="D2937" s="2" t="s">
        <f>=HYPERLINK("https://main.knesset.gov.il/APPS/legislation/main/bills/2216582", "חוק הכנסת (תיקון מס' 52), התשפ""ד–2024")</f>
        <v>6232</v>
      </c>
      <c r="E2937" t="s">
        <v>6232</v>
      </c>
      <c r="F2937" t="s">
        <v>14</v>
      </c>
      <c r="G2937" t="s">
        <v>6233</v>
      </c>
      <c r="H2937" t="n">
        <v>3240</v>
      </c>
      <c r="I2937" t="s">
        <v>14</v>
      </c>
      <c r="J2937" t="s">
        <v>18</v>
      </c>
      <c r="K2937" t="s">
        <v>42</v>
      </c>
      <c r="L2937" t="s">
        <v>20</v>
      </c>
      <c r="M2937" t="s">
        <v>6227</v>
      </c>
      <c r="N2937" t="s">
        <v>6234</v>
      </c>
    </row>
    <row r="2938" x14ac:dyDescent="0.25">
      <c r="A2938" t="n">
        <v>25</v>
      </c>
      <c r="B2938" t="s">
        <v>14</v>
      </c>
      <c r="C2938" t="s">
        <v>51</v>
      </c>
      <c r="D2938" s="2" t="s">
        <f>=HYPERLINK("https://main.knesset.gov.il/APPS/legislation/main/bills/2210306", "חוק העונשין (תיקון מס' 143 והוראת שעה) (תיקון), התשפ""ד–2024")</f>
        <v>6235</v>
      </c>
      <c r="E2938" t="s">
        <v>6235</v>
      </c>
      <c r="F2938" t="s">
        <v>6236</v>
      </c>
      <c r="G2938" t="s">
        <v>6237</v>
      </c>
      <c r="H2938" t="n">
        <v>3233</v>
      </c>
      <c r="I2938" t="s">
        <v>14</v>
      </c>
      <c r="J2938" t="s">
        <v>18</v>
      </c>
      <c r="K2938" t="s">
        <v>27</v>
      </c>
      <c r="L2938" t="s">
        <v>20</v>
      </c>
      <c r="M2938" t="s">
        <v>6227</v>
      </c>
      <c r="N2938" t="s">
        <v>6238</v>
      </c>
    </row>
    <row r="2939" x14ac:dyDescent="0.25">
      <c r="A2939" t="n">
        <v>25</v>
      </c>
      <c r="B2939" t="s">
        <v>14</v>
      </c>
      <c r="C2939" t="s">
        <v>15</v>
      </c>
      <c r="D2939" s="2" t="s">
        <f>=HYPERLINK("https://main.knesset.gov.il/APPS/legislation/main/bills/2204149", "חוק הגנת הסביבה (ייעול הליכי רישוי סביבתי) (תיקוני חקיקה), התשפ""ד-2024")</f>
        <v>6239</v>
      </c>
      <c r="E2939" t="s">
        <v>6239</v>
      </c>
      <c r="F2939" t="s">
        <v>14</v>
      </c>
      <c r="G2939" t="s">
        <v>81</v>
      </c>
      <c r="H2939" t="n">
        <v>3208</v>
      </c>
      <c r="I2939" t="s">
        <v>14</v>
      </c>
      <c r="J2939" t="s">
        <v>18</v>
      </c>
      <c r="K2939" t="s">
        <v>30</v>
      </c>
      <c r="L2939" t="s">
        <v>20</v>
      </c>
      <c r="M2939" t="s">
        <v>6227</v>
      </c>
      <c r="N2939" t="s">
        <v>6240</v>
      </c>
    </row>
    <row r="2940" x14ac:dyDescent="0.25">
      <c r="A2940" t="n">
        <v>25</v>
      </c>
      <c r="B2940" t="s">
        <v>14</v>
      </c>
      <c r="C2940" t="s">
        <v>51</v>
      </c>
      <c r="D2940" s="2" t="s">
        <f>=HYPERLINK("https://main.knesset.gov.il/APPS/legislation/main/bills/2215054", "הצעת חוק חיילים משוחררים (החזרה לעבודה) (תיקון - הרחבת תקופת הגנה מפני פיטורים למשרתים במילואים), התשפ""ד-2024")</f>
        <v>6241</v>
      </c>
      <c r="E2940" t="s">
        <v>6241</v>
      </c>
      <c r="F2940" t="s">
        <v>6242</v>
      </c>
      <c r="G2940" t="s">
        <v>14</v>
      </c>
      <c r="H2940">
             </c>
      <c r="I2940" t="s">
        <v>14</v>
      </c>
      <c r="J2940" t="s">
        <v>202</v>
      </c>
      <c r="K2940" t="s">
        <v>14</v>
      </c>
      <c r="L2940" t="s">
        <v>20</v>
      </c>
      <c r="M2940" t="s">
        <v>6227</v>
      </c>
      <c r="N2940" t="s">
        <v>14</v>
      </c>
    </row>
    <row r="2941" x14ac:dyDescent="0.25">
      <c r="A2941" t="n">
        <v>25</v>
      </c>
      <c r="B2941" t="s">
        <v>14</v>
      </c>
      <c r="C2941" t="s">
        <v>51</v>
      </c>
      <c r="D2941" s="2" t="s">
        <f>=HYPERLINK("https://main.knesset.gov.il/APPS/legislation/main/bills/2214293", "הצעת חוק הביטוח הלאומי (תיקון - זכאות לדמי לידה עבור משרתות מילואים), התשפ""ד-2024")</f>
        <v>5462</v>
      </c>
      <c r="E2941" t="s">
        <v>5462</v>
      </c>
      <c r="F2941" t="s">
        <v>6243</v>
      </c>
      <c r="G2941" t="s">
        <v>14</v>
      </c>
      <c r="H2941">
             </c>
      <c r="I2941" t="s">
        <v>14</v>
      </c>
      <c r="J2941" t="s">
        <v>152</v>
      </c>
      <c r="K2941" t="s">
        <v>46</v>
      </c>
      <c r="L2941" t="s">
        <v>20</v>
      </c>
      <c r="M2941" t="s">
        <v>6227</v>
      </c>
      <c r="N2941" t="s">
        <v>14</v>
      </c>
    </row>
    <row r="2942" x14ac:dyDescent="0.25">
      <c r="A2942" t="n">
        <v>25</v>
      </c>
      <c r="B2942" t="s">
        <v>14</v>
      </c>
      <c r="C2942" t="s">
        <v>51</v>
      </c>
      <c r="D2942" s="2" t="s">
        <f>=HYPERLINK("https://main.knesset.gov.il/APPS/legislation/main/bills/2211797", "הצעת חוק-יסוד: ישראל - מדינת הלאום של העם היהודי (תיקון - הוספת מחויבות לשוויון זכויות)")</f>
        <v>4694</v>
      </c>
      <c r="E2942" t="s">
        <v>4694</v>
      </c>
      <c r="F2942" t="s">
        <v>6244</v>
      </c>
      <c r="G2942" t="s">
        <v>14</v>
      </c>
      <c r="H2942">
             </c>
      <c r="I2942" t="s">
        <v>14</v>
      </c>
      <c r="J2942" t="s">
        <v>193</v>
      </c>
      <c r="K2942" t="s">
        <v>14</v>
      </c>
      <c r="L2942" t="s">
        <v>20</v>
      </c>
      <c r="M2942" t="s">
        <v>6227</v>
      </c>
      <c r="N2942" t="s">
        <v>14</v>
      </c>
    </row>
    <row r="2943" x14ac:dyDescent="0.25">
      <c r="A2943" t="n">
        <v>25</v>
      </c>
      <c r="B2943" t="s">
        <v>14</v>
      </c>
      <c r="C2943" t="s">
        <v>51</v>
      </c>
      <c r="D2943" s="2" t="s">
        <f>=HYPERLINK("https://main.knesset.gov.il/APPS/legislation/main/bills/2211709", "הצעת חוק-יסוד: ישראל - מדינת הלאום של העם היהודי (תיקון - הוספת ערך השוויון ברוח עקרונות הכרזת העצמאות)")</f>
        <v>5435</v>
      </c>
      <c r="E2943" t="s">
        <v>5435</v>
      </c>
      <c r="F2943" t="s">
        <v>6245</v>
      </c>
      <c r="G2943" t="s">
        <v>14</v>
      </c>
      <c r="H2943">
             </c>
      <c r="I2943" t="s">
        <v>14</v>
      </c>
      <c r="J2943" t="s">
        <v>193</v>
      </c>
      <c r="K2943" t="s">
        <v>14</v>
      </c>
      <c r="L2943" t="s">
        <v>20</v>
      </c>
      <c r="M2943" t="s">
        <v>6227</v>
      </c>
      <c r="N2943" t="s">
        <v>14</v>
      </c>
    </row>
    <row r="2944" x14ac:dyDescent="0.25">
      <c r="A2944" t="n">
        <v>25</v>
      </c>
      <c r="B2944" t="s">
        <v>14</v>
      </c>
      <c r="C2944" t="s">
        <v>51</v>
      </c>
      <c r="D2944" s="2" t="s">
        <f>=HYPERLINK("https://main.knesset.gov.il/APPS/legislation/main/bills/2208312", "הצעת חוק החברות (תיקון - מכסות ייצוג לנשים בדירקטוריונים של חברות ציבוריות), התשפ""ג-2023")</f>
        <v>6246</v>
      </c>
      <c r="E2944" t="s">
        <v>6246</v>
      </c>
      <c r="F2944" t="s">
        <v>6247</v>
      </c>
      <c r="G2944" t="s">
        <v>14</v>
      </c>
      <c r="H2944">
             </c>
      <c r="I2944" t="s">
        <v>14</v>
      </c>
      <c r="J2944" t="s">
        <v>193</v>
      </c>
      <c r="K2944" t="s">
        <v>14</v>
      </c>
      <c r="L2944" t="s">
        <v>20</v>
      </c>
      <c r="M2944" t="s">
        <v>6227</v>
      </c>
      <c r="N2944" t="s">
        <v>14</v>
      </c>
    </row>
    <row r="2945" x14ac:dyDescent="0.25">
      <c r="A2945" t="n">
        <v>25</v>
      </c>
      <c r="B2945" t="s">
        <v>14</v>
      </c>
      <c r="C2945" t="s">
        <v>51</v>
      </c>
      <c r="D2945" s="2" t="s">
        <f>=HYPERLINK("https://main.knesset.gov.il/APPS/legislation/main/bills/2205476", "הצעת חוק-יסוד: הממשלה (תיקון - הגבלת כהונת ראש הממשלה לשתי תקופות כהונה רצופות)")</f>
        <v>1488</v>
      </c>
      <c r="E2945" t="s">
        <v>1488</v>
      </c>
      <c r="F2945" t="s">
        <v>6248</v>
      </c>
      <c r="G2945" t="s">
        <v>14</v>
      </c>
      <c r="H2945">
             </c>
      <c r="I2945" t="s">
        <v>14</v>
      </c>
      <c r="J2945" t="s">
        <v>193</v>
      </c>
      <c r="K2945" t="s">
        <v>14</v>
      </c>
      <c r="L2945" t="s">
        <v>20</v>
      </c>
      <c r="M2945" t="s">
        <v>6227</v>
      </c>
      <c r="N2945" t="s">
        <v>14</v>
      </c>
    </row>
    <row r="2946" x14ac:dyDescent="0.25">
      <c r="A2946" t="n">
        <v>25</v>
      </c>
      <c r="B2946" t="s">
        <v>14</v>
      </c>
      <c r="C2946" t="s">
        <v>51</v>
      </c>
      <c r="D2946" s="2" t="s">
        <f>=HYPERLINK("https://main.knesset.gov.il/APPS/legislation/main/bills/2215399", "הצעת חוק העסקת עובדים על ידי קבלני כוח אדם (תיקון - קבלן שירות בתחום הסיעוד), התשפ""ד-2024")</f>
        <v>6249</v>
      </c>
      <c r="E2946" t="s">
        <v>6249</v>
      </c>
      <c r="F2946" t="s">
        <v>6250</v>
      </c>
      <c r="G2946" t="s">
        <v>14</v>
      </c>
      <c r="H2946">
             </c>
      <c r="I2946" t="s">
        <v>14</v>
      </c>
      <c r="J2946" t="s">
        <v>152</v>
      </c>
      <c r="K2946" t="s">
        <v>46</v>
      </c>
      <c r="L2946" t="s">
        <v>20</v>
      </c>
      <c r="M2946" t="s">
        <v>6251</v>
      </c>
      <c r="N2946" t="s">
        <v>14</v>
      </c>
    </row>
    <row r="2947" x14ac:dyDescent="0.25">
      <c r="A2947" t="n">
        <v>25</v>
      </c>
      <c r="B2947" t="s">
        <v>14</v>
      </c>
      <c r="C2947" t="s">
        <v>51</v>
      </c>
      <c r="D2947" s="2" t="s">
        <f>=HYPERLINK("https://main.knesset.gov.il/APPS/legislation/main/bills/2209385", "הצעת חוק עובדים זרים (תיקון - אי־תחולת הסדר פנסיוני על עובד זר המועסק אצל יחיד בענף הסיעוד), התשפ""ג-2023")</f>
        <v>6252</v>
      </c>
      <c r="E2947" t="s">
        <v>6252</v>
      </c>
      <c r="F2947" t="s">
        <v>6253</v>
      </c>
      <c r="G2947" t="s">
        <v>14</v>
      </c>
      <c r="H2947">
             </c>
      <c r="I2947" t="s">
        <v>14</v>
      </c>
      <c r="J2947" t="s">
        <v>152</v>
      </c>
      <c r="K2947" t="s">
        <v>46</v>
      </c>
      <c r="L2947" t="s">
        <v>20</v>
      </c>
      <c r="M2947" t="s">
        <v>6251</v>
      </c>
      <c r="N2947" t="s">
        <v>14</v>
      </c>
    </row>
    <row r="2948" x14ac:dyDescent="0.25">
      <c r="A2948" t="n">
        <v>25</v>
      </c>
      <c r="B2948" t="s">
        <v>14</v>
      </c>
      <c r="C2948" t="s">
        <v>51</v>
      </c>
      <c r="D2948" s="2" t="s">
        <f>=HYPERLINK("https://main.knesset.gov.il/APPS/legislation/main/bills/2207498", "הצעת חוק עובדים זרים (תיקון - אי־תחולת הסדר פנסיוני על עובד זר המועסק אצל יחיד בענף הסיעוד), התשפ""ג-2023")</f>
        <v>6252</v>
      </c>
      <c r="E2948" t="s">
        <v>6252</v>
      </c>
      <c r="F2948" t="s">
        <v>6254</v>
      </c>
      <c r="G2948" t="s">
        <v>14</v>
      </c>
      <c r="H2948">
             </c>
      <c r="I2948" t="s">
        <v>14</v>
      </c>
      <c r="J2948" t="s">
        <v>152</v>
      </c>
      <c r="K2948" t="s">
        <v>46</v>
      </c>
      <c r="L2948" t="s">
        <v>20</v>
      </c>
      <c r="M2948" t="s">
        <v>6251</v>
      </c>
      <c r="N2948" t="s">
        <v>14</v>
      </c>
    </row>
    <row r="2949" x14ac:dyDescent="0.25">
      <c r="A2949" t="n">
        <v>25</v>
      </c>
      <c r="B2949" t="s">
        <v>14</v>
      </c>
      <c r="C2949" t="s">
        <v>51</v>
      </c>
      <c r="D2949" s="2" t="s">
        <f>=HYPERLINK("https://main.knesset.gov.il/APPS/legislation/main/bills/2202705", "הצעת חוק עובדים זרים (תיקון - אי-תחולת הסדר פנסיוני על עובד זר המועסק אצל יחיד בענף הסיעוד), התשפ""ג-2023")</f>
        <v>6255</v>
      </c>
      <c r="E2949" t="s">
        <v>6255</v>
      </c>
      <c r="F2949" t="s">
        <v>6256</v>
      </c>
      <c r="G2949" t="s">
        <v>14</v>
      </c>
      <c r="H2949">
             </c>
      <c r="I2949" t="s">
        <v>14</v>
      </c>
      <c r="J2949" t="s">
        <v>152</v>
      </c>
      <c r="K2949" t="s">
        <v>46</v>
      </c>
      <c r="L2949" t="s">
        <v>20</v>
      </c>
      <c r="M2949" t="s">
        <v>6251</v>
      </c>
      <c r="N2949" t="s">
        <v>14</v>
      </c>
    </row>
    <row r="2950" x14ac:dyDescent="0.25">
      <c r="A2950" t="n">
        <v>25</v>
      </c>
      <c r="B2950" t="s">
        <v>14</v>
      </c>
      <c r="C2950" t="s">
        <v>51</v>
      </c>
      <c r="D2950" s="2" t="s">
        <f>=HYPERLINK("https://main.knesset.gov.il/APPS/legislation/main/bills/2196791", "הצעת חוק עובדים זרים (תיקון - אי-תחולת הסדר פנסיוני על עובד זר המועסק אצל יחיד בענף הסיעוד), התשפ""ג-2022")</f>
        <v>6257</v>
      </c>
      <c r="E2950" t="s">
        <v>6257</v>
      </c>
      <c r="F2950" t="s">
        <v>6258</v>
      </c>
      <c r="G2950" t="s">
        <v>14</v>
      </c>
      <c r="H2950">
             </c>
      <c r="I2950" t="s">
        <v>14</v>
      </c>
      <c r="J2950" t="s">
        <v>152</v>
      </c>
      <c r="K2950" t="s">
        <v>46</v>
      </c>
      <c r="L2950" t="s">
        <v>20</v>
      </c>
      <c r="M2950" t="s">
        <v>6251</v>
      </c>
      <c r="N2950" t="s">
        <v>14</v>
      </c>
    </row>
    <row r="2951" x14ac:dyDescent="0.25">
      <c r="A2951" t="n">
        <v>25</v>
      </c>
      <c r="B2951" t="s">
        <v>14</v>
      </c>
      <c r="C2951" t="s">
        <v>15</v>
      </c>
      <c r="D2951" s="2" t="s">
        <f>=HYPERLINK("https://main.knesset.gov.il/APPS/legislation/main/bills/2194907", "הצעת חוק העונשין (תיקון מס' 146) (תקיפת עובד ציבור שהוא מטפל או ממלא תפקיד בארגון חירום והצלה טרום אשפוז או בחדר מיון), התשפ""ב-2022")</f>
        <v>6259</v>
      </c>
      <c r="E2951" t="s">
        <v>6259</v>
      </c>
      <c r="F2951" t="s">
        <v>14</v>
      </c>
      <c r="G2951" t="s">
        <v>6260</v>
      </c>
      <c r="H2951">
             </c>
      <c r="I2951" t="s">
        <v>6261</v>
      </c>
      <c r="J2951" t="s">
        <v>38</v>
      </c>
      <c r="K2951" t="s">
        <v>27</v>
      </c>
      <c r="L2951" t="s">
        <v>20</v>
      </c>
      <c r="M2951" t="s">
        <v>6251</v>
      </c>
      <c r="N2951" t="s">
        <v>14</v>
      </c>
    </row>
    <row r="2952" x14ac:dyDescent="0.25">
      <c r="A2952" t="n">
        <v>25</v>
      </c>
      <c r="B2952" t="s">
        <v>14</v>
      </c>
      <c r="C2952" t="s">
        <v>51</v>
      </c>
      <c r="D2952" s="2" t="s">
        <f>=HYPERLINK("https://main.knesset.gov.il/APPS/legislation/main/bills/2217179", "הצעת חוק נציב תלונות הציבור על רבנים, התשפ""ד-2024 ")</f>
        <v>6262</v>
      </c>
      <c r="E2952" t="s">
        <v>6262</v>
      </c>
      <c r="F2952" t="s">
        <v>6263</v>
      </c>
      <c r="G2952" t="s">
        <v>14</v>
      </c>
      <c r="H2952">
             </c>
      <c r="I2952" t="s">
        <v>14</v>
      </c>
      <c r="J2952" t="s">
        <v>152</v>
      </c>
      <c r="K2952" t="s">
        <v>27</v>
      </c>
      <c r="L2952" t="s">
        <v>20</v>
      </c>
      <c r="M2952" t="s">
        <v>6251</v>
      </c>
      <c r="N2952" t="s">
        <v>14</v>
      </c>
    </row>
    <row r="2953" x14ac:dyDescent="0.25">
      <c r="A2953" t="n">
        <v>25</v>
      </c>
      <c r="B2953" t="s">
        <v>14</v>
      </c>
      <c r="C2953" t="s">
        <v>51</v>
      </c>
      <c r="D2953" s="2" t="s">
        <f>=HYPERLINK("https://main.knesset.gov.il/APPS/legislation/main/bills/2196910", "חוק יום לציון אירועי הפרהוד, התשפ""ד–2024")</f>
        <v>6264</v>
      </c>
      <c r="E2953" t="s">
        <v>6264</v>
      </c>
      <c r="F2953" t="s">
        <v>6265</v>
      </c>
      <c r="G2953" t="s">
        <v>6266</v>
      </c>
      <c r="H2953" t="n">
        <v>3242</v>
      </c>
      <c r="I2953" t="s">
        <v>14</v>
      </c>
      <c r="J2953" t="s">
        <v>18</v>
      </c>
      <c r="K2953" t="s">
        <v>79</v>
      </c>
      <c r="L2953" t="s">
        <v>20</v>
      </c>
      <c r="M2953" t="s">
        <v>6251</v>
      </c>
      <c r="N2953" t="s">
        <v>6267</v>
      </c>
    </row>
    <row r="2954" x14ac:dyDescent="0.25">
      <c r="A2954" t="n">
        <v>25</v>
      </c>
      <c r="B2954" t="s">
        <v>14</v>
      </c>
      <c r="C2954" t="s">
        <v>51</v>
      </c>
      <c r="D2954" s="2" t="s">
        <f>=HYPERLINK("https://main.knesset.gov.il/APPS/legislation/main/bills/2199560", "חוק התקשורת (בזק ושידורים) (תיקון מס' 78), התשפ""ד–2024")</f>
        <v>6268</v>
      </c>
      <c r="E2954" t="s">
        <v>6268</v>
      </c>
      <c r="F2954" t="s">
        <v>6269</v>
      </c>
      <c r="G2954" t="s">
        <v>6270</v>
      </c>
      <c r="H2954" t="n">
        <v>3238</v>
      </c>
      <c r="I2954" t="s">
        <v>14</v>
      </c>
      <c r="J2954" t="s">
        <v>18</v>
      </c>
      <c r="K2954" t="s">
        <v>30</v>
      </c>
      <c r="L2954" t="s">
        <v>20</v>
      </c>
      <c r="M2954" t="s">
        <v>6251</v>
      </c>
      <c r="N2954" t="s">
        <v>6271</v>
      </c>
    </row>
    <row r="2955" x14ac:dyDescent="0.25">
      <c r="A2955" t="n">
        <v>25</v>
      </c>
      <c r="B2955" t="s">
        <v>14</v>
      </c>
      <c r="C2955" t="s">
        <v>51</v>
      </c>
      <c r="D2955" s="2" t="s">
        <f>=HYPERLINK("https://main.knesset.gov.il/APPS/legislation/main/bills/2206973", "חוק הרשויות המקומיות (ריבית והפרשי הצמדה על תשלומי חובה) (תיקון מס' 3), התשפ""ד–2024")</f>
        <v>6272</v>
      </c>
      <c r="E2955" t="s">
        <v>6272</v>
      </c>
      <c r="F2955" t="s">
        <v>6273</v>
      </c>
      <c r="G2955" t="s">
        <v>6274</v>
      </c>
      <c r="H2955" t="n">
        <v>3237</v>
      </c>
      <c r="I2955" t="s">
        <v>14</v>
      </c>
      <c r="J2955" t="s">
        <v>18</v>
      </c>
      <c r="K2955" t="s">
        <v>30</v>
      </c>
      <c r="L2955" t="s">
        <v>20</v>
      </c>
      <c r="M2955" t="s">
        <v>6251</v>
      </c>
      <c r="N2955" t="s">
        <v>6275</v>
      </c>
    </row>
    <row r="2956" x14ac:dyDescent="0.25">
      <c r="A2956" t="n">
        <v>25</v>
      </c>
      <c r="B2956" t="s">
        <v>14</v>
      </c>
      <c r="C2956" t="s">
        <v>51</v>
      </c>
      <c r="D2956" s="2" t="s">
        <f>=HYPERLINK("https://main.knesset.gov.il/APPS/legislation/main/bills/2201054", "חוק קידום התחרות בענף המזון (תיקון מס' 8 והוראת שעה), התשפ""ד–2024")</f>
        <v>6276</v>
      </c>
      <c r="E2956" t="s">
        <v>6276</v>
      </c>
      <c r="F2956" t="s">
        <v>6277</v>
      </c>
      <c r="G2956" t="s">
        <v>6278</v>
      </c>
      <c r="H2956" t="n">
        <v>3236</v>
      </c>
      <c r="I2956" t="s">
        <v>14</v>
      </c>
      <c r="J2956" t="s">
        <v>18</v>
      </c>
      <c r="K2956" t="s">
        <v>84</v>
      </c>
      <c r="L2956" t="s">
        <v>20</v>
      </c>
      <c r="M2956" t="s">
        <v>6279</v>
      </c>
      <c r="N2956" t="s">
        <v>6280</v>
      </c>
    </row>
    <row r="2957" x14ac:dyDescent="0.25">
      <c r="A2957" t="n">
        <v>25</v>
      </c>
      <c r="B2957" t="s">
        <v>14</v>
      </c>
      <c r="C2957" t="s">
        <v>15</v>
      </c>
      <c r="D2957" s="2" t="s">
        <f>=HYPERLINK("https://main.knesset.gov.il/APPS/legislation/main/bills/2216839", "חוק להגנה על הצרכן מפני עוסקים המבצעים הפרות בנסיבות מחמירות (תיקוני חקיקה), התשפ""ד-2024")</f>
        <v>6281</v>
      </c>
      <c r="E2957" t="s">
        <v>6281</v>
      </c>
      <c r="F2957" t="s">
        <v>14</v>
      </c>
      <c r="G2957" t="s">
        <v>6282</v>
      </c>
      <c r="H2957" t="n">
        <v>3235</v>
      </c>
      <c r="I2957" t="s">
        <v>14</v>
      </c>
      <c r="J2957" t="s">
        <v>18</v>
      </c>
      <c r="K2957" t="s">
        <v>84</v>
      </c>
      <c r="L2957" t="s">
        <v>20</v>
      </c>
      <c r="M2957" t="s">
        <v>6279</v>
      </c>
      <c r="N2957" t="s">
        <v>6283</v>
      </c>
    </row>
    <row r="2958" x14ac:dyDescent="0.25">
      <c r="A2958" t="n">
        <v>25</v>
      </c>
      <c r="B2958" t="s">
        <v>14</v>
      </c>
      <c r="C2958" t="s">
        <v>15</v>
      </c>
      <c r="D2958" s="2" t="s">
        <f>=HYPERLINK("https://main.knesset.gov.il/APPS/legislation/main/bills/2206949", "חוק הרשות לחקירה בטיחותית בתעופה, התשפ""ד-2024")</f>
        <v>6284</v>
      </c>
      <c r="E2958" t="s">
        <v>6284</v>
      </c>
      <c r="F2958" t="s">
        <v>14</v>
      </c>
      <c r="G2958" t="s">
        <v>6285</v>
      </c>
      <c r="H2958" t="n">
        <v>3234</v>
      </c>
      <c r="I2958" t="s">
        <v>14</v>
      </c>
      <c r="J2958" t="s">
        <v>18</v>
      </c>
      <c r="K2958" t="s">
        <v>84</v>
      </c>
      <c r="L2958" t="s">
        <v>20</v>
      </c>
      <c r="M2958" t="s">
        <v>6279</v>
      </c>
      <c r="N2958" t="s">
        <v>6286</v>
      </c>
    </row>
    <row r="2959" x14ac:dyDescent="0.25">
      <c r="A2959" t="n">
        <v>25</v>
      </c>
      <c r="B2959" t="s">
        <v>14</v>
      </c>
      <c r="C2959" t="s">
        <v>15</v>
      </c>
      <c r="D2959" s="2" t="s">
        <f>=HYPERLINK("https://main.knesset.gov.il/APPS/legislation/main/bills/2216840", "חוק השקעות משותפות בנאמנות (תיקון מס' 31), התשפ""ד-2024")</f>
        <v>6287</v>
      </c>
      <c r="E2959" t="s">
        <v>6287</v>
      </c>
      <c r="F2959" t="s">
        <v>14</v>
      </c>
      <c r="G2959" t="s">
        <v>6288</v>
      </c>
      <c r="H2959" t="n">
        <v>3232</v>
      </c>
      <c r="I2959" t="s">
        <v>14</v>
      </c>
      <c r="J2959" t="s">
        <v>18</v>
      </c>
      <c r="K2959" t="s">
        <v>24</v>
      </c>
      <c r="L2959" t="s">
        <v>20</v>
      </c>
      <c r="M2959" t="s">
        <v>6279</v>
      </c>
      <c r="N2959" t="s">
        <v>6289</v>
      </c>
    </row>
    <row r="2960" x14ac:dyDescent="0.25">
      <c r="A2960" t="n">
        <v>25</v>
      </c>
      <c r="B2960" t="s">
        <v>14</v>
      </c>
      <c r="C2960" t="s">
        <v>15</v>
      </c>
      <c r="D2960" s="2" t="s">
        <f>=HYPERLINK("https://main.knesset.gov.il/APPS/legislation/main/bills/2216814", "חוק הביטוח הלאומי (תיקון מס' 246 - הוראת שעה), התשפ""ד-2024")</f>
        <v>6290</v>
      </c>
      <c r="E2960" t="s">
        <v>6290</v>
      </c>
      <c r="F2960" t="s">
        <v>14</v>
      </c>
      <c r="G2960" t="s">
        <v>6291</v>
      </c>
      <c r="H2960" t="n">
        <v>3230</v>
      </c>
      <c r="I2960" t="s">
        <v>14</v>
      </c>
      <c r="J2960" t="s">
        <v>18</v>
      </c>
      <c r="K2960" t="s">
        <v>46</v>
      </c>
      <c r="L2960" t="s">
        <v>20</v>
      </c>
      <c r="M2960" t="s">
        <v>6279</v>
      </c>
      <c r="N2960" t="s">
        <v>6292</v>
      </c>
    </row>
    <row r="2961" x14ac:dyDescent="0.25">
      <c r="A2961" t="n">
        <v>25</v>
      </c>
      <c r="B2961" t="s">
        <v>14</v>
      </c>
      <c r="C2961" t="s">
        <v>51</v>
      </c>
      <c r="D2961" s="2" t="s">
        <f>=HYPERLINK("https://main.knesset.gov.il/APPS/legislation/main/bills/2219180", "הצעת חוק ליישוב תחת איום מיידי (הוראת שעה), התשפ""ד-2024")</f>
        <v>6293</v>
      </c>
      <c r="E2961" t="s">
        <v>6293</v>
      </c>
      <c r="F2961" t="s">
        <v>6294</v>
      </c>
      <c r="G2961" t="s">
        <v>14</v>
      </c>
      <c r="H2961">
             </c>
      <c r="I2961" t="s">
        <v>14</v>
      </c>
      <c r="J2961" t="s">
        <v>242</v>
      </c>
      <c r="K2961" t="s">
        <v>14</v>
      </c>
      <c r="L2961" t="s">
        <v>20</v>
      </c>
      <c r="M2961" t="s">
        <v>6279</v>
      </c>
      <c r="N2961" t="s">
        <v>14</v>
      </c>
    </row>
    <row r="2962" x14ac:dyDescent="0.25">
      <c r="A2962" t="n">
        <v>25</v>
      </c>
      <c r="B2962" t="s">
        <v>14</v>
      </c>
      <c r="C2962" t="s">
        <v>51</v>
      </c>
      <c r="D2962" s="2" t="s">
        <f>=HYPERLINK("https://main.knesset.gov.il/APPS/legislation/main/bills/2219371", "הצעת חוק הרשויות המקומיות (בחירות) (תיקון - קיצור תקופת הצינון למנהל כללי), התשפ""ד-2024")</f>
        <v>6295</v>
      </c>
      <c r="E2962" t="s">
        <v>6295</v>
      </c>
      <c r="F2962" t="s">
        <v>6296</v>
      </c>
      <c r="G2962" t="s">
        <v>14</v>
      </c>
      <c r="H2962">
             </c>
      <c r="I2962" t="s">
        <v>14</v>
      </c>
      <c r="J2962" t="s">
        <v>242</v>
      </c>
      <c r="K2962" t="s">
        <v>14</v>
      </c>
      <c r="L2962" t="s">
        <v>20</v>
      </c>
      <c r="M2962" t="s">
        <v>6279</v>
      </c>
      <c r="N2962" t="s">
        <v>14</v>
      </c>
    </row>
    <row r="2963" x14ac:dyDescent="0.25">
      <c r="A2963" t="n">
        <v>25</v>
      </c>
      <c r="B2963" t="s">
        <v>14</v>
      </c>
      <c r="C2963" t="s">
        <v>51</v>
      </c>
      <c r="D2963" s="2" t="s">
        <f>=HYPERLINK("https://main.knesset.gov.il/APPS/legislation/main/bills/2217032", "הצעת חוק הגבלת השימוש ורישום פעולות בחלקי רכב משומשים (מניעת גניבות) (תיקון - חובות החלות בעת רכישה או מכירה של רכב ניזוק), התשפ""ד-2024")</f>
        <v>6171</v>
      </c>
      <c r="E2963" t="s">
        <v>6171</v>
      </c>
      <c r="F2963" t="s">
        <v>6297</v>
      </c>
      <c r="G2963" t="s">
        <v>14</v>
      </c>
      <c r="H2963">
             </c>
      <c r="I2963" t="s">
        <v>14</v>
      </c>
      <c r="J2963" t="s">
        <v>202</v>
      </c>
      <c r="K2963" t="s">
        <v>14</v>
      </c>
      <c r="L2963" t="s">
        <v>20</v>
      </c>
      <c r="M2963" t="s">
        <v>6279</v>
      </c>
      <c r="N2963" t="s">
        <v>14</v>
      </c>
    </row>
    <row r="2964" x14ac:dyDescent="0.25">
      <c r="A2964" t="n">
        <v>25</v>
      </c>
      <c r="B2964" t="s">
        <v>14</v>
      </c>
      <c r="C2964" t="s">
        <v>51</v>
      </c>
      <c r="D2964" s="2" t="s">
        <f>=HYPERLINK("https://main.knesset.gov.il/APPS/legislation/main/bills/2219744", "הצעת חוק בתי קברות צבאיים (תיקון - הוספת ביטוי אישי בקדמת המצבה לבקשת קרוב משפחה של חייל שנפטר), התשפ""ד-2024")</f>
        <v>6298</v>
      </c>
      <c r="E2964" t="s">
        <v>6298</v>
      </c>
      <c r="F2964" t="s">
        <v>6299</v>
      </c>
      <c r="G2964" t="s">
        <v>14</v>
      </c>
      <c r="H2964">
             </c>
      <c r="I2964" t="s">
        <v>14</v>
      </c>
      <c r="J2964" t="s">
        <v>242</v>
      </c>
      <c r="K2964" t="s">
        <v>14</v>
      </c>
      <c r="L2964" t="s">
        <v>20</v>
      </c>
      <c r="M2964" t="s">
        <v>6279</v>
      </c>
      <c r="N2964" t="s">
        <v>14</v>
      </c>
    </row>
    <row r="2965" x14ac:dyDescent="0.25">
      <c r="A2965" t="n">
        <v>25</v>
      </c>
      <c r="B2965" t="s">
        <v>14</v>
      </c>
      <c r="C2965" t="s">
        <v>51</v>
      </c>
      <c r="D2965" s="2" t="s">
        <f>=HYPERLINK("https://main.knesset.gov.il/APPS/legislation/main/bills/2219669", "הצעת חוק בתי קברות צבאיים (תיקון - כתיבת האותיות הי""ד על מצבת חלל), התשפ""ד-2024")</f>
        <v>6300</v>
      </c>
      <c r="E2965" t="s">
        <v>6300</v>
      </c>
      <c r="F2965" t="s">
        <v>6301</v>
      </c>
      <c r="G2965" t="s">
        <v>14</v>
      </c>
      <c r="H2965">
             </c>
      <c r="I2965" t="s">
        <v>14</v>
      </c>
      <c r="J2965" t="s">
        <v>242</v>
      </c>
      <c r="K2965" t="s">
        <v>14</v>
      </c>
      <c r="L2965" t="s">
        <v>20</v>
      </c>
      <c r="M2965" t="s">
        <v>6279</v>
      </c>
      <c r="N2965" t="s">
        <v>14</v>
      </c>
    </row>
    <row r="2966" x14ac:dyDescent="0.25">
      <c r="A2966" t="n">
        <v>25</v>
      </c>
      <c r="B2966" t="s">
        <v>14</v>
      </c>
      <c r="C2966" t="s">
        <v>51</v>
      </c>
      <c r="D2966" s="2" t="s">
        <f>=HYPERLINK("https://main.knesset.gov.il/APPS/legislation/main/bills/2219780", "הצעת חוק שוויון זכויות לאנשים עם מוגבלות (תיקון - הנפקת תעודות לבעלי מוגבלות בראיה), התשפ""ד-2024")</f>
        <v>6166</v>
      </c>
      <c r="E2966" t="s">
        <v>6166</v>
      </c>
      <c r="F2966" t="s">
        <v>6302</v>
      </c>
      <c r="G2966" t="s">
        <v>14</v>
      </c>
      <c r="H2966">
             </c>
      <c r="I2966" t="s">
        <v>14</v>
      </c>
      <c r="J2966" t="s">
        <v>242</v>
      </c>
      <c r="K2966" t="s">
        <v>14</v>
      </c>
      <c r="L2966" t="s">
        <v>20</v>
      </c>
      <c r="M2966" t="s">
        <v>6279</v>
      </c>
      <c r="N2966" t="s">
        <v>14</v>
      </c>
    </row>
    <row r="2967" x14ac:dyDescent="0.25">
      <c r="A2967" t="n">
        <v>25</v>
      </c>
      <c r="B2967" t="s">
        <v>14</v>
      </c>
      <c r="C2967" t="s">
        <v>51</v>
      </c>
      <c r="D2967" s="2" t="s">
        <f>=HYPERLINK("https://main.knesset.gov.il/APPS/legislation/main/bills/2218944", "הצעת חוק הסדרים במשק המדינה (תיקוני חקיקה להשגת יעדי התקציב) (תיקון - חובת הענקת הנחה בארנונה לבעלי עסקים של תושבי אזור הצפון שנפגעו בעקבות מלחמת חרבות ברזל), התשפ""ד-2024")</f>
        <v>6303</v>
      </c>
      <c r="E2967" t="s">
        <v>6303</v>
      </c>
      <c r="F2967" t="s">
        <v>6304</v>
      </c>
      <c r="G2967" t="s">
        <v>14</v>
      </c>
      <c r="H2967">
             </c>
      <c r="I2967" t="s">
        <v>14</v>
      </c>
      <c r="J2967" t="s">
        <v>242</v>
      </c>
      <c r="K2967" t="s">
        <v>14</v>
      </c>
      <c r="L2967" t="s">
        <v>20</v>
      </c>
      <c r="M2967" t="s">
        <v>6279</v>
      </c>
      <c r="N2967" t="s">
        <v>14</v>
      </c>
    </row>
    <row r="2968" x14ac:dyDescent="0.25">
      <c r="A2968" t="n">
        <v>25</v>
      </c>
      <c r="B2968" t="s">
        <v>14</v>
      </c>
      <c r="C2968" t="s">
        <v>51</v>
      </c>
      <c r="D2968" s="2" t="s">
        <f>=HYPERLINK("https://main.knesset.gov.il/APPS/legislation/main/bills/2219680", "הצעת חוק עיקול מידתי של נכסים המוחזקים בידי צד שלישי (תיקוני חקיקה), התשפ""ד-2024")</f>
        <v>6305</v>
      </c>
      <c r="E2968" t="s">
        <v>6305</v>
      </c>
      <c r="F2968" t="s">
        <v>6306</v>
      </c>
      <c r="G2968" t="s">
        <v>14</v>
      </c>
      <c r="H2968">
             </c>
      <c r="I2968" t="s">
        <v>14</v>
      </c>
      <c r="J2968" t="s">
        <v>242</v>
      </c>
      <c r="K2968" t="s">
        <v>14</v>
      </c>
      <c r="L2968" t="s">
        <v>20</v>
      </c>
      <c r="M2968" t="s">
        <v>6279</v>
      </c>
      <c r="N2968" t="s">
        <v>14</v>
      </c>
    </row>
    <row r="2969" x14ac:dyDescent="0.25">
      <c r="A2969" t="n">
        <v>25</v>
      </c>
      <c r="B2969" t="s">
        <v>14</v>
      </c>
      <c r="C2969" t="s">
        <v>51</v>
      </c>
      <c r="D2969" s="2" t="s">
        <f>=HYPERLINK("https://main.knesset.gov.il/APPS/legislation/main/bills/2218881", "הצעת חוק הרשויות המקומיות (פטור חיילים, נפגעי מלחמה ושוטרים מארנונה) (תיקון - סיוע לחיילים בודדים), התשפ""ד-2024")</f>
        <v>6307</v>
      </c>
      <c r="E2969" t="s">
        <v>6307</v>
      </c>
      <c r="F2969" t="s">
        <v>6308</v>
      </c>
      <c r="G2969" t="s">
        <v>14</v>
      </c>
      <c r="H2969">
             </c>
      <c r="I2969" t="s">
        <v>14</v>
      </c>
      <c r="J2969" t="s">
        <v>242</v>
      </c>
      <c r="K2969" t="s">
        <v>14</v>
      </c>
      <c r="L2969" t="s">
        <v>20</v>
      </c>
      <c r="M2969" t="s">
        <v>6279</v>
      </c>
      <c r="N2969" t="s">
        <v>14</v>
      </c>
    </row>
    <row r="2970" x14ac:dyDescent="0.25">
      <c r="A2970" t="n">
        <v>25</v>
      </c>
      <c r="B2970" t="s">
        <v>14</v>
      </c>
      <c r="C2970" t="s">
        <v>51</v>
      </c>
      <c r="D2970" s="2" t="s">
        <f>=HYPERLINK("https://main.knesset.gov.il/APPS/legislation/main/bills/2219679", "הצעת חוק כביש אגרה (כביש ארצי לישראל) (תיקון - גביית קנסות ופיגורי תשלומים דרך המרכז לגביית קנסות), התשפ""ד-2024")</f>
        <v>6309</v>
      </c>
      <c r="E2970" t="s">
        <v>6309</v>
      </c>
      <c r="F2970" t="s">
        <v>6310</v>
      </c>
      <c r="G2970" t="s">
        <v>14</v>
      </c>
      <c r="H2970">
             </c>
      <c r="I2970" t="s">
        <v>14</v>
      </c>
      <c r="J2970" t="s">
        <v>242</v>
      </c>
      <c r="K2970" t="s">
        <v>14</v>
      </c>
      <c r="L2970" t="s">
        <v>20</v>
      </c>
      <c r="M2970" t="s">
        <v>6279</v>
      </c>
      <c r="N2970" t="s">
        <v>14</v>
      </c>
    </row>
    <row r="2971" x14ac:dyDescent="0.25">
      <c r="A2971" t="n">
        <v>25</v>
      </c>
      <c r="B2971" t="s">
        <v>14</v>
      </c>
      <c r="C2971" t="s">
        <v>51</v>
      </c>
      <c r="D2971" s="2" t="s">
        <f>=HYPERLINK("https://main.knesset.gov.il/APPS/legislation/main/bills/2219682", "הצעת חוק הפיקוח על שירותים פיננסיים (שירותים פיננסיים מוסדרים) (תיקון - מסירת מידע על עמלות וריביות בידי נותן שירותים פיננסיים), התשפ""ד-2024")</f>
        <v>5292</v>
      </c>
      <c r="E2971" t="s">
        <v>5292</v>
      </c>
      <c r="F2971" t="s">
        <v>6311</v>
      </c>
      <c r="G2971" t="s">
        <v>14</v>
      </c>
      <c r="H2971">
             </c>
      <c r="I2971" t="s">
        <v>14</v>
      </c>
      <c r="J2971" t="s">
        <v>242</v>
      </c>
      <c r="K2971" t="s">
        <v>14</v>
      </c>
      <c r="L2971" t="s">
        <v>20</v>
      </c>
      <c r="M2971" t="s">
        <v>6279</v>
      </c>
      <c r="N2971" t="s">
        <v>14</v>
      </c>
    </row>
    <row r="2972" x14ac:dyDescent="0.25">
      <c r="A2972" t="n">
        <v>25</v>
      </c>
      <c r="B2972" t="s">
        <v>14</v>
      </c>
      <c r="C2972" t="s">
        <v>51</v>
      </c>
      <c r="D2972" s="2" t="s">
        <f>=HYPERLINK("https://main.knesset.gov.il/APPS/legislation/main/bills/2219564", "הצעת חוק הסדרים במשק המדינה (תיקוני חקיקה להשגת יעדי התקציב) (תיקון - חישוב עליית מחירי הארנונה), התשפ""ד-2024")</f>
        <v>6312</v>
      </c>
      <c r="E2972" t="s">
        <v>6312</v>
      </c>
      <c r="F2972" t="s">
        <v>6313</v>
      </c>
      <c r="G2972" t="s">
        <v>14</v>
      </c>
      <c r="H2972">
             </c>
      <c r="I2972" t="s">
        <v>14</v>
      </c>
      <c r="J2972" t="s">
        <v>242</v>
      </c>
      <c r="K2972" t="s">
        <v>14</v>
      </c>
      <c r="L2972" t="s">
        <v>20</v>
      </c>
      <c r="M2972" t="s">
        <v>6279</v>
      </c>
      <c r="N2972" t="s">
        <v>14</v>
      </c>
    </row>
    <row r="2973" x14ac:dyDescent="0.25">
      <c r="A2973" t="n">
        <v>25</v>
      </c>
      <c r="B2973" t="s">
        <v>14</v>
      </c>
      <c r="C2973" t="s">
        <v>51</v>
      </c>
      <c r="D2973" s="2" t="s">
        <f>=HYPERLINK("https://main.knesset.gov.il/APPS/legislation/main/bills/2218704", "הצעת חוק העונשין (תיקון - עונש מינימום למתעלל בקטין או חסר ישע), התשפ""ד-2024")</f>
        <v>6314</v>
      </c>
      <c r="E2973" t="s">
        <v>6314</v>
      </c>
      <c r="F2973" t="s">
        <v>6315</v>
      </c>
      <c r="G2973" t="s">
        <v>14</v>
      </c>
      <c r="H2973">
             </c>
      <c r="I2973" t="s">
        <v>14</v>
      </c>
      <c r="J2973" t="s">
        <v>242</v>
      </c>
      <c r="K2973" t="s">
        <v>14</v>
      </c>
      <c r="L2973" t="s">
        <v>20</v>
      </c>
      <c r="M2973" t="s">
        <v>6279</v>
      </c>
      <c r="N2973" t="s">
        <v>14</v>
      </c>
    </row>
    <row r="2974" x14ac:dyDescent="0.25">
      <c r="A2974" t="n">
        <v>25</v>
      </c>
      <c r="B2974" t="s">
        <v>14</v>
      </c>
      <c r="C2974" t="s">
        <v>15</v>
      </c>
      <c r="D2974" s="2" t="s">
        <f>=HYPERLINK("https://main.knesset.gov.il/APPS/legislation/main/bills/2219664", "הצעת חוק שירות ביטחון (תיקון מס' 27) (העלאת גיל הפטור – חרבות ברזל – הארכת הוראת שעה), התשפ""ד-2024")</f>
        <v>6316</v>
      </c>
      <c r="E2974" t="s">
        <v>6316</v>
      </c>
      <c r="F2974" t="s">
        <v>14</v>
      </c>
      <c r="G2974" t="s">
        <v>6317</v>
      </c>
      <c r="H2974">
             </c>
      <c r="I2974" t="s">
        <v>14</v>
      </c>
      <c r="J2974" t="s">
        <v>38</v>
      </c>
      <c r="K2974" t="s">
        <v>39</v>
      </c>
      <c r="L2974" t="s">
        <v>20</v>
      </c>
      <c r="M2974" t="s">
        <v>6318</v>
      </c>
      <c r="N2974" t="s">
        <v>14</v>
      </c>
    </row>
    <row r="2975" x14ac:dyDescent="0.25">
      <c r="A2975" t="n">
        <v>25</v>
      </c>
      <c r="B2975" t="s">
        <v>14</v>
      </c>
      <c r="C2975" t="s">
        <v>51</v>
      </c>
      <c r="D2975" s="2" t="s">
        <f>=HYPERLINK("https://main.knesset.gov.il/APPS/legislation/main/bills/2217838", "חוק הרשויות המקומיות (מימון בחירות) (הוראת שעה), התשפ""ד–2024")</f>
        <v>6319</v>
      </c>
      <c r="E2975" t="s">
        <v>6319</v>
      </c>
      <c r="F2975" t="s">
        <v>6320</v>
      </c>
      <c r="G2975" t="s">
        <v>6321</v>
      </c>
      <c r="H2975" t="n">
        <v>3229</v>
      </c>
      <c r="I2975" t="s">
        <v>14</v>
      </c>
      <c r="J2975" t="s">
        <v>18</v>
      </c>
      <c r="K2975" t="s">
        <v>30</v>
      </c>
      <c r="L2975" t="s">
        <v>20</v>
      </c>
      <c r="M2975" t="s">
        <v>6318</v>
      </c>
      <c r="N2975" t="s">
        <v>6322</v>
      </c>
    </row>
    <row r="2976" x14ac:dyDescent="0.25">
      <c r="A2976" t="n">
        <v>25</v>
      </c>
      <c r="B2976" t="s">
        <v>14</v>
      </c>
      <c r="C2976" t="s">
        <v>15</v>
      </c>
      <c r="D2976" s="2" t="s">
        <f>=HYPERLINK("https://main.knesset.gov.il/APPS/legislation/main/bills/2219100", "חוק שירות לאומי-אזרחי (תיקון מס' 6), התשפ""ד-2024")</f>
        <v>6323</v>
      </c>
      <c r="E2976" t="s">
        <v>6323</v>
      </c>
      <c r="F2976" t="s">
        <v>14</v>
      </c>
      <c r="G2976" t="s">
        <v>6324</v>
      </c>
      <c r="H2976" t="n">
        <v>3228</v>
      </c>
      <c r="I2976" t="s">
        <v>14</v>
      </c>
      <c r="J2976" t="s">
        <v>18</v>
      </c>
      <c r="K2976" t="s">
        <v>39</v>
      </c>
      <c r="L2976" t="s">
        <v>20</v>
      </c>
      <c r="M2976" t="s">
        <v>6318</v>
      </c>
      <c r="N2976" t="s">
        <v>6325</v>
      </c>
    </row>
    <row r="2977" x14ac:dyDescent="0.25">
      <c r="A2977" t="n">
        <v>25</v>
      </c>
      <c r="B2977" t="s">
        <v>14</v>
      </c>
      <c r="C2977" t="s">
        <v>15</v>
      </c>
      <c r="D2977" s="2" t="s">
        <f>=HYPERLINK("https://main.knesset.gov.il/APPS/legislation/main/bills/2218799", "חוק לתיקון פקודת סדר הדין הפלילי (מעצר וחיפוש) (מס' 17), התשפ""ד–2024")</f>
        <v>6326</v>
      </c>
      <c r="E2977" t="s">
        <v>6326</v>
      </c>
      <c r="F2977" t="s">
        <v>14</v>
      </c>
      <c r="G2977" t="s">
        <v>6327</v>
      </c>
      <c r="H2977" t="n">
        <v>3227</v>
      </c>
      <c r="I2977" t="s">
        <v>14</v>
      </c>
      <c r="J2977" t="s">
        <v>18</v>
      </c>
      <c r="K2977" t="s">
        <v>19</v>
      </c>
      <c r="L2977" t="s">
        <v>20</v>
      </c>
      <c r="M2977" t="s">
        <v>6318</v>
      </c>
      <c r="N2977" t="s">
        <v>6328</v>
      </c>
    </row>
    <row r="2978" x14ac:dyDescent="0.25">
      <c r="A2978" t="n">
        <v>25</v>
      </c>
      <c r="B2978" t="s">
        <v>14</v>
      </c>
      <c r="C2978" t="s">
        <v>51</v>
      </c>
      <c r="D2978" s="2" t="s">
        <f>=HYPERLINK("https://main.knesset.gov.il/APPS/legislation/main/bills/2216397", "הצעת חוק שירות חובה לכל, התשפ""ד-2024")</f>
        <v>5977</v>
      </c>
      <c r="E2978" t="s">
        <v>5977</v>
      </c>
      <c r="F2978" t="s">
        <v>6329</v>
      </c>
      <c r="G2978" t="s">
        <v>14</v>
      </c>
      <c r="H2978">
             </c>
      <c r="I2978" t="s">
        <v>14</v>
      </c>
      <c r="J2978" t="s">
        <v>193</v>
      </c>
      <c r="K2978" t="s">
        <v>14</v>
      </c>
      <c r="L2978" t="s">
        <v>20</v>
      </c>
      <c r="M2978" t="s">
        <v>6318</v>
      </c>
      <c r="N2978" t="s">
        <v>14</v>
      </c>
    </row>
    <row r="2979" x14ac:dyDescent="0.25">
      <c r="A2979" t="n">
        <v>25</v>
      </c>
      <c r="B2979" t="s">
        <v>14</v>
      </c>
      <c r="C2979" t="s">
        <v>51</v>
      </c>
      <c r="D2979" s="2" t="s">
        <f>=HYPERLINK("https://main.knesset.gov.il/APPS/legislation/main/bills/2212233", "הצעת חוק הגנת הצרכן (תיקון - צמצום בזבוז מזון שתוקפו עומד לפוג ברשתות הקמעונאות הגדולות), התשפ""ד-2023")</f>
        <v>6330</v>
      </c>
      <c r="E2979" t="s">
        <v>6330</v>
      </c>
      <c r="F2979" t="s">
        <v>6331</v>
      </c>
      <c r="G2979" t="s">
        <v>14</v>
      </c>
      <c r="H2979">
             </c>
      <c r="I2979" t="s">
        <v>14</v>
      </c>
      <c r="J2979" t="s">
        <v>202</v>
      </c>
      <c r="K2979" t="s">
        <v>14</v>
      </c>
      <c r="L2979" t="s">
        <v>20</v>
      </c>
      <c r="M2979" t="s">
        <v>6318</v>
      </c>
      <c r="N2979" t="s">
        <v>14</v>
      </c>
    </row>
    <row r="2980" x14ac:dyDescent="0.25">
      <c r="A2980" t="n">
        <v>25</v>
      </c>
      <c r="B2980" t="s">
        <v>14</v>
      </c>
      <c r="C2980" t="s">
        <v>51</v>
      </c>
      <c r="D2980" s="2" t="s">
        <f>=HYPERLINK("https://main.knesset.gov.il/APPS/legislation/main/bills/2206680", "הצעת חוק ביטוח בריאות ממלכתי (תיקון - מתן שירותים במרפאה ביישוב קטן לחברי קופה אחרת), התשפ""ג-2023")</f>
        <v>6332</v>
      </c>
      <c r="E2980" t="s">
        <v>6332</v>
      </c>
      <c r="F2980" t="s">
        <v>6333</v>
      </c>
      <c r="G2980" t="s">
        <v>14</v>
      </c>
      <c r="H2980">
             </c>
      <c r="I2980" t="s">
        <v>14</v>
      </c>
      <c r="J2980" t="s">
        <v>202</v>
      </c>
      <c r="K2980" t="s">
        <v>14</v>
      </c>
      <c r="L2980" t="s">
        <v>20</v>
      </c>
      <c r="M2980" t="s">
        <v>6318</v>
      </c>
      <c r="N2980" t="s">
        <v>14</v>
      </c>
    </row>
    <row r="2981" x14ac:dyDescent="0.25">
      <c r="A2981" t="n">
        <v>25</v>
      </c>
      <c r="B2981" t="s">
        <v>14</v>
      </c>
      <c r="C2981" t="s">
        <v>51</v>
      </c>
      <c r="D2981" s="2" t="s">
        <f>=HYPERLINK("https://main.knesset.gov.il/APPS/legislation/main/bills/2212130", "הצעת חוק גירוש משפחות מחבלים, התשפ""ד-2023")</f>
        <v>6334</v>
      </c>
      <c r="E2981" t="s">
        <v>6334</v>
      </c>
      <c r="F2981" t="s">
        <v>6335</v>
      </c>
      <c r="G2981" t="s">
        <v>14</v>
      </c>
      <c r="H2981">
             </c>
      <c r="I2981" t="s">
        <v>14</v>
      </c>
      <c r="J2981" t="s">
        <v>183</v>
      </c>
      <c r="K2981" t="s">
        <v>42</v>
      </c>
      <c r="L2981" t="s">
        <v>20</v>
      </c>
      <c r="M2981" t="s">
        <v>6336</v>
      </c>
      <c r="N2981" t="s">
        <v>14</v>
      </c>
    </row>
    <row r="2982" x14ac:dyDescent="0.25">
      <c r="A2982" t="n">
        <v>25</v>
      </c>
      <c r="B2982" t="s">
        <v>14</v>
      </c>
      <c r="C2982" t="s">
        <v>51</v>
      </c>
      <c r="D2982" s="2" t="s">
        <f>=HYPERLINK("https://main.knesset.gov.il/APPS/legislation/main/bills/2198970", "הצעת חוק גירוש משפחות מחבלים, התשפ""ג-2023")</f>
        <v>6337</v>
      </c>
      <c r="E2982" t="s">
        <v>6337</v>
      </c>
      <c r="F2982" t="s">
        <v>6338</v>
      </c>
      <c r="G2982" t="s">
        <v>14</v>
      </c>
      <c r="H2982">
             </c>
      <c r="I2982" t="s">
        <v>14</v>
      </c>
      <c r="J2982" t="s">
        <v>183</v>
      </c>
      <c r="K2982" t="s">
        <v>42</v>
      </c>
      <c r="L2982" t="s">
        <v>20</v>
      </c>
      <c r="M2982" t="s">
        <v>6336</v>
      </c>
      <c r="N2982" t="s">
        <v>14</v>
      </c>
    </row>
    <row r="2983" x14ac:dyDescent="0.25">
      <c r="A2983" t="n">
        <v>25</v>
      </c>
      <c r="B2983" t="s">
        <v>14</v>
      </c>
      <c r="C2983" t="s">
        <v>51</v>
      </c>
      <c r="D2983" s="2" t="s">
        <f>=HYPERLINK("https://main.knesset.gov.il/APPS/legislation/main/bills/2197893", "הצעת חוק גירוש משפחות מחבלים, התשפ""ג-2023")</f>
        <v>6337</v>
      </c>
      <c r="E2983" t="s">
        <v>6337</v>
      </c>
      <c r="F2983" t="s">
        <v>6339</v>
      </c>
      <c r="G2983" t="s">
        <v>14</v>
      </c>
      <c r="H2983">
             </c>
      <c r="I2983" t="s">
        <v>14</v>
      </c>
      <c r="J2983" t="s">
        <v>183</v>
      </c>
      <c r="K2983" t="s">
        <v>42</v>
      </c>
      <c r="L2983" t="s">
        <v>20</v>
      </c>
      <c r="M2983" t="s">
        <v>6336</v>
      </c>
      <c r="N2983" t="s">
        <v>14</v>
      </c>
    </row>
    <row r="2984" x14ac:dyDescent="0.25">
      <c r="A2984" t="n">
        <v>25</v>
      </c>
      <c r="B2984" t="s">
        <v>14</v>
      </c>
      <c r="C2984" t="s">
        <v>51</v>
      </c>
      <c r="D2984" s="2" t="s">
        <f>=HYPERLINK("https://main.knesset.gov.il/APPS/legislation/main/bills/2200794", "הצעת חוק הפיקוח על שירותים פיננסיים (קופות גמל) (תיקון - הגדלת הסכום המרבי להפקדה בקופות גמל להשקעה), התשפ""ג-2023")</f>
        <v>6340</v>
      </c>
      <c r="E2984" t="s">
        <v>6340</v>
      </c>
      <c r="F2984" t="s">
        <v>6341</v>
      </c>
      <c r="G2984" t="s">
        <v>14</v>
      </c>
      <c r="H2984">
             </c>
      <c r="I2984" t="s">
        <v>14</v>
      </c>
      <c r="J2984" t="s">
        <v>152</v>
      </c>
      <c r="K2984" t="s">
        <v>24</v>
      </c>
      <c r="L2984" t="s">
        <v>20</v>
      </c>
      <c r="M2984" t="s">
        <v>6336</v>
      </c>
      <c r="N2984" t="s">
        <v>14</v>
      </c>
    </row>
    <row r="2985" x14ac:dyDescent="0.25">
      <c r="A2985" t="n">
        <v>25</v>
      </c>
      <c r="B2985" t="s">
        <v>14</v>
      </c>
      <c r="C2985" t="s">
        <v>51</v>
      </c>
      <c r="D2985" s="2" t="s">
        <f>=HYPERLINK("https://main.knesset.gov.il/APPS/legislation/main/bills/2198805", "הצעת חוק הפיקוח על שירותים פיננסיים (קופות גמל) (תיקון - הגדלת הסכום המרבי להפקדה בקופות גמל להשקעה), התשפ""ג-2023 ")</f>
        <v>6342</v>
      </c>
      <c r="E2985" t="s">
        <v>6342</v>
      </c>
      <c r="F2985" t="s">
        <v>6343</v>
      </c>
      <c r="G2985" t="s">
        <v>14</v>
      </c>
      <c r="H2985">
             </c>
      <c r="I2985" t="s">
        <v>14</v>
      </c>
      <c r="J2985" t="s">
        <v>152</v>
      </c>
      <c r="K2985" t="s">
        <v>24</v>
      </c>
      <c r="L2985" t="s">
        <v>20</v>
      </c>
      <c r="M2985" t="s">
        <v>6336</v>
      </c>
      <c r="N2985" t="s">
        <v>14</v>
      </c>
    </row>
    <row r="2986" x14ac:dyDescent="0.25">
      <c r="A2986" t="n">
        <v>25</v>
      </c>
      <c r="B2986" t="s">
        <v>14</v>
      </c>
      <c r="C2986" t="s">
        <v>51</v>
      </c>
      <c r="D2986" s="2" t="s">
        <f>=HYPERLINK("https://main.knesset.gov.il/APPS/legislation/main/bills/2201186", "הצעת חוק העונשין (תיקון - החמרת ענישה בשל תקיפת צוות רפואי), התשפ""ג-2023")</f>
        <v>6344</v>
      </c>
      <c r="E2986" t="s">
        <v>6344</v>
      </c>
      <c r="F2986" t="s">
        <v>6345</v>
      </c>
      <c r="G2986" t="s">
        <v>14</v>
      </c>
      <c r="H2986">
             </c>
      <c r="I2986" t="s">
        <v>14</v>
      </c>
      <c r="J2986" t="s">
        <v>183</v>
      </c>
      <c r="K2986" t="s">
        <v>27</v>
      </c>
      <c r="L2986" t="s">
        <v>20</v>
      </c>
      <c r="M2986" t="s">
        <v>6336</v>
      </c>
      <c r="N2986" t="s">
        <v>14</v>
      </c>
    </row>
    <row r="2987" x14ac:dyDescent="0.25">
      <c r="A2987" t="n">
        <v>25</v>
      </c>
      <c r="B2987" t="s">
        <v>14</v>
      </c>
      <c r="C2987" t="s">
        <v>51</v>
      </c>
      <c r="D2987" s="2" t="s">
        <f>=HYPERLINK("https://main.knesset.gov.il/APPS/legislation/main/bills/2198964", "הצעת חוק העונשין (תיקון - תקיפת עובד ציבור מטפל), התשפ""ג-2023")</f>
        <v>6346</v>
      </c>
      <c r="E2987" t="s">
        <v>6346</v>
      </c>
      <c r="F2987" t="s">
        <v>6347</v>
      </c>
      <c r="G2987" t="s">
        <v>14</v>
      </c>
      <c r="H2987">
             </c>
      <c r="I2987" t="s">
        <v>14</v>
      </c>
      <c r="J2987" t="s">
        <v>183</v>
      </c>
      <c r="K2987" t="s">
        <v>27</v>
      </c>
      <c r="L2987" t="s">
        <v>20</v>
      </c>
      <c r="M2987" t="s">
        <v>6336</v>
      </c>
      <c r="N2987" t="s">
        <v>14</v>
      </c>
    </row>
    <row r="2988" x14ac:dyDescent="0.25">
      <c r="A2988" t="n">
        <v>25</v>
      </c>
      <c r="B2988" t="s">
        <v>14</v>
      </c>
      <c r="C2988" t="s">
        <v>51</v>
      </c>
      <c r="D2988" s="2" t="s">
        <f>=HYPERLINK("https://main.knesset.gov.il/APPS/legislation/main/bills/2200264", "הצעת חוק העונשין (תיקון - החמרת הענישה על עבירות כלפי אנשי צוות רפואי), התשפ""ג-2023")</f>
        <v>6348</v>
      </c>
      <c r="E2988" t="s">
        <v>6348</v>
      </c>
      <c r="F2988" t="s">
        <v>6349</v>
      </c>
      <c r="G2988" t="s">
        <v>14</v>
      </c>
      <c r="H2988">
             </c>
      <c r="I2988" t="s">
        <v>14</v>
      </c>
      <c r="J2988" t="s">
        <v>183</v>
      </c>
      <c r="K2988" t="s">
        <v>27</v>
      </c>
      <c r="L2988" t="s">
        <v>20</v>
      </c>
      <c r="M2988" t="s">
        <v>6336</v>
      </c>
      <c r="N2988" t="s">
        <v>14</v>
      </c>
    </row>
    <row r="2989" x14ac:dyDescent="0.25">
      <c r="A2989" t="n">
        <v>25</v>
      </c>
      <c r="B2989" t="s">
        <v>14</v>
      </c>
      <c r="C2989" t="s">
        <v>51</v>
      </c>
      <c r="D2989" s="2" t="s">
        <f>=HYPERLINK("https://main.knesset.gov.il/APPS/legislation/main/bills/2196948", "הצעת חוק העונשין (תיקון - החמרת הענישה על עבירות כלפי אנשי צוות רפואי), התשפ""ג-2022")</f>
        <v>6350</v>
      </c>
      <c r="E2989" t="s">
        <v>6350</v>
      </c>
      <c r="F2989" t="s">
        <v>6351</v>
      </c>
      <c r="G2989" t="s">
        <v>14</v>
      </c>
      <c r="H2989">
             </c>
      <c r="I2989" t="s">
        <v>14</v>
      </c>
      <c r="J2989" t="s">
        <v>183</v>
      </c>
      <c r="K2989" t="s">
        <v>27</v>
      </c>
      <c r="L2989" t="s">
        <v>20</v>
      </c>
      <c r="M2989" t="s">
        <v>6336</v>
      </c>
      <c r="N2989" t="s">
        <v>14</v>
      </c>
    </row>
    <row r="2990" x14ac:dyDescent="0.25">
      <c r="A2990" t="n">
        <v>25</v>
      </c>
      <c r="B2990" t="s">
        <v>14</v>
      </c>
      <c r="C2990" t="s">
        <v>51</v>
      </c>
      <c r="D2990" s="2" t="s">
        <f>=HYPERLINK("https://main.knesset.gov.il/APPS/legislation/main/bills/2197162", "הצעת חוק העונשין (תיקון - החמרת ענישה בשל תקיפת צוות רפואי), התשפ""ג-2022")</f>
        <v>6352</v>
      </c>
      <c r="E2990" t="s">
        <v>6352</v>
      </c>
      <c r="F2990" t="s">
        <v>6353</v>
      </c>
      <c r="G2990" t="s">
        <v>14</v>
      </c>
      <c r="H2990">
             </c>
      <c r="I2990" t="s">
        <v>14</v>
      </c>
      <c r="J2990" t="s">
        <v>183</v>
      </c>
      <c r="K2990" t="s">
        <v>27</v>
      </c>
      <c r="L2990" t="s">
        <v>20</v>
      </c>
      <c r="M2990" t="s">
        <v>6336</v>
      </c>
      <c r="N2990" t="s">
        <v>14</v>
      </c>
    </row>
    <row r="2991" x14ac:dyDescent="0.25">
      <c r="A2991" t="n">
        <v>25</v>
      </c>
      <c r="B2991" t="s">
        <v>14</v>
      </c>
      <c r="C2991" t="s">
        <v>51</v>
      </c>
      <c r="D2991" s="2" t="s">
        <f>=HYPERLINK("https://main.knesset.gov.il/APPS/legislation/main/bills/2203239", "הצעת חוק ביטוח בריאות ממלכתי (תיקון - העברת מידע בין קופות החולים בעת מעבר תושב), התשפ""ג-2023")</f>
        <v>6354</v>
      </c>
      <c r="E2991" t="s">
        <v>6354</v>
      </c>
      <c r="F2991" t="s">
        <v>6355</v>
      </c>
      <c r="G2991" t="s">
        <v>14</v>
      </c>
      <c r="H2991">
             </c>
      <c r="I2991" t="s">
        <v>14</v>
      </c>
      <c r="J2991" t="s">
        <v>193</v>
      </c>
      <c r="K2991" t="s">
        <v>14</v>
      </c>
      <c r="L2991" t="s">
        <v>20</v>
      </c>
      <c r="M2991" t="s">
        <v>6336</v>
      </c>
      <c r="N2991" t="s">
        <v>14</v>
      </c>
    </row>
    <row r="2992" x14ac:dyDescent="0.25">
      <c r="A2992" t="n">
        <v>25</v>
      </c>
      <c r="B2992" t="s">
        <v>14</v>
      </c>
      <c r="C2992" t="s">
        <v>51</v>
      </c>
      <c r="D2992" s="2" t="s">
        <f>=HYPERLINK("https://main.knesset.gov.il/APPS/legislation/main/bills/2215060", "הצעת חוק המאבק בטרור (תיקון - הסתה לטרור ברשתות חברתיות), התשפ""ד-2024")</f>
        <v>6356</v>
      </c>
      <c r="E2992" t="s">
        <v>6356</v>
      </c>
      <c r="F2992" t="s">
        <v>6357</v>
      </c>
      <c r="G2992" t="s">
        <v>14</v>
      </c>
      <c r="H2992">
             </c>
      <c r="I2992" t="s">
        <v>14</v>
      </c>
      <c r="J2992" t="s">
        <v>183</v>
      </c>
      <c r="K2992" t="s">
        <v>27</v>
      </c>
      <c r="L2992" t="s">
        <v>20</v>
      </c>
      <c r="M2992" t="s">
        <v>6358</v>
      </c>
      <c r="N2992" t="s">
        <v>14</v>
      </c>
    </row>
    <row r="2993" x14ac:dyDescent="0.25">
      <c r="A2993" t="n">
        <v>25</v>
      </c>
      <c r="B2993" t="s">
        <v>14</v>
      </c>
      <c r="C2993" t="s">
        <v>51</v>
      </c>
      <c r="D2993" s="2" t="s">
        <f>=HYPERLINK("https://main.knesset.gov.il/APPS/legislation/main/bills/2211016", "הצעת חוק המאבק בטרור (תיקון - עבירת הזדהות עם ארגון טרור ופיצוי בגין פרסום דברי הסתה לטרור), התשפ""ד-2023")</f>
        <v>6359</v>
      </c>
      <c r="E2993" t="s">
        <v>6359</v>
      </c>
      <c r="F2993" t="s">
        <v>6360</v>
      </c>
      <c r="G2993" t="s">
        <v>14</v>
      </c>
      <c r="H2993">
             </c>
      <c r="I2993" t="s">
        <v>14</v>
      </c>
      <c r="J2993" t="s">
        <v>183</v>
      </c>
      <c r="K2993" t="s">
        <v>27</v>
      </c>
      <c r="L2993" t="s">
        <v>20</v>
      </c>
      <c r="M2993" t="s">
        <v>6358</v>
      </c>
      <c r="N2993" t="s">
        <v>14</v>
      </c>
    </row>
    <row r="2994" x14ac:dyDescent="0.25">
      <c r="A2994" t="n">
        <v>25</v>
      </c>
      <c r="B2994" t="s">
        <v>14</v>
      </c>
      <c r="C2994" t="s">
        <v>51</v>
      </c>
      <c r="D2994" s="2" t="s">
        <f>=HYPERLINK("https://main.knesset.gov.il/APPS/legislation/main/bills/2200620", "הצעת חוק המאבק בטרור (תיקון - מניעת הזדהות עם ארגון טרור), התשפ""ג-2023")</f>
        <v>6361</v>
      </c>
      <c r="E2994" t="s">
        <v>6361</v>
      </c>
      <c r="F2994" t="s">
        <v>6362</v>
      </c>
      <c r="G2994" t="s">
        <v>14</v>
      </c>
      <c r="H2994">
             </c>
      <c r="I2994" t="s">
        <v>14</v>
      </c>
      <c r="J2994" t="s">
        <v>183</v>
      </c>
      <c r="K2994" t="s">
        <v>27</v>
      </c>
      <c r="L2994" t="s">
        <v>20</v>
      </c>
      <c r="M2994" t="s">
        <v>6358</v>
      </c>
      <c r="N2994" t="s">
        <v>14</v>
      </c>
    </row>
    <row r="2995" x14ac:dyDescent="0.25">
      <c r="A2995" t="n">
        <v>25</v>
      </c>
      <c r="B2995" t="s">
        <v>14</v>
      </c>
      <c r="C2995" t="s">
        <v>51</v>
      </c>
      <c r="D2995" s="2" t="s">
        <f>=HYPERLINK("https://main.knesset.gov.il/APPS/legislation/main/bills/2219403", "הצעת חוק רכבת תחתית (מטרו) (תיקון), התשפ""ד-2024")</f>
        <v>6363</v>
      </c>
      <c r="E2995" t="s">
        <v>6363</v>
      </c>
      <c r="F2995" t="s">
        <v>6364</v>
      </c>
      <c r="G2995" t="s">
        <v>14</v>
      </c>
      <c r="H2995">
             </c>
      <c r="I2995" t="s">
        <v>14</v>
      </c>
      <c r="J2995" t="s">
        <v>242</v>
      </c>
      <c r="K2995" t="s">
        <v>14</v>
      </c>
      <c r="L2995" t="s">
        <v>20</v>
      </c>
      <c r="M2995" t="s">
        <v>6358</v>
      </c>
      <c r="N2995" t="s">
        <v>14</v>
      </c>
    </row>
    <row r="2996" x14ac:dyDescent="0.25">
      <c r="A2996" t="n">
        <v>25</v>
      </c>
      <c r="B2996" t="s">
        <v>14</v>
      </c>
      <c r="C2996" t="s">
        <v>51</v>
      </c>
      <c r="D2996" s="2" t="s">
        <f>=HYPERLINK("https://main.knesset.gov.il/APPS/legislation/main/bills/2218887", "הצעת חוק איסור שימוש בסוסים בפיזור אי-סדר ציבורי (תיקוני חקיקה), התשפ""ד-2024")</f>
        <v>6365</v>
      </c>
      <c r="E2996" t="s">
        <v>6365</v>
      </c>
      <c r="F2996" t="s">
        <v>6366</v>
      </c>
      <c r="G2996" t="s">
        <v>14</v>
      </c>
      <c r="H2996">
             </c>
      <c r="I2996" t="s">
        <v>14</v>
      </c>
      <c r="J2996" t="s">
        <v>242</v>
      </c>
      <c r="K2996" t="s">
        <v>14</v>
      </c>
      <c r="L2996" t="s">
        <v>20</v>
      </c>
      <c r="M2996" t="s">
        <v>6358</v>
      </c>
      <c r="N2996" t="s">
        <v>14</v>
      </c>
    </row>
    <row r="2997" x14ac:dyDescent="0.25">
      <c r="A2997" t="n">
        <v>25</v>
      </c>
      <c r="B2997" t="s">
        <v>14</v>
      </c>
      <c r="C2997" t="s">
        <v>51</v>
      </c>
      <c r="D2997" s="2" t="s">
        <f>=HYPERLINK("https://main.knesset.gov.il/APPS/legislation/main/bills/2218886", "הצעת חוק מתן פטור מתשלום חשבונות עבור שירותים חיוניים לחיילים בודדים, התשפ""ד-2024")</f>
        <v>6367</v>
      </c>
      <c r="E2997" t="s">
        <v>6367</v>
      </c>
      <c r="F2997" t="s">
        <v>6368</v>
      </c>
      <c r="G2997" t="s">
        <v>14</v>
      </c>
      <c r="H2997">
             </c>
      <c r="I2997" t="s">
        <v>14</v>
      </c>
      <c r="J2997" t="s">
        <v>242</v>
      </c>
      <c r="K2997" t="s">
        <v>14</v>
      </c>
      <c r="L2997" t="s">
        <v>20</v>
      </c>
      <c r="M2997" t="s">
        <v>6358</v>
      </c>
      <c r="N2997" t="s">
        <v>14</v>
      </c>
    </row>
    <row r="2998" x14ac:dyDescent="0.25">
      <c r="A2998" t="n">
        <v>25</v>
      </c>
      <c r="B2998" t="s">
        <v>14</v>
      </c>
      <c r="C2998" t="s">
        <v>51</v>
      </c>
      <c r="D2998" s="2" t="s">
        <f>=HYPERLINK("https://main.knesset.gov.il/APPS/legislation/main/bills/2218884", "הצעת חוק קליטת חיילים משוחררים (תיקון - סיוע בשכר דירה לחיילים בודדים), התשפ""ד-2024")</f>
        <v>6369</v>
      </c>
      <c r="E2998" t="s">
        <v>6369</v>
      </c>
      <c r="F2998" t="s">
        <v>6370</v>
      </c>
      <c r="G2998" t="s">
        <v>14</v>
      </c>
      <c r="H2998">
             </c>
      <c r="I2998" t="s">
        <v>14</v>
      </c>
      <c r="J2998" t="s">
        <v>242</v>
      </c>
      <c r="K2998" t="s">
        <v>14</v>
      </c>
      <c r="L2998" t="s">
        <v>20</v>
      </c>
      <c r="M2998" t="s">
        <v>6358</v>
      </c>
      <c r="N2998" t="s">
        <v>14</v>
      </c>
    </row>
    <row r="2999" x14ac:dyDescent="0.25">
      <c r="A2999" t="n">
        <v>25</v>
      </c>
      <c r="B2999" t="s">
        <v>14</v>
      </c>
      <c r="C2999" t="s">
        <v>51</v>
      </c>
      <c r="D2999" s="2" t="s">
        <f>=HYPERLINK("https://main.knesset.gov.il/APPS/legislation/main/bills/2218597", "הצעת חוק חיזוק הפיקוח על עבירות צער בעלי חיים (תיקוני חקיקה), התשפ""ד-2024")</f>
        <v>6371</v>
      </c>
      <c r="E2999" t="s">
        <v>6371</v>
      </c>
      <c r="F2999" t="s">
        <v>6372</v>
      </c>
      <c r="G2999" t="s">
        <v>14</v>
      </c>
      <c r="H2999">
             </c>
      <c r="I2999" t="s">
        <v>14</v>
      </c>
      <c r="J2999" t="s">
        <v>242</v>
      </c>
      <c r="K2999" t="s">
        <v>14</v>
      </c>
      <c r="L2999" t="s">
        <v>20</v>
      </c>
      <c r="M2999" t="s">
        <v>6358</v>
      </c>
      <c r="N2999" t="s">
        <v>14</v>
      </c>
    </row>
    <row r="3000" x14ac:dyDescent="0.25">
      <c r="A3000" t="n">
        <v>25</v>
      </c>
      <c r="B3000" t="s">
        <v>14</v>
      </c>
      <c r="C3000" t="s">
        <v>51</v>
      </c>
      <c r="D3000" s="2" t="s">
        <f>=HYPERLINK("https://main.knesset.gov.il/APPS/legislation/main/bills/2218176", "הצעת חוק הכשרות המשפטית והאפוטרופסות (תיקון - קבלת אישור מראש לביצוע עסקה), התשפ""ד-2024")</f>
        <v>6173</v>
      </c>
      <c r="E3000" t="s">
        <v>6173</v>
      </c>
      <c r="F3000" t="s">
        <v>6373</v>
      </c>
      <c r="G3000" t="s">
        <v>14</v>
      </c>
      <c r="H3000">
             </c>
      <c r="I3000" t="s">
        <v>14</v>
      </c>
      <c r="J3000" t="s">
        <v>242</v>
      </c>
      <c r="K3000" t="s">
        <v>14</v>
      </c>
      <c r="L3000" t="s">
        <v>20</v>
      </c>
      <c r="M3000" t="s">
        <v>6358</v>
      </c>
      <c r="N3000" t="s">
        <v>14</v>
      </c>
    </row>
    <row r="3001" x14ac:dyDescent="0.25">
      <c r="A3001" t="n">
        <v>25</v>
      </c>
      <c r="B3001" t="s">
        <v>14</v>
      </c>
      <c r="C3001" t="s">
        <v>51</v>
      </c>
      <c r="D3001" s="2" t="s">
        <f>=HYPERLINK("https://main.knesset.gov.il/APPS/legislation/main/bills/2211909", "הצעת חוק ייסוד כיתות כוננות ביישובים, התשפ""ד-2024")</f>
        <v>6374</v>
      </c>
      <c r="E3001" t="s">
        <v>6374</v>
      </c>
      <c r="F3001" t="s">
        <v>6375</v>
      </c>
      <c r="G3001" t="s">
        <v>14</v>
      </c>
      <c r="H3001">
             </c>
      <c r="I3001" t="s">
        <v>14</v>
      </c>
      <c r="J3001" t="s">
        <v>242</v>
      </c>
      <c r="K3001" t="s">
        <v>14</v>
      </c>
      <c r="L3001" t="s">
        <v>20</v>
      </c>
      <c r="M3001" t="s">
        <v>6358</v>
      </c>
      <c r="N3001" t="s">
        <v>14</v>
      </c>
    </row>
    <row r="3002" x14ac:dyDescent="0.25">
      <c r="A3002" t="n">
        <v>25</v>
      </c>
      <c r="B3002" t="s">
        <v>14</v>
      </c>
      <c r="C3002" t="s">
        <v>51</v>
      </c>
      <c r="D3002" s="2" t="s">
        <f>=HYPERLINK("https://main.knesset.gov.il/APPS/legislation/main/bills/2219270", "הצעת חוק הסדרת העיסוק במקצועות הבריאות (תיקון - הסדרת העיסוק בניתוח התנהגות), התשפ""ד-2024")</f>
        <v>6376</v>
      </c>
      <c r="E3002" t="s">
        <v>6376</v>
      </c>
      <c r="F3002" t="s">
        <v>6377</v>
      </c>
      <c r="G3002" t="s">
        <v>14</v>
      </c>
      <c r="H3002">
             </c>
      <c r="I3002" t="s">
        <v>14</v>
      </c>
      <c r="J3002" t="s">
        <v>242</v>
      </c>
      <c r="K3002" t="s">
        <v>14</v>
      </c>
      <c r="L3002" t="s">
        <v>20</v>
      </c>
      <c r="M3002" t="s">
        <v>6358</v>
      </c>
      <c r="N3002" t="s">
        <v>14</v>
      </c>
    </row>
    <row r="3003" x14ac:dyDescent="0.25">
      <c r="A3003" t="n">
        <v>25</v>
      </c>
      <c r="B3003" t="s">
        <v>14</v>
      </c>
      <c r="C3003" t="s">
        <v>51</v>
      </c>
      <c r="D3003" s="2" t="s">
        <f>=HYPERLINK("https://main.knesset.gov.il/APPS/legislation/main/bills/2219179", "הצעת חוק פיצוי מפונים בני רשות, התשפ""ד-2024")</f>
        <v>6378</v>
      </c>
      <c r="E3003" t="s">
        <v>6378</v>
      </c>
      <c r="F3003" t="s">
        <v>6379</v>
      </c>
      <c r="G3003" t="s">
        <v>14</v>
      </c>
      <c r="H3003">
             </c>
      <c r="I3003" t="s">
        <v>14</v>
      </c>
      <c r="J3003" t="s">
        <v>242</v>
      </c>
      <c r="K3003" t="s">
        <v>14</v>
      </c>
      <c r="L3003" t="s">
        <v>20</v>
      </c>
      <c r="M3003" t="s">
        <v>6358</v>
      </c>
      <c r="N3003" t="s">
        <v>14</v>
      </c>
    </row>
    <row r="3004" x14ac:dyDescent="0.25">
      <c r="A3004" t="n">
        <v>25</v>
      </c>
      <c r="B3004" t="s">
        <v>14</v>
      </c>
      <c r="C3004" t="s">
        <v>51</v>
      </c>
      <c r="D3004" s="2" t="s">
        <f>=HYPERLINK("https://main.knesset.gov.il/APPS/legislation/main/bills/2219321", "הצעת חוק הרשויות המקומיות (בחירות) (תיקון - קיצור תקופת הצינון למנהל כללי), התשפ""ד-2024")</f>
        <v>6295</v>
      </c>
      <c r="E3004" t="s">
        <v>6295</v>
      </c>
      <c r="F3004" t="s">
        <v>6380</v>
      </c>
      <c r="G3004" t="s">
        <v>14</v>
      </c>
      <c r="H3004">
             </c>
      <c r="I3004" t="s">
        <v>14</v>
      </c>
      <c r="J3004" t="s">
        <v>242</v>
      </c>
      <c r="K3004" t="s">
        <v>14</v>
      </c>
      <c r="L3004" t="s">
        <v>20</v>
      </c>
      <c r="M3004" t="s">
        <v>6358</v>
      </c>
      <c r="N3004" t="s">
        <v>14</v>
      </c>
    </row>
    <row r="3005" x14ac:dyDescent="0.25">
      <c r="A3005" t="n">
        <v>25</v>
      </c>
      <c r="B3005" t="s">
        <v>14</v>
      </c>
      <c r="C3005" t="s">
        <v>51</v>
      </c>
      <c r="D3005" s="2" t="s">
        <f>=HYPERLINK("https://main.knesset.gov.il/APPS/legislation/main/bills/2218678", "הצעת חוק לתיקון פקודת המשטרה (השעיית שוטר בגין תלונה על אלימות), התשפ""ד-2024")</f>
        <v>6381</v>
      </c>
      <c r="E3005" t="s">
        <v>6381</v>
      </c>
      <c r="F3005" t="s">
        <v>6382</v>
      </c>
      <c r="G3005" t="s">
        <v>14</v>
      </c>
      <c r="H3005">
             </c>
      <c r="I3005" t="s">
        <v>14</v>
      </c>
      <c r="J3005" t="s">
        <v>242</v>
      </c>
      <c r="K3005" t="s">
        <v>14</v>
      </c>
      <c r="L3005" t="s">
        <v>20</v>
      </c>
      <c r="M3005" t="s">
        <v>6358</v>
      </c>
      <c r="N3005" t="s">
        <v>14</v>
      </c>
    </row>
    <row r="3006" x14ac:dyDescent="0.25">
      <c r="A3006" t="n">
        <v>25</v>
      </c>
      <c r="B3006" t="s">
        <v>14</v>
      </c>
      <c r="C3006" t="s">
        <v>51</v>
      </c>
      <c r="D3006" s="2" t="s">
        <f>=HYPERLINK("https://main.knesset.gov.il/APPS/legislation/main/bills/2217262", "הצעת חוק המקרקעין (תיקון - מנגנון מכני לפתיחת דלת בשבת), התשפ""ד-2024")</f>
        <v>6383</v>
      </c>
      <c r="E3006" t="s">
        <v>6383</v>
      </c>
      <c r="F3006" t="s">
        <v>6384</v>
      </c>
      <c r="G3006" t="s">
        <v>14</v>
      </c>
      <c r="H3006">
             </c>
      <c r="I3006" t="s">
        <v>14</v>
      </c>
      <c r="J3006" t="s">
        <v>242</v>
      </c>
      <c r="K3006" t="s">
        <v>14</v>
      </c>
      <c r="L3006" t="s">
        <v>20</v>
      </c>
      <c r="M3006" t="s">
        <v>6358</v>
      </c>
      <c r="N3006" t="s">
        <v>14</v>
      </c>
    </row>
    <row r="3007" x14ac:dyDescent="0.25">
      <c r="A3007" t="n">
        <v>25</v>
      </c>
      <c r="B3007" t="s">
        <v>14</v>
      </c>
      <c r="C3007" t="s">
        <v>51</v>
      </c>
      <c r="D3007" s="2" t="s">
        <f>=HYPERLINK("https://main.knesset.gov.il/APPS/legislation/main/bills/2217416", "הצעת חוק זיהוי קורבנות אסון, התשפ""ד-2024")</f>
        <v>6385</v>
      </c>
      <c r="E3007" t="s">
        <v>6385</v>
      </c>
      <c r="F3007" t="s">
        <v>6386</v>
      </c>
      <c r="G3007" t="s">
        <v>14</v>
      </c>
      <c r="H3007">
             </c>
      <c r="I3007" t="s">
        <v>14</v>
      </c>
      <c r="J3007" t="s">
        <v>242</v>
      </c>
      <c r="K3007" t="s">
        <v>14</v>
      </c>
      <c r="L3007" t="s">
        <v>20</v>
      </c>
      <c r="M3007" t="s">
        <v>6358</v>
      </c>
      <c r="N3007" t="s">
        <v>14</v>
      </c>
    </row>
    <row r="3008" x14ac:dyDescent="0.25">
      <c r="A3008" t="n">
        <v>25</v>
      </c>
      <c r="B3008" t="s">
        <v>14</v>
      </c>
      <c r="C3008" t="s">
        <v>51</v>
      </c>
      <c r="D3008" s="2" t="s">
        <f>=HYPERLINK("https://main.knesset.gov.il/APPS/legislation/main/bills/2219210", "הצעת חוק לתיקון פקודת מס הכנסה (הגדלת מספר התושבים ביישוב מוטב), התשפ""ד-2024")</f>
        <v>6387</v>
      </c>
      <c r="E3008" t="s">
        <v>6387</v>
      </c>
      <c r="F3008" t="s">
        <v>6388</v>
      </c>
      <c r="G3008" t="s">
        <v>14</v>
      </c>
      <c r="H3008">
             </c>
      <c r="I3008" t="s">
        <v>14</v>
      </c>
      <c r="J3008" t="s">
        <v>242</v>
      </c>
      <c r="K3008" t="s">
        <v>14</v>
      </c>
      <c r="L3008" t="s">
        <v>20</v>
      </c>
      <c r="M3008" t="s">
        <v>6358</v>
      </c>
      <c r="N3008" t="s">
        <v>14</v>
      </c>
    </row>
    <row r="3009" x14ac:dyDescent="0.25">
      <c r="A3009" t="n">
        <v>25</v>
      </c>
      <c r="B3009" t="s">
        <v>14</v>
      </c>
      <c r="C3009" t="s">
        <v>51</v>
      </c>
      <c r="D3009" s="2" t="s">
        <f>=HYPERLINK("https://main.knesset.gov.il/APPS/legislation/main/bills/2218867", "הצעת חוק משפחות חיילים שנספו במערכה (תגמולים ושיקום) (תיקון - הסדרת הזכויות של יתומים בוגרים), התשפ""ד-2024")</f>
        <v>1625</v>
      </c>
      <c r="E3009" t="s">
        <v>1625</v>
      </c>
      <c r="F3009" t="s">
        <v>6389</v>
      </c>
      <c r="G3009" t="s">
        <v>14</v>
      </c>
      <c r="H3009">
             </c>
      <c r="I3009" t="s">
        <v>14</v>
      </c>
      <c r="J3009" t="s">
        <v>242</v>
      </c>
      <c r="K3009" t="s">
        <v>14</v>
      </c>
      <c r="L3009" t="s">
        <v>20</v>
      </c>
      <c r="M3009" t="s">
        <v>6358</v>
      </c>
      <c r="N3009" t="s">
        <v>14</v>
      </c>
    </row>
    <row r="3010" x14ac:dyDescent="0.25">
      <c r="A3010" t="n">
        <v>25</v>
      </c>
      <c r="B3010" t="s">
        <v>14</v>
      </c>
      <c r="C3010" t="s">
        <v>51</v>
      </c>
      <c r="D3010" s="2" t="s">
        <f>=HYPERLINK("https://main.knesset.gov.il/APPS/legislation/main/bills/2219203", "הצעת חוק המכר (דירות) (תיקון - חובת מסירת תוכניות הדירה לקונה), התשפ""ד-2024")</f>
        <v>6221</v>
      </c>
      <c r="E3010" t="s">
        <v>6221</v>
      </c>
      <c r="F3010" t="s">
        <v>6390</v>
      </c>
      <c r="G3010" t="s">
        <v>14</v>
      </c>
      <c r="H3010">
             </c>
      <c r="I3010" t="s">
        <v>14</v>
      </c>
      <c r="J3010" t="s">
        <v>242</v>
      </c>
      <c r="K3010" t="s">
        <v>14</v>
      </c>
      <c r="L3010" t="s">
        <v>20</v>
      </c>
      <c r="M3010" t="s">
        <v>6358</v>
      </c>
      <c r="N3010" t="s">
        <v>14</v>
      </c>
    </row>
    <row r="3011" x14ac:dyDescent="0.25">
      <c r="A3011" t="n">
        <v>25</v>
      </c>
      <c r="B3011" t="s">
        <v>14</v>
      </c>
      <c r="C3011" t="s">
        <v>51</v>
      </c>
      <c r="D3011" s="2" t="s">
        <f>=HYPERLINK("https://main.knesset.gov.il/APPS/legislation/main/bills/2219188", "הצעת חוק הביטוח הלאומי (תיקון - הגבלת קיזוז גמלת נכות לתשלום מזונות), התשפ״ד-2024")</f>
        <v>6391</v>
      </c>
      <c r="E3011" t="s">
        <v>6391</v>
      </c>
      <c r="F3011" t="s">
        <v>6392</v>
      </c>
      <c r="G3011" t="s">
        <v>14</v>
      </c>
      <c r="H3011">
             </c>
      <c r="I3011" t="s">
        <v>14</v>
      </c>
      <c r="J3011" t="s">
        <v>242</v>
      </c>
      <c r="K3011" t="s">
        <v>14</v>
      </c>
      <c r="L3011" t="s">
        <v>20</v>
      </c>
      <c r="M3011" t="s">
        <v>6358</v>
      </c>
      <c r="N3011" t="s">
        <v>14</v>
      </c>
    </row>
    <row r="3012" x14ac:dyDescent="0.25">
      <c r="A3012" t="n">
        <v>25</v>
      </c>
      <c r="B3012" t="s">
        <v>14</v>
      </c>
      <c r="C3012" t="s">
        <v>51</v>
      </c>
      <c r="D3012" s="2" t="s">
        <f>=HYPERLINK("https://main.knesset.gov.il/APPS/legislation/main/bills/2219272", "הצעת חוק ביטוח בריאות ממלכתי (תיקון - מתן מענה מנומק על ידי קופת החולים), התשפ""ד-2024")</f>
        <v>6051</v>
      </c>
      <c r="E3012" t="s">
        <v>6051</v>
      </c>
      <c r="F3012" t="s">
        <v>6393</v>
      </c>
      <c r="G3012" t="s">
        <v>14</v>
      </c>
      <c r="H3012">
             </c>
      <c r="I3012" t="s">
        <v>14</v>
      </c>
      <c r="J3012" t="s">
        <v>242</v>
      </c>
      <c r="K3012" t="s">
        <v>14</v>
      </c>
      <c r="L3012" t="s">
        <v>20</v>
      </c>
      <c r="M3012" t="s">
        <v>6358</v>
      </c>
      <c r="N3012" t="s">
        <v>14</v>
      </c>
    </row>
    <row r="3013" x14ac:dyDescent="0.25">
      <c r="A3013" t="n">
        <v>25</v>
      </c>
      <c r="B3013" t="s">
        <v>14</v>
      </c>
      <c r="C3013" t="s">
        <v>51</v>
      </c>
      <c r="D3013" s="2" t="s">
        <f>=HYPERLINK("https://main.knesset.gov.il/APPS/legislation/main/bills/2218151", "הצעת חוק הרשויות המקומיות (מנהל יחידת ספורט), התשפ""ד-2024")</f>
        <v>6394</v>
      </c>
      <c r="E3013" t="s">
        <v>6394</v>
      </c>
      <c r="F3013" t="s">
        <v>6395</v>
      </c>
      <c r="G3013" t="s">
        <v>14</v>
      </c>
      <c r="H3013">
             </c>
      <c r="I3013" t="s">
        <v>14</v>
      </c>
      <c r="J3013" t="s">
        <v>242</v>
      </c>
      <c r="K3013" t="s">
        <v>14</v>
      </c>
      <c r="L3013" t="s">
        <v>20</v>
      </c>
      <c r="M3013" t="s">
        <v>6358</v>
      </c>
      <c r="N3013" t="s">
        <v>14</v>
      </c>
    </row>
    <row r="3014" x14ac:dyDescent="0.25">
      <c r="A3014" t="n">
        <v>25</v>
      </c>
      <c r="B3014" t="s">
        <v>14</v>
      </c>
      <c r="C3014" t="s">
        <v>51</v>
      </c>
      <c r="D3014" s="2" t="s">
        <f>=HYPERLINK("https://main.knesset.gov.il/APPS/legislation/main/bills/2219454", "הצעת חוק הקמת ועדת חקירה ממלכתית לאירועי 7 באוקטובר ומלחמת חרבות ברזל, התשפ""ד-2024")</f>
        <v>6067</v>
      </c>
      <c r="E3014" t="s">
        <v>6067</v>
      </c>
      <c r="F3014" t="s">
        <v>6396</v>
      </c>
      <c r="G3014" t="s">
        <v>14</v>
      </c>
      <c r="H3014">
             </c>
      <c r="I3014" t="s">
        <v>14</v>
      </c>
      <c r="J3014" t="s">
        <v>242</v>
      </c>
      <c r="K3014" t="s">
        <v>14</v>
      </c>
      <c r="L3014" t="s">
        <v>20</v>
      </c>
      <c r="M3014" t="s">
        <v>6358</v>
      </c>
      <c r="N3014" t="s">
        <v>14</v>
      </c>
    </row>
    <row r="3015" x14ac:dyDescent="0.25">
      <c r="A3015" t="n">
        <v>25</v>
      </c>
      <c r="B3015" t="s">
        <v>14</v>
      </c>
      <c r="C3015" t="s">
        <v>51</v>
      </c>
      <c r="D3015" s="2" t="s">
        <f>=HYPERLINK("https://main.knesset.gov.il/APPS/legislation/main/bills/2219391", "הצעת חוק הקמת חדרי מיון קדמיים, התשפ""ד-2024 ")</f>
        <v>6397</v>
      </c>
      <c r="E3015" t="s">
        <v>6397</v>
      </c>
      <c r="F3015" t="s">
        <v>6398</v>
      </c>
      <c r="G3015" t="s">
        <v>14</v>
      </c>
      <c r="H3015">
             </c>
      <c r="I3015" t="s">
        <v>14</v>
      </c>
      <c r="J3015" t="s">
        <v>242</v>
      </c>
      <c r="K3015" t="s">
        <v>14</v>
      </c>
      <c r="L3015" t="s">
        <v>20</v>
      </c>
      <c r="M3015" t="s">
        <v>6358</v>
      </c>
      <c r="N3015" t="s">
        <v>14</v>
      </c>
    </row>
    <row r="3016" x14ac:dyDescent="0.25">
      <c r="A3016" t="n">
        <v>25</v>
      </c>
      <c r="B3016" t="s">
        <v>14</v>
      </c>
      <c r="C3016" t="s">
        <v>51</v>
      </c>
      <c r="D3016" s="2" t="s">
        <f>=HYPERLINK("https://main.knesset.gov.il/APPS/legislation/main/bills/2219302", "הצעת חוק הבחירות לכנסת (תיקון - אחוז החסימה), התשפ""ד-2024")</f>
        <v>6399</v>
      </c>
      <c r="E3016" t="s">
        <v>6399</v>
      </c>
      <c r="F3016" t="s">
        <v>6400</v>
      </c>
      <c r="G3016" t="s">
        <v>14</v>
      </c>
      <c r="H3016">
             </c>
      <c r="I3016" t="s">
        <v>14</v>
      </c>
      <c r="J3016" t="s">
        <v>242</v>
      </c>
      <c r="K3016" t="s">
        <v>14</v>
      </c>
      <c r="L3016" t="s">
        <v>20</v>
      </c>
      <c r="M3016" t="s">
        <v>6358</v>
      </c>
      <c r="N3016" t="s">
        <v>14</v>
      </c>
    </row>
    <row r="3017" x14ac:dyDescent="0.25">
      <c r="A3017" t="n">
        <v>25</v>
      </c>
      <c r="B3017" t="s">
        <v>14</v>
      </c>
      <c r="C3017" t="s">
        <v>51</v>
      </c>
      <c r="D3017" s="2" t="s">
        <f>=HYPERLINK("https://main.knesset.gov.il/APPS/legislation/main/bills/2219271", "הצעת חוק הביטוח הלאומי (תיקון - תשלום גמלה לשמירת היריון בעד כל התקופה), התשפ""ד-2024")</f>
        <v>6401</v>
      </c>
      <c r="E3017" t="s">
        <v>6401</v>
      </c>
      <c r="F3017" t="s">
        <v>6402</v>
      </c>
      <c r="G3017" t="s">
        <v>14</v>
      </c>
      <c r="H3017">
             </c>
      <c r="I3017" t="s">
        <v>14</v>
      </c>
      <c r="J3017" t="s">
        <v>242</v>
      </c>
      <c r="K3017" t="s">
        <v>14</v>
      </c>
      <c r="L3017" t="s">
        <v>20</v>
      </c>
      <c r="M3017" t="s">
        <v>6358</v>
      </c>
      <c r="N3017" t="s">
        <v>14</v>
      </c>
    </row>
    <row r="3018" x14ac:dyDescent="0.25">
      <c r="A3018" t="n">
        <v>25</v>
      </c>
      <c r="B3018" t="s">
        <v>14</v>
      </c>
      <c r="C3018" t="s">
        <v>51</v>
      </c>
      <c r="D3018" s="2" t="s">
        <f>=HYPERLINK("https://main.knesset.gov.il/APPS/legislation/main/bills/2197256", "חוק רישוי עסקים (תיקון מס' 38), התשפ""ד-2024")</f>
        <v>6403</v>
      </c>
      <c r="E3018" t="s">
        <v>6403</v>
      </c>
      <c r="F3018" t="s">
        <v>6404</v>
      </c>
      <c r="G3018" t="s">
        <v>6405</v>
      </c>
      <c r="H3018" t="n">
        <v>3226</v>
      </c>
      <c r="I3018" t="s">
        <v>14</v>
      </c>
      <c r="J3018" t="s">
        <v>18</v>
      </c>
      <c r="K3018" t="s">
        <v>30</v>
      </c>
      <c r="L3018" t="s">
        <v>20</v>
      </c>
      <c r="M3018" t="s">
        <v>6406</v>
      </c>
      <c r="N3018" t="s">
        <v>6407</v>
      </c>
    </row>
    <row r="3019" x14ac:dyDescent="0.25">
      <c r="A3019" t="n">
        <v>25</v>
      </c>
      <c r="B3019" t="s">
        <v>14</v>
      </c>
      <c r="C3019" t="s">
        <v>51</v>
      </c>
      <c r="D3019" s="2" t="s">
        <f>=HYPERLINK("https://main.knesset.gov.il/APPS/legislation/main/bills/2215860", "הצעת חוק התקשורת (בזק ושידורים) (תיקון - איסור על מסרוני פלאש), התשפ""ד-2024")</f>
        <v>6408</v>
      </c>
      <c r="E3019" t="s">
        <v>6408</v>
      </c>
      <c r="F3019" t="s">
        <v>6409</v>
      </c>
      <c r="G3019" t="s">
        <v>14</v>
      </c>
      <c r="H3019">
             </c>
      <c r="I3019" t="s">
        <v>14</v>
      </c>
      <c r="J3019" t="s">
        <v>193</v>
      </c>
      <c r="K3019" t="s">
        <v>14</v>
      </c>
      <c r="L3019" t="s">
        <v>20</v>
      </c>
      <c r="M3019" t="s">
        <v>6406</v>
      </c>
      <c r="N3019" t="s">
        <v>14</v>
      </c>
    </row>
    <row r="3020" x14ac:dyDescent="0.25">
      <c r="A3020" t="n">
        <v>25</v>
      </c>
      <c r="B3020" t="s">
        <v>14</v>
      </c>
      <c r="C3020" t="s">
        <v>51</v>
      </c>
      <c r="D3020" s="2" t="s">
        <f>=HYPERLINK("https://main.knesset.gov.il/APPS/legislation/main/bills/2213756", "הצעת חוק לתיקון פקודת מס הכנסה (הוראת שעה - חרבות ברזל) (נקודות זיכוי בעד בן זוג במילואים), התשפ""ד-2024")</f>
        <v>5999</v>
      </c>
      <c r="E3020" t="s">
        <v>5999</v>
      </c>
      <c r="F3020" t="s">
        <v>6410</v>
      </c>
      <c r="G3020" t="s">
        <v>14</v>
      </c>
      <c r="H3020">
             </c>
      <c r="I3020" t="s">
        <v>14</v>
      </c>
      <c r="J3020" t="s">
        <v>193</v>
      </c>
      <c r="K3020" t="s">
        <v>14</v>
      </c>
      <c r="L3020" t="s">
        <v>20</v>
      </c>
      <c r="M3020" t="s">
        <v>6406</v>
      </c>
      <c r="N3020" t="s">
        <v>14</v>
      </c>
    </row>
    <row r="3021" x14ac:dyDescent="0.25">
      <c r="A3021" t="n">
        <v>25</v>
      </c>
      <c r="B3021" t="s">
        <v>14</v>
      </c>
      <c r="C3021" t="s">
        <v>51</v>
      </c>
      <c r="D3021" s="2" t="s">
        <f>=HYPERLINK("https://main.knesset.gov.il/APPS/legislation/main/bills/2213482", "הצעת חוק הכרה בחטוף כנכה או כחלל צה""ל (תיקוני חקיקה), התשפ""ד-2024")</f>
        <v>6411</v>
      </c>
      <c r="E3021" t="s">
        <v>6411</v>
      </c>
      <c r="F3021" t="s">
        <v>6412</v>
      </c>
      <c r="G3021" t="s">
        <v>14</v>
      </c>
      <c r="H3021">
             </c>
      <c r="I3021" t="s">
        <v>14</v>
      </c>
      <c r="J3021" t="s">
        <v>202</v>
      </c>
      <c r="K3021" t="s">
        <v>14</v>
      </c>
      <c r="L3021" t="s">
        <v>20</v>
      </c>
      <c r="M3021" t="s">
        <v>6406</v>
      </c>
      <c r="N3021" t="s">
        <v>14</v>
      </c>
    </row>
    <row r="3022" x14ac:dyDescent="0.25">
      <c r="A3022" t="n">
        <v>25</v>
      </c>
      <c r="B3022" t="s">
        <v>14</v>
      </c>
      <c r="C3022" t="s">
        <v>51</v>
      </c>
      <c r="D3022" s="2" t="s">
        <f>=HYPERLINK("https://main.knesset.gov.il/APPS/legislation/main/bills/2202785", "הצעת חוק חובת המכרזים (תיקון - משרד החינוך), התשפ""ג-2023")</f>
        <v>6413</v>
      </c>
      <c r="E3022" t="s">
        <v>6413</v>
      </c>
      <c r="F3022" t="s">
        <v>6414</v>
      </c>
      <c r="G3022" t="s">
        <v>14</v>
      </c>
      <c r="H3022">
             </c>
      <c r="I3022" t="s">
        <v>14</v>
      </c>
      <c r="J3022" t="s">
        <v>152</v>
      </c>
      <c r="K3022" t="s">
        <v>27</v>
      </c>
      <c r="L3022" t="s">
        <v>20</v>
      </c>
      <c r="M3022" t="s">
        <v>6406</v>
      </c>
      <c r="N3022" t="s">
        <v>14</v>
      </c>
    </row>
    <row r="3023" x14ac:dyDescent="0.25">
      <c r="A3023" t="n">
        <v>25</v>
      </c>
      <c r="B3023" t="s">
        <v>14</v>
      </c>
      <c r="C3023" t="s">
        <v>51</v>
      </c>
      <c r="D3023" s="2" t="s">
        <f>=HYPERLINK("https://main.knesset.gov.il/APPS/legislation/main/bills/2203569", "הצעת חוק הפיקוח על מעונות יום לפעוטות (תיקון - העסקת עובד זר בתחזוקה וניקיון במעון היום), התשפ""ג-2023")</f>
        <v>6415</v>
      </c>
      <c r="E3023" t="s">
        <v>6415</v>
      </c>
      <c r="F3023" t="s">
        <v>6416</v>
      </c>
      <c r="G3023" t="s">
        <v>14</v>
      </c>
      <c r="H3023">
             </c>
      <c r="I3023" t="s">
        <v>14</v>
      </c>
      <c r="J3023" t="s">
        <v>202</v>
      </c>
      <c r="K3023" t="s">
        <v>14</v>
      </c>
      <c r="L3023" t="s">
        <v>20</v>
      </c>
      <c r="M3023" t="s">
        <v>6406</v>
      </c>
      <c r="N3023" t="s">
        <v>14</v>
      </c>
    </row>
    <row r="3024" x14ac:dyDescent="0.25">
      <c r="A3024" t="n">
        <v>25</v>
      </c>
      <c r="B3024" t="s">
        <v>14</v>
      </c>
      <c r="C3024" t="s">
        <v>51</v>
      </c>
      <c r="D3024" s="2" t="s">
        <f>=HYPERLINK("https://main.knesset.gov.il/APPS/legislation/main/bills/2205831", "הצעת חוק שירותי הדת היהודיים (בחירות רבני עיר, רבנים אזוריים, רבני יישוב ורבני שכונות), התשפ""ג-2023")</f>
        <v>6417</v>
      </c>
      <c r="E3024" t="s">
        <v>6417</v>
      </c>
      <c r="F3024" t="s">
        <v>6418</v>
      </c>
      <c r="G3024" t="s">
        <v>14</v>
      </c>
      <c r="H3024">
             </c>
      <c r="I3024" t="s">
        <v>14</v>
      </c>
      <c r="J3024" t="s">
        <v>152</v>
      </c>
      <c r="K3024" t="s">
        <v>27</v>
      </c>
      <c r="L3024" t="s">
        <v>20</v>
      </c>
      <c r="M3024" t="s">
        <v>6419</v>
      </c>
      <c r="N3024" t="s">
        <v>14</v>
      </c>
    </row>
    <row r="3025" x14ac:dyDescent="0.25">
      <c r="A3025" t="n">
        <v>25</v>
      </c>
      <c r="B3025" t="s">
        <v>14</v>
      </c>
      <c r="C3025" t="s">
        <v>51</v>
      </c>
      <c r="D3025" s="2" t="s">
        <f>=HYPERLINK("https://main.knesset.gov.il/APPS/legislation/main/bills/2209494", "הצעת חוק לתיקון פקודת מס הכנסה (העברת מידע לבקשת הנישום), התשפ""ד-2024")</f>
        <v>6420</v>
      </c>
      <c r="E3025" t="s">
        <v>6420</v>
      </c>
      <c r="F3025" t="s">
        <v>6421</v>
      </c>
      <c r="G3025" t="s">
        <v>14</v>
      </c>
      <c r="H3025">
             </c>
      <c r="I3025" t="s">
        <v>14</v>
      </c>
      <c r="J3025" t="s">
        <v>152</v>
      </c>
      <c r="K3025" t="s">
        <v>24</v>
      </c>
      <c r="L3025" t="s">
        <v>20</v>
      </c>
      <c r="M3025" t="s">
        <v>6419</v>
      </c>
      <c r="N3025" t="s">
        <v>14</v>
      </c>
    </row>
    <row r="3026" x14ac:dyDescent="0.25">
      <c r="A3026" t="n">
        <v>25</v>
      </c>
      <c r="B3026" t="s">
        <v>14</v>
      </c>
      <c r="C3026" t="s">
        <v>51</v>
      </c>
      <c r="D3026" s="2" t="s">
        <f>=HYPERLINK("https://main.knesset.gov.il/APPS/legislation/main/bills/2218183", "הצעת חוק הרשויות המקומיות (מימון בחירות) (הוראת שעה) (הארכת מועד לבקשת קבלת מימון), התשפ""ד-2024")</f>
        <v>6422</v>
      </c>
      <c r="E3026" t="s">
        <v>6422</v>
      </c>
      <c r="F3026" t="s">
        <v>6423</v>
      </c>
      <c r="G3026" t="s">
        <v>14</v>
      </c>
      <c r="H3026">
             </c>
      <c r="I3026" t="s">
        <v>14</v>
      </c>
      <c r="J3026" t="s">
        <v>183</v>
      </c>
      <c r="K3026" t="s">
        <v>30</v>
      </c>
      <c r="L3026" t="s">
        <v>20</v>
      </c>
      <c r="M3026" t="s">
        <v>6419</v>
      </c>
      <c r="N3026" t="s">
        <v>14</v>
      </c>
    </row>
    <row r="3027" x14ac:dyDescent="0.25">
      <c r="A3027" t="n">
        <v>25</v>
      </c>
      <c r="B3027" t="s">
        <v>14</v>
      </c>
      <c r="C3027" t="s">
        <v>51</v>
      </c>
      <c r="D3027" s="2" t="s">
        <f>=HYPERLINK("https://main.knesset.gov.il/APPS/legislation/main/bills/2218127", "הצעת חוק הרשויות המקומיות (מימון בחירות) (הוראת שעה) (הארכת מועד לבקשת קבלת מימון), התשפ""ד-2024")</f>
        <v>6422</v>
      </c>
      <c r="E3027" t="s">
        <v>6422</v>
      </c>
      <c r="F3027" t="s">
        <v>6424</v>
      </c>
      <c r="G3027" t="s">
        <v>14</v>
      </c>
      <c r="H3027">
             </c>
      <c r="I3027" t="s">
        <v>14</v>
      </c>
      <c r="J3027" t="s">
        <v>183</v>
      </c>
      <c r="K3027" t="s">
        <v>30</v>
      </c>
      <c r="L3027" t="s">
        <v>20</v>
      </c>
      <c r="M3027" t="s">
        <v>6419</v>
      </c>
      <c r="N3027" t="s">
        <v>14</v>
      </c>
    </row>
    <row r="3028" x14ac:dyDescent="0.25">
      <c r="A3028" t="n">
        <v>25</v>
      </c>
      <c r="B3028" t="s">
        <v>14</v>
      </c>
      <c r="C3028" t="s">
        <v>15</v>
      </c>
      <c r="D3028" s="2" t="s">
        <f>=HYPERLINK("https://main.knesset.gov.il/APPS/legislation/main/bills/2219130", "חוק לתיקון פקודת בתי הסוהר (תיקון מס' 66 – הוראת שעה – חרבות ברזל) (חופשה מיוחדת לאסיר) (תיקון), התשפ""ד–2024")</f>
        <v>6425</v>
      </c>
      <c r="E3028" t="s">
        <v>6425</v>
      </c>
      <c r="F3028" t="s">
        <v>14</v>
      </c>
      <c r="G3028" t="s">
        <v>6426</v>
      </c>
      <c r="H3028" t="n">
        <v>3225</v>
      </c>
      <c r="I3028" t="s">
        <v>14</v>
      </c>
      <c r="J3028" t="s">
        <v>18</v>
      </c>
      <c r="K3028" t="s">
        <v>19</v>
      </c>
      <c r="L3028" t="s">
        <v>20</v>
      </c>
      <c r="M3028" t="s">
        <v>6419</v>
      </c>
      <c r="N3028" t="s">
        <v>6427</v>
      </c>
    </row>
    <row r="3029" x14ac:dyDescent="0.25">
      <c r="A3029" t="n">
        <v>25</v>
      </c>
      <c r="B3029" t="s">
        <v>14</v>
      </c>
      <c r="C3029" t="s">
        <v>51</v>
      </c>
      <c r="D3029" s="2" t="s">
        <f>=HYPERLINK("https://main.knesset.gov.il/APPS/legislation/main/bills/2213938", "חוק זכויות נפגעי עבירה (תיקון מס' 18), התשפ""ד–2024")</f>
        <v>6428</v>
      </c>
      <c r="E3029" t="s">
        <v>6428</v>
      </c>
      <c r="F3029" t="s">
        <v>6429</v>
      </c>
      <c r="G3029" t="s">
        <v>6430</v>
      </c>
      <c r="H3029" t="n">
        <v>3224</v>
      </c>
      <c r="I3029" t="s">
        <v>14</v>
      </c>
      <c r="J3029" t="s">
        <v>18</v>
      </c>
      <c r="K3029" t="s">
        <v>27</v>
      </c>
      <c r="L3029" t="s">
        <v>20</v>
      </c>
      <c r="M3029" t="s">
        <v>6419</v>
      </c>
      <c r="N3029" t="s">
        <v>6431</v>
      </c>
    </row>
    <row r="3030" x14ac:dyDescent="0.25">
      <c r="A3030" t="n">
        <v>25</v>
      </c>
      <c r="B3030" t="s">
        <v>14</v>
      </c>
      <c r="C3030" t="s">
        <v>15</v>
      </c>
      <c r="D3030" s="2" t="s">
        <f>=HYPERLINK("https://main.knesset.gov.il/APPS/legislation/main/bills/2218801", "חוק לתיקון ולהארכת תוקפן של תקנות שעת חירום (חרבות ברזל) (הארכת מעצר לחשוד בעבירת ביטחון) (תיקון מס' 2), התשפ""ד-2024")</f>
        <v>6432</v>
      </c>
      <c r="E3030" t="s">
        <v>6432</v>
      </c>
      <c r="F3030" t="s">
        <v>14</v>
      </c>
      <c r="G3030" t="s">
        <v>6433</v>
      </c>
      <c r="H3030" t="n">
        <v>3223</v>
      </c>
      <c r="I3030" t="s">
        <v>14</v>
      </c>
      <c r="J3030" t="s">
        <v>18</v>
      </c>
      <c r="K3030" t="s">
        <v>27</v>
      </c>
      <c r="L3030" t="s">
        <v>20</v>
      </c>
      <c r="M3030" t="s">
        <v>6434</v>
      </c>
      <c r="N3030" t="s">
        <v>6435</v>
      </c>
    </row>
    <row r="3031" x14ac:dyDescent="0.25">
      <c r="A3031" t="n">
        <v>25</v>
      </c>
      <c r="B3031" t="s">
        <v>14</v>
      </c>
      <c r="C3031" t="s">
        <v>15</v>
      </c>
      <c r="D3031" s="2" t="s">
        <f>=HYPERLINK("https://main.knesset.gov.il/APPS/legislation/main/bills/2218800", "חוק לתיקון ולהארכת תוקפן של תקנות שעת חירום (חרבות ברזל) (פגישה עם עורך דין של עצור בעבירת ביטחון) (תיקון מס' 2), התשפ""ד-2024")</f>
        <v>6436</v>
      </c>
      <c r="E3031" t="s">
        <v>6436</v>
      </c>
      <c r="F3031" t="s">
        <v>14</v>
      </c>
      <c r="G3031" t="s">
        <v>6437</v>
      </c>
      <c r="H3031" t="n">
        <v>3222</v>
      </c>
      <c r="I3031" t="s">
        <v>14</v>
      </c>
      <c r="J3031" t="s">
        <v>18</v>
      </c>
      <c r="K3031" t="s">
        <v>27</v>
      </c>
      <c r="L3031" t="s">
        <v>20</v>
      </c>
      <c r="M3031" t="s">
        <v>6434</v>
      </c>
      <c r="N3031" t="s">
        <v>6438</v>
      </c>
    </row>
    <row r="3032" x14ac:dyDescent="0.25">
      <c r="A3032" t="n">
        <v>25</v>
      </c>
      <c r="B3032" t="s">
        <v>14</v>
      </c>
      <c r="C3032" t="s">
        <v>51</v>
      </c>
      <c r="D3032" s="2" t="s">
        <f>=HYPERLINK("https://main.knesset.gov.il/APPS/legislation/main/bills/2219268", "הצעת חוק העונשין (תיקון - ייצוא חומר הנחשב לסם מסוכן בחוץ לארץ), התשפ''ד-2024")</f>
        <v>6439</v>
      </c>
      <c r="E3032" t="s">
        <v>6439</v>
      </c>
      <c r="F3032" t="s">
        <v>6440</v>
      </c>
      <c r="G3032" t="s">
        <v>14</v>
      </c>
      <c r="H3032">
             </c>
      <c r="I3032" t="s">
        <v>14</v>
      </c>
      <c r="J3032" t="s">
        <v>242</v>
      </c>
      <c r="K3032" t="s">
        <v>14</v>
      </c>
      <c r="L3032" t="s">
        <v>20</v>
      </c>
      <c r="M3032" t="s">
        <v>6434</v>
      </c>
      <c r="N3032" t="s">
        <v>14</v>
      </c>
    </row>
    <row r="3033" x14ac:dyDescent="0.25">
      <c r="A3033" t="n">
        <v>25</v>
      </c>
      <c r="B3033" t="s">
        <v>14</v>
      </c>
      <c r="C3033" t="s">
        <v>51</v>
      </c>
      <c r="D3033" s="2" t="s">
        <f>=HYPERLINK("https://main.knesset.gov.il/APPS/legislation/main/bills/2218968", "הצעת חוק הסדרים במשק המדינה (תיקוני חקיקה להשגת יעדי התקציב) (תיקון - חישוב עליית מחירי הארנונה), התשפ""ד-2024")</f>
        <v>6312</v>
      </c>
      <c r="E3033" t="s">
        <v>6312</v>
      </c>
      <c r="F3033" t="s">
        <v>6441</v>
      </c>
      <c r="G3033" t="s">
        <v>14</v>
      </c>
      <c r="H3033">
             </c>
      <c r="I3033" t="s">
        <v>14</v>
      </c>
      <c r="J3033" t="s">
        <v>202</v>
      </c>
      <c r="K3033" t="s">
        <v>14</v>
      </c>
      <c r="L3033" t="s">
        <v>20</v>
      </c>
      <c r="M3033" t="s">
        <v>6434</v>
      </c>
      <c r="N3033" t="s">
        <v>14</v>
      </c>
    </row>
    <row r="3034" x14ac:dyDescent="0.25">
      <c r="A3034" t="n">
        <v>25</v>
      </c>
      <c r="B3034" t="s">
        <v>14</v>
      </c>
      <c r="C3034" t="s">
        <v>51</v>
      </c>
      <c r="D3034" s="2" t="s">
        <f>=HYPERLINK("https://main.knesset.gov.il/APPS/legislation/main/bills/2216783", "הצעת חוק עיקול מידתי של נכסים המוחזקים בידי צד שלישי (תיקוני חקיקה), התשפ""ד-2024")</f>
        <v>6305</v>
      </c>
      <c r="E3034" t="s">
        <v>6305</v>
      </c>
      <c r="F3034" t="s">
        <v>6442</v>
      </c>
      <c r="G3034" t="s">
        <v>14</v>
      </c>
      <c r="H3034">
             </c>
      <c r="I3034" t="s">
        <v>14</v>
      </c>
      <c r="J3034" t="s">
        <v>202</v>
      </c>
      <c r="K3034" t="s">
        <v>14</v>
      </c>
      <c r="L3034" t="s">
        <v>20</v>
      </c>
      <c r="M3034" t="s">
        <v>6434</v>
      </c>
      <c r="N3034" t="s">
        <v>14</v>
      </c>
    </row>
    <row r="3035" x14ac:dyDescent="0.25">
      <c r="A3035" t="n">
        <v>25</v>
      </c>
      <c r="B3035" t="s">
        <v>14</v>
      </c>
      <c r="C3035" t="s">
        <v>51</v>
      </c>
      <c r="D3035" s="2" t="s">
        <f>=HYPERLINK("https://main.knesset.gov.il/APPS/legislation/main/bills/2215656", "הצעת חוק התחדשות עירונית (הסכמים לארגון עסקאות) (תיקון - אסדרת עבודת עורך דין), התשפ""ד-2024")</f>
        <v>6443</v>
      </c>
      <c r="E3035" t="s">
        <v>6443</v>
      </c>
      <c r="F3035" t="s">
        <v>6444</v>
      </c>
      <c r="G3035" t="s">
        <v>14</v>
      </c>
      <c r="H3035">
             </c>
      <c r="I3035" t="s">
        <v>14</v>
      </c>
      <c r="J3035" t="s">
        <v>202</v>
      </c>
      <c r="K3035" t="s">
        <v>14</v>
      </c>
      <c r="L3035" t="s">
        <v>20</v>
      </c>
      <c r="M3035" t="s">
        <v>6434</v>
      </c>
      <c r="N3035" t="s">
        <v>14</v>
      </c>
    </row>
    <row r="3036" x14ac:dyDescent="0.25">
      <c r="A3036" t="n">
        <v>25</v>
      </c>
      <c r="B3036" t="s">
        <v>14</v>
      </c>
      <c r="C3036" t="s">
        <v>51</v>
      </c>
      <c r="D3036" s="2" t="s">
        <f>=HYPERLINK("https://main.knesset.gov.il/APPS/legislation/main/bills/2218690", "הצעת חוק הלוואות למיגון דירות, התשפ""ד-2024")</f>
        <v>6445</v>
      </c>
      <c r="E3036" t="s">
        <v>6445</v>
      </c>
      <c r="F3036" t="s">
        <v>6446</v>
      </c>
      <c r="G3036" t="s">
        <v>14</v>
      </c>
      <c r="H3036">
             </c>
      <c r="I3036" t="s">
        <v>14</v>
      </c>
      <c r="J3036" t="s">
        <v>242</v>
      </c>
      <c r="K3036" t="s">
        <v>14</v>
      </c>
      <c r="L3036" t="s">
        <v>20</v>
      </c>
      <c r="M3036" t="s">
        <v>6434</v>
      </c>
      <c r="N3036" t="s">
        <v>14</v>
      </c>
    </row>
    <row r="3037" x14ac:dyDescent="0.25">
      <c r="A3037" t="n">
        <v>25</v>
      </c>
      <c r="B3037" t="s">
        <v>14</v>
      </c>
      <c r="C3037" t="s">
        <v>51</v>
      </c>
      <c r="D3037" s="2" t="s">
        <f>=HYPERLINK("https://main.knesset.gov.il/APPS/legislation/main/bills/2217771", "הצעת חוק התפזרות הכנסת העשרים וחמש, התשפ""ד-2024")</f>
        <v>3209</v>
      </c>
      <c r="E3037" t="s">
        <v>3209</v>
      </c>
      <c r="F3037" t="s">
        <v>6447</v>
      </c>
      <c r="G3037" t="s">
        <v>14</v>
      </c>
      <c r="H3037">
             </c>
      <c r="I3037" t="s">
        <v>14</v>
      </c>
      <c r="J3037" t="s">
        <v>242</v>
      </c>
      <c r="K3037" t="s">
        <v>14</v>
      </c>
      <c r="L3037" t="s">
        <v>20</v>
      </c>
      <c r="M3037" t="s">
        <v>6434</v>
      </c>
      <c r="N3037" t="s">
        <v>14</v>
      </c>
    </row>
    <row r="3038" x14ac:dyDescent="0.25">
      <c r="A3038" t="n">
        <v>25</v>
      </c>
      <c r="B3038" t="s">
        <v>14</v>
      </c>
      <c r="C3038" t="s">
        <v>51</v>
      </c>
      <c r="D3038" s="2" t="s">
        <f>=HYPERLINK("https://main.knesset.gov.il/APPS/legislation/main/bills/2218943", "הצעת חוק אסדרת שוק הקנאביס לצריכה עצמית, התשפ""ד-2024")</f>
        <v>6448</v>
      </c>
      <c r="E3038" t="s">
        <v>6448</v>
      </c>
      <c r="F3038" t="s">
        <v>6449</v>
      </c>
      <c r="G3038" t="s">
        <v>14</v>
      </c>
      <c r="H3038">
             </c>
      <c r="I3038" t="s">
        <v>14</v>
      </c>
      <c r="J3038" t="s">
        <v>242</v>
      </c>
      <c r="K3038" t="s">
        <v>14</v>
      </c>
      <c r="L3038" t="s">
        <v>20</v>
      </c>
      <c r="M3038" t="s">
        <v>6434</v>
      </c>
      <c r="N3038" t="s">
        <v>14</v>
      </c>
    </row>
    <row r="3039" x14ac:dyDescent="0.25">
      <c r="A3039" t="n">
        <v>25</v>
      </c>
      <c r="B3039" t="s">
        <v>14</v>
      </c>
      <c r="C3039" t="s">
        <v>51</v>
      </c>
      <c r="D3039" s="2" t="s">
        <f>=HYPERLINK("https://main.knesset.gov.il/APPS/legislation/main/bills/2217241", "הצעת חוק פיקוח על מחירי מצרכים ושירותים (תיקון - פיקוח על מחירי ענף ביטוחי הרכב) (הוראת שעה), התשפ""ד-2024")</f>
        <v>6450</v>
      </c>
      <c r="E3039" t="s">
        <v>6450</v>
      </c>
      <c r="F3039" t="s">
        <v>6451</v>
      </c>
      <c r="G3039" t="s">
        <v>14</v>
      </c>
      <c r="H3039">
             </c>
      <c r="I3039" t="s">
        <v>14</v>
      </c>
      <c r="J3039" t="s">
        <v>242</v>
      </c>
      <c r="K3039" t="s">
        <v>14</v>
      </c>
      <c r="L3039" t="s">
        <v>20</v>
      </c>
      <c r="M3039" t="s">
        <v>6434</v>
      </c>
      <c r="N3039" t="s">
        <v>14</v>
      </c>
    </row>
    <row r="3040" x14ac:dyDescent="0.25">
      <c r="A3040" t="n">
        <v>25</v>
      </c>
      <c r="B3040" t="s">
        <v>14</v>
      </c>
      <c r="C3040" t="s">
        <v>51</v>
      </c>
      <c r="D3040" s="2" t="s">
        <f>=HYPERLINK("https://main.knesset.gov.il/APPS/legislation/main/bills/2210774", "הצעת חוק כביש אגרה (כביש ארצי לישראל) (תיקון - גביית קנסות ופיגורי תשלומים דרך המרכז לגביית קנסות), התשפ""ד-2024")</f>
        <v>6309</v>
      </c>
      <c r="E3040" t="s">
        <v>6309</v>
      </c>
      <c r="F3040" t="s">
        <v>6452</v>
      </c>
      <c r="G3040" t="s">
        <v>14</v>
      </c>
      <c r="H3040">
             </c>
      <c r="I3040" t="s">
        <v>14</v>
      </c>
      <c r="J3040" t="s">
        <v>242</v>
      </c>
      <c r="K3040" t="s">
        <v>14</v>
      </c>
      <c r="L3040" t="s">
        <v>20</v>
      </c>
      <c r="M3040" t="s">
        <v>6434</v>
      </c>
      <c r="N3040" t="s">
        <v>14</v>
      </c>
    </row>
    <row r="3041" x14ac:dyDescent="0.25">
      <c r="A3041" t="n">
        <v>25</v>
      </c>
      <c r="B3041" t="s">
        <v>14</v>
      </c>
      <c r="C3041" t="s">
        <v>15</v>
      </c>
      <c r="D3041" s="2" t="s">
        <f>=HYPERLINK("https://main.knesset.gov.il/APPS/legislation/main/bills/2219099", "הצעת חוק לתיקון פקודת השותפויות (מס' 6), התשפ""ד-2024")</f>
        <v>6453</v>
      </c>
      <c r="E3041" t="s">
        <v>6453</v>
      </c>
      <c r="F3041" t="s">
        <v>14</v>
      </c>
      <c r="G3041" t="s">
        <v>6454</v>
      </c>
      <c r="H3041">
             </c>
      <c r="I3041" t="s">
        <v>14</v>
      </c>
      <c r="J3041" t="s">
        <v>38</v>
      </c>
      <c r="K3041" t="s">
        <v>27</v>
      </c>
      <c r="L3041" t="s">
        <v>20</v>
      </c>
      <c r="M3041" t="s">
        <v>6434</v>
      </c>
      <c r="N3041" t="s">
        <v>14</v>
      </c>
    </row>
    <row r="3042" x14ac:dyDescent="0.25">
      <c r="A3042" t="n">
        <v>25</v>
      </c>
      <c r="B3042" t="s">
        <v>14</v>
      </c>
      <c r="C3042" t="s">
        <v>51</v>
      </c>
      <c r="D3042" s="2" t="s">
        <f>=HYPERLINK("https://main.knesset.gov.il/APPS/legislation/main/bills/2215984", "הצעת חוק הגנה על הציבור מפני ארגוני פשיעה, התשפ""ד-2024")</f>
        <v>6455</v>
      </c>
      <c r="E3042" t="s">
        <v>6455</v>
      </c>
      <c r="F3042" t="s">
        <v>6456</v>
      </c>
      <c r="G3042" t="s">
        <v>14</v>
      </c>
      <c r="H3042">
             </c>
      <c r="I3042" t="s">
        <v>14</v>
      </c>
      <c r="J3042" t="s">
        <v>183</v>
      </c>
      <c r="K3042" t="s">
        <v>19</v>
      </c>
      <c r="L3042" t="s">
        <v>20</v>
      </c>
      <c r="M3042" t="s">
        <v>6457</v>
      </c>
      <c r="N3042" t="s">
        <v>14</v>
      </c>
    </row>
    <row r="3043" x14ac:dyDescent="0.25">
      <c r="A3043" t="n">
        <v>25</v>
      </c>
      <c r="B3043" t="s">
        <v>14</v>
      </c>
      <c r="C3043" t="s">
        <v>51</v>
      </c>
      <c r="D3043" s="2" t="s">
        <f>=HYPERLINK("https://main.knesset.gov.il/APPS/legislation/main/bills/2218410", "הצעת חוק שירות ביטחון (תיקון - פטור זקן לחיילים), התשפ""ד-2024")</f>
        <v>6458</v>
      </c>
      <c r="E3043" t="s">
        <v>6458</v>
      </c>
      <c r="F3043" t="s">
        <v>6459</v>
      </c>
      <c r="G3043" t="s">
        <v>14</v>
      </c>
      <c r="H3043">
             </c>
      <c r="I3043" t="s">
        <v>14</v>
      </c>
      <c r="J3043" t="s">
        <v>242</v>
      </c>
      <c r="K3043" t="s">
        <v>14</v>
      </c>
      <c r="L3043" t="s">
        <v>20</v>
      </c>
      <c r="M3043" t="s">
        <v>6457</v>
      </c>
      <c r="N3043" t="s">
        <v>14</v>
      </c>
    </row>
    <row r="3044" x14ac:dyDescent="0.25">
      <c r="A3044" t="n">
        <v>25</v>
      </c>
      <c r="B3044" t="s">
        <v>14</v>
      </c>
      <c r="C3044" t="s">
        <v>51</v>
      </c>
      <c r="D3044" s="2" t="s">
        <f>=HYPERLINK("https://main.knesset.gov.il/APPS/legislation/main/bills/2218615", "הצעת חוק הרשויות המקומיות (בחירות) (תיקון - קיצור תקופת הצינון למנהל כללי), התשפ""ד-2024")</f>
        <v>6295</v>
      </c>
      <c r="E3044" t="s">
        <v>6295</v>
      </c>
      <c r="F3044" t="s">
        <v>6460</v>
      </c>
      <c r="G3044" t="s">
        <v>14</v>
      </c>
      <c r="H3044">
             </c>
      <c r="I3044" t="s">
        <v>14</v>
      </c>
      <c r="J3044" t="s">
        <v>242</v>
      </c>
      <c r="K3044" t="s">
        <v>14</v>
      </c>
      <c r="L3044" t="s">
        <v>20</v>
      </c>
      <c r="M3044" t="s">
        <v>6457</v>
      </c>
      <c r="N3044" t="s">
        <v>14</v>
      </c>
    </row>
    <row r="3045" x14ac:dyDescent="0.25">
      <c r="A3045" t="n">
        <v>25</v>
      </c>
      <c r="B3045" t="s">
        <v>14</v>
      </c>
      <c r="C3045" t="s">
        <v>51</v>
      </c>
      <c r="D3045" s="2" t="s">
        <f>=HYPERLINK("https://main.knesset.gov.il/APPS/legislation/main/bills/2218275", "הצעת חוק העונשין (תיקון - ייצוא חומר הנחשב לסם מסוכן בחוץ לארץ), התשפ""ד-2024")</f>
        <v>6461</v>
      </c>
      <c r="E3045" t="s">
        <v>6461</v>
      </c>
      <c r="F3045" t="s">
        <v>6462</v>
      </c>
      <c r="G3045" t="s">
        <v>14</v>
      </c>
      <c r="H3045">
             </c>
      <c r="I3045" t="s">
        <v>14</v>
      </c>
      <c r="J3045" t="s">
        <v>242</v>
      </c>
      <c r="K3045" t="s">
        <v>14</v>
      </c>
      <c r="L3045" t="s">
        <v>20</v>
      </c>
      <c r="M3045" t="s">
        <v>6457</v>
      </c>
      <c r="N3045" t="s">
        <v>14</v>
      </c>
    </row>
    <row r="3046" x14ac:dyDescent="0.25">
      <c r="A3046" t="n">
        <v>25</v>
      </c>
      <c r="B3046" t="s">
        <v>14</v>
      </c>
      <c r="C3046" t="s">
        <v>51</v>
      </c>
      <c r="D3046" s="2" t="s">
        <f>=HYPERLINK("https://main.knesset.gov.il/APPS/legislation/main/bills/2218837", "הצעת חוק הבחירות לכנסת (תיקון - הצבעה של אזרחים המשרתים שירות לאומי-אזרחי בחוץ לארץ), התשפ""ד-2024")</f>
        <v>6463</v>
      </c>
      <c r="E3046" t="s">
        <v>6463</v>
      </c>
      <c r="F3046" t="s">
        <v>6464</v>
      </c>
      <c r="G3046" t="s">
        <v>14</v>
      </c>
      <c r="H3046">
             </c>
      <c r="I3046" t="s">
        <v>14</v>
      </c>
      <c r="J3046" t="s">
        <v>242</v>
      </c>
      <c r="K3046" t="s">
        <v>14</v>
      </c>
      <c r="L3046" t="s">
        <v>20</v>
      </c>
      <c r="M3046" t="s">
        <v>6457</v>
      </c>
      <c r="N3046" t="s">
        <v>14</v>
      </c>
    </row>
    <row r="3047" x14ac:dyDescent="0.25">
      <c r="A3047" t="n">
        <v>25</v>
      </c>
      <c r="B3047" t="s">
        <v>14</v>
      </c>
      <c r="C3047" t="s">
        <v>51</v>
      </c>
      <c r="D3047" s="2" t="s">
        <f>=HYPERLINK("https://main.knesset.gov.il/APPS/legislation/main/bills/2218310", "הצעת חוק הכרה בוותק של עולים, התשפ""ד-2024")</f>
        <v>6465</v>
      </c>
      <c r="E3047" t="s">
        <v>6465</v>
      </c>
      <c r="F3047" t="s">
        <v>6466</v>
      </c>
      <c r="G3047" t="s">
        <v>14</v>
      </c>
      <c r="H3047">
             </c>
      <c r="I3047" t="s">
        <v>14</v>
      </c>
      <c r="J3047" t="s">
        <v>242</v>
      </c>
      <c r="K3047" t="s">
        <v>14</v>
      </c>
      <c r="L3047" t="s">
        <v>20</v>
      </c>
      <c r="M3047" t="s">
        <v>6457</v>
      </c>
      <c r="N3047" t="s">
        <v>14</v>
      </c>
    </row>
    <row r="3048" x14ac:dyDescent="0.25">
      <c r="A3048" t="n">
        <v>25</v>
      </c>
      <c r="B3048" t="s">
        <v>14</v>
      </c>
      <c r="C3048" t="s">
        <v>51</v>
      </c>
      <c r="D3048" s="2" t="s">
        <f>=HYPERLINK("https://main.knesset.gov.il/APPS/legislation/main/bills/2218888", "הצעת חוק הבנקאות (שירות ללקוח) (תיקון - הודעה ללקוח על אודות יתרה בחשבון עובר ושב שאינה נושאת ריבית), התשפ""ד-2024")</f>
        <v>5866</v>
      </c>
      <c r="E3048" t="s">
        <v>5866</v>
      </c>
      <c r="F3048" t="s">
        <v>6467</v>
      </c>
      <c r="G3048" t="s">
        <v>14</v>
      </c>
      <c r="H3048">
             </c>
      <c r="I3048" t="s">
        <v>14</v>
      </c>
      <c r="J3048" t="s">
        <v>242</v>
      </c>
      <c r="K3048" t="s">
        <v>14</v>
      </c>
      <c r="L3048" t="s">
        <v>20</v>
      </c>
      <c r="M3048" t="s">
        <v>6457</v>
      </c>
      <c r="N3048" t="s">
        <v>14</v>
      </c>
    </row>
    <row r="3049" x14ac:dyDescent="0.25">
      <c r="A3049" t="n">
        <v>25</v>
      </c>
      <c r="B3049" t="s">
        <v>14</v>
      </c>
      <c r="C3049" t="s">
        <v>51</v>
      </c>
      <c r="D3049" s="2" t="s">
        <f>=HYPERLINK("https://main.knesset.gov.il/APPS/legislation/main/bills/2217868", "הצעת חוק תקשורת דיגיטלית עם גופים ציבוריים (תיקון - אימות זהות באמצעות מסר קולי מוקלט), התשפ""ד-2024")</f>
        <v>6468</v>
      </c>
      <c r="E3049" t="s">
        <v>6468</v>
      </c>
      <c r="F3049" t="s">
        <v>6469</v>
      </c>
      <c r="G3049" t="s">
        <v>14</v>
      </c>
      <c r="H3049">
             </c>
      <c r="I3049" t="s">
        <v>14</v>
      </c>
      <c r="J3049" t="s">
        <v>242</v>
      </c>
      <c r="K3049" t="s">
        <v>14</v>
      </c>
      <c r="L3049" t="s">
        <v>20</v>
      </c>
      <c r="M3049" t="s">
        <v>6457</v>
      </c>
      <c r="N3049" t="s">
        <v>14</v>
      </c>
    </row>
    <row r="3050" x14ac:dyDescent="0.25">
      <c r="A3050" t="n">
        <v>25</v>
      </c>
      <c r="B3050" t="s">
        <v>14</v>
      </c>
      <c r="C3050" t="s">
        <v>51</v>
      </c>
      <c r="D3050" s="2" t="s">
        <f>=HYPERLINK("https://main.knesset.gov.il/APPS/legislation/main/bills/2217912", "הצעת חוק התפזרות הכנסת העשרים וחמש, התשפ""ד-2024")</f>
        <v>3209</v>
      </c>
      <c r="E3050" t="s">
        <v>3209</v>
      </c>
      <c r="F3050" t="s">
        <v>6470</v>
      </c>
      <c r="G3050" t="s">
        <v>14</v>
      </c>
      <c r="H3050">
             </c>
      <c r="I3050" t="s">
        <v>14</v>
      </c>
      <c r="J3050" t="s">
        <v>242</v>
      </c>
      <c r="K3050" t="s">
        <v>14</v>
      </c>
      <c r="L3050" t="s">
        <v>20</v>
      </c>
      <c r="M3050" t="s">
        <v>6457</v>
      </c>
      <c r="N3050" t="s">
        <v>14</v>
      </c>
    </row>
    <row r="3051" x14ac:dyDescent="0.25">
      <c r="A3051" t="n">
        <v>25</v>
      </c>
      <c r="B3051" t="s">
        <v>14</v>
      </c>
      <c r="C3051" t="s">
        <v>51</v>
      </c>
      <c r="D3051" s="2" t="s">
        <f>=HYPERLINK("https://main.knesset.gov.il/APPS/legislation/main/bills/2218748", "הצעת חוק הרשויות המקומיות (מימון בחירות) (הוראת שעה) (הארכת מועד לבקשת קבלת מימון), התשפ""ד-2024")</f>
        <v>6422</v>
      </c>
      <c r="E3051" t="s">
        <v>6422</v>
      </c>
      <c r="F3051" t="s">
        <v>6471</v>
      </c>
      <c r="G3051" t="s">
        <v>14</v>
      </c>
      <c r="H3051">
             </c>
      <c r="I3051" t="s">
        <v>14</v>
      </c>
      <c r="J3051" t="s">
        <v>242</v>
      </c>
      <c r="K3051" t="s">
        <v>14</v>
      </c>
      <c r="L3051" t="s">
        <v>20</v>
      </c>
      <c r="M3051" t="s">
        <v>6457</v>
      </c>
      <c r="N3051" t="s">
        <v>14</v>
      </c>
    </row>
    <row r="3052" x14ac:dyDescent="0.25">
      <c r="A3052" t="n">
        <v>25</v>
      </c>
      <c r="B3052" t="s">
        <v>14</v>
      </c>
      <c r="C3052" t="s">
        <v>51</v>
      </c>
      <c r="D3052" s="2" t="s">
        <f>=HYPERLINK("https://main.knesset.gov.il/APPS/legislation/main/bills/2218543", "הצעת חוק הסדרת העיסוק במקצועות הבריאות (תיקון - הסדרת העיסוק בניתוח התנהגות), התשפ""ד-2024")</f>
        <v>6376</v>
      </c>
      <c r="E3052" t="s">
        <v>6376</v>
      </c>
      <c r="F3052" t="s">
        <v>6472</v>
      </c>
      <c r="G3052" t="s">
        <v>14</v>
      </c>
      <c r="H3052">
             </c>
      <c r="I3052" t="s">
        <v>14</v>
      </c>
      <c r="J3052" t="s">
        <v>242</v>
      </c>
      <c r="K3052" t="s">
        <v>14</v>
      </c>
      <c r="L3052" t="s">
        <v>20</v>
      </c>
      <c r="M3052" t="s">
        <v>6457</v>
      </c>
      <c r="N3052" t="s">
        <v>14</v>
      </c>
    </row>
    <row r="3053" x14ac:dyDescent="0.25">
      <c r="A3053" t="n">
        <v>25</v>
      </c>
      <c r="B3053" t="s">
        <v>14</v>
      </c>
      <c r="C3053" t="s">
        <v>51</v>
      </c>
      <c r="D3053" s="2" t="s">
        <f>=HYPERLINK("https://main.knesset.gov.il/APPS/legislation/main/bills/2217155", "הצעת חוק-יסוד: הממשלה (תיקון - איסור מינוי אדם שהורשע בעבירת טרור לשר בעל אחריות ביטחונית)")</f>
        <v>6473</v>
      </c>
      <c r="E3053" t="s">
        <v>6473</v>
      </c>
      <c r="F3053" t="s">
        <v>6474</v>
      </c>
      <c r="G3053" t="s">
        <v>14</v>
      </c>
      <c r="H3053">
             </c>
      <c r="I3053" t="s">
        <v>14</v>
      </c>
      <c r="J3053" t="s">
        <v>242</v>
      </c>
      <c r="K3053" t="s">
        <v>14</v>
      </c>
      <c r="L3053" t="s">
        <v>20</v>
      </c>
      <c r="M3053" t="s">
        <v>6457</v>
      </c>
      <c r="N3053" t="s">
        <v>14</v>
      </c>
    </row>
    <row r="3054" x14ac:dyDescent="0.25">
      <c r="A3054" t="n">
        <v>25</v>
      </c>
      <c r="B3054" t="s">
        <v>14</v>
      </c>
      <c r="C3054" t="s">
        <v>51</v>
      </c>
      <c r="D3054" s="2" t="s">
        <f>=HYPERLINK("https://main.knesset.gov.il/APPS/legislation/main/bills/2218204", "הצעת חוק הסיוע המשפטי (תיקון - סיוע משפטי למטופל סיעודי), התשפ""ד-2024")</f>
        <v>6475</v>
      </c>
      <c r="E3054" t="s">
        <v>6475</v>
      </c>
      <c r="F3054" t="s">
        <v>6476</v>
      </c>
      <c r="G3054" t="s">
        <v>14</v>
      </c>
      <c r="H3054">
             </c>
      <c r="I3054" t="s">
        <v>14</v>
      </c>
      <c r="J3054" t="s">
        <v>242</v>
      </c>
      <c r="K3054" t="s">
        <v>14</v>
      </c>
      <c r="L3054" t="s">
        <v>20</v>
      </c>
      <c r="M3054" t="s">
        <v>6457</v>
      </c>
      <c r="N3054" t="s">
        <v>14</v>
      </c>
    </row>
    <row r="3055" x14ac:dyDescent="0.25">
      <c r="A3055" t="n">
        <v>25</v>
      </c>
      <c r="B3055" t="s">
        <v>14</v>
      </c>
      <c r="C3055" t="s">
        <v>51</v>
      </c>
      <c r="D3055" s="2" t="s">
        <f>=HYPERLINK("https://main.knesset.gov.il/APPS/legislation/main/bills/2219032", "הצעת חוק הביטוח הלאומי (תיקון - תשלום גמלה לשמירת היריון בעד כל התקופה), התשפ""ד-2024")</f>
        <v>6401</v>
      </c>
      <c r="E3055" t="s">
        <v>6401</v>
      </c>
      <c r="F3055" t="s">
        <v>6477</v>
      </c>
      <c r="G3055" t="s">
        <v>14</v>
      </c>
      <c r="H3055">
             </c>
      <c r="I3055" t="s">
        <v>14</v>
      </c>
      <c r="J3055" t="s">
        <v>242</v>
      </c>
      <c r="K3055" t="s">
        <v>14</v>
      </c>
      <c r="L3055" t="s">
        <v>20</v>
      </c>
      <c r="M3055" t="s">
        <v>6457</v>
      </c>
      <c r="N3055" t="s">
        <v>14</v>
      </c>
    </row>
    <row r="3056" x14ac:dyDescent="0.25">
      <c r="A3056" t="n">
        <v>25</v>
      </c>
      <c r="B3056" t="s">
        <v>14</v>
      </c>
      <c r="C3056" t="s">
        <v>51</v>
      </c>
      <c r="D3056" s="2" t="s">
        <f>=HYPERLINK("https://main.knesset.gov.il/APPS/legislation/main/bills/2217967", "הצעת חוק הביטוח הלאומי (תיקון - הגבלת קיזוז גמלת נכות לתשלום מזונות), התשפ״ד-2024")</f>
        <v>6391</v>
      </c>
      <c r="E3056" t="s">
        <v>6391</v>
      </c>
      <c r="F3056" t="s">
        <v>6478</v>
      </c>
      <c r="G3056" t="s">
        <v>14</v>
      </c>
      <c r="H3056">
             </c>
      <c r="I3056" t="s">
        <v>14</v>
      </c>
      <c r="J3056" t="s">
        <v>242</v>
      </c>
      <c r="K3056" t="s">
        <v>14</v>
      </c>
      <c r="L3056" t="s">
        <v>20</v>
      </c>
      <c r="M3056" t="s">
        <v>6457</v>
      </c>
      <c r="N3056" t="s">
        <v>14</v>
      </c>
    </row>
    <row r="3057" x14ac:dyDescent="0.25">
      <c r="A3057" t="n">
        <v>25</v>
      </c>
      <c r="B3057" t="s">
        <v>14</v>
      </c>
      <c r="C3057" t="s">
        <v>51</v>
      </c>
      <c r="D3057" s="2" t="s">
        <f>=HYPERLINK("https://main.knesset.gov.il/APPS/legislation/main/bills/2216652", "הצעת חוק החברות הממשלתיות (תיקון - ביטוי הולם בדירקטוריונים לתושבי יישובי הצפון והדרום), התשפ""ד-2024")</f>
        <v>6479</v>
      </c>
      <c r="E3057" t="s">
        <v>6479</v>
      </c>
      <c r="F3057" t="s">
        <v>6480</v>
      </c>
      <c r="G3057" t="s">
        <v>14</v>
      </c>
      <c r="H3057">
             </c>
      <c r="I3057" t="s">
        <v>14</v>
      </c>
      <c r="J3057" t="s">
        <v>242</v>
      </c>
      <c r="K3057" t="s">
        <v>14</v>
      </c>
      <c r="L3057" t="s">
        <v>20</v>
      </c>
      <c r="M3057" t="s">
        <v>6457</v>
      </c>
      <c r="N3057" t="s">
        <v>14</v>
      </c>
    </row>
    <row r="3058" x14ac:dyDescent="0.25">
      <c r="A3058" t="n">
        <v>25</v>
      </c>
      <c r="B3058" t="s">
        <v>14</v>
      </c>
      <c r="C3058" t="s">
        <v>51</v>
      </c>
      <c r="D3058" s="2" t="s">
        <f>=HYPERLINK("https://main.knesset.gov.il/APPS/legislation/main/bills/2217921", "הצעת חוק הבחירות לכנסת (תיקון - מועדים לעניין בחירות מוקדמות), התשפ""ד-2024")</f>
        <v>6481</v>
      </c>
      <c r="E3058" t="s">
        <v>6481</v>
      </c>
      <c r="F3058" t="s">
        <v>6482</v>
      </c>
      <c r="G3058" t="s">
        <v>14</v>
      </c>
      <c r="H3058">
             </c>
      <c r="I3058" t="s">
        <v>14</v>
      </c>
      <c r="J3058" t="s">
        <v>242</v>
      </c>
      <c r="K3058" t="s">
        <v>14</v>
      </c>
      <c r="L3058" t="s">
        <v>20</v>
      </c>
      <c r="M3058" t="s">
        <v>6457</v>
      </c>
      <c r="N3058" t="s">
        <v>14</v>
      </c>
    </row>
    <row r="3059" x14ac:dyDescent="0.25">
      <c r="A3059" t="n">
        <v>25</v>
      </c>
      <c r="B3059" t="s">
        <v>14</v>
      </c>
      <c r="C3059" t="s">
        <v>51</v>
      </c>
      <c r="D3059" s="2" t="s">
        <f>=HYPERLINK("https://main.knesset.gov.il/APPS/legislation/main/bills/2217920", "הצעת חוק-יסוד: קיצור תקופת הבחירות (תיקוני חקיקה)")</f>
        <v>6483</v>
      </c>
      <c r="E3059" t="s">
        <v>6483</v>
      </c>
      <c r="F3059" t="s">
        <v>6484</v>
      </c>
      <c r="G3059" t="s">
        <v>14</v>
      </c>
      <c r="H3059">
             </c>
      <c r="I3059" t="s">
        <v>14</v>
      </c>
      <c r="J3059" t="s">
        <v>242</v>
      </c>
      <c r="K3059" t="s">
        <v>14</v>
      </c>
      <c r="L3059" t="s">
        <v>20</v>
      </c>
      <c r="M3059" t="s">
        <v>6457</v>
      </c>
      <c r="N3059" t="s">
        <v>14</v>
      </c>
    </row>
    <row r="3060" x14ac:dyDescent="0.25">
      <c r="A3060" t="n">
        <v>25</v>
      </c>
      <c r="B3060" t="s">
        <v>14</v>
      </c>
      <c r="C3060" t="s">
        <v>51</v>
      </c>
      <c r="D3060" s="2" t="s">
        <f>=HYPERLINK("https://main.knesset.gov.il/APPS/legislation/main/bills/2218162", "הצעת חוק שירות המדינה (מינויים) (תיקון - ועדת איתור למינוי נציב שירות המדינה), התשפ""ד-2024")</f>
        <v>6485</v>
      </c>
      <c r="E3060" t="s">
        <v>6485</v>
      </c>
      <c r="F3060" t="s">
        <v>6486</v>
      </c>
      <c r="G3060" t="s">
        <v>14</v>
      </c>
      <c r="H3060">
             </c>
      <c r="I3060" t="s">
        <v>14</v>
      </c>
      <c r="J3060" t="s">
        <v>202</v>
      </c>
      <c r="K3060" t="s">
        <v>14</v>
      </c>
      <c r="L3060" t="s">
        <v>20</v>
      </c>
      <c r="M3060" t="s">
        <v>6457</v>
      </c>
      <c r="N3060" t="s">
        <v>14</v>
      </c>
    </row>
    <row r="3061" x14ac:dyDescent="0.25">
      <c r="A3061" t="n">
        <v>25</v>
      </c>
      <c r="B3061" t="s">
        <v>14</v>
      </c>
      <c r="C3061" t="s">
        <v>51</v>
      </c>
      <c r="D3061" s="2" t="s">
        <f>=HYPERLINK("https://main.knesset.gov.il/APPS/legislation/main/bills/2218879", "הצעת חוק מניעת פגיעת גוף שידורים זר בביטחון המדינה (הוראת שעה - חרבות ברזל) (תיקון - הארכת תוקף), התשפ""ד-2024")</f>
        <v>6487</v>
      </c>
      <c r="E3061" t="s">
        <v>6487</v>
      </c>
      <c r="F3061" t="s">
        <v>6488</v>
      </c>
      <c r="G3061" t="s">
        <v>14</v>
      </c>
      <c r="H3061">
             </c>
      <c r="I3061" t="s">
        <v>14</v>
      </c>
      <c r="J3061" t="s">
        <v>242</v>
      </c>
      <c r="K3061" t="s">
        <v>14</v>
      </c>
      <c r="L3061" t="s">
        <v>20</v>
      </c>
      <c r="M3061" t="s">
        <v>6457</v>
      </c>
      <c r="N3061" t="s">
        <v>14</v>
      </c>
    </row>
    <row r="3062" x14ac:dyDescent="0.25">
      <c r="A3062" t="n">
        <v>25</v>
      </c>
      <c r="B3062" t="s">
        <v>14</v>
      </c>
      <c r="C3062" t="s">
        <v>51</v>
      </c>
      <c r="D3062" s="2" t="s">
        <f>=HYPERLINK("https://main.knesset.gov.il/APPS/legislation/main/bills/2218573", "הצעת חוק משפחות חיילים שנספו במערכה (תגמולים ושיקום) (תיקון - מעטפת שיקומית לאחים שכולים), התשפ""ד-2024")</f>
        <v>6489</v>
      </c>
      <c r="E3062" t="s">
        <v>6489</v>
      </c>
      <c r="F3062" t="s">
        <v>6490</v>
      </c>
      <c r="G3062" t="s">
        <v>14</v>
      </c>
      <c r="H3062">
             </c>
      <c r="I3062" t="s">
        <v>14</v>
      </c>
      <c r="J3062" t="s">
        <v>242</v>
      </c>
      <c r="K3062" t="s">
        <v>14</v>
      </c>
      <c r="L3062" t="s">
        <v>20</v>
      </c>
      <c r="M3062" t="s">
        <v>6457</v>
      </c>
      <c r="N3062" t="s">
        <v>14</v>
      </c>
    </row>
    <row r="3063" x14ac:dyDescent="0.25">
      <c r="A3063" t="n">
        <v>25</v>
      </c>
      <c r="B3063" t="s">
        <v>14</v>
      </c>
      <c r="C3063" t="s">
        <v>51</v>
      </c>
      <c r="D3063" s="2" t="s">
        <f>=HYPERLINK("https://main.knesset.gov.il/APPS/legislation/main/bills/2218705", "הצעת חוק דמי מחלה (היעדרות בשל מחלת ילד) (תיקון - היעדרות בעקבות תקיפה או התעללות בילד), התשפ""ד-2024")</f>
        <v>6491</v>
      </c>
      <c r="E3063" t="s">
        <v>6491</v>
      </c>
      <c r="F3063" t="s">
        <v>6492</v>
      </c>
      <c r="G3063" t="s">
        <v>14</v>
      </c>
      <c r="H3063">
             </c>
      <c r="I3063" t="s">
        <v>14</v>
      </c>
      <c r="J3063" t="s">
        <v>242</v>
      </c>
      <c r="K3063" t="s">
        <v>14</v>
      </c>
      <c r="L3063" t="s">
        <v>20</v>
      </c>
      <c r="M3063" t="s">
        <v>6457</v>
      </c>
      <c r="N3063" t="s">
        <v>14</v>
      </c>
    </row>
    <row r="3064" x14ac:dyDescent="0.25">
      <c r="A3064" t="n">
        <v>25</v>
      </c>
      <c r="B3064" t="s">
        <v>14</v>
      </c>
      <c r="C3064" t="s">
        <v>51</v>
      </c>
      <c r="D3064" s="2" t="s">
        <f>=HYPERLINK("https://main.knesset.gov.il/APPS/legislation/main/bills/2197065", "הצעת חוק צער בעלי חיים (הגנה על בעלי חיים) (תיקון - איסור שימוש באביזרים חשמליים), התשפ""ד-2024")</f>
        <v>6493</v>
      </c>
      <c r="E3064" t="s">
        <v>6493</v>
      </c>
      <c r="F3064" t="s">
        <v>6494</v>
      </c>
      <c r="G3064" t="s">
        <v>14</v>
      </c>
      <c r="H3064">
             </c>
      <c r="I3064" t="s">
        <v>14</v>
      </c>
      <c r="J3064" t="s">
        <v>242</v>
      </c>
      <c r="K3064" t="s">
        <v>14</v>
      </c>
      <c r="L3064" t="s">
        <v>20</v>
      </c>
      <c r="M3064" t="s">
        <v>6457</v>
      </c>
      <c r="N3064" t="s">
        <v>14</v>
      </c>
    </row>
    <row r="3065" x14ac:dyDescent="0.25">
      <c r="A3065" t="n">
        <v>25</v>
      </c>
      <c r="B3065" t="s">
        <v>14</v>
      </c>
      <c r="C3065" t="s">
        <v>15</v>
      </c>
      <c r="D3065" s="2" t="s">
        <f>=HYPERLINK("https://main.knesset.gov.il/APPS/legislation/main/bills/2218088", "חוק הסמכת צבא הגנה לישראל ושירות הביטחון הכללי לביצוע חדירה לחומר מחשב המשמש להפעלת מצלמה נייחת ופעולה בו (הוראת שעה - חרבות ברזל) (תיקון), התשפ""ד-2024")</f>
        <v>6495</v>
      </c>
      <c r="E3065" t="s">
        <v>6495</v>
      </c>
      <c r="F3065" t="s">
        <v>14</v>
      </c>
      <c r="G3065" t="s">
        <v>6496</v>
      </c>
      <c r="H3065" t="n">
        <v>3219</v>
      </c>
      <c r="I3065" t="s">
        <v>14</v>
      </c>
      <c r="J3065" t="s">
        <v>18</v>
      </c>
      <c r="K3065" t="s">
        <v>39</v>
      </c>
      <c r="L3065" t="s">
        <v>20</v>
      </c>
      <c r="M3065" t="s">
        <v>6497</v>
      </c>
      <c r="N3065" t="s">
        <v>6498</v>
      </c>
    </row>
    <row r="3066" x14ac:dyDescent="0.25">
      <c r="A3066" t="n">
        <v>25</v>
      </c>
      <c r="B3066" t="s">
        <v>14</v>
      </c>
      <c r="C3066" t="s">
        <v>51</v>
      </c>
      <c r="D3066" s="2" t="s">
        <f>=HYPERLINK("https://main.knesset.gov.il/APPS/legislation/main/bills/2215192", "הצעת חוק-יסוד: הכנסת (תיקון - הצהרה בדבר זהותה של מדינת ישראל)")</f>
        <v>6499</v>
      </c>
      <c r="E3066" t="s">
        <v>6499</v>
      </c>
      <c r="F3066" t="s">
        <v>6500</v>
      </c>
      <c r="G3066" t="s">
        <v>14</v>
      </c>
      <c r="H3066">
             </c>
      <c r="I3066" t="s">
        <v>14</v>
      </c>
      <c r="J3066" t="s">
        <v>193</v>
      </c>
      <c r="K3066" t="s">
        <v>14</v>
      </c>
      <c r="L3066" t="s">
        <v>20</v>
      </c>
      <c r="M3066" t="s">
        <v>6497</v>
      </c>
      <c r="N3066" t="s">
        <v>14</v>
      </c>
    </row>
    <row r="3067" x14ac:dyDescent="0.25">
      <c r="A3067" t="n">
        <v>25</v>
      </c>
      <c r="B3067" t="s">
        <v>14</v>
      </c>
      <c r="C3067" t="s">
        <v>51</v>
      </c>
      <c r="D3067" s="2" t="s">
        <f>=HYPERLINK("https://main.knesset.gov.il/APPS/legislation/main/bills/2209033", "הצעת חוק לתיקון פקודת המשטרה (פתיחה בחקירה פלילית), התשפ""ג-2023")</f>
        <v>6501</v>
      </c>
      <c r="E3067" t="s">
        <v>6501</v>
      </c>
      <c r="F3067" t="s">
        <v>6502</v>
      </c>
      <c r="G3067" t="s">
        <v>14</v>
      </c>
      <c r="H3067">
             </c>
      <c r="I3067" t="s">
        <v>14</v>
      </c>
      <c r="J3067" t="s">
        <v>193</v>
      </c>
      <c r="K3067" t="s">
        <v>14</v>
      </c>
      <c r="L3067" t="s">
        <v>20</v>
      </c>
      <c r="M3067" t="s">
        <v>6497</v>
      </c>
      <c r="N3067" t="s">
        <v>14</v>
      </c>
    </row>
    <row r="3068" x14ac:dyDescent="0.25">
      <c r="A3068" t="n">
        <v>25</v>
      </c>
      <c r="B3068" t="s">
        <v>14</v>
      </c>
      <c r="C3068" t="s">
        <v>51</v>
      </c>
      <c r="D3068" s="2" t="s">
        <f>=HYPERLINK("https://main.knesset.gov.il/APPS/legislation/main/bills/2203644", "הצעת חוק הגנת הצרכן (תיקון - ביטול עסקת מכר מרחוק למתן שירותי תיירות בישראל), התשפ""ג-2023")</f>
        <v>6503</v>
      </c>
      <c r="E3068" t="s">
        <v>6503</v>
      </c>
      <c r="F3068" t="s">
        <v>6504</v>
      </c>
      <c r="G3068" t="s">
        <v>14</v>
      </c>
      <c r="H3068">
             </c>
      <c r="I3068" t="s">
        <v>14</v>
      </c>
      <c r="J3068" t="s">
        <v>152</v>
      </c>
      <c r="K3068" t="s">
        <v>84</v>
      </c>
      <c r="L3068" t="s">
        <v>20</v>
      </c>
      <c r="M3068" t="s">
        <v>6497</v>
      </c>
      <c r="N3068" t="s">
        <v>14</v>
      </c>
    </row>
    <row r="3069" x14ac:dyDescent="0.25">
      <c r="A3069" t="n">
        <v>25</v>
      </c>
      <c r="B3069" t="s">
        <v>14</v>
      </c>
      <c r="C3069" t="s">
        <v>51</v>
      </c>
      <c r="D3069" s="2" t="s">
        <f>=HYPERLINK("https://main.knesset.gov.il/APPS/legislation/main/bills/2204460", "הצעת חוק הגנת הצרכן (תיקון - ביטול עסקת מכר מרחוק למתן שירותי תיירות בישראל), התשפ""ג-2023")</f>
        <v>6503</v>
      </c>
      <c r="E3069" t="s">
        <v>6503</v>
      </c>
      <c r="F3069" t="s">
        <v>6505</v>
      </c>
      <c r="G3069" t="s">
        <v>14</v>
      </c>
      <c r="H3069">
             </c>
      <c r="I3069" t="s">
        <v>14</v>
      </c>
      <c r="J3069" t="s">
        <v>152</v>
      </c>
      <c r="K3069" t="s">
        <v>84</v>
      </c>
      <c r="L3069" t="s">
        <v>20</v>
      </c>
      <c r="M3069" t="s">
        <v>6497</v>
      </c>
      <c r="N3069" t="s">
        <v>14</v>
      </c>
    </row>
    <row r="3070" x14ac:dyDescent="0.25">
      <c r="A3070" t="n">
        <v>25</v>
      </c>
      <c r="B3070" t="s">
        <v>14</v>
      </c>
      <c r="C3070" t="s">
        <v>51</v>
      </c>
      <c r="D3070" s="2" t="s">
        <f>=HYPERLINK("https://main.knesset.gov.il/APPS/legislation/main/bills/2198606", "הצעת חוק לתיקון פקודת המשטרה (טיוב הטיפול בתלונות בגין אלימות משטרתית), התשפ""ג-2023")</f>
        <v>6506</v>
      </c>
      <c r="E3070" t="s">
        <v>6506</v>
      </c>
      <c r="F3070" t="s">
        <v>6507</v>
      </c>
      <c r="G3070" t="s">
        <v>14</v>
      </c>
      <c r="H3070">
             </c>
      <c r="I3070" t="s">
        <v>14</v>
      </c>
      <c r="J3070" t="s">
        <v>193</v>
      </c>
      <c r="K3070" t="s">
        <v>14</v>
      </c>
      <c r="L3070" t="s">
        <v>20</v>
      </c>
      <c r="M3070" t="s">
        <v>6497</v>
      </c>
      <c r="N3070" t="s">
        <v>14</v>
      </c>
    </row>
    <row r="3071" x14ac:dyDescent="0.25">
      <c r="A3071" t="n">
        <v>25</v>
      </c>
      <c r="B3071" t="s">
        <v>14</v>
      </c>
      <c r="C3071" t="s">
        <v>51</v>
      </c>
      <c r="D3071" s="2" t="s">
        <f>=HYPERLINK("https://main.knesset.gov.il/APPS/legislation/main/bills/2198672", "הצעת חוק הרשות הלאומית למאבק בעוני, התשפ""ג-2023")</f>
        <v>6508</v>
      </c>
      <c r="E3071" t="s">
        <v>6508</v>
      </c>
      <c r="F3071" t="s">
        <v>6509</v>
      </c>
      <c r="G3071" t="s">
        <v>14</v>
      </c>
      <c r="H3071">
             </c>
      <c r="I3071" t="s">
        <v>14</v>
      </c>
      <c r="J3071" t="s">
        <v>183</v>
      </c>
      <c r="K3071" t="s">
        <v>46</v>
      </c>
      <c r="L3071" t="s">
        <v>20</v>
      </c>
      <c r="M3071" t="s">
        <v>6510</v>
      </c>
      <c r="N3071" t="s">
        <v>14</v>
      </c>
    </row>
    <row r="3072" x14ac:dyDescent="0.25">
      <c r="A3072" t="n">
        <v>25</v>
      </c>
      <c r="B3072" t="s">
        <v>14</v>
      </c>
      <c r="C3072" t="s">
        <v>51</v>
      </c>
      <c r="D3072" s="2" t="s">
        <f>=HYPERLINK("https://main.knesset.gov.il/APPS/legislation/main/bills/2197560", "הצעת חוק הרשות הלאומית למאבק בעוני, התשפ""ג-2022")</f>
        <v>6511</v>
      </c>
      <c r="E3072" t="s">
        <v>6511</v>
      </c>
      <c r="F3072" t="s">
        <v>6512</v>
      </c>
      <c r="G3072" t="s">
        <v>14</v>
      </c>
      <c r="H3072">
             </c>
      <c r="I3072" t="s">
        <v>14</v>
      </c>
      <c r="J3072" t="s">
        <v>183</v>
      </c>
      <c r="K3072" t="s">
        <v>46</v>
      </c>
      <c r="L3072" t="s">
        <v>20</v>
      </c>
      <c r="M3072" t="s">
        <v>6510</v>
      </c>
      <c r="N3072" t="s">
        <v>14</v>
      </c>
    </row>
    <row r="3073" x14ac:dyDescent="0.25">
      <c r="A3073" t="n">
        <v>25</v>
      </c>
      <c r="B3073" t="s">
        <v>14</v>
      </c>
      <c r="C3073" t="s">
        <v>51</v>
      </c>
      <c r="D3073" s="2" t="s">
        <f>=HYPERLINK("https://main.knesset.gov.il/APPS/legislation/main/bills/2205912", "הצעת חוק העונשין (תיקון - מאבק בפשיעה החקלאית), התשפ""ג-2023 ")</f>
        <v>6513</v>
      </c>
      <c r="E3073" t="s">
        <v>6513</v>
      </c>
      <c r="F3073" t="s">
        <v>6514</v>
      </c>
      <c r="G3073" t="s">
        <v>14</v>
      </c>
      <c r="H3073">
             </c>
      <c r="I3073" t="s">
        <v>14</v>
      </c>
      <c r="J3073" t="s">
        <v>152</v>
      </c>
      <c r="K3073" t="s">
        <v>27</v>
      </c>
      <c r="L3073" t="s">
        <v>20</v>
      </c>
      <c r="M3073" t="s">
        <v>6510</v>
      </c>
      <c r="N3073" t="s">
        <v>14</v>
      </c>
    </row>
    <row r="3074" x14ac:dyDescent="0.25">
      <c r="A3074" t="n">
        <v>25</v>
      </c>
      <c r="B3074" t="s">
        <v>14</v>
      </c>
      <c r="C3074" t="s">
        <v>51</v>
      </c>
      <c r="D3074" s="2" t="s">
        <f>=HYPERLINK("https://main.knesset.gov.il/APPS/legislation/main/bills/2202866", "הצעת חוק הביטוח הלאומי (תיקון - פטור מכפל תשלום דמי ביטוח לאומי), התשפ""ג-2023")</f>
        <v>6515</v>
      </c>
      <c r="E3074" t="s">
        <v>6515</v>
      </c>
      <c r="F3074" t="s">
        <v>6516</v>
      </c>
      <c r="G3074" t="s">
        <v>14</v>
      </c>
      <c r="H3074">
             </c>
      <c r="I3074" t="s">
        <v>14</v>
      </c>
      <c r="J3074" t="s">
        <v>183</v>
      </c>
      <c r="K3074" t="s">
        <v>46</v>
      </c>
      <c r="L3074" t="s">
        <v>20</v>
      </c>
      <c r="M3074" t="s">
        <v>6510</v>
      </c>
      <c r="N3074" t="s">
        <v>14</v>
      </c>
    </row>
    <row r="3075" x14ac:dyDescent="0.25">
      <c r="A3075" t="n">
        <v>25</v>
      </c>
      <c r="B3075" t="s">
        <v>14</v>
      </c>
      <c r="C3075" t="s">
        <v>51</v>
      </c>
      <c r="D3075" s="2" t="s">
        <f>=HYPERLINK("https://main.knesset.gov.il/APPS/legislation/main/bills/2201411", "הצעת חוק הביטוח הלאומי (תיקון - פטור מכפל תשלום דמי ביטוח לאומי), התשפ""ג-2023")</f>
        <v>6515</v>
      </c>
      <c r="E3075" t="s">
        <v>6515</v>
      </c>
      <c r="F3075" t="s">
        <v>6517</v>
      </c>
      <c r="G3075" t="s">
        <v>14</v>
      </c>
      <c r="H3075">
             </c>
      <c r="I3075" t="s">
        <v>14</v>
      </c>
      <c r="J3075" t="s">
        <v>183</v>
      </c>
      <c r="K3075" t="s">
        <v>46</v>
      </c>
      <c r="L3075" t="s">
        <v>20</v>
      </c>
      <c r="M3075" t="s">
        <v>6510</v>
      </c>
      <c r="N3075" t="s">
        <v>14</v>
      </c>
    </row>
    <row r="3076" x14ac:dyDescent="0.25">
      <c r="A3076" t="n">
        <v>25</v>
      </c>
      <c r="B3076" t="s">
        <v>14</v>
      </c>
      <c r="C3076" t="s">
        <v>51</v>
      </c>
      <c r="D3076" s="2" t="s">
        <f>=HYPERLINK("https://main.knesset.gov.il/APPS/legislation/main/bills/2196835", "הצעת חוק הביטוח הלאומי (תיקון - פטור מכפל תשלום דמי ביטוח לאומי), התשפ""ג-2022")</f>
        <v>6518</v>
      </c>
      <c r="E3076" t="s">
        <v>6518</v>
      </c>
      <c r="F3076" t="s">
        <v>6519</v>
      </c>
      <c r="G3076" t="s">
        <v>14</v>
      </c>
      <c r="H3076">
             </c>
      <c r="I3076" t="s">
        <v>14</v>
      </c>
      <c r="J3076" t="s">
        <v>183</v>
      </c>
      <c r="K3076" t="s">
        <v>46</v>
      </c>
      <c r="L3076" t="s">
        <v>20</v>
      </c>
      <c r="M3076" t="s">
        <v>6510</v>
      </c>
      <c r="N3076" t="s">
        <v>14</v>
      </c>
    </row>
    <row r="3077" x14ac:dyDescent="0.25">
      <c r="A3077" t="n">
        <v>25</v>
      </c>
      <c r="B3077" t="s">
        <v>14</v>
      </c>
      <c r="C3077" t="s">
        <v>51</v>
      </c>
      <c r="D3077" s="2" t="s">
        <f>=HYPERLINK("https://main.knesset.gov.il/APPS/legislation/main/bills/2199169", "הצעת חוק לעידוד השקעות הון בחקלאות (תיקון - השוואת ההטבות בתעשייה להטבות בחקלאות), התשפ""ג-2023")</f>
        <v>6520</v>
      </c>
      <c r="E3077" t="s">
        <v>6520</v>
      </c>
      <c r="F3077" t="s">
        <v>6521</v>
      </c>
      <c r="G3077" t="s">
        <v>14</v>
      </c>
      <c r="H3077">
             </c>
      <c r="I3077" t="s">
        <v>14</v>
      </c>
      <c r="J3077" t="s">
        <v>152</v>
      </c>
      <c r="K3077" t="s">
        <v>24</v>
      </c>
      <c r="L3077" t="s">
        <v>20</v>
      </c>
      <c r="M3077" t="s">
        <v>6510</v>
      </c>
      <c r="N3077" t="s">
        <v>14</v>
      </c>
    </row>
    <row r="3078" x14ac:dyDescent="0.25">
      <c r="A3078" t="n">
        <v>25</v>
      </c>
      <c r="B3078" t="s">
        <v>14</v>
      </c>
      <c r="C3078" t="s">
        <v>51</v>
      </c>
      <c r="D3078" s="2" t="s">
        <f>=HYPERLINK("https://main.knesset.gov.il/APPS/legislation/main/bills/2198763", "הצעת חוק לעידוד השקעות הון בחקלאות (תיקון - השוואת ההטבות בתעשייה להטבות בחקלאות), התשפ""ג-2023")</f>
        <v>6520</v>
      </c>
      <c r="E3078" t="s">
        <v>6520</v>
      </c>
      <c r="F3078" t="s">
        <v>6522</v>
      </c>
      <c r="G3078" t="s">
        <v>14</v>
      </c>
      <c r="H3078">
             </c>
      <c r="I3078" t="s">
        <v>14</v>
      </c>
      <c r="J3078" t="s">
        <v>152</v>
      </c>
      <c r="K3078" t="s">
        <v>24</v>
      </c>
      <c r="L3078" t="s">
        <v>20</v>
      </c>
      <c r="M3078" t="s">
        <v>6510</v>
      </c>
      <c r="N3078" t="s">
        <v>14</v>
      </c>
    </row>
    <row r="3079" x14ac:dyDescent="0.25">
      <c r="A3079" t="n">
        <v>25</v>
      </c>
      <c r="B3079" t="s">
        <v>14</v>
      </c>
      <c r="C3079" t="s">
        <v>15</v>
      </c>
      <c r="D3079" s="2" t="s">
        <f>=HYPERLINK("https://main.knesset.gov.il/APPS/legislation/main/bills/2213407", "חוק יום האחדות, התשפ""ד-2024")</f>
        <v>6523</v>
      </c>
      <c r="E3079" t="s">
        <v>6523</v>
      </c>
      <c r="F3079" t="s">
        <v>14</v>
      </c>
      <c r="G3079" t="s">
        <v>6524</v>
      </c>
      <c r="H3079" t="n">
        <v>3221</v>
      </c>
      <c r="I3079" t="s">
        <v>14</v>
      </c>
      <c r="J3079" t="s">
        <v>18</v>
      </c>
      <c r="K3079" t="s">
        <v>79</v>
      </c>
      <c r="L3079" t="s">
        <v>20</v>
      </c>
      <c r="M3079" t="s">
        <v>6510</v>
      </c>
      <c r="N3079" t="s">
        <v>6525</v>
      </c>
    </row>
    <row r="3080" x14ac:dyDescent="0.25">
      <c r="A3080" t="n">
        <v>25</v>
      </c>
      <c r="B3080" t="s">
        <v>14</v>
      </c>
      <c r="C3080" t="s">
        <v>15</v>
      </c>
      <c r="D3080" s="2" t="s">
        <f>=HYPERLINK("https://main.knesset.gov.il/APPS/legislation/main/bills/2217770", "חוק תשלומים לפדויי שבי (תיקון מס' 6), התשפ""ד-2024")</f>
        <v>6526</v>
      </c>
      <c r="E3080" t="s">
        <v>6526</v>
      </c>
      <c r="F3080" t="s">
        <v>14</v>
      </c>
      <c r="G3080" t="s">
        <v>6527</v>
      </c>
      <c r="H3080" t="n">
        <v>3220</v>
      </c>
      <c r="I3080" t="s">
        <v>14</v>
      </c>
      <c r="J3080" t="s">
        <v>18</v>
      </c>
      <c r="K3080" t="s">
        <v>46</v>
      </c>
      <c r="L3080" t="s">
        <v>20</v>
      </c>
      <c r="M3080" t="s">
        <v>6510</v>
      </c>
      <c r="N3080" t="s">
        <v>6528</v>
      </c>
    </row>
    <row r="3081" x14ac:dyDescent="0.25">
      <c r="A3081" t="n">
        <v>25</v>
      </c>
      <c r="B3081" t="s">
        <v>14</v>
      </c>
      <c r="C3081" t="s">
        <v>51</v>
      </c>
      <c r="D3081" s="2" t="s">
        <f>=HYPERLINK("https://main.knesset.gov.il/APPS/legislation/main/bills/2207234", "הצעת חוק למניעת הטרדה מינית (תיקון - הרחבת תחולה על עובד של קבלן שירות המועסק אצל מזמין השירות), התשפ""ג-2023")</f>
        <v>6529</v>
      </c>
      <c r="E3081" t="s">
        <v>6529</v>
      </c>
      <c r="F3081" t="s">
        <v>6530</v>
      </c>
      <c r="G3081" t="s">
        <v>14</v>
      </c>
      <c r="H3081">
             </c>
      <c r="I3081" t="s">
        <v>14</v>
      </c>
      <c r="J3081" t="s">
        <v>183</v>
      </c>
      <c r="K3081" t="s">
        <v>5936</v>
      </c>
      <c r="L3081" t="s">
        <v>20</v>
      </c>
      <c r="M3081" t="s">
        <v>6531</v>
      </c>
      <c r="N3081" t="s">
        <v>14</v>
      </c>
    </row>
    <row r="3082" x14ac:dyDescent="0.25">
      <c r="A3082" t="n">
        <v>25</v>
      </c>
      <c r="B3082" t="s">
        <v>14</v>
      </c>
      <c r="C3082" t="s">
        <v>51</v>
      </c>
      <c r="D3082" s="2" t="s">
        <f>=HYPERLINK("https://main.knesset.gov.il/APPS/legislation/main/bills/2216181", "הצעת חוק ניוד מידע רפואי, התשפ""ד-2024")</f>
        <v>6532</v>
      </c>
      <c r="E3082" t="s">
        <v>6532</v>
      </c>
      <c r="F3082" t="s">
        <v>6533</v>
      </c>
      <c r="G3082" t="s">
        <v>14</v>
      </c>
      <c r="H3082">
             </c>
      <c r="I3082" t="s">
        <v>14</v>
      </c>
      <c r="J3082" t="s">
        <v>183</v>
      </c>
      <c r="K3082" t="s">
        <v>361</v>
      </c>
      <c r="L3082" t="s">
        <v>20</v>
      </c>
      <c r="M3082" t="s">
        <v>6531</v>
      </c>
      <c r="N3082" t="s">
        <v>14</v>
      </c>
    </row>
    <row r="3083" x14ac:dyDescent="0.25">
      <c r="A3083" t="n">
        <v>25</v>
      </c>
      <c r="B3083" t="s">
        <v>14</v>
      </c>
      <c r="C3083" t="s">
        <v>51</v>
      </c>
      <c r="D3083" s="2" t="s">
        <f>=HYPERLINK("https://main.knesset.gov.il/APPS/legislation/main/bills/2201621", "הצעת חוק ביטוח בריאות ממלכתי (תיקון - העברת מידע מלא בעת מעבר בין קופות החולים), התשפ""ג-2023")</f>
        <v>6534</v>
      </c>
      <c r="E3083" t="s">
        <v>6534</v>
      </c>
      <c r="F3083" t="s">
        <v>6535</v>
      </c>
      <c r="G3083" t="s">
        <v>14</v>
      </c>
      <c r="H3083">
             </c>
      <c r="I3083" t="s">
        <v>14</v>
      </c>
      <c r="J3083" t="s">
        <v>183</v>
      </c>
      <c r="K3083" t="s">
        <v>361</v>
      </c>
      <c r="L3083" t="s">
        <v>20</v>
      </c>
      <c r="M3083" t="s">
        <v>6531</v>
      </c>
      <c r="N3083" t="s">
        <v>14</v>
      </c>
    </row>
    <row r="3084" x14ac:dyDescent="0.25">
      <c r="A3084" t="n">
        <v>25</v>
      </c>
      <c r="B3084" t="s">
        <v>14</v>
      </c>
      <c r="C3084" t="s">
        <v>51</v>
      </c>
      <c r="D3084" s="2" t="s">
        <f>=HYPERLINK("https://main.knesset.gov.il/APPS/legislation/main/bills/2196841", "הצעת חוק בריאות ממלכתי (תיקון - העברת מידע מלא בעת מעבר בין קופות החולים), התשפ""ג-2022")</f>
        <v>6536</v>
      </c>
      <c r="E3084" t="s">
        <v>6536</v>
      </c>
      <c r="F3084" t="s">
        <v>6537</v>
      </c>
      <c r="G3084" t="s">
        <v>14</v>
      </c>
      <c r="H3084">
             </c>
      <c r="I3084" t="s">
        <v>14</v>
      </c>
      <c r="J3084" t="s">
        <v>183</v>
      </c>
      <c r="K3084" t="s">
        <v>361</v>
      </c>
      <c r="L3084" t="s">
        <v>20</v>
      </c>
      <c r="M3084" t="s">
        <v>6531</v>
      </c>
      <c r="N3084" t="s">
        <v>14</v>
      </c>
    </row>
    <row r="3085" x14ac:dyDescent="0.25">
      <c r="A3085" t="n">
        <v>25</v>
      </c>
      <c r="B3085" t="s">
        <v>14</v>
      </c>
      <c r="C3085" t="s">
        <v>15</v>
      </c>
      <c r="D3085" s="2" t="s">
        <f>=HYPERLINK("https://main.knesset.gov.il/APPS/legislation/main/bills/2217131", "חוק עדכון סכומי תגמולים לנכי רדיפות הנאצים ולנכי המלחמה בנאצים וביטול המרת תגמולים (תיקוני חקיקה), התשפ""ד-2024")</f>
        <v>6538</v>
      </c>
      <c r="E3085" t="s">
        <v>6538</v>
      </c>
      <c r="F3085" t="s">
        <v>14</v>
      </c>
      <c r="G3085" t="s">
        <v>6539</v>
      </c>
      <c r="H3085" t="n">
        <v>3218</v>
      </c>
      <c r="I3085" t="s">
        <v>14</v>
      </c>
      <c r="J3085" t="s">
        <v>18</v>
      </c>
      <c r="K3085" t="s">
        <v>24</v>
      </c>
      <c r="L3085" t="s">
        <v>20</v>
      </c>
      <c r="M3085" t="s">
        <v>6531</v>
      </c>
      <c r="N3085" t="s">
        <v>6540</v>
      </c>
    </row>
    <row r="3086" x14ac:dyDescent="0.25">
      <c r="A3086" t="n">
        <v>25</v>
      </c>
      <c r="B3086" t="s">
        <v>14</v>
      </c>
      <c r="C3086" t="s">
        <v>15</v>
      </c>
      <c r="D3086" s="2" t="s">
        <f>=HYPERLINK("https://main.knesset.gov.il/APPS/legislation/main/bills/2206948", "חוק עבודת הנוער (תיקון מס' 22), התשפ""ד-2024")</f>
        <v>6541</v>
      </c>
      <c r="E3086" t="s">
        <v>6541</v>
      </c>
      <c r="F3086" t="s">
        <v>14</v>
      </c>
      <c r="G3086" t="s">
        <v>6542</v>
      </c>
      <c r="H3086" t="n">
        <v>3217</v>
      </c>
      <c r="I3086" t="s">
        <v>14</v>
      </c>
      <c r="J3086" t="s">
        <v>18</v>
      </c>
      <c r="K3086" t="s">
        <v>46</v>
      </c>
      <c r="L3086" t="s">
        <v>20</v>
      </c>
      <c r="M3086" t="s">
        <v>6531</v>
      </c>
      <c r="N3086" t="s">
        <v>6543</v>
      </c>
    </row>
    <row r="3087" x14ac:dyDescent="0.25">
      <c r="A3087" t="n">
        <v>25</v>
      </c>
      <c r="B3087" t="s">
        <v>14</v>
      </c>
      <c r="C3087" t="s">
        <v>51</v>
      </c>
      <c r="D3087" s="2" t="s">
        <f>=HYPERLINK("https://main.knesset.gov.il/APPS/legislation/main/bills/2217201", "הצעת חוק להפסקת פעילות סוכנות הסעד והתעסוקה של האו""ם לפליטי פלסטין במזרח הקרוב (אונר""א), התשפ""ד-2024")</f>
        <v>6544</v>
      </c>
      <c r="E3087" t="s">
        <v>6544</v>
      </c>
      <c r="F3087" t="s">
        <v>6545</v>
      </c>
      <c r="G3087" t="s">
        <v>14</v>
      </c>
      <c r="H3087">
             </c>
      <c r="I3087" t="s">
        <v>14</v>
      </c>
      <c r="J3087" t="s">
        <v>242</v>
      </c>
      <c r="K3087" t="s">
        <v>14</v>
      </c>
      <c r="L3087" t="s">
        <v>20</v>
      </c>
      <c r="M3087" t="s">
        <v>6531</v>
      </c>
      <c r="N3087" t="s">
        <v>14</v>
      </c>
    </row>
    <row r="3088" x14ac:dyDescent="0.25">
      <c r="A3088" t="n">
        <v>25</v>
      </c>
      <c r="B3088" t="s">
        <v>14</v>
      </c>
      <c r="C3088" t="s">
        <v>51</v>
      </c>
      <c r="D3088" s="2" t="s">
        <f>=HYPERLINK("https://main.knesset.gov.il/APPS/legislation/main/bills/2218271", "הצעת חוק מניעת פגיעת גוף שידורים זר בביטחון המדינה (הוראת שעה - חרבות ברזל) (תיקון - אכיפה והארכת הוראת השעה), התשפ""ד-2024")</f>
        <v>6546</v>
      </c>
      <c r="E3088" t="s">
        <v>6546</v>
      </c>
      <c r="F3088" t="s">
        <v>6547</v>
      </c>
      <c r="G3088" t="s">
        <v>14</v>
      </c>
      <c r="H3088">
             </c>
      <c r="I3088" t="s">
        <v>14</v>
      </c>
      <c r="J3088" t="s">
        <v>242</v>
      </c>
      <c r="K3088" t="s">
        <v>14</v>
      </c>
      <c r="L3088" t="s">
        <v>20</v>
      </c>
      <c r="M3088" t="s">
        <v>6531</v>
      </c>
      <c r="N3088" t="s">
        <v>14</v>
      </c>
    </row>
    <row r="3089" x14ac:dyDescent="0.25">
      <c r="A3089" t="n">
        <v>25</v>
      </c>
      <c r="B3089" t="s">
        <v>14</v>
      </c>
      <c r="C3089" t="s">
        <v>51</v>
      </c>
      <c r="D3089" s="2" t="s">
        <f>=HYPERLINK("https://main.knesset.gov.il/APPS/legislation/main/bills/2218697", "הצעת חוק מס ערך מוסף (תיקון - מס בשיעור אפס על מרחבים מוגנים), התשפ""ד-2024")</f>
        <v>6548</v>
      </c>
      <c r="E3089" t="s">
        <v>6548</v>
      </c>
      <c r="F3089" t="s">
        <v>6549</v>
      </c>
      <c r="G3089" t="s">
        <v>14</v>
      </c>
      <c r="H3089">
             </c>
      <c r="I3089" t="s">
        <v>14</v>
      </c>
      <c r="J3089" t="s">
        <v>242</v>
      </c>
      <c r="K3089" t="s">
        <v>14</v>
      </c>
      <c r="L3089" t="s">
        <v>20</v>
      </c>
      <c r="M3089" t="s">
        <v>6531</v>
      </c>
      <c r="N3089" t="s">
        <v>14</v>
      </c>
    </row>
    <row r="3090" x14ac:dyDescent="0.25">
      <c r="A3090" t="n">
        <v>25</v>
      </c>
      <c r="B3090" t="s">
        <v>14</v>
      </c>
      <c r="C3090" t="s">
        <v>51</v>
      </c>
      <c r="D3090" s="2" t="s">
        <f>=HYPERLINK("https://main.knesset.gov.il/APPS/legislation/main/bills/2218159", "הצעת חוק להפסקת פעילות סוכנות הסעד והתעסוקה של האו""ם לפליטי פלסטין במזרח הקרוב (אונר""א), התשפ""ד-2024")</f>
        <v>6544</v>
      </c>
      <c r="E3090" t="s">
        <v>6544</v>
      </c>
      <c r="F3090" t="s">
        <v>6550</v>
      </c>
      <c r="G3090" t="s">
        <v>14</v>
      </c>
      <c r="H3090">
             </c>
      <c r="I3090" t="s">
        <v>14</v>
      </c>
      <c r="J3090" t="s">
        <v>242</v>
      </c>
      <c r="K3090" t="s">
        <v>14</v>
      </c>
      <c r="L3090" t="s">
        <v>20</v>
      </c>
      <c r="M3090" t="s">
        <v>6531</v>
      </c>
      <c r="N3090" t="s">
        <v>14</v>
      </c>
    </row>
    <row r="3091" x14ac:dyDescent="0.25">
      <c r="A3091" t="n">
        <v>25</v>
      </c>
      <c r="B3091" t="s">
        <v>14</v>
      </c>
      <c r="C3091" t="s">
        <v>51</v>
      </c>
      <c r="D3091" s="2" t="s">
        <f>=HYPERLINK("https://main.knesset.gov.il/APPS/legislation/main/bills/2218164", "הצעת חוק הבחירות לכנסת (תיקון - קיצור תקופת צינון לבכירים במערכת הביטחון), התשפ""ד-2024")</f>
        <v>6551</v>
      </c>
      <c r="E3091" t="s">
        <v>6551</v>
      </c>
      <c r="F3091" t="s">
        <v>6552</v>
      </c>
      <c r="G3091" t="s">
        <v>14</v>
      </c>
      <c r="H3091">
             </c>
      <c r="I3091" t="s">
        <v>14</v>
      </c>
      <c r="J3091" t="s">
        <v>242</v>
      </c>
      <c r="K3091" t="s">
        <v>14</v>
      </c>
      <c r="L3091" t="s">
        <v>20</v>
      </c>
      <c r="M3091" t="s">
        <v>6531</v>
      </c>
      <c r="N3091" t="s">
        <v>14</v>
      </c>
    </row>
    <row r="3092" x14ac:dyDescent="0.25">
      <c r="A3092" t="n">
        <v>25</v>
      </c>
      <c r="B3092" t="s">
        <v>14</v>
      </c>
      <c r="C3092" t="s">
        <v>51</v>
      </c>
      <c r="D3092" s="2" t="s">
        <f>=HYPERLINK("https://main.knesset.gov.il/APPS/legislation/main/bills/2217826", "הצעת חוק זיכרון השואה והגבורה - יד ושם (תיקון - זיכרון גבורת היהודים שהצילו את בני עמם), התשפ""ד-2024")</f>
        <v>6553</v>
      </c>
      <c r="E3092" t="s">
        <v>6553</v>
      </c>
      <c r="F3092" t="s">
        <v>6554</v>
      </c>
      <c r="G3092" t="s">
        <v>14</v>
      </c>
      <c r="H3092">
             </c>
      <c r="I3092" t="s">
        <v>14</v>
      </c>
      <c r="J3092" t="s">
        <v>242</v>
      </c>
      <c r="K3092" t="s">
        <v>14</v>
      </c>
      <c r="L3092" t="s">
        <v>20</v>
      </c>
      <c r="M3092" t="s">
        <v>6531</v>
      </c>
      <c r="N3092" t="s">
        <v>14</v>
      </c>
    </row>
    <row r="3093" x14ac:dyDescent="0.25">
      <c r="A3093" t="n">
        <v>25</v>
      </c>
      <c r="B3093" t="s">
        <v>14</v>
      </c>
      <c r="C3093" t="s">
        <v>51</v>
      </c>
      <c r="D3093" s="2" t="s">
        <f>=HYPERLINK("https://main.knesset.gov.il/APPS/legislation/main/bills/2217299", "הצעת חוק לתיקון פקודת היערות (הגברת ההגנה על עצים בוגרים), התשפ""ד-2024")</f>
        <v>6555</v>
      </c>
      <c r="E3093" t="s">
        <v>6555</v>
      </c>
      <c r="F3093" t="s">
        <v>6556</v>
      </c>
      <c r="G3093" t="s">
        <v>14</v>
      </c>
      <c r="H3093">
             </c>
      <c r="I3093" t="s">
        <v>14</v>
      </c>
      <c r="J3093" t="s">
        <v>242</v>
      </c>
      <c r="K3093" t="s">
        <v>14</v>
      </c>
      <c r="L3093" t="s">
        <v>20</v>
      </c>
      <c r="M3093" t="s">
        <v>6531</v>
      </c>
      <c r="N3093" t="s">
        <v>14</v>
      </c>
    </row>
    <row r="3094" x14ac:dyDescent="0.25">
      <c r="A3094" t="n">
        <v>25</v>
      </c>
      <c r="B3094" t="s">
        <v>14</v>
      </c>
      <c r="C3094" t="s">
        <v>51</v>
      </c>
      <c r="D3094" s="2" t="s">
        <f>=HYPERLINK("https://main.knesset.gov.il/APPS/legislation/main/bills/2218675", "הצעת חוק סדר הדין הפלילי (סמכויות אכיפה - מעצרים) (תיקון - פיצוי בשל מעצר), התשפ""ד-2024")</f>
        <v>6557</v>
      </c>
      <c r="E3094" t="s">
        <v>6557</v>
      </c>
      <c r="F3094" t="s">
        <v>6558</v>
      </c>
      <c r="G3094" t="s">
        <v>14</v>
      </c>
      <c r="H3094">
             </c>
      <c r="I3094" t="s">
        <v>14</v>
      </c>
      <c r="J3094" t="s">
        <v>242</v>
      </c>
      <c r="K3094" t="s">
        <v>14</v>
      </c>
      <c r="L3094" t="s">
        <v>20</v>
      </c>
      <c r="M3094" t="s">
        <v>6531</v>
      </c>
      <c r="N3094" t="s">
        <v>14</v>
      </c>
    </row>
    <row r="3095" x14ac:dyDescent="0.25">
      <c r="A3095" t="n">
        <v>25</v>
      </c>
      <c r="B3095" t="s">
        <v>14</v>
      </c>
      <c r="C3095" t="s">
        <v>51</v>
      </c>
      <c r="D3095" s="2" t="s">
        <f>=HYPERLINK("https://main.knesset.gov.il/APPS/legislation/main/bills/2218682", "הצעת חוק חסינות חברי הכנסת, זכויותיהם וחובותיהם (תיקון - חבר כנסת ערבי בוועדת האתיקה), התשפ""ד-2024")</f>
        <v>6559</v>
      </c>
      <c r="E3095" t="s">
        <v>6559</v>
      </c>
      <c r="F3095" t="s">
        <v>6560</v>
      </c>
      <c r="G3095" t="s">
        <v>14</v>
      </c>
      <c r="H3095">
             </c>
      <c r="I3095" t="s">
        <v>14</v>
      </c>
      <c r="J3095" t="s">
        <v>242</v>
      </c>
      <c r="K3095" t="s">
        <v>14</v>
      </c>
      <c r="L3095" t="s">
        <v>20</v>
      </c>
      <c r="M3095" t="s">
        <v>6531</v>
      </c>
      <c r="N3095" t="s">
        <v>14</v>
      </c>
    </row>
    <row r="3096" x14ac:dyDescent="0.25">
      <c r="A3096" t="n">
        <v>25</v>
      </c>
      <c r="B3096" t="s">
        <v>14</v>
      </c>
      <c r="C3096" t="s">
        <v>51</v>
      </c>
      <c r="D3096" s="2" t="s">
        <f>=HYPERLINK("https://main.knesset.gov.il/APPS/legislation/main/bills/2218302", "הצעת חוק שנת שירות, התשפ""ד-2024")</f>
        <v>5535</v>
      </c>
      <c r="E3096" t="s">
        <v>5535</v>
      </c>
      <c r="F3096" t="s">
        <v>6561</v>
      </c>
      <c r="G3096" t="s">
        <v>14</v>
      </c>
      <c r="H3096">
             </c>
      <c r="I3096" t="s">
        <v>14</v>
      </c>
      <c r="J3096" t="s">
        <v>242</v>
      </c>
      <c r="K3096" t="s">
        <v>14</v>
      </c>
      <c r="L3096" t="s">
        <v>20</v>
      </c>
      <c r="M3096" t="s">
        <v>6531</v>
      </c>
      <c r="N3096" t="s">
        <v>14</v>
      </c>
    </row>
    <row r="3097" x14ac:dyDescent="0.25">
      <c r="A3097" t="n">
        <v>25</v>
      </c>
      <c r="B3097" t="s">
        <v>14</v>
      </c>
      <c r="C3097" t="s">
        <v>51</v>
      </c>
      <c r="D3097" s="2" t="s">
        <f>=HYPERLINK("https://main.knesset.gov.il/APPS/legislation/main/bills/2218314", "הצעת חוק הטבות לניצולי שואה (תיקון - הטבות לניצולים שעלו לאחר שנת 1953), התשפ""ד-2024")</f>
        <v>6562</v>
      </c>
      <c r="E3097" t="s">
        <v>6562</v>
      </c>
      <c r="F3097" t="s">
        <v>6563</v>
      </c>
      <c r="G3097" t="s">
        <v>14</v>
      </c>
      <c r="H3097">
             </c>
      <c r="I3097" t="s">
        <v>14</v>
      </c>
      <c r="J3097" t="s">
        <v>242</v>
      </c>
      <c r="K3097" t="s">
        <v>14</v>
      </c>
      <c r="L3097" t="s">
        <v>20</v>
      </c>
      <c r="M3097" t="s">
        <v>6531</v>
      </c>
      <c r="N3097" t="s">
        <v>14</v>
      </c>
    </row>
    <row r="3098" x14ac:dyDescent="0.25">
      <c r="A3098" t="n">
        <v>25</v>
      </c>
      <c r="B3098" t="s">
        <v>14</v>
      </c>
      <c r="C3098" t="s">
        <v>51</v>
      </c>
      <c r="D3098" s="2" t="s">
        <f>=HYPERLINK("https://main.knesset.gov.il/APPS/legislation/main/bills/2218179", "הצעת חוק משפחות חיילים שנספו במערכה (תגמולים ושיקום) (תיקון - הסדרת זכויות יתומים בוגרים), התשפ""ד-2024")</f>
        <v>6564</v>
      </c>
      <c r="E3098" t="s">
        <v>6564</v>
      </c>
      <c r="F3098" t="s">
        <v>6565</v>
      </c>
      <c r="G3098" t="s">
        <v>14</v>
      </c>
      <c r="H3098">
             </c>
      <c r="I3098" t="s">
        <v>14</v>
      </c>
      <c r="J3098" t="s">
        <v>242</v>
      </c>
      <c r="K3098" t="s">
        <v>14</v>
      </c>
      <c r="L3098" t="s">
        <v>20</v>
      </c>
      <c r="M3098" t="s">
        <v>6531</v>
      </c>
      <c r="N3098" t="s">
        <v>14</v>
      </c>
    </row>
    <row r="3099" x14ac:dyDescent="0.25">
      <c r="A3099" t="n">
        <v>25</v>
      </c>
      <c r="B3099" t="s">
        <v>14</v>
      </c>
      <c r="C3099" t="s">
        <v>51</v>
      </c>
      <c r="D3099" s="2" t="s">
        <f>=HYPERLINK("https://main.knesset.gov.il/APPS/legislation/main/bills/2217293", "הצעת חוק צער בעלי חיים (הגנה על בעלי חיים) (תיקון - בעלי חיים כיצורים תחושתיים), התשפ""ד-2024")</f>
        <v>6566</v>
      </c>
      <c r="E3099" t="s">
        <v>6566</v>
      </c>
      <c r="F3099" t="s">
        <v>6567</v>
      </c>
      <c r="G3099" t="s">
        <v>14</v>
      </c>
      <c r="H3099">
             </c>
      <c r="I3099" t="s">
        <v>14</v>
      </c>
      <c r="J3099" t="s">
        <v>242</v>
      </c>
      <c r="K3099" t="s">
        <v>14</v>
      </c>
      <c r="L3099" t="s">
        <v>20</v>
      </c>
      <c r="M3099" t="s">
        <v>6531</v>
      </c>
      <c r="N3099" t="s">
        <v>14</v>
      </c>
    </row>
    <row r="3100" x14ac:dyDescent="0.25">
      <c r="A3100" t="n">
        <v>25</v>
      </c>
      <c r="B3100" t="s">
        <v>14</v>
      </c>
      <c r="C3100" t="s">
        <v>51</v>
      </c>
      <c r="D3100" s="2" t="s">
        <f>=HYPERLINK("https://main.knesset.gov.il/APPS/legislation/main/bills/2218305", "הצעת חוק הביטוח הלאומי (תיקון - מניין הימים לעניין מבוטח בשירות מילואים בנסיבות חירום), התשפ""ד-2024 ")</f>
        <v>6568</v>
      </c>
      <c r="E3100" t="s">
        <v>6568</v>
      </c>
      <c r="F3100" t="s">
        <v>6569</v>
      </c>
      <c r="G3100" t="s">
        <v>14</v>
      </c>
      <c r="H3100">
             </c>
      <c r="I3100" t="s">
        <v>14</v>
      </c>
      <c r="J3100" t="s">
        <v>242</v>
      </c>
      <c r="K3100" t="s">
        <v>14</v>
      </c>
      <c r="L3100" t="s">
        <v>20</v>
      </c>
      <c r="M3100" t="s">
        <v>6531</v>
      </c>
      <c r="N3100" t="s">
        <v>14</v>
      </c>
    </row>
    <row r="3101" x14ac:dyDescent="0.25">
      <c r="A3101" t="n">
        <v>25</v>
      </c>
      <c r="B3101" t="s">
        <v>14</v>
      </c>
      <c r="C3101" t="s">
        <v>51</v>
      </c>
      <c r="D3101" s="2" t="s">
        <f>=HYPERLINK("https://main.knesset.gov.il/APPS/legislation/main/bills/2217490", "הצעת חוק משפחות חיילים שנספו במערכה (תגמולים ושיקום) (תיקון - מלווה למימון הוצאות משק הבית לשכול ולאלמנה), התשפ״ד-2024")</f>
        <v>6570</v>
      </c>
      <c r="E3101" t="s">
        <v>6570</v>
      </c>
      <c r="F3101" t="s">
        <v>6571</v>
      </c>
      <c r="G3101" t="s">
        <v>14</v>
      </c>
      <c r="H3101">
             </c>
      <c r="I3101" t="s">
        <v>14</v>
      </c>
      <c r="J3101" t="s">
        <v>242</v>
      </c>
      <c r="K3101" t="s">
        <v>14</v>
      </c>
      <c r="L3101" t="s">
        <v>20</v>
      </c>
      <c r="M3101" t="s">
        <v>6531</v>
      </c>
      <c r="N3101" t="s">
        <v>14</v>
      </c>
    </row>
    <row r="3102" x14ac:dyDescent="0.25">
      <c r="A3102" t="n">
        <v>25</v>
      </c>
      <c r="B3102" t="s">
        <v>14</v>
      </c>
      <c r="C3102" t="s">
        <v>51</v>
      </c>
      <c r="D3102" s="2" t="s">
        <f>=HYPERLINK("https://main.knesset.gov.il/APPS/legislation/main/bills/2217286", "הצעת חוק החולה הנוטה למות (תיקון - תוקף ההנחיות המקדימות), התשפ""ד- 2024")</f>
        <v>6572</v>
      </c>
      <c r="E3102" t="s">
        <v>6572</v>
      </c>
      <c r="F3102" t="s">
        <v>6573</v>
      </c>
      <c r="G3102" t="s">
        <v>14</v>
      </c>
      <c r="H3102">
             </c>
      <c r="I3102" t="s">
        <v>14</v>
      </c>
      <c r="J3102" t="s">
        <v>242</v>
      </c>
      <c r="K3102" t="s">
        <v>14</v>
      </c>
      <c r="L3102" t="s">
        <v>20</v>
      </c>
      <c r="M3102" t="s">
        <v>6531</v>
      </c>
      <c r="N3102" t="s">
        <v>14</v>
      </c>
    </row>
    <row r="3103" x14ac:dyDescent="0.25">
      <c r="A3103" t="n">
        <v>25</v>
      </c>
      <c r="B3103" t="s">
        <v>14</v>
      </c>
      <c r="C3103" t="s">
        <v>51</v>
      </c>
      <c r="D3103" s="2" t="s">
        <f>=HYPERLINK("https://main.knesset.gov.il/APPS/legislation/main/bills/2218308", "הצעת חוק משפחות חיילים שנספו במערכה (תגמולים ושיקום) (תיקון - תגמולי הורים, יתומים ואחים שכולים), התשפ""ד-2024")</f>
        <v>1619</v>
      </c>
      <c r="E3103" t="s">
        <v>1619</v>
      </c>
      <c r="F3103" t="s">
        <v>6574</v>
      </c>
      <c r="G3103" t="s">
        <v>14</v>
      </c>
      <c r="H3103">
             </c>
      <c r="I3103" t="s">
        <v>14</v>
      </c>
      <c r="J3103" t="s">
        <v>242</v>
      </c>
      <c r="K3103" t="s">
        <v>14</v>
      </c>
      <c r="L3103" t="s">
        <v>20</v>
      </c>
      <c r="M3103" t="s">
        <v>6531</v>
      </c>
      <c r="N3103" t="s">
        <v>14</v>
      </c>
    </row>
    <row r="3104" x14ac:dyDescent="0.25">
      <c r="A3104" t="n">
        <v>25</v>
      </c>
      <c r="B3104" t="s">
        <v>14</v>
      </c>
      <c r="C3104" t="s">
        <v>51</v>
      </c>
      <c r="D3104" s="2" t="s">
        <f>=HYPERLINK("https://main.knesset.gov.il/APPS/legislation/main/bills/2215172", "הצעת חוק סדנה מורשית לשיפור כלי רכב, התשפ""ד-2024")</f>
        <v>6575</v>
      </c>
      <c r="E3104" t="s">
        <v>6575</v>
      </c>
      <c r="F3104" t="s">
        <v>6576</v>
      </c>
      <c r="G3104" t="s">
        <v>14</v>
      </c>
      <c r="H3104">
             </c>
      <c r="I3104" t="s">
        <v>14</v>
      </c>
      <c r="J3104" t="s">
        <v>152</v>
      </c>
      <c r="K3104" t="s">
        <v>84</v>
      </c>
      <c r="L3104" t="s">
        <v>20</v>
      </c>
      <c r="M3104" t="s">
        <v>6577</v>
      </c>
      <c r="N3104" t="s">
        <v>14</v>
      </c>
    </row>
    <row r="3105" x14ac:dyDescent="0.25">
      <c r="A3105" t="n">
        <v>25</v>
      </c>
      <c r="B3105" t="s">
        <v>14</v>
      </c>
      <c r="C3105" t="s">
        <v>51</v>
      </c>
      <c r="D3105" s="2" t="s">
        <f>=HYPERLINK("https://main.knesset.gov.il/APPS/legislation/main/bills/2213828", "הצעת חוק רשות מקרקעי ישראל (תיקון - העדפת רכישת קרקע בפריפריה לחיילי מילואים), התשפ""ד-2024")</f>
        <v>1076</v>
      </c>
      <c r="E3105" t="s">
        <v>1076</v>
      </c>
      <c r="F3105" t="s">
        <v>6578</v>
      </c>
      <c r="G3105" t="s">
        <v>14</v>
      </c>
      <c r="H3105">
             </c>
      <c r="I3105" t="s">
        <v>14</v>
      </c>
      <c r="J3105" t="s">
        <v>193</v>
      </c>
      <c r="K3105" t="s">
        <v>14</v>
      </c>
      <c r="L3105" t="s">
        <v>20</v>
      </c>
      <c r="M3105" t="s">
        <v>6577</v>
      </c>
      <c r="N3105" t="s">
        <v>14</v>
      </c>
    </row>
    <row r="3106" x14ac:dyDescent="0.25">
      <c r="A3106" t="n">
        <v>25</v>
      </c>
      <c r="B3106" t="s">
        <v>14</v>
      </c>
      <c r="C3106" t="s">
        <v>51</v>
      </c>
      <c r="D3106" s="2" t="s">
        <f>=HYPERLINK("https://main.knesset.gov.il/APPS/legislation/main/bills/2214308", "הצעת חוק המאבק בטרור (תיקון - סנקציות על מוסדות פיננסיים), התשפ""ד-2024")</f>
        <v>6015</v>
      </c>
      <c r="E3106" t="s">
        <v>6015</v>
      </c>
      <c r="F3106" t="s">
        <v>6579</v>
      </c>
      <c r="G3106" t="s">
        <v>14</v>
      </c>
      <c r="H3106">
             </c>
      <c r="I3106" t="s">
        <v>14</v>
      </c>
      <c r="J3106" t="s">
        <v>152</v>
      </c>
      <c r="K3106" t="s">
        <v>39</v>
      </c>
      <c r="L3106" t="s">
        <v>20</v>
      </c>
      <c r="M3106" t="s">
        <v>6577</v>
      </c>
      <c r="N3106" t="s">
        <v>14</v>
      </c>
    </row>
    <row r="3107" x14ac:dyDescent="0.25">
      <c r="A3107" t="n">
        <v>25</v>
      </c>
      <c r="B3107" t="s">
        <v>14</v>
      </c>
      <c r="C3107" t="s">
        <v>51</v>
      </c>
      <c r="D3107" s="2" t="s">
        <f>=HYPERLINK("https://main.knesset.gov.il/APPS/legislation/main/bills/2213796", "הצעת חוק הביטוח הלאומי (תיקון - תגמולים למשרתים במילואים) (הוראת שעה - חרבות ברזל), התשפ""ד-2024")</f>
        <v>6580</v>
      </c>
      <c r="E3107" t="s">
        <v>6580</v>
      </c>
      <c r="F3107" t="s">
        <v>6581</v>
      </c>
      <c r="G3107" t="s">
        <v>14</v>
      </c>
      <c r="H3107">
             </c>
      <c r="I3107" t="s">
        <v>14</v>
      </c>
      <c r="J3107" t="s">
        <v>193</v>
      </c>
      <c r="K3107" t="s">
        <v>14</v>
      </c>
      <c r="L3107" t="s">
        <v>20</v>
      </c>
      <c r="M3107" t="s">
        <v>6577</v>
      </c>
      <c r="N3107" t="s">
        <v>14</v>
      </c>
    </row>
    <row r="3108" x14ac:dyDescent="0.25">
      <c r="A3108" t="n">
        <v>25</v>
      </c>
      <c r="B3108" t="s">
        <v>14</v>
      </c>
      <c r="C3108" t="s">
        <v>51</v>
      </c>
      <c r="D3108" s="2" t="s">
        <f>=HYPERLINK("https://main.knesset.gov.il/APPS/legislation/main/bills/2202905", "הצעת חוק המאבק בטרור (תיקון - סנקציות על מוסדות פיננסיים), התשפ""ד-2024")</f>
        <v>6015</v>
      </c>
      <c r="E3108" t="s">
        <v>6015</v>
      </c>
      <c r="F3108" t="s">
        <v>6582</v>
      </c>
      <c r="G3108" t="s">
        <v>14</v>
      </c>
      <c r="H3108">
             </c>
      <c r="I3108" t="s">
        <v>14</v>
      </c>
      <c r="J3108" t="s">
        <v>152</v>
      </c>
      <c r="K3108" t="s">
        <v>39</v>
      </c>
      <c r="L3108" t="s">
        <v>20</v>
      </c>
      <c r="M3108" t="s">
        <v>6577</v>
      </c>
      <c r="N3108" t="s">
        <v>14</v>
      </c>
    </row>
    <row r="3109" x14ac:dyDescent="0.25">
      <c r="A3109" t="n">
        <v>25</v>
      </c>
      <c r="B3109" t="s">
        <v>14</v>
      </c>
      <c r="C3109" t="s">
        <v>51</v>
      </c>
      <c r="D3109" s="2" t="s">
        <f>=HYPERLINK("https://main.knesset.gov.il/APPS/legislation/main/bills/2212237", "הצעת חוק-יסוד: הממשלה (תיקון - חובת מינוי ממלא מקום ראש הממשלה)")</f>
        <v>2707</v>
      </c>
      <c r="E3109" t="s">
        <v>2707</v>
      </c>
      <c r="F3109" t="s">
        <v>6583</v>
      </c>
      <c r="G3109" t="s">
        <v>14</v>
      </c>
      <c r="H3109">
             </c>
      <c r="I3109" t="s">
        <v>14</v>
      </c>
      <c r="J3109" t="s">
        <v>193</v>
      </c>
      <c r="K3109" t="s">
        <v>14</v>
      </c>
      <c r="L3109" t="s">
        <v>20</v>
      </c>
      <c r="M3109" t="s">
        <v>6577</v>
      </c>
      <c r="N3109" t="s">
        <v>14</v>
      </c>
    </row>
    <row r="3110" x14ac:dyDescent="0.25">
      <c r="A3110" t="n">
        <v>25</v>
      </c>
      <c r="B3110" t="s">
        <v>14</v>
      </c>
      <c r="C3110" t="s">
        <v>51</v>
      </c>
      <c r="D3110" s="2" t="s">
        <f>=HYPERLINK("https://main.knesset.gov.il/APPS/legislation/main/bills/2203240", "הצעת חוק ביטוח בריאות ממלכתי (תיקון - בחירה מבין נותני השירותים), התשפ""ג-2023")</f>
        <v>6584</v>
      </c>
      <c r="E3110" t="s">
        <v>6584</v>
      </c>
      <c r="F3110" t="s">
        <v>6585</v>
      </c>
      <c r="G3110" t="s">
        <v>14</v>
      </c>
      <c r="H3110">
             </c>
      <c r="I3110" t="s">
        <v>14</v>
      </c>
      <c r="J3110" t="s">
        <v>193</v>
      </c>
      <c r="K3110" t="s">
        <v>14</v>
      </c>
      <c r="L3110" t="s">
        <v>20</v>
      </c>
      <c r="M3110" t="s">
        <v>6577</v>
      </c>
      <c r="N3110" t="s">
        <v>14</v>
      </c>
    </row>
    <row r="3111" x14ac:dyDescent="0.25">
      <c r="A3111" t="n">
        <v>25</v>
      </c>
      <c r="B3111" t="s">
        <v>14</v>
      </c>
      <c r="C3111" t="s">
        <v>51</v>
      </c>
      <c r="D3111" s="2" t="s">
        <f>=HYPERLINK("https://main.knesset.gov.il/APPS/legislation/main/bills/2199957", "הצעת חוק-יסוד: הממשלה (תיקון - חובת מינוי ממלא מקום ראש הממשלה)")</f>
        <v>2707</v>
      </c>
      <c r="E3111" t="s">
        <v>2707</v>
      </c>
      <c r="F3111" t="s">
        <v>6586</v>
      </c>
      <c r="G3111" t="s">
        <v>14</v>
      </c>
      <c r="H3111">
             </c>
      <c r="I3111" t="s">
        <v>14</v>
      </c>
      <c r="J3111" t="s">
        <v>193</v>
      </c>
      <c r="K3111" t="s">
        <v>14</v>
      </c>
      <c r="L3111" t="s">
        <v>20</v>
      </c>
      <c r="M3111" t="s">
        <v>6577</v>
      </c>
      <c r="N3111" t="s">
        <v>14</v>
      </c>
    </row>
    <row r="3112" x14ac:dyDescent="0.25">
      <c r="A3112" t="n">
        <v>25</v>
      </c>
      <c r="B3112" t="s">
        <v>14</v>
      </c>
      <c r="C3112" t="s">
        <v>51</v>
      </c>
      <c r="D3112" s="2" t="s">
        <f>=HYPERLINK("https://main.knesset.gov.il/APPS/legislation/main/bills/2201387", "הצעת חוק העונשין (תיקון - הגנה על בסיסי צה""ל, שטחי אש, תחנות משטרה ומתקנים ביטחוניים), התשפ""ג-2023 ")</f>
        <v>6587</v>
      </c>
      <c r="E3112" t="s">
        <v>6587</v>
      </c>
      <c r="F3112" t="s">
        <v>6588</v>
      </c>
      <c r="G3112" t="s">
        <v>14</v>
      </c>
      <c r="H3112">
             </c>
      <c r="I3112" t="s">
        <v>14</v>
      </c>
      <c r="J3112" t="s">
        <v>152</v>
      </c>
      <c r="K3112" t="s">
        <v>19</v>
      </c>
      <c r="L3112" t="s">
        <v>20</v>
      </c>
      <c r="M3112" t="s">
        <v>6589</v>
      </c>
      <c r="N3112" t="s">
        <v>14</v>
      </c>
    </row>
    <row r="3113" x14ac:dyDescent="0.25">
      <c r="A3113" t="n">
        <v>25</v>
      </c>
      <c r="B3113" t="s">
        <v>14</v>
      </c>
      <c r="C3113" t="s">
        <v>51</v>
      </c>
      <c r="D3113" s="2" t="s">
        <f>=HYPERLINK("https://main.knesset.gov.il/APPS/legislation/main/bills/2209485", "הצעת חוק התקנת מצלמות לשם הגנה על פעוטות במעונות יום לפעוטות (תיקון - החלה על גני ילדים והגברת האכיפה), התשפ""ד-2023")</f>
        <v>6590</v>
      </c>
      <c r="E3113" t="s">
        <v>6590</v>
      </c>
      <c r="F3113" t="s">
        <v>6591</v>
      </c>
      <c r="G3113" t="s">
        <v>14</v>
      </c>
      <c r="H3113">
             </c>
      <c r="I3113" t="s">
        <v>14</v>
      </c>
      <c r="J3113" t="s">
        <v>183</v>
      </c>
      <c r="K3113" t="s">
        <v>79</v>
      </c>
      <c r="L3113" t="s">
        <v>20</v>
      </c>
      <c r="M3113" t="s">
        <v>6589</v>
      </c>
      <c r="N3113" t="s">
        <v>14</v>
      </c>
    </row>
    <row r="3114" x14ac:dyDescent="0.25">
      <c r="A3114" t="n">
        <v>25</v>
      </c>
      <c r="B3114" t="s">
        <v>14</v>
      </c>
      <c r="C3114" t="s">
        <v>51</v>
      </c>
      <c r="D3114" s="2" t="s">
        <f>=HYPERLINK("https://main.knesset.gov.il/APPS/legislation/main/bills/2207037", "הצעת חוק התקנת מצלמות לשם הגנה על פעוטות במעונות יום לפעוטות (תיקון - החלה על גני ילדים והגברת האכיפה), התשפ""ג-2023")</f>
        <v>6592</v>
      </c>
      <c r="E3114" t="s">
        <v>6592</v>
      </c>
      <c r="F3114" t="s">
        <v>6593</v>
      </c>
      <c r="G3114" t="s">
        <v>14</v>
      </c>
      <c r="H3114">
             </c>
      <c r="I3114" t="s">
        <v>14</v>
      </c>
      <c r="J3114" t="s">
        <v>183</v>
      </c>
      <c r="K3114" t="s">
        <v>79</v>
      </c>
      <c r="L3114" t="s">
        <v>20</v>
      </c>
      <c r="M3114" t="s">
        <v>6589</v>
      </c>
      <c r="N3114" t="s">
        <v>14</v>
      </c>
    </row>
    <row r="3115" x14ac:dyDescent="0.25">
      <c r="A3115" t="n">
        <v>25</v>
      </c>
      <c r="B3115" t="s">
        <v>14</v>
      </c>
      <c r="C3115" t="s">
        <v>51</v>
      </c>
      <c r="D3115" s="2" t="s">
        <f>=HYPERLINK("https://main.knesset.gov.il/APPS/legislation/main/bills/2216636", "הצעת חוק תשלומים לפדויי שבי (תיקון - סכומי התשלומים ומועדיהם), התשפ""ד-2024")</f>
        <v>6594</v>
      </c>
      <c r="E3115" t="s">
        <v>6594</v>
      </c>
      <c r="F3115" t="s">
        <v>6595</v>
      </c>
      <c r="G3115" t="s">
        <v>14</v>
      </c>
      <c r="H3115">
             </c>
      <c r="I3115" t="s">
        <v>14</v>
      </c>
      <c r="J3115" t="s">
        <v>183</v>
      </c>
      <c r="K3115" t="s">
        <v>46</v>
      </c>
      <c r="L3115" t="s">
        <v>20</v>
      </c>
      <c r="M3115" t="s">
        <v>6589</v>
      </c>
      <c r="N3115" t="s">
        <v>14</v>
      </c>
    </row>
    <row r="3116" x14ac:dyDescent="0.25">
      <c r="A3116" t="n">
        <v>25</v>
      </c>
      <c r="B3116" t="s">
        <v>14</v>
      </c>
      <c r="C3116" t="s">
        <v>51</v>
      </c>
      <c r="D3116" s="2" t="s">
        <f>=HYPERLINK("https://main.knesset.gov.il/APPS/legislation/main/bills/2214910", "הצעת חוק הפסקת הליכים ומחיקת רישומים בעניין המחאה כנגד אלימות משטרתית כלפי יוצאי אתיופיה, התשפ""ד-2024")</f>
        <v>6596</v>
      </c>
      <c r="E3116" t="s">
        <v>6596</v>
      </c>
      <c r="F3116" t="s">
        <v>6597</v>
      </c>
      <c r="G3116" t="s">
        <v>14</v>
      </c>
      <c r="H3116">
             </c>
      <c r="I3116" t="s">
        <v>14</v>
      </c>
      <c r="J3116" t="s">
        <v>183</v>
      </c>
      <c r="K3116" t="s">
        <v>27</v>
      </c>
      <c r="L3116" t="s">
        <v>20</v>
      </c>
      <c r="M3116" t="s">
        <v>6589</v>
      </c>
      <c r="N3116" t="s">
        <v>14</v>
      </c>
    </row>
    <row r="3117" x14ac:dyDescent="0.25">
      <c r="A3117" t="n">
        <v>25</v>
      </c>
      <c r="B3117" t="s">
        <v>14</v>
      </c>
      <c r="C3117" t="s">
        <v>51</v>
      </c>
      <c r="D3117" s="2" t="s">
        <f>=HYPERLINK("https://main.knesset.gov.il/APPS/legislation/main/bills/2214950", "הצעת חוק הפסקת הליכים ומחיקת רישומים בעניין עבירה על רקע מחאות יוצאי אתיופיה, התשפ""ד-2024")</f>
        <v>6598</v>
      </c>
      <c r="E3117" t="s">
        <v>6598</v>
      </c>
      <c r="F3117" t="s">
        <v>6599</v>
      </c>
      <c r="G3117" t="s">
        <v>14</v>
      </c>
      <c r="H3117">
             </c>
      <c r="I3117" t="s">
        <v>14</v>
      </c>
      <c r="J3117" t="s">
        <v>183</v>
      </c>
      <c r="K3117" t="s">
        <v>27</v>
      </c>
      <c r="L3117" t="s">
        <v>20</v>
      </c>
      <c r="M3117" t="s">
        <v>6589</v>
      </c>
      <c r="N3117" t="s">
        <v>14</v>
      </c>
    </row>
    <row r="3118" x14ac:dyDescent="0.25">
      <c r="A3118" t="n">
        <v>25</v>
      </c>
      <c r="B3118" t="s">
        <v>14</v>
      </c>
      <c r="C3118" t="s">
        <v>51</v>
      </c>
      <c r="D3118" s="2" t="s">
        <f>=HYPERLINK("https://main.knesset.gov.il/APPS/legislation/main/bills/2214873", "חוק החיילים המשוחררים (החזרה לעבודה) (תיקון מס' 19 והוראת שעה), התשפ""ד–2024")</f>
        <v>6600</v>
      </c>
      <c r="E3118" t="s">
        <v>6600</v>
      </c>
      <c r="F3118" t="s">
        <v>6601</v>
      </c>
      <c r="G3118" t="s">
        <v>6602</v>
      </c>
      <c r="H3118" t="n">
        <v>3216</v>
      </c>
      <c r="I3118" t="s">
        <v>14</v>
      </c>
      <c r="J3118" t="s">
        <v>18</v>
      </c>
      <c r="K3118" t="s">
        <v>46</v>
      </c>
      <c r="L3118" t="s">
        <v>20</v>
      </c>
      <c r="M3118" t="s">
        <v>6589</v>
      </c>
      <c r="N3118" t="s">
        <v>6603</v>
      </c>
    </row>
    <row r="3119" x14ac:dyDescent="0.25">
      <c r="A3119" t="n">
        <v>25</v>
      </c>
      <c r="B3119" t="s">
        <v>14</v>
      </c>
      <c r="C3119" t="s">
        <v>15</v>
      </c>
      <c r="D3119" s="2" t="s">
        <f>=HYPERLINK("https://main.knesset.gov.il/APPS/legislation/main/bills/2218092", "חוק לתיקון פקודת בתי הסוהר (מס' 64 – הוראת שעה – חרבות ברזל) (מצב חירום כליאתי) (תיקון מס' 2), התשפ""ד–2024")</f>
        <v>6604</v>
      </c>
      <c r="E3119" t="s">
        <v>6604</v>
      </c>
      <c r="F3119" t="s">
        <v>14</v>
      </c>
      <c r="G3119" t="s">
        <v>6605</v>
      </c>
      <c r="H3119" t="n">
        <v>3215</v>
      </c>
      <c r="I3119" t="s">
        <v>14</v>
      </c>
      <c r="J3119" t="s">
        <v>18</v>
      </c>
      <c r="K3119" t="s">
        <v>19</v>
      </c>
      <c r="L3119" t="s">
        <v>20</v>
      </c>
      <c r="M3119" t="s">
        <v>6589</v>
      </c>
      <c r="N3119" t="s">
        <v>6606</v>
      </c>
    </row>
    <row r="3120" x14ac:dyDescent="0.25">
      <c r="A3120" t="n">
        <v>25</v>
      </c>
      <c r="B3120" t="s">
        <v>14</v>
      </c>
      <c r="C3120" t="s">
        <v>51</v>
      </c>
      <c r="D3120" s="2" t="s">
        <f>=HYPERLINK("https://main.knesset.gov.il/APPS/legislation/main/bills/2218205", "הצעת חוק משפחות חיילים שנספו במערכה (תגמולים ושיקום) (תיקון - מעטפת שיקומית לאחים שכולים), התשפ""ד-2024")</f>
        <v>6489</v>
      </c>
      <c r="E3120" t="s">
        <v>6489</v>
      </c>
      <c r="F3120" t="s">
        <v>6607</v>
      </c>
      <c r="G3120" t="s">
        <v>14</v>
      </c>
      <c r="H3120">
             </c>
      <c r="I3120" t="s">
        <v>14</v>
      </c>
      <c r="J3120" t="s">
        <v>242</v>
      </c>
      <c r="K3120" t="s">
        <v>14</v>
      </c>
      <c r="L3120" t="s">
        <v>20</v>
      </c>
      <c r="M3120" t="s">
        <v>6608</v>
      </c>
      <c r="N3120" t="s">
        <v>14</v>
      </c>
    </row>
    <row r="3121" x14ac:dyDescent="0.25">
      <c r="A3121" t="n">
        <v>25</v>
      </c>
      <c r="B3121" t="s">
        <v>14</v>
      </c>
      <c r="C3121" t="s">
        <v>51</v>
      </c>
      <c r="D3121" s="2" t="s">
        <f>=HYPERLINK("https://main.knesset.gov.il/APPS/legislation/main/bills/2213961", "חוק הכניסה לישראל (תיקון מס' 39), התשפ""ד–2024")</f>
        <v>6609</v>
      </c>
      <c r="E3121" t="s">
        <v>6609</v>
      </c>
      <c r="F3121" t="s">
        <v>6610</v>
      </c>
      <c r="G3121" t="s">
        <v>6611</v>
      </c>
      <c r="H3121" t="n">
        <v>3214</v>
      </c>
      <c r="I3121" t="s">
        <v>14</v>
      </c>
      <c r="J3121" t="s">
        <v>18</v>
      </c>
      <c r="K3121" t="s">
        <v>19</v>
      </c>
      <c r="L3121" t="s">
        <v>20</v>
      </c>
      <c r="M3121" t="s">
        <v>6612</v>
      </c>
      <c r="N3121" t="s">
        <v>6613</v>
      </c>
    </row>
    <row r="3122" x14ac:dyDescent="0.25">
      <c r="A3122" t="n">
        <v>25</v>
      </c>
      <c r="B3122" t="s">
        <v>14</v>
      </c>
      <c r="C3122" t="s">
        <v>51</v>
      </c>
      <c r="D3122" s="2" t="s">
        <f>=HYPERLINK("https://main.knesset.gov.il/APPS/legislation/main/bills/2214117", "הצעת חוק אספקת החשמל, התשפ""ד-2024")</f>
        <v>6614</v>
      </c>
      <c r="E3122" t="s">
        <v>6614</v>
      </c>
      <c r="F3122" t="s">
        <v>6615</v>
      </c>
      <c r="G3122" t="s">
        <v>14</v>
      </c>
      <c r="H3122">
             </c>
      <c r="I3122" t="s">
        <v>14</v>
      </c>
      <c r="J3122" t="s">
        <v>193</v>
      </c>
      <c r="K3122" t="s">
        <v>14</v>
      </c>
      <c r="L3122" t="s">
        <v>20</v>
      </c>
      <c r="M3122" t="s">
        <v>6612</v>
      </c>
      <c r="N3122" t="s">
        <v>14</v>
      </c>
    </row>
    <row r="3123" x14ac:dyDescent="0.25">
      <c r="A3123" t="n">
        <v>25</v>
      </c>
      <c r="B3123" t="s">
        <v>14</v>
      </c>
      <c r="C3123" t="s">
        <v>51</v>
      </c>
      <c r="D3123" s="2" t="s">
        <f>=HYPERLINK("https://main.knesset.gov.il/APPS/legislation/main/bills/2212239", "הצעת חוק-יסוד: הממשלה (תיקון - הפסקת כהונה של ראש הממשלה או שר מחמת הגשת כתב אישום)")</f>
        <v>5501</v>
      </c>
      <c r="E3123" t="s">
        <v>5501</v>
      </c>
      <c r="F3123" t="s">
        <v>6616</v>
      </c>
      <c r="G3123" t="s">
        <v>14</v>
      </c>
      <c r="H3123">
             </c>
      <c r="I3123" t="s">
        <v>14</v>
      </c>
      <c r="J3123" t="s">
        <v>193</v>
      </c>
      <c r="K3123" t="s">
        <v>14</v>
      </c>
      <c r="L3123" t="s">
        <v>20</v>
      </c>
      <c r="M3123" t="s">
        <v>6612</v>
      </c>
      <c r="N3123" t="s">
        <v>14</v>
      </c>
    </row>
    <row r="3124" x14ac:dyDescent="0.25">
      <c r="A3124" t="n">
        <v>25</v>
      </c>
      <c r="B3124" t="s">
        <v>14</v>
      </c>
      <c r="C3124" t="s">
        <v>51</v>
      </c>
      <c r="D3124" s="2" t="s">
        <f>=HYPERLINK("https://main.knesset.gov.il/APPS/legislation/main/bills/2209177", "הצעת חוק לחלוקה הוגנת של מזונות, התשפ""ג-2023")</f>
        <v>6617</v>
      </c>
      <c r="E3124" t="s">
        <v>6617</v>
      </c>
      <c r="F3124" t="s">
        <v>6618</v>
      </c>
      <c r="G3124" t="s">
        <v>14</v>
      </c>
      <c r="H3124">
             </c>
      <c r="I3124" t="s">
        <v>14</v>
      </c>
      <c r="J3124" t="s">
        <v>202</v>
      </c>
      <c r="K3124" t="s">
        <v>14</v>
      </c>
      <c r="L3124" t="s">
        <v>20</v>
      </c>
      <c r="M3124" t="s">
        <v>6612</v>
      </c>
      <c r="N3124" t="s">
        <v>14</v>
      </c>
    </row>
    <row r="3125" x14ac:dyDescent="0.25">
      <c r="A3125" t="n">
        <v>25</v>
      </c>
      <c r="B3125" t="s">
        <v>14</v>
      </c>
      <c r="C3125" t="s">
        <v>51</v>
      </c>
      <c r="D3125" s="2" t="s">
        <f>=HYPERLINK("https://main.knesset.gov.il/APPS/legislation/main/bills/2199128", "הצעת חוק הביטוח הלאומי (תיקון - תשלום קצבת ילדים לאחר גיל 18 בעד ילד המשרת בשירות צבאי, לאומי או אזרחי), התשפ""ג-2023")</f>
        <v>6619</v>
      </c>
      <c r="E3125" t="s">
        <v>6619</v>
      </c>
      <c r="F3125" t="s">
        <v>6620</v>
      </c>
      <c r="G3125" t="s">
        <v>14</v>
      </c>
      <c r="H3125">
             </c>
      <c r="I3125" t="s">
        <v>14</v>
      </c>
      <c r="J3125" t="s">
        <v>193</v>
      </c>
      <c r="K3125" t="s">
        <v>14</v>
      </c>
      <c r="L3125" t="s">
        <v>20</v>
      </c>
      <c r="M3125" t="s">
        <v>6612</v>
      </c>
      <c r="N3125" t="s">
        <v>14</v>
      </c>
    </row>
    <row r="3126" x14ac:dyDescent="0.25">
      <c r="A3126" t="n">
        <v>25</v>
      </c>
      <c r="B3126" t="s">
        <v>14</v>
      </c>
      <c r="C3126" t="s">
        <v>51</v>
      </c>
      <c r="D3126" s="2" t="s">
        <f>=HYPERLINK("https://main.knesset.gov.il/APPS/legislation/main/bills/2203085", "הצעת חוק הגנה על זכויות ילדים נפגעי עבירת המתה בדירת המשפחה, התשפ""ד-2024")</f>
        <v>6621</v>
      </c>
      <c r="E3126" t="s">
        <v>6621</v>
      </c>
      <c r="F3126" t="s">
        <v>6622</v>
      </c>
      <c r="G3126" t="s">
        <v>14</v>
      </c>
      <c r="H3126">
             </c>
      <c r="I3126" t="s">
        <v>14</v>
      </c>
      <c r="J3126" t="s">
        <v>183</v>
      </c>
      <c r="K3126" t="s">
        <v>27</v>
      </c>
      <c r="L3126" t="s">
        <v>20</v>
      </c>
      <c r="M3126" t="s">
        <v>6623</v>
      </c>
      <c r="N3126" t="s">
        <v>14</v>
      </c>
    </row>
    <row r="3127" x14ac:dyDescent="0.25">
      <c r="A3127" t="n">
        <v>25</v>
      </c>
      <c r="B3127" t="s">
        <v>14</v>
      </c>
      <c r="C3127" t="s">
        <v>51</v>
      </c>
      <c r="D3127" s="2" t="s">
        <f>=HYPERLINK("https://main.knesset.gov.il/APPS/legislation/main/bills/2198602", "הצעת חוק הירושה (תיקון - פסלות לרשת ומניעת עסקאות בזכות יורש שהמית את המוריש), התשפ""ג-2023")</f>
        <v>6624</v>
      </c>
      <c r="E3127" t="s">
        <v>6624</v>
      </c>
      <c r="F3127" t="s">
        <v>6625</v>
      </c>
      <c r="G3127" t="s">
        <v>14</v>
      </c>
      <c r="H3127">
             </c>
      <c r="I3127" t="s">
        <v>14</v>
      </c>
      <c r="J3127" t="s">
        <v>183</v>
      </c>
      <c r="K3127" t="s">
        <v>27</v>
      </c>
      <c r="L3127" t="s">
        <v>20</v>
      </c>
      <c r="M3127" t="s">
        <v>6623</v>
      </c>
      <c r="N3127" t="s">
        <v>14</v>
      </c>
    </row>
    <row r="3128" x14ac:dyDescent="0.25">
      <c r="A3128" t="n">
        <v>25</v>
      </c>
      <c r="B3128" t="s">
        <v>14</v>
      </c>
      <c r="C3128" t="s">
        <v>15</v>
      </c>
      <c r="D3128" s="2" t="s">
        <f>=HYPERLINK("https://main.knesset.gov.il/APPS/legislation/main/bills/2216512", "חוק הסדרת העיסוק במקצועות הבריאות (תיקון מס' 10), התשפ""ד-2024")</f>
        <v>6626</v>
      </c>
      <c r="E3128" t="s">
        <v>6626</v>
      </c>
      <c r="F3128" t="s">
        <v>14</v>
      </c>
      <c r="G3128" t="s">
        <v>6627</v>
      </c>
      <c r="H3128" t="n">
        <v>3213</v>
      </c>
      <c r="I3128" t="s">
        <v>14</v>
      </c>
      <c r="J3128" t="s">
        <v>18</v>
      </c>
      <c r="K3128" t="s">
        <v>361</v>
      </c>
      <c r="L3128" t="s">
        <v>20</v>
      </c>
      <c r="M3128" t="s">
        <v>6623</v>
      </c>
      <c r="N3128" t="s">
        <v>6628</v>
      </c>
    </row>
    <row r="3129" x14ac:dyDescent="0.25">
      <c r="A3129" t="n">
        <v>25</v>
      </c>
      <c r="B3129" t="s">
        <v>14</v>
      </c>
      <c r="C3129" t="s">
        <v>15</v>
      </c>
      <c r="D3129" s="2" t="s">
        <f>=HYPERLINK("https://main.knesset.gov.il/APPS/legislation/main/bills/2217542", "חוק להסדרת אירוע הילולת רבי שמעון בר יוחאי בהר מירון (הוראת שעה), התשפ""ד–2024 ")</f>
        <v>6629</v>
      </c>
      <c r="E3129" t="s">
        <v>6629</v>
      </c>
      <c r="F3129" t="s">
        <v>14</v>
      </c>
      <c r="G3129" t="s">
        <v>6630</v>
      </c>
      <c r="H3129" t="n">
        <v>3212</v>
      </c>
      <c r="I3129" t="s">
        <v>14</v>
      </c>
      <c r="J3129" t="s">
        <v>18</v>
      </c>
      <c r="K3129" t="s">
        <v>19</v>
      </c>
      <c r="L3129" t="s">
        <v>20</v>
      </c>
      <c r="M3129" t="s">
        <v>6623</v>
      </c>
      <c r="N3129" t="s">
        <v>6631</v>
      </c>
    </row>
    <row r="3130" x14ac:dyDescent="0.25">
      <c r="A3130" t="n">
        <v>25</v>
      </c>
      <c r="B3130" t="s">
        <v>14</v>
      </c>
      <c r="C3130" t="s">
        <v>51</v>
      </c>
      <c r="D3130" s="2" t="s">
        <f>=HYPERLINK("https://main.knesset.gov.il/APPS/legislation/main/bills/2215539", "הצעת חוק סיוע למשפחות נפגעי מאורעות ה-7 באוקטובר, התשפ""ד-2024")</f>
        <v>6632</v>
      </c>
      <c r="E3130" t="s">
        <v>6632</v>
      </c>
      <c r="F3130" t="s">
        <v>6633</v>
      </c>
      <c r="G3130" t="s">
        <v>14</v>
      </c>
      <c r="H3130">
             </c>
      <c r="I3130" t="s">
        <v>14</v>
      </c>
      <c r="J3130" t="s">
        <v>152</v>
      </c>
      <c r="K3130" t="s">
        <v>46</v>
      </c>
      <c r="L3130" t="s">
        <v>20</v>
      </c>
      <c r="M3130" t="s">
        <v>6634</v>
      </c>
      <c r="N3130" t="s">
        <v>14</v>
      </c>
    </row>
    <row r="3131" x14ac:dyDescent="0.25">
      <c r="A3131" t="n">
        <v>25</v>
      </c>
      <c r="B3131" t="s">
        <v>14</v>
      </c>
      <c r="C3131" t="s">
        <v>51</v>
      </c>
      <c r="D3131" s="2" t="s">
        <f>=HYPERLINK("https://main.knesset.gov.il/APPS/legislation/main/bills/2199476", "הצעת חוק יום בריאות הנפש, התשפ""ג-2023")</f>
        <v>6635</v>
      </c>
      <c r="E3131" t="s">
        <v>6635</v>
      </c>
      <c r="F3131" t="s">
        <v>6636</v>
      </c>
      <c r="G3131" t="s">
        <v>14</v>
      </c>
      <c r="H3131">
             </c>
      <c r="I3131" t="s">
        <v>14</v>
      </c>
      <c r="J3131" t="s">
        <v>183</v>
      </c>
      <c r="K3131" t="s">
        <v>79</v>
      </c>
      <c r="L3131" t="s">
        <v>20</v>
      </c>
      <c r="M3131" t="s">
        <v>6634</v>
      </c>
      <c r="N3131" t="s">
        <v>14</v>
      </c>
    </row>
    <row r="3132" x14ac:dyDescent="0.25">
      <c r="A3132" t="n">
        <v>25</v>
      </c>
      <c r="B3132" t="s">
        <v>14</v>
      </c>
      <c r="C3132" t="s">
        <v>51</v>
      </c>
      <c r="D3132" s="2" t="s">
        <f>=HYPERLINK("https://main.knesset.gov.il/APPS/legislation/main/bills/2216959", "הצעת חוק הנוער (טיפול והשגחה) (תיקון - תינוקות בודדים), התשפ""ד-2024")</f>
        <v>6637</v>
      </c>
      <c r="E3132" t="s">
        <v>6637</v>
      </c>
      <c r="F3132" t="s">
        <v>6638</v>
      </c>
      <c r="G3132" t="s">
        <v>14</v>
      </c>
      <c r="H3132">
             </c>
      <c r="I3132" t="s">
        <v>14</v>
      </c>
      <c r="J3132" t="s">
        <v>242</v>
      </c>
      <c r="K3132" t="s">
        <v>14</v>
      </c>
      <c r="L3132" t="s">
        <v>20</v>
      </c>
      <c r="M3132" t="s">
        <v>6634</v>
      </c>
      <c r="N3132" t="s">
        <v>14</v>
      </c>
    </row>
    <row r="3133" x14ac:dyDescent="0.25">
      <c r="A3133" t="n">
        <v>25</v>
      </c>
      <c r="B3133" t="s">
        <v>14</v>
      </c>
      <c r="C3133" t="s">
        <v>51</v>
      </c>
      <c r="D3133" s="2" t="s">
        <f>=HYPERLINK("https://main.knesset.gov.il/APPS/legislation/main/bills/2217247", "הצעת חוק משפחות חיילים שנספו במערכה (תגמולים ושיקום) (תיקון - תגמולי הורים, יתומים ואחים שכולים), התשפ""ד -2024")</f>
        <v>6639</v>
      </c>
      <c r="E3133" t="s">
        <v>6639</v>
      </c>
      <c r="F3133" t="s">
        <v>6640</v>
      </c>
      <c r="G3133" t="s">
        <v>14</v>
      </c>
      <c r="H3133">
             </c>
      <c r="I3133" t="s">
        <v>14</v>
      </c>
      <c r="J3133" t="s">
        <v>242</v>
      </c>
      <c r="K3133" t="s">
        <v>14</v>
      </c>
      <c r="L3133" t="s">
        <v>20</v>
      </c>
      <c r="M3133" t="s">
        <v>6634</v>
      </c>
      <c r="N3133" t="s">
        <v>14</v>
      </c>
    </row>
    <row r="3134" x14ac:dyDescent="0.25">
      <c r="A3134" t="n">
        <v>25</v>
      </c>
      <c r="B3134" t="s">
        <v>14</v>
      </c>
      <c r="C3134" t="s">
        <v>51</v>
      </c>
      <c r="D3134" s="2" t="s">
        <f>=HYPERLINK("https://main.knesset.gov.il/APPS/legislation/main/bills/2217295", "הצעת חוק לימוד חובה (תיקון - איסור על גביית תשלומי הורים), התשפ""ד-2024")</f>
        <v>6641</v>
      </c>
      <c r="E3134" t="s">
        <v>6641</v>
      </c>
      <c r="F3134" t="s">
        <v>6642</v>
      </c>
      <c r="G3134" t="s">
        <v>14</v>
      </c>
      <c r="H3134">
             </c>
      <c r="I3134" t="s">
        <v>14</v>
      </c>
      <c r="J3134" t="s">
        <v>242</v>
      </c>
      <c r="K3134" t="s">
        <v>14</v>
      </c>
      <c r="L3134" t="s">
        <v>20</v>
      </c>
      <c r="M3134" t="s">
        <v>6634</v>
      </c>
      <c r="N3134" t="s">
        <v>14</v>
      </c>
    </row>
    <row r="3135" x14ac:dyDescent="0.25">
      <c r="A3135" t="n">
        <v>25</v>
      </c>
      <c r="B3135" t="s">
        <v>14</v>
      </c>
      <c r="C3135" t="s">
        <v>51</v>
      </c>
      <c r="D3135" s="2" t="s">
        <f>=HYPERLINK("https://main.knesset.gov.il/APPS/legislation/main/bills/2217080", "הצעת חוק החלת הריבונות הישראלית על בקעת הירדן, התשפ""ד-2024")</f>
        <v>6643</v>
      </c>
      <c r="E3135" t="s">
        <v>6643</v>
      </c>
      <c r="F3135" t="s">
        <v>6644</v>
      </c>
      <c r="G3135" t="s">
        <v>14</v>
      </c>
      <c r="H3135">
             </c>
      <c r="I3135" t="s">
        <v>14</v>
      </c>
      <c r="J3135" t="s">
        <v>242</v>
      </c>
      <c r="K3135" t="s">
        <v>14</v>
      </c>
      <c r="L3135" t="s">
        <v>20</v>
      </c>
      <c r="M3135" t="s">
        <v>6634</v>
      </c>
      <c r="N3135" t="s">
        <v>14</v>
      </c>
    </row>
    <row r="3136" x14ac:dyDescent="0.25">
      <c r="A3136" t="n">
        <v>25</v>
      </c>
      <c r="B3136" t="s">
        <v>14</v>
      </c>
      <c r="C3136" t="s">
        <v>51</v>
      </c>
      <c r="D3136" s="2" t="s">
        <f>=HYPERLINK("https://main.knesset.gov.il/APPS/legislation/main/bills/2217011", "הצעת חוק לעידוד תחבורת אופניים (שילוב אופניים בתחבורה ציבורית ותמריצים לשימוש בהם), התשפ""ד-2024")</f>
        <v>6645</v>
      </c>
      <c r="E3136" t="s">
        <v>6645</v>
      </c>
      <c r="F3136" t="s">
        <v>6646</v>
      </c>
      <c r="G3136" t="s">
        <v>14</v>
      </c>
      <c r="H3136">
             </c>
      <c r="I3136" t="s">
        <v>14</v>
      </c>
      <c r="J3136" t="s">
        <v>242</v>
      </c>
      <c r="K3136" t="s">
        <v>14</v>
      </c>
      <c r="L3136" t="s">
        <v>20</v>
      </c>
      <c r="M3136" t="s">
        <v>6634</v>
      </c>
      <c r="N3136" t="s">
        <v>14</v>
      </c>
    </row>
    <row r="3137" x14ac:dyDescent="0.25">
      <c r="A3137" t="n">
        <v>25</v>
      </c>
      <c r="B3137" t="s">
        <v>14</v>
      </c>
      <c r="C3137" t="s">
        <v>51</v>
      </c>
      <c r="D3137" s="2" t="s">
        <f>=HYPERLINK("https://main.knesset.gov.il/APPS/legislation/main/bills/2217568", "הצעת חוק הכרה אזרחית בהכשרות צבאיות (תיקון - הכרה בניסיון פיקודי כניסיון ניהולי), התשפ""ד-2024")</f>
        <v>6647</v>
      </c>
      <c r="E3137" t="s">
        <v>6647</v>
      </c>
      <c r="F3137" t="s">
        <v>6648</v>
      </c>
      <c r="G3137" t="s">
        <v>14</v>
      </c>
      <c r="H3137">
             </c>
      <c r="I3137" t="s">
        <v>14</v>
      </c>
      <c r="J3137" t="s">
        <v>242</v>
      </c>
      <c r="K3137" t="s">
        <v>14</v>
      </c>
      <c r="L3137" t="s">
        <v>20</v>
      </c>
      <c r="M3137" t="s">
        <v>6634</v>
      </c>
      <c r="N3137" t="s">
        <v>14</v>
      </c>
    </row>
    <row r="3138" x14ac:dyDescent="0.25">
      <c r="A3138" t="n">
        <v>25</v>
      </c>
      <c r="B3138" t="s">
        <v>14</v>
      </c>
      <c r="C3138" t="s">
        <v>51</v>
      </c>
      <c r="D3138" s="2" t="s">
        <f>=HYPERLINK("https://main.knesset.gov.il/APPS/legislation/main/bills/2216984", "הצעת חוק התחרות הכלכלית (תיקון - הכרזה על קיום מונופולין ואיסור על מחיר מופרז וטורפני), התשפ""ד-2024")</f>
        <v>6649</v>
      </c>
      <c r="E3138" t="s">
        <v>6649</v>
      </c>
      <c r="F3138" t="s">
        <v>6650</v>
      </c>
      <c r="G3138" t="s">
        <v>14</v>
      </c>
      <c r="H3138">
             </c>
      <c r="I3138" t="s">
        <v>14</v>
      </c>
      <c r="J3138" t="s">
        <v>242</v>
      </c>
      <c r="K3138" t="s">
        <v>14</v>
      </c>
      <c r="L3138" t="s">
        <v>20</v>
      </c>
      <c r="M3138" t="s">
        <v>6634</v>
      </c>
      <c r="N3138" t="s">
        <v>14</v>
      </c>
    </row>
    <row r="3139" x14ac:dyDescent="0.25">
      <c r="A3139" t="n">
        <v>25</v>
      </c>
      <c r="B3139" t="s">
        <v>14</v>
      </c>
      <c r="C3139" t="s">
        <v>51</v>
      </c>
      <c r="D3139" s="2" t="s">
        <f>=HYPERLINK("https://main.knesset.gov.il/APPS/legislation/main/bills/2217569", "הצעת חוק עיטור הפציעה הקרבית, התשפ""ד-2024")</f>
        <v>6651</v>
      </c>
      <c r="E3139" t="s">
        <v>6651</v>
      </c>
      <c r="F3139" t="s">
        <v>6652</v>
      </c>
      <c r="G3139" t="s">
        <v>14</v>
      </c>
      <c r="H3139">
             </c>
      <c r="I3139" t="s">
        <v>14</v>
      </c>
      <c r="J3139" t="s">
        <v>242</v>
      </c>
      <c r="K3139" t="s">
        <v>14</v>
      </c>
      <c r="L3139" t="s">
        <v>20</v>
      </c>
      <c r="M3139" t="s">
        <v>6634</v>
      </c>
      <c r="N3139" t="s">
        <v>14</v>
      </c>
    </row>
    <row r="3140" x14ac:dyDescent="0.25">
      <c r="A3140" t="n">
        <v>25</v>
      </c>
      <c r="B3140" t="s">
        <v>14</v>
      </c>
      <c r="C3140" t="s">
        <v>51</v>
      </c>
      <c r="D3140" s="2" t="s">
        <f>=HYPERLINK("https://main.knesset.gov.il/APPS/legislation/main/bills/2217016", "הצעת חוק התחרות הכלכלית (תיקון - הגברת השקיפות של דיוני הוועדה לפטורים ולמיזוגים), התשפ""ד-2024")</f>
        <v>6653</v>
      </c>
      <c r="E3140" t="s">
        <v>6653</v>
      </c>
      <c r="F3140" t="s">
        <v>6654</v>
      </c>
      <c r="G3140" t="s">
        <v>14</v>
      </c>
      <c r="H3140">
             </c>
      <c r="I3140" t="s">
        <v>14</v>
      </c>
      <c r="J3140" t="s">
        <v>242</v>
      </c>
      <c r="K3140" t="s">
        <v>14</v>
      </c>
      <c r="L3140" t="s">
        <v>20</v>
      </c>
      <c r="M3140" t="s">
        <v>6634</v>
      </c>
      <c r="N3140" t="s">
        <v>14</v>
      </c>
    </row>
    <row r="3141" x14ac:dyDescent="0.25">
      <c r="A3141" t="n">
        <v>25</v>
      </c>
      <c r="B3141" t="s">
        <v>14</v>
      </c>
      <c r="C3141" t="s">
        <v>51</v>
      </c>
      <c r="D3141" s="2" t="s">
        <f>=HYPERLINK("https://main.knesset.gov.il/APPS/legislation/main/bills/2216985", "הצעת חוק שמירת הסביבה החופית (תיקון - התאמת תוכניות ישנות), התשפ""ד-2024")</f>
        <v>6655</v>
      </c>
      <c r="E3141" t="s">
        <v>6655</v>
      </c>
      <c r="F3141" t="s">
        <v>6656</v>
      </c>
      <c r="G3141" t="s">
        <v>14</v>
      </c>
      <c r="H3141">
             </c>
      <c r="I3141" t="s">
        <v>14</v>
      </c>
      <c r="J3141" t="s">
        <v>242</v>
      </c>
      <c r="K3141" t="s">
        <v>14</v>
      </c>
      <c r="L3141" t="s">
        <v>20</v>
      </c>
      <c r="M3141" t="s">
        <v>6634</v>
      </c>
      <c r="N3141" t="s">
        <v>14</v>
      </c>
    </row>
    <row r="3142" x14ac:dyDescent="0.25">
      <c r="A3142" t="n">
        <v>25</v>
      </c>
      <c r="B3142" t="s">
        <v>14</v>
      </c>
      <c r="C3142" t="s">
        <v>51</v>
      </c>
      <c r="D3142" s="2" t="s">
        <f>=HYPERLINK("https://main.knesset.gov.il/APPS/legislation/main/bills/2217085", "הצעת חוק המתווכים במקרקעין (תיקון - הגבלת דמי תיווך), התשפ""ד-2024")</f>
        <v>6657</v>
      </c>
      <c r="E3142" t="s">
        <v>6657</v>
      </c>
      <c r="F3142" t="s">
        <v>6658</v>
      </c>
      <c r="G3142" t="s">
        <v>14</v>
      </c>
      <c r="H3142">
             </c>
      <c r="I3142" t="s">
        <v>14</v>
      </c>
      <c r="J3142" t="s">
        <v>242</v>
      </c>
      <c r="K3142" t="s">
        <v>14</v>
      </c>
      <c r="L3142" t="s">
        <v>20</v>
      </c>
      <c r="M3142" t="s">
        <v>6634</v>
      </c>
      <c r="N3142" t="s">
        <v>14</v>
      </c>
    </row>
    <row r="3143" x14ac:dyDescent="0.25">
      <c r="A3143" t="n">
        <v>25</v>
      </c>
      <c r="B3143" t="s">
        <v>14</v>
      </c>
      <c r="C3143" t="s">
        <v>51</v>
      </c>
      <c r="D3143" s="2" t="s">
        <f>=HYPERLINK("https://main.knesset.gov.il/APPS/legislation/main/bills/2217010", "הצעת חוק התכנון והבנייה (תיקון - תסקיר תחבורה ציבורית), התשפ""ד-2024")</f>
        <v>6659</v>
      </c>
      <c r="E3143" t="s">
        <v>6659</v>
      </c>
      <c r="F3143" t="s">
        <v>6660</v>
      </c>
      <c r="G3143" t="s">
        <v>14</v>
      </c>
      <c r="H3143">
             </c>
      <c r="I3143" t="s">
        <v>14</v>
      </c>
      <c r="J3143" t="s">
        <v>242</v>
      </c>
      <c r="K3143" t="s">
        <v>14</v>
      </c>
      <c r="L3143" t="s">
        <v>20</v>
      </c>
      <c r="M3143" t="s">
        <v>6634</v>
      </c>
      <c r="N3143" t="s">
        <v>14</v>
      </c>
    </row>
    <row r="3144" x14ac:dyDescent="0.25">
      <c r="A3144" t="n">
        <v>25</v>
      </c>
      <c r="B3144" t="s">
        <v>14</v>
      </c>
      <c r="C3144" t="s">
        <v>51</v>
      </c>
      <c r="D3144" s="2" t="s">
        <f>=HYPERLINK("https://main.knesset.gov.il/APPS/legislation/main/bills/2217429", "הצעת חוק הכנסת (תיקון - כינוס הכנסת במצב מלחמה), התשפ""ד-2024")</f>
        <v>6661</v>
      </c>
      <c r="E3144" t="s">
        <v>6661</v>
      </c>
      <c r="F3144" t="s">
        <v>6662</v>
      </c>
      <c r="G3144" t="s">
        <v>14</v>
      </c>
      <c r="H3144">
             </c>
      <c r="I3144" t="s">
        <v>14</v>
      </c>
      <c r="J3144" t="s">
        <v>242</v>
      </c>
      <c r="K3144" t="s">
        <v>14</v>
      </c>
      <c r="L3144" t="s">
        <v>20</v>
      </c>
      <c r="M3144" t="s">
        <v>6634</v>
      </c>
      <c r="N3144" t="s">
        <v>14</v>
      </c>
    </row>
    <row r="3145" x14ac:dyDescent="0.25">
      <c r="A3145" t="n">
        <v>25</v>
      </c>
      <c r="B3145" t="s">
        <v>14</v>
      </c>
      <c r="C3145" t="s">
        <v>51</v>
      </c>
      <c r="D3145" s="2" t="s">
        <f>=HYPERLINK("https://main.knesset.gov.il/APPS/legislation/main/bills/2216097", "הצעת חוק העונשין (תיקון - החמרת ענישה בעבירות ביזה) (הוראת שעה), התשפ""ד-2024")</f>
        <v>6663</v>
      </c>
      <c r="E3145" t="s">
        <v>6663</v>
      </c>
      <c r="F3145" t="s">
        <v>6664</v>
      </c>
      <c r="G3145" t="s">
        <v>14</v>
      </c>
      <c r="H3145">
             </c>
      <c r="I3145" t="s">
        <v>14</v>
      </c>
      <c r="J3145" t="s">
        <v>242</v>
      </c>
      <c r="K3145" t="s">
        <v>14</v>
      </c>
      <c r="L3145" t="s">
        <v>20</v>
      </c>
      <c r="M3145" t="s">
        <v>6634</v>
      </c>
      <c r="N3145" t="s">
        <v>14</v>
      </c>
    </row>
    <row r="3146" x14ac:dyDescent="0.25">
      <c r="A3146" t="n">
        <v>25</v>
      </c>
      <c r="B3146" t="s">
        <v>14</v>
      </c>
      <c r="C3146" t="s">
        <v>51</v>
      </c>
      <c r="D3146" s="2" t="s">
        <f>=HYPERLINK("https://main.knesset.gov.il/APPS/legislation/main/bills/2217252", "הצעת חוק זיכרון השואה והגבורה - יד ושם (תיקון - הנצחת גבורתם ופעילותם של יהודים שחרפו נפשם על מנת להציל את בני עמם בשטחים הכבושים על ידי הנאצים), התשפ""ד-2024")</f>
        <v>6036</v>
      </c>
      <c r="E3146" t="s">
        <v>6036</v>
      </c>
      <c r="F3146" t="s">
        <v>6665</v>
      </c>
      <c r="G3146" t="s">
        <v>14</v>
      </c>
      <c r="H3146">
             </c>
      <c r="I3146" t="s">
        <v>14</v>
      </c>
      <c r="J3146" t="s">
        <v>242</v>
      </c>
      <c r="K3146" t="s">
        <v>14</v>
      </c>
      <c r="L3146" t="s">
        <v>20</v>
      </c>
      <c r="M3146" t="s">
        <v>6634</v>
      </c>
      <c r="N3146" t="s">
        <v>14</v>
      </c>
    </row>
    <row r="3147" x14ac:dyDescent="0.25">
      <c r="A3147" t="n">
        <v>25</v>
      </c>
      <c r="B3147" t="s">
        <v>14</v>
      </c>
      <c r="C3147" t="s">
        <v>51</v>
      </c>
      <c r="D3147" s="2" t="s">
        <f>=HYPERLINK("https://main.knesset.gov.il/APPS/legislation/main/bills/2217178", "הצעת חוק מימון מפלגות (תיקון - שלילת מימון ממפלגה שקוראת להטלת חרם על מדינת ישראל), התשפ""ד-2024")</f>
        <v>6666</v>
      </c>
      <c r="E3147" t="s">
        <v>6666</v>
      </c>
      <c r="F3147" t="s">
        <v>6667</v>
      </c>
      <c r="G3147" t="s">
        <v>14</v>
      </c>
      <c r="H3147">
             </c>
      <c r="I3147" t="s">
        <v>14</v>
      </c>
      <c r="J3147" t="s">
        <v>242</v>
      </c>
      <c r="K3147" t="s">
        <v>14</v>
      </c>
      <c r="L3147" t="s">
        <v>20</v>
      </c>
      <c r="M3147" t="s">
        <v>6634</v>
      </c>
      <c r="N3147" t="s">
        <v>14</v>
      </c>
    </row>
    <row r="3148" x14ac:dyDescent="0.25">
      <c r="A3148" t="n">
        <v>25</v>
      </c>
      <c r="B3148" t="s">
        <v>14</v>
      </c>
      <c r="C3148" t="s">
        <v>51</v>
      </c>
      <c r="D3148" s="2" t="s">
        <f>=HYPERLINK("https://main.knesset.gov.il/APPS/legislation/main/bills/2217177", "הצעת חוק הביטוח הלאומי (תיקון - מניין הימים לעניין מבוטח בשירות מילואים בנסיבות חירום), התשפ""ד-2024")</f>
        <v>6668</v>
      </c>
      <c r="E3148" t="s">
        <v>6668</v>
      </c>
      <c r="F3148" t="s">
        <v>6669</v>
      </c>
      <c r="G3148" t="s">
        <v>14</v>
      </c>
      <c r="H3148">
             </c>
      <c r="I3148" t="s">
        <v>14</v>
      </c>
      <c r="J3148" t="s">
        <v>242</v>
      </c>
      <c r="K3148" t="s">
        <v>14</v>
      </c>
      <c r="L3148" t="s">
        <v>20</v>
      </c>
      <c r="M3148" t="s">
        <v>6634</v>
      </c>
      <c r="N3148" t="s">
        <v>14</v>
      </c>
    </row>
    <row r="3149" x14ac:dyDescent="0.25">
      <c r="A3149" t="n">
        <v>25</v>
      </c>
      <c r="B3149" t="s">
        <v>14</v>
      </c>
      <c r="C3149" t="s">
        <v>51</v>
      </c>
      <c r="D3149" s="2" t="s">
        <f>=HYPERLINK("https://main.knesset.gov.il/APPS/legislation/main/bills/2217337", "הצעת חוק שנת שירות, התשפ""ד-2024")</f>
        <v>5535</v>
      </c>
      <c r="E3149" t="s">
        <v>5535</v>
      </c>
      <c r="F3149" t="s">
        <v>6670</v>
      </c>
      <c r="G3149" t="s">
        <v>14</v>
      </c>
      <c r="H3149">
             </c>
      <c r="I3149" t="s">
        <v>14</v>
      </c>
      <c r="J3149" t="s">
        <v>202</v>
      </c>
      <c r="K3149" t="s">
        <v>14</v>
      </c>
      <c r="L3149" t="s">
        <v>20</v>
      </c>
      <c r="M3149" t="s">
        <v>6634</v>
      </c>
      <c r="N3149" t="s">
        <v>14</v>
      </c>
    </row>
    <row r="3150" x14ac:dyDescent="0.25">
      <c r="A3150" t="n">
        <v>25</v>
      </c>
      <c r="B3150" t="s">
        <v>14</v>
      </c>
      <c r="C3150" t="s">
        <v>51</v>
      </c>
      <c r="D3150" s="2" t="s">
        <f>=HYPERLINK("https://main.knesset.gov.il/APPS/legislation/main/bills/2217304", "הצעת חוק הכשרות לאנשי מקצוע בנושא זיהוי ודיווח על התעללות בילדים, התשפ""ד-2024")</f>
        <v>6671</v>
      </c>
      <c r="E3150" t="s">
        <v>6671</v>
      </c>
      <c r="F3150" t="s">
        <v>6672</v>
      </c>
      <c r="G3150" t="s">
        <v>14</v>
      </c>
      <c r="H3150">
             </c>
      <c r="I3150" t="s">
        <v>14</v>
      </c>
      <c r="J3150" t="s">
        <v>242</v>
      </c>
      <c r="K3150" t="s">
        <v>14</v>
      </c>
      <c r="L3150" t="s">
        <v>20</v>
      </c>
      <c r="M3150" t="s">
        <v>6634</v>
      </c>
      <c r="N3150" t="s">
        <v>14</v>
      </c>
    </row>
    <row r="3151" x14ac:dyDescent="0.25">
      <c r="A3151" t="n">
        <v>25</v>
      </c>
      <c r="B3151" t="s">
        <v>14</v>
      </c>
      <c r="C3151" t="s">
        <v>51</v>
      </c>
      <c r="D3151" s="2" t="s">
        <f>=HYPERLINK("https://main.knesset.gov.il/APPS/legislation/main/bills/2217261", "הצעת חוק עבודת נשים (תיקון - תקופת לידה והורות להורה אומנה), התשפ""ד-2024")</f>
        <v>6673</v>
      </c>
      <c r="E3151" t="s">
        <v>6673</v>
      </c>
      <c r="F3151" t="s">
        <v>6674</v>
      </c>
      <c r="G3151" t="s">
        <v>14</v>
      </c>
      <c r="H3151">
             </c>
      <c r="I3151" t="s">
        <v>14</v>
      </c>
      <c r="J3151" t="s">
        <v>242</v>
      </c>
      <c r="K3151" t="s">
        <v>14</v>
      </c>
      <c r="L3151" t="s">
        <v>20</v>
      </c>
      <c r="M3151" t="s">
        <v>6634</v>
      </c>
      <c r="N3151" t="s">
        <v>14</v>
      </c>
    </row>
    <row r="3152" x14ac:dyDescent="0.25">
      <c r="A3152" t="n">
        <v>25</v>
      </c>
      <c r="B3152" t="s">
        <v>14</v>
      </c>
      <c r="C3152" t="s">
        <v>51</v>
      </c>
      <c r="D3152" s="2" t="s">
        <f>=HYPERLINK("https://main.knesset.gov.il/APPS/legislation/main/bills/2216838", "הצעת חוק הסדרת העיסוק במקצועות הבריאות (תיקון - טיפול באמצעות בעלי חיים), התשפ""ד-2024")</f>
        <v>6675</v>
      </c>
      <c r="E3152" t="s">
        <v>6675</v>
      </c>
      <c r="F3152" t="s">
        <v>6676</v>
      </c>
      <c r="G3152" t="s">
        <v>14</v>
      </c>
      <c r="H3152">
             </c>
      <c r="I3152" t="s">
        <v>14</v>
      </c>
      <c r="J3152" t="s">
        <v>242</v>
      </c>
      <c r="K3152" t="s">
        <v>14</v>
      </c>
      <c r="L3152" t="s">
        <v>20</v>
      </c>
      <c r="M3152" t="s">
        <v>6634</v>
      </c>
      <c r="N3152" t="s">
        <v>14</v>
      </c>
    </row>
    <row r="3153" x14ac:dyDescent="0.25">
      <c r="A3153" t="n">
        <v>25</v>
      </c>
      <c r="B3153" t="s">
        <v>14</v>
      </c>
      <c r="C3153" t="s">
        <v>15</v>
      </c>
      <c r="D3153" s="2" t="s">
        <f>=HYPERLINK("https://main.knesset.gov.il/APPS/legislation/main/bills/2217526", "הצעת חוק הכניסה לישראל (תיקון מס' 40) (סמכויות קצין ביקורת הגבולות ופקח), התשפ""ד-2024")</f>
        <v>6677</v>
      </c>
      <c r="E3153" t="s">
        <v>6677</v>
      </c>
      <c r="F3153" t="s">
        <v>14</v>
      </c>
      <c r="G3153" t="s">
        <v>6678</v>
      </c>
      <c r="H3153">
             </c>
      <c r="I3153" t="s">
        <v>14</v>
      </c>
      <c r="J3153" t="s">
        <v>38</v>
      </c>
      <c r="K3153" t="s">
        <v>30</v>
      </c>
      <c r="L3153" t="s">
        <v>20</v>
      </c>
      <c r="M3153" t="s">
        <v>6634</v>
      </c>
      <c r="N3153" t="s">
        <v>14</v>
      </c>
    </row>
    <row r="3154" x14ac:dyDescent="0.25">
      <c r="A3154" t="n">
        <v>25</v>
      </c>
      <c r="B3154" t="s">
        <v>14</v>
      </c>
      <c r="C3154" t="s">
        <v>15</v>
      </c>
      <c r="D3154" s="2" t="s">
        <f>=HYPERLINK("https://main.knesset.gov.il/APPS/legislation/main/bills/2217783", "חוק לתיקון פקודת סדר הדין הפלילי (מעצר וחיפוש) (מס' 16), התשפ""ד–2024")</f>
        <v>6679</v>
      </c>
      <c r="E3154" t="s">
        <v>6679</v>
      </c>
      <c r="F3154" t="s">
        <v>14</v>
      </c>
      <c r="G3154" t="s">
        <v>6680</v>
      </c>
      <c r="H3154" t="n">
        <v>3211</v>
      </c>
      <c r="I3154" t="s">
        <v>14</v>
      </c>
      <c r="J3154" t="s">
        <v>18</v>
      </c>
      <c r="K3154" t="s">
        <v>19</v>
      </c>
      <c r="L3154" t="s">
        <v>20</v>
      </c>
      <c r="M3154" t="s">
        <v>6681</v>
      </c>
      <c r="N3154" t="s">
        <v>6682</v>
      </c>
    </row>
    <row r="3155" x14ac:dyDescent="0.25">
      <c r="A3155" t="n">
        <v>25</v>
      </c>
      <c r="B3155" t="s">
        <v>14</v>
      </c>
      <c r="C3155" t="s">
        <v>15</v>
      </c>
      <c r="D3155" s="2" t="s">
        <f>=HYPERLINK("https://main.knesset.gov.il/APPS/legislation/main/bills/2217541", "חוק כלי הירייה (תיקון מס' 24) (תיקון), התשפ""ד–2024")</f>
        <v>6683</v>
      </c>
      <c r="E3155" t="s">
        <v>6683</v>
      </c>
      <c r="F3155" t="s">
        <v>14</v>
      </c>
      <c r="G3155" t="s">
        <v>6684</v>
      </c>
      <c r="H3155" t="n">
        <v>3120</v>
      </c>
      <c r="I3155" t="s">
        <v>14</v>
      </c>
      <c r="J3155" t="s">
        <v>18</v>
      </c>
      <c r="K3155" t="s">
        <v>19</v>
      </c>
      <c r="L3155" t="s">
        <v>20</v>
      </c>
      <c r="M3155" t="s">
        <v>6681</v>
      </c>
      <c r="N3155" t="s">
        <v>6685</v>
      </c>
    </row>
    <row r="3156" x14ac:dyDescent="0.25">
      <c r="A3156" t="n">
        <v>25</v>
      </c>
      <c r="B3156" t="s">
        <v>14</v>
      </c>
      <c r="C3156" t="s">
        <v>15</v>
      </c>
      <c r="D3156" s="2" t="s">
        <f>=HYPERLINK("https://main.knesset.gov.il/APPS/legislation/main/bills/2217169", "חוק לייעול האכיפה והפיקוח העירוניים ברשויות המקומיות (הוראת שעה) (תיקון מס' 12), התשפ""ד-2024")</f>
        <v>6686</v>
      </c>
      <c r="E3156" t="s">
        <v>6686</v>
      </c>
      <c r="F3156" t="s">
        <v>14</v>
      </c>
      <c r="G3156" t="s">
        <v>6687</v>
      </c>
      <c r="H3156" t="n">
        <v>3209</v>
      </c>
      <c r="I3156" t="s">
        <v>14</v>
      </c>
      <c r="J3156" t="s">
        <v>18</v>
      </c>
      <c r="K3156" t="s">
        <v>19</v>
      </c>
      <c r="L3156" t="s">
        <v>20</v>
      </c>
      <c r="M3156" t="s">
        <v>6688</v>
      </c>
      <c r="N3156" t="s">
        <v>6689</v>
      </c>
    </row>
    <row r="3157" x14ac:dyDescent="0.25">
      <c r="A3157" t="n">
        <v>25</v>
      </c>
      <c r="B3157" t="s">
        <v>14</v>
      </c>
      <c r="C3157" t="s">
        <v>15</v>
      </c>
      <c r="D3157" s="2" t="s">
        <f>=HYPERLINK("https://main.knesset.gov.il/APPS/legislation/main/bills/2215710", "חוק שירותי הדת היהודיים (תיקון מס' 26), התשפ""ד-2024")</f>
        <v>6690</v>
      </c>
      <c r="E3157" t="s">
        <v>6690</v>
      </c>
      <c r="F3157" t="s">
        <v>14</v>
      </c>
      <c r="G3157" t="s">
        <v>6691</v>
      </c>
      <c r="H3157" t="n">
        <v>3206</v>
      </c>
      <c r="I3157" t="s">
        <v>14</v>
      </c>
      <c r="J3157" t="s">
        <v>18</v>
      </c>
      <c r="K3157" t="s">
        <v>24</v>
      </c>
      <c r="L3157" t="s">
        <v>20</v>
      </c>
      <c r="M3157" t="s">
        <v>6692</v>
      </c>
      <c r="N3157" t="s">
        <v>6693</v>
      </c>
    </row>
    <row r="3158" x14ac:dyDescent="0.25">
      <c r="A3158" t="n">
        <v>25</v>
      </c>
      <c r="B3158" t="s">
        <v>14</v>
      </c>
      <c r="C3158" t="s">
        <v>15</v>
      </c>
      <c r="D3158" s="2" t="s">
        <f>=HYPERLINK("https://main.knesset.gov.il/APPS/legislation/main/bills/2216638", "חוק כליאתם של לוחמים בלתי חוקיים (תיקון מס' 4 והוראת שעה – חרבות ברזל) (תיקון), התשפ""ד–2024")</f>
        <v>6694</v>
      </c>
      <c r="E3158" t="s">
        <v>6694</v>
      </c>
      <c r="F3158" t="s">
        <v>14</v>
      </c>
      <c r="G3158" t="s">
        <v>6695</v>
      </c>
      <c r="H3158" t="n">
        <v>3203</v>
      </c>
      <c r="I3158" t="s">
        <v>14</v>
      </c>
      <c r="J3158" t="s">
        <v>18</v>
      </c>
      <c r="K3158" t="s">
        <v>39</v>
      </c>
      <c r="L3158" t="s">
        <v>20</v>
      </c>
      <c r="M3158" t="s">
        <v>6692</v>
      </c>
      <c r="N3158" t="s">
        <v>6696</v>
      </c>
    </row>
    <row r="3159" x14ac:dyDescent="0.25">
      <c r="A3159" t="n">
        <v>25</v>
      </c>
      <c r="B3159" t="s">
        <v>14</v>
      </c>
      <c r="C3159" t="s">
        <v>51</v>
      </c>
      <c r="D3159" s="2" t="s">
        <f>=HYPERLINK("https://main.knesset.gov.il/APPS/legislation/main/bills/2216632", "הצעת חוק מערך רפואה מונעת בגוף ביטחוני, התשפ""ד-2024")</f>
        <v>6697</v>
      </c>
      <c r="E3159" t="s">
        <v>6697</v>
      </c>
      <c r="F3159" t="s">
        <v>6698</v>
      </c>
      <c r="G3159" t="s">
        <v>14</v>
      </c>
      <c r="H3159">
             </c>
      <c r="I3159" t="s">
        <v>14</v>
      </c>
      <c r="J3159" t="s">
        <v>242</v>
      </c>
      <c r="K3159" t="s">
        <v>14</v>
      </c>
      <c r="L3159" t="s">
        <v>20</v>
      </c>
      <c r="M3159" t="s">
        <v>6692</v>
      </c>
      <c r="N3159" t="s">
        <v>14</v>
      </c>
    </row>
    <row r="3160" x14ac:dyDescent="0.25">
      <c r="A3160" t="n">
        <v>25</v>
      </c>
      <c r="B3160" t="s">
        <v>14</v>
      </c>
      <c r="C3160" t="s">
        <v>51</v>
      </c>
      <c r="D3160" s="2" t="s">
        <f>=HYPERLINK("https://main.knesset.gov.il/APPS/legislation/main/bills/2215901", "הצעת חוק ועדת חקירה לאירועים שקדמו למלחמת חרבות ברזל, התשפ""ד-2024")</f>
        <v>6699</v>
      </c>
      <c r="E3160" t="s">
        <v>6699</v>
      </c>
      <c r="F3160" t="s">
        <v>6700</v>
      </c>
      <c r="G3160" t="s">
        <v>14</v>
      </c>
      <c r="H3160">
             </c>
      <c r="I3160" t="s">
        <v>14</v>
      </c>
      <c r="J3160" t="s">
        <v>242</v>
      </c>
      <c r="K3160" t="s">
        <v>14</v>
      </c>
      <c r="L3160" t="s">
        <v>20</v>
      </c>
      <c r="M3160" t="s">
        <v>6692</v>
      </c>
      <c r="N3160" t="s">
        <v>14</v>
      </c>
    </row>
    <row r="3161" x14ac:dyDescent="0.25">
      <c r="A3161" t="n">
        <v>25</v>
      </c>
      <c r="B3161" t="s">
        <v>14</v>
      </c>
      <c r="C3161" t="s">
        <v>51</v>
      </c>
      <c r="D3161" s="2" t="s">
        <f>=HYPERLINK("https://main.knesset.gov.il/APPS/legislation/main/bills/2216960", "הצעת חוק זכאות לאבחון לקויות למידה לילדים ממשפחות מעוטות יכולת, התשפ""ד-2024")</f>
        <v>6701</v>
      </c>
      <c r="E3161" t="s">
        <v>6701</v>
      </c>
      <c r="F3161" t="s">
        <v>6702</v>
      </c>
      <c r="G3161" t="s">
        <v>14</v>
      </c>
      <c r="H3161">
             </c>
      <c r="I3161" t="s">
        <v>14</v>
      </c>
      <c r="J3161" t="s">
        <v>242</v>
      </c>
      <c r="K3161" t="s">
        <v>14</v>
      </c>
      <c r="L3161" t="s">
        <v>20</v>
      </c>
      <c r="M3161" t="s">
        <v>6692</v>
      </c>
      <c r="N3161" t="s">
        <v>14</v>
      </c>
    </row>
    <row r="3162" x14ac:dyDescent="0.25">
      <c r="A3162" t="n">
        <v>25</v>
      </c>
      <c r="B3162" t="s">
        <v>14</v>
      </c>
      <c r="C3162" t="s">
        <v>51</v>
      </c>
      <c r="D3162" s="2" t="s">
        <f>=HYPERLINK("https://main.knesset.gov.il/APPS/legislation/main/bills/2215813", "הצעת חוק העונשין (תיקון - החמרת ענישה על החזקת מכשיר לשיבוש תדרי קליטה), התשפ""ד-2024")</f>
        <v>6703</v>
      </c>
      <c r="E3162" t="s">
        <v>6703</v>
      </c>
      <c r="F3162" t="s">
        <v>6704</v>
      </c>
      <c r="G3162" t="s">
        <v>14</v>
      </c>
      <c r="H3162">
             </c>
      <c r="I3162" t="s">
        <v>14</v>
      </c>
      <c r="J3162" t="s">
        <v>242</v>
      </c>
      <c r="K3162" t="s">
        <v>14</v>
      </c>
      <c r="L3162" t="s">
        <v>20</v>
      </c>
      <c r="M3162" t="s">
        <v>6692</v>
      </c>
      <c r="N3162" t="s">
        <v>14</v>
      </c>
    </row>
    <row r="3163" x14ac:dyDescent="0.25">
      <c r="A3163" t="n">
        <v>25</v>
      </c>
      <c r="B3163" t="s">
        <v>14</v>
      </c>
      <c r="C3163" t="s">
        <v>51</v>
      </c>
      <c r="D3163" s="2" t="s">
        <f>=HYPERLINK("https://main.knesset.gov.il/APPS/legislation/main/bills/2215667", "הצעת חוק הבחירות (דרכי תעמולה) (תיקון - הגבלות על תעמולת בחירות שבה התייחסות לאנשים שהלכו לעולמם), התשפ""ד-2024")</f>
        <v>6705</v>
      </c>
      <c r="E3163" t="s">
        <v>6705</v>
      </c>
      <c r="F3163" t="s">
        <v>6706</v>
      </c>
      <c r="G3163" t="s">
        <v>14</v>
      </c>
      <c r="H3163">
             </c>
      <c r="I3163" t="s">
        <v>14</v>
      </c>
      <c r="J3163" t="s">
        <v>242</v>
      </c>
      <c r="K3163" t="s">
        <v>14</v>
      </c>
      <c r="L3163" t="s">
        <v>20</v>
      </c>
      <c r="M3163" t="s">
        <v>6692</v>
      </c>
      <c r="N3163" t="s">
        <v>14</v>
      </c>
    </row>
    <row r="3164" x14ac:dyDescent="0.25">
      <c r="A3164" t="n">
        <v>25</v>
      </c>
      <c r="B3164" t="s">
        <v>14</v>
      </c>
      <c r="C3164" t="s">
        <v>51</v>
      </c>
      <c r="D3164" s="2" t="s">
        <f>=HYPERLINK("https://main.knesset.gov.il/APPS/legislation/main/bills/2214514", "הצעת חוק העונשין (תיקון - עונש מוות על-תנאי למי שהורשע במעשה טרור של רצח בנסיבות מחמירות), התשפ""ד-2024")</f>
        <v>6707</v>
      </c>
      <c r="E3164" t="s">
        <v>6707</v>
      </c>
      <c r="F3164" t="s">
        <v>6708</v>
      </c>
      <c r="G3164" t="s">
        <v>14</v>
      </c>
      <c r="H3164">
             </c>
      <c r="I3164" t="s">
        <v>14</v>
      </c>
      <c r="J3164" t="s">
        <v>242</v>
      </c>
      <c r="K3164" t="s">
        <v>14</v>
      </c>
      <c r="L3164" t="s">
        <v>20</v>
      </c>
      <c r="M3164" t="s">
        <v>6692</v>
      </c>
      <c r="N3164" t="s">
        <v>14</v>
      </c>
    </row>
    <row r="3165" x14ac:dyDescent="0.25">
      <c r="A3165" t="n">
        <v>25</v>
      </c>
      <c r="B3165" t="s">
        <v>14</v>
      </c>
      <c r="C3165" t="s">
        <v>51</v>
      </c>
      <c r="D3165" s="2" t="s">
        <f>=HYPERLINK("https://main.knesset.gov.il/APPS/legislation/main/bills/2216979", "הצעת חוק הסדרת הטיפול בחולי נפש (תיקוני חקיקה), התשפ""ד-2024")</f>
        <v>6709</v>
      </c>
      <c r="E3165" t="s">
        <v>6709</v>
      </c>
      <c r="F3165" t="s">
        <v>6710</v>
      </c>
      <c r="G3165" t="s">
        <v>14</v>
      </c>
      <c r="H3165">
             </c>
      <c r="I3165" t="s">
        <v>14</v>
      </c>
      <c r="J3165" t="s">
        <v>242</v>
      </c>
      <c r="K3165" t="s">
        <v>14</v>
      </c>
      <c r="L3165" t="s">
        <v>20</v>
      </c>
      <c r="M3165" t="s">
        <v>6692</v>
      </c>
      <c r="N3165" t="s">
        <v>14</v>
      </c>
    </row>
    <row r="3166" x14ac:dyDescent="0.25">
      <c r="A3166" t="n">
        <v>25</v>
      </c>
      <c r="B3166" t="s">
        <v>14</v>
      </c>
      <c r="C3166" t="s">
        <v>51</v>
      </c>
      <c r="D3166" s="2" t="s">
        <f>=HYPERLINK("https://main.knesset.gov.il/APPS/legislation/main/bills/2216756", "הצעת חוק לתיקון פקודת מס הכנסה (משיכה מקרן השתלמות לתושבי יישובים מפונים) (הוראת שעה - חרבות הברזל), התשפ""ד-2024")</f>
        <v>6711</v>
      </c>
      <c r="E3166" t="s">
        <v>6711</v>
      </c>
      <c r="F3166" t="s">
        <v>6712</v>
      </c>
      <c r="G3166" t="s">
        <v>14</v>
      </c>
      <c r="H3166">
             </c>
      <c r="I3166" t="s">
        <v>14</v>
      </c>
      <c r="J3166" t="s">
        <v>242</v>
      </c>
      <c r="K3166" t="s">
        <v>14</v>
      </c>
      <c r="L3166" t="s">
        <v>20</v>
      </c>
      <c r="M3166" t="s">
        <v>6692</v>
      </c>
      <c r="N3166" t="s">
        <v>14</v>
      </c>
    </row>
    <row r="3167" x14ac:dyDescent="0.25">
      <c r="A3167" t="n">
        <v>25</v>
      </c>
      <c r="B3167" t="s">
        <v>14</v>
      </c>
      <c r="C3167" t="s">
        <v>51</v>
      </c>
      <c r="D3167" s="2" t="s">
        <f>=HYPERLINK("https://main.knesset.gov.il/APPS/legislation/main/bills/2217072", "הצעת חוק התקנת מצלמות לשם הגנה על פעוטות במעונות יום לפעוטות (תיקון - החלה על גני ילדים והגברת האכיפה), התשפ""ד-2024")</f>
        <v>6713</v>
      </c>
      <c r="E3167" t="s">
        <v>6713</v>
      </c>
      <c r="F3167" t="s">
        <v>6714</v>
      </c>
      <c r="G3167" t="s">
        <v>14</v>
      </c>
      <c r="H3167">
             </c>
      <c r="I3167" t="s">
        <v>14</v>
      </c>
      <c r="J3167" t="s">
        <v>242</v>
      </c>
      <c r="K3167" t="s">
        <v>14</v>
      </c>
      <c r="L3167" t="s">
        <v>20</v>
      </c>
      <c r="M3167" t="s">
        <v>6692</v>
      </c>
      <c r="N3167" t="s">
        <v>14</v>
      </c>
    </row>
    <row r="3168" x14ac:dyDescent="0.25">
      <c r="A3168" t="n">
        <v>25</v>
      </c>
      <c r="B3168" t="s">
        <v>14</v>
      </c>
      <c r="C3168" t="s">
        <v>51</v>
      </c>
      <c r="D3168" s="2" t="s">
        <f>=HYPERLINK("https://main.knesset.gov.il/APPS/legislation/main/bills/2215836", "הצעת חוק הגנה על בסיסי צה""ל (תיקוני חקיקה), התשפ""ד-2024 ")</f>
        <v>6715</v>
      </c>
      <c r="E3168" t="s">
        <v>6715</v>
      </c>
      <c r="F3168" t="s">
        <v>6716</v>
      </c>
      <c r="G3168" t="s">
        <v>14</v>
      </c>
      <c r="H3168">
             </c>
      <c r="I3168" t="s">
        <v>14</v>
      </c>
      <c r="J3168" t="s">
        <v>242</v>
      </c>
      <c r="K3168" t="s">
        <v>14</v>
      </c>
      <c r="L3168" t="s">
        <v>20</v>
      </c>
      <c r="M3168" t="s">
        <v>6692</v>
      </c>
      <c r="N3168" t="s">
        <v>14</v>
      </c>
    </row>
    <row r="3169" x14ac:dyDescent="0.25">
      <c r="A3169" t="n">
        <v>25</v>
      </c>
      <c r="B3169" t="s">
        <v>14</v>
      </c>
      <c r="C3169" t="s">
        <v>51</v>
      </c>
      <c r="D3169" s="2" t="s">
        <f>=HYPERLINK("https://main.knesset.gov.il/APPS/legislation/main/bills/2216421", "הצעת חוק הצבעת מתנדבי השירות האזרחי (תיקוני חקיקה), התשפ""ד-2024")</f>
        <v>6717</v>
      </c>
      <c r="E3169" t="s">
        <v>6717</v>
      </c>
      <c r="F3169" t="s">
        <v>6718</v>
      </c>
      <c r="G3169" t="s">
        <v>14</v>
      </c>
      <c r="H3169">
             </c>
      <c r="I3169" t="s">
        <v>14</v>
      </c>
      <c r="J3169" t="s">
        <v>242</v>
      </c>
      <c r="K3169" t="s">
        <v>14</v>
      </c>
      <c r="L3169" t="s">
        <v>20</v>
      </c>
      <c r="M3169" t="s">
        <v>6692</v>
      </c>
      <c r="N3169" t="s">
        <v>14</v>
      </c>
    </row>
    <row r="3170" x14ac:dyDescent="0.25">
      <c r="A3170" t="n">
        <v>25</v>
      </c>
      <c r="B3170" t="s">
        <v>14</v>
      </c>
      <c r="C3170" t="s">
        <v>51</v>
      </c>
      <c r="D3170" s="2" t="s">
        <f>=HYPERLINK("https://main.knesset.gov.il/APPS/legislation/main/bills/2216325", "הצעת חוק מניעת העסקה של עובד הוראה שהוכשר במוסד שנתמך על ידי ישות מדינית זרה תומכת טרור (תיקוני חקיקה), התשפ""ד-2024")</f>
        <v>6719</v>
      </c>
      <c r="E3170" t="s">
        <v>6719</v>
      </c>
      <c r="F3170" t="s">
        <v>6720</v>
      </c>
      <c r="G3170" t="s">
        <v>14</v>
      </c>
      <c r="H3170">
             </c>
      <c r="I3170" t="s">
        <v>14</v>
      </c>
      <c r="J3170" t="s">
        <v>242</v>
      </c>
      <c r="K3170" t="s">
        <v>14</v>
      </c>
      <c r="L3170" t="s">
        <v>20</v>
      </c>
      <c r="M3170" t="s">
        <v>6692</v>
      </c>
      <c r="N3170" t="s">
        <v>14</v>
      </c>
    </row>
    <row r="3171" x14ac:dyDescent="0.25">
      <c r="A3171" t="n">
        <v>25</v>
      </c>
      <c r="B3171" t="s">
        <v>14</v>
      </c>
      <c r="C3171" t="s">
        <v>51</v>
      </c>
      <c r="D3171" s="2" t="s">
        <f>=HYPERLINK("https://main.knesset.gov.il/APPS/legislation/main/bills/2215335", "הצעת חוק סיוע כלכלי לסטודנטים המשרתים במילואים (הוראת שעה - חרבות ברזל), התשפ""ד-2024")</f>
        <v>6721</v>
      </c>
      <c r="E3171" t="s">
        <v>6721</v>
      </c>
      <c r="F3171" t="s">
        <v>6722</v>
      </c>
      <c r="G3171" t="s">
        <v>14</v>
      </c>
      <c r="H3171">
             </c>
      <c r="I3171" t="s">
        <v>14</v>
      </c>
      <c r="J3171" t="s">
        <v>242</v>
      </c>
      <c r="K3171" t="s">
        <v>14</v>
      </c>
      <c r="L3171" t="s">
        <v>20</v>
      </c>
      <c r="M3171" t="s">
        <v>6692</v>
      </c>
      <c r="N3171" t="s">
        <v>14</v>
      </c>
    </row>
    <row r="3172" x14ac:dyDescent="0.25">
      <c r="A3172" t="n">
        <v>25</v>
      </c>
      <c r="B3172" t="s">
        <v>14</v>
      </c>
      <c r="C3172" t="s">
        <v>51</v>
      </c>
      <c r="D3172" s="2" t="s">
        <f>=HYPERLINK("https://main.knesset.gov.il/APPS/legislation/main/bills/2216968", "הצעת חוק לתיקון פקודת הרוקחים (תכשיר המכיל בנזודיאזפינים), התשפ""ד-2024")</f>
        <v>6723</v>
      </c>
      <c r="E3172" t="s">
        <v>6723</v>
      </c>
      <c r="F3172" t="s">
        <v>6724</v>
      </c>
      <c r="G3172" t="s">
        <v>14</v>
      </c>
      <c r="H3172">
             </c>
      <c r="I3172" t="s">
        <v>14</v>
      </c>
      <c r="J3172" t="s">
        <v>242</v>
      </c>
      <c r="K3172" t="s">
        <v>14</v>
      </c>
      <c r="L3172" t="s">
        <v>20</v>
      </c>
      <c r="M3172" t="s">
        <v>6692</v>
      </c>
      <c r="N3172" t="s">
        <v>14</v>
      </c>
    </row>
    <row r="3173" x14ac:dyDescent="0.25">
      <c r="A3173" t="n">
        <v>25</v>
      </c>
      <c r="B3173" t="s">
        <v>14</v>
      </c>
      <c r="C3173" t="s">
        <v>51</v>
      </c>
      <c r="D3173" s="2" t="s">
        <f>=HYPERLINK("https://main.knesset.gov.il/APPS/legislation/main/bills/2216745", "הצעת חוק חילוט תקבולי עבירה בפשיעה חקלאית, התשפ""ד-2024")</f>
        <v>6725</v>
      </c>
      <c r="E3173" t="s">
        <v>6725</v>
      </c>
      <c r="F3173" t="s">
        <v>6726</v>
      </c>
      <c r="G3173" t="s">
        <v>14</v>
      </c>
      <c r="H3173">
             </c>
      <c r="I3173" t="s">
        <v>14</v>
      </c>
      <c r="J3173" t="s">
        <v>242</v>
      </c>
      <c r="K3173" t="s">
        <v>14</v>
      </c>
      <c r="L3173" t="s">
        <v>20</v>
      </c>
      <c r="M3173" t="s">
        <v>6692</v>
      </c>
      <c r="N3173" t="s">
        <v>14</v>
      </c>
    </row>
    <row r="3174" x14ac:dyDescent="0.25">
      <c r="A3174" t="n">
        <v>25</v>
      </c>
      <c r="B3174" t="s">
        <v>14</v>
      </c>
      <c r="C3174" t="s">
        <v>51</v>
      </c>
      <c r="D3174" s="2" t="s">
        <f>=HYPERLINK("https://main.knesset.gov.il/APPS/legislation/main/bills/2216155", "הצעת חוק פרס ישראל, התשפ""ד-2024")</f>
        <v>6727</v>
      </c>
      <c r="E3174" t="s">
        <v>6727</v>
      </c>
      <c r="F3174" t="s">
        <v>6728</v>
      </c>
      <c r="G3174" t="s">
        <v>14</v>
      </c>
      <c r="H3174">
             </c>
      <c r="I3174" t="s">
        <v>14</v>
      </c>
      <c r="J3174" t="s">
        <v>242</v>
      </c>
      <c r="K3174" t="s">
        <v>14</v>
      </c>
      <c r="L3174" t="s">
        <v>20</v>
      </c>
      <c r="M3174" t="s">
        <v>6692</v>
      </c>
      <c r="N3174" t="s">
        <v>14</v>
      </c>
    </row>
    <row r="3175" x14ac:dyDescent="0.25">
      <c r="A3175" t="n">
        <v>25</v>
      </c>
      <c r="B3175" t="s">
        <v>14</v>
      </c>
      <c r="C3175" t="s">
        <v>51</v>
      </c>
      <c r="D3175" s="2" t="s">
        <f>=HYPERLINK("https://main.knesset.gov.il/APPS/legislation/main/bills/2217092", "הצעת חוק מימון קייטנות להורים עובדים בפריפריה, התשפ""ד-2024")</f>
        <v>6729</v>
      </c>
      <c r="E3175" t="s">
        <v>6729</v>
      </c>
      <c r="F3175" t="s">
        <v>6730</v>
      </c>
      <c r="G3175" t="s">
        <v>14</v>
      </c>
      <c r="H3175">
             </c>
      <c r="I3175" t="s">
        <v>14</v>
      </c>
      <c r="J3175" t="s">
        <v>242</v>
      </c>
      <c r="K3175" t="s">
        <v>14</v>
      </c>
      <c r="L3175" t="s">
        <v>20</v>
      </c>
      <c r="M3175" t="s">
        <v>6692</v>
      </c>
      <c r="N3175" t="s">
        <v>14</v>
      </c>
    </row>
    <row r="3176" x14ac:dyDescent="0.25">
      <c r="A3176" t="n">
        <v>25</v>
      </c>
      <c r="B3176" t="s">
        <v>14</v>
      </c>
      <c r="C3176" t="s">
        <v>51</v>
      </c>
      <c r="D3176" s="2" t="s">
        <f>=HYPERLINK("https://main.knesset.gov.il/APPS/legislation/main/bills/2216974", "הצעת חוק טיפול בחולי נפש (תיקון - בחירת מקום אשפוז), התשפ""ד-2024")</f>
        <v>6731</v>
      </c>
      <c r="E3176" t="s">
        <v>6731</v>
      </c>
      <c r="F3176" t="s">
        <v>6732</v>
      </c>
      <c r="G3176" t="s">
        <v>14</v>
      </c>
      <c r="H3176">
             </c>
      <c r="I3176" t="s">
        <v>14</v>
      </c>
      <c r="J3176" t="s">
        <v>242</v>
      </c>
      <c r="K3176" t="s">
        <v>14</v>
      </c>
      <c r="L3176" t="s">
        <v>20</v>
      </c>
      <c r="M3176" t="s">
        <v>6692</v>
      </c>
      <c r="N3176" t="s">
        <v>14</v>
      </c>
    </row>
    <row r="3177" x14ac:dyDescent="0.25">
      <c r="A3177" t="n">
        <v>25</v>
      </c>
      <c r="B3177" t="s">
        <v>14</v>
      </c>
      <c r="C3177" t="s">
        <v>51</v>
      </c>
      <c r="D3177" s="2" t="s">
        <f>=HYPERLINK("https://main.knesset.gov.il/APPS/legislation/main/bills/2216634", "הצעת חוק הנכים (תגמולים ושיקום) (תיקון - ליווי רפואי ומשפטי במהלך הליכי ההכרה כנכה וקביעת דרגת הנכות), התשפ""ד-2024")</f>
        <v>6733</v>
      </c>
      <c r="E3177" t="s">
        <v>6733</v>
      </c>
      <c r="F3177" t="s">
        <v>6734</v>
      </c>
      <c r="G3177" t="s">
        <v>14</v>
      </c>
      <c r="H3177">
             </c>
      <c r="I3177" t="s">
        <v>14</v>
      </c>
      <c r="J3177" t="s">
        <v>242</v>
      </c>
      <c r="K3177" t="s">
        <v>14</v>
      </c>
      <c r="L3177" t="s">
        <v>20</v>
      </c>
      <c r="M3177" t="s">
        <v>6692</v>
      </c>
      <c r="N3177" t="s">
        <v>14</v>
      </c>
    </row>
    <row r="3178" x14ac:dyDescent="0.25">
      <c r="A3178" t="n">
        <v>25</v>
      </c>
      <c r="B3178" t="s">
        <v>14</v>
      </c>
      <c r="C3178" t="s">
        <v>51</v>
      </c>
      <c r="D3178" s="2" t="s">
        <f>=HYPERLINK("https://main.knesset.gov.il/APPS/legislation/main/bills/2216336", "הצעת חוק התאמות בבחינות רישוי מקצועיות לחיילי מילואים (תיקוני חקיקה), התשפ""ד-2024")</f>
        <v>6735</v>
      </c>
      <c r="E3178" t="s">
        <v>6735</v>
      </c>
      <c r="F3178" t="s">
        <v>6736</v>
      </c>
      <c r="G3178" t="s">
        <v>14</v>
      </c>
      <c r="H3178">
             </c>
      <c r="I3178" t="s">
        <v>14</v>
      </c>
      <c r="J3178" t="s">
        <v>202</v>
      </c>
      <c r="K3178" t="s">
        <v>14</v>
      </c>
      <c r="L3178" t="s">
        <v>20</v>
      </c>
      <c r="M3178" t="s">
        <v>6692</v>
      </c>
      <c r="N3178" t="s">
        <v>14</v>
      </c>
    </row>
    <row r="3179" x14ac:dyDescent="0.25">
      <c r="A3179" t="n">
        <v>25</v>
      </c>
      <c r="B3179" t="s">
        <v>14</v>
      </c>
      <c r="C3179" t="s">
        <v>51</v>
      </c>
      <c r="D3179" s="2" t="s">
        <f>=HYPERLINK("https://main.knesset.gov.il/APPS/legislation/main/bills/2216265", "הצעת חוק הבטחת הכנסה (תיקון - ביטול הוראות מיוחדות לענין נכס שהוא רכב מנועי), התשפ""ד-2024")</f>
        <v>6737</v>
      </c>
      <c r="E3179" t="s">
        <v>6737</v>
      </c>
      <c r="F3179" t="s">
        <v>6738</v>
      </c>
      <c r="G3179" t="s">
        <v>14</v>
      </c>
      <c r="H3179">
             </c>
      <c r="I3179" t="s">
        <v>14</v>
      </c>
      <c r="J3179" t="s">
        <v>242</v>
      </c>
      <c r="K3179" t="s">
        <v>14</v>
      </c>
      <c r="L3179" t="s">
        <v>20</v>
      </c>
      <c r="M3179" t="s">
        <v>6692</v>
      </c>
      <c r="N3179" t="s">
        <v>14</v>
      </c>
    </row>
    <row r="3180" x14ac:dyDescent="0.25">
      <c r="A3180" t="n">
        <v>25</v>
      </c>
      <c r="B3180" t="s">
        <v>14</v>
      </c>
      <c r="C3180" t="s">
        <v>51</v>
      </c>
      <c r="D3180" s="2" t="s">
        <f>=HYPERLINK("https://main.knesset.gov.il/APPS/legislation/main/bills/2216972", "הצעת חוק-יסוד: הגנת הסביבה")</f>
        <v>6739</v>
      </c>
      <c r="E3180" t="s">
        <v>6739</v>
      </c>
      <c r="F3180" t="s">
        <v>6740</v>
      </c>
      <c r="G3180" t="s">
        <v>14</v>
      </c>
      <c r="H3180">
             </c>
      <c r="I3180" t="s">
        <v>14</v>
      </c>
      <c r="J3180" t="s">
        <v>242</v>
      </c>
      <c r="K3180" t="s">
        <v>14</v>
      </c>
      <c r="L3180" t="s">
        <v>20</v>
      </c>
      <c r="M3180" t="s">
        <v>6692</v>
      </c>
      <c r="N3180" t="s">
        <v>14</v>
      </c>
    </row>
    <row r="3181" x14ac:dyDescent="0.25">
      <c r="A3181" t="n">
        <v>25</v>
      </c>
      <c r="B3181" t="s">
        <v>14</v>
      </c>
      <c r="C3181" t="s">
        <v>51</v>
      </c>
      <c r="D3181" s="2" t="s">
        <f>=HYPERLINK("https://main.knesset.gov.il/APPS/legislation/main/bills/2215742", "הצעת חוק העונשין (תיקון - התארגנות חמושה אסורה), התשפ""ד-2024")</f>
        <v>6741</v>
      </c>
      <c r="E3181" t="s">
        <v>6741</v>
      </c>
      <c r="F3181" t="s">
        <v>6742</v>
      </c>
      <c r="G3181" t="s">
        <v>14</v>
      </c>
      <c r="H3181">
             </c>
      <c r="I3181" t="s">
        <v>14</v>
      </c>
      <c r="J3181" t="s">
        <v>242</v>
      </c>
      <c r="K3181" t="s">
        <v>14</v>
      </c>
      <c r="L3181" t="s">
        <v>20</v>
      </c>
      <c r="M3181" t="s">
        <v>6692</v>
      </c>
      <c r="N3181" t="s">
        <v>14</v>
      </c>
    </row>
    <row r="3182" x14ac:dyDescent="0.25">
      <c r="A3182" t="n">
        <v>25</v>
      </c>
      <c r="B3182" t="s">
        <v>14</v>
      </c>
      <c r="C3182" t="s">
        <v>51</v>
      </c>
      <c r="D3182" s="2" t="s">
        <f>=HYPERLINK("https://main.knesset.gov.il/APPS/legislation/main/bills/2216237", "הצעת חוק לתיקון פקודת התעבורה (הוראות לעניין סככות המתנה בתחנות אוטובוס), התשפ""ד-2024")</f>
        <v>6743</v>
      </c>
      <c r="E3182" t="s">
        <v>6743</v>
      </c>
      <c r="F3182" t="s">
        <v>6744</v>
      </c>
      <c r="G3182" t="s">
        <v>14</v>
      </c>
      <c r="H3182">
             </c>
      <c r="I3182" t="s">
        <v>14</v>
      </c>
      <c r="J3182" t="s">
        <v>242</v>
      </c>
      <c r="K3182" t="s">
        <v>14</v>
      </c>
      <c r="L3182" t="s">
        <v>20</v>
      </c>
      <c r="M3182" t="s">
        <v>6692</v>
      </c>
      <c r="N3182" t="s">
        <v>14</v>
      </c>
    </row>
    <row r="3183" x14ac:dyDescent="0.25">
      <c r="A3183" t="n">
        <v>25</v>
      </c>
      <c r="B3183" t="s">
        <v>14</v>
      </c>
      <c r="C3183" t="s">
        <v>51</v>
      </c>
      <c r="D3183" s="2" t="s">
        <f>=HYPERLINK("https://main.knesset.gov.il/APPS/legislation/main/bills/2217046", "הצעת חוק העונשין (תיקון - עונשי מינימום בעבירות בחוק העונשין), התשפ""ד-2024")</f>
        <v>6745</v>
      </c>
      <c r="E3183" t="s">
        <v>6745</v>
      </c>
      <c r="F3183" t="s">
        <v>6746</v>
      </c>
      <c r="G3183" t="s">
        <v>14</v>
      </c>
      <c r="H3183">
             </c>
      <c r="I3183" t="s">
        <v>14</v>
      </c>
      <c r="J3183" t="s">
        <v>242</v>
      </c>
      <c r="K3183" t="s">
        <v>14</v>
      </c>
      <c r="L3183" t="s">
        <v>20</v>
      </c>
      <c r="M3183" t="s">
        <v>6692</v>
      </c>
      <c r="N3183" t="s">
        <v>14</v>
      </c>
    </row>
    <row r="3184" x14ac:dyDescent="0.25">
      <c r="A3184" t="n">
        <v>25</v>
      </c>
      <c r="B3184" t="s">
        <v>14</v>
      </c>
      <c r="C3184" t="s">
        <v>51</v>
      </c>
      <c r="D3184" s="2" t="s">
        <f>=HYPERLINK("https://main.knesset.gov.il/APPS/legislation/main/bills/2216658", "הצעת חוק הביטוח הלאומי (תיקון - הצמדת קצבת אזרח ותיק לשכר הממוצע במשק והעלאת שיעור הגמלה), התשפ""ד-2024")</f>
        <v>6747</v>
      </c>
      <c r="E3184" t="s">
        <v>6747</v>
      </c>
      <c r="F3184" t="s">
        <v>6748</v>
      </c>
      <c r="G3184" t="s">
        <v>14</v>
      </c>
      <c r="H3184">
             </c>
      <c r="I3184" t="s">
        <v>14</v>
      </c>
      <c r="J3184" t="s">
        <v>242</v>
      </c>
      <c r="K3184" t="s">
        <v>14</v>
      </c>
      <c r="L3184" t="s">
        <v>20</v>
      </c>
      <c r="M3184" t="s">
        <v>6692</v>
      </c>
      <c r="N3184" t="s">
        <v>14</v>
      </c>
    </row>
    <row r="3185" x14ac:dyDescent="0.25">
      <c r="A3185" t="n">
        <v>25</v>
      </c>
      <c r="B3185" t="s">
        <v>14</v>
      </c>
      <c r="C3185" t="s">
        <v>51</v>
      </c>
      <c r="D3185" s="2" t="s">
        <f>=HYPERLINK("https://main.knesset.gov.il/APPS/legislation/main/bills/2213530", "הצעת חוק התקשורת (בזק ושידורים) (תיקון - הגנה על קטינים מפני תוכן פוגעני באינטרנט באמצעות אומדן גיל), התשפ""ד-2024")</f>
        <v>6749</v>
      </c>
      <c r="E3185" t="s">
        <v>6749</v>
      </c>
      <c r="F3185" t="s">
        <v>6750</v>
      </c>
      <c r="G3185" t="s">
        <v>14</v>
      </c>
      <c r="H3185">
             </c>
      <c r="I3185" t="s">
        <v>14</v>
      </c>
      <c r="J3185" t="s">
        <v>202</v>
      </c>
      <c r="K3185" t="s">
        <v>14</v>
      </c>
      <c r="L3185" t="s">
        <v>20</v>
      </c>
      <c r="M3185" t="s">
        <v>6692</v>
      </c>
      <c r="N3185" t="s">
        <v>14</v>
      </c>
    </row>
    <row r="3186" x14ac:dyDescent="0.25">
      <c r="A3186" t="n">
        <v>25</v>
      </c>
      <c r="B3186" t="s">
        <v>14</v>
      </c>
      <c r="C3186" t="s">
        <v>51</v>
      </c>
      <c r="D3186" s="2" t="s">
        <f>=HYPERLINK("https://main.knesset.gov.il/APPS/legislation/main/bills/2216633", "הצעת חוק הנכים (תגמולים ושיקום) (תיקון - הכרה בפדויי שבי), התשפ""ד-2024")</f>
        <v>6751</v>
      </c>
      <c r="E3186" t="s">
        <v>6751</v>
      </c>
      <c r="F3186" t="s">
        <v>6752</v>
      </c>
      <c r="G3186" t="s">
        <v>14</v>
      </c>
      <c r="H3186">
             </c>
      <c r="I3186" t="s">
        <v>14</v>
      </c>
      <c r="J3186" t="s">
        <v>242</v>
      </c>
      <c r="K3186" t="s">
        <v>14</v>
      </c>
      <c r="L3186" t="s">
        <v>20</v>
      </c>
      <c r="M3186" t="s">
        <v>6692</v>
      </c>
      <c r="N3186" t="s">
        <v>14</v>
      </c>
    </row>
    <row r="3187" x14ac:dyDescent="0.25">
      <c r="A3187" t="n">
        <v>25</v>
      </c>
      <c r="B3187" t="s">
        <v>14</v>
      </c>
      <c r="C3187" t="s">
        <v>51</v>
      </c>
      <c r="D3187" s="2" t="s">
        <f>=HYPERLINK("https://main.knesset.gov.il/APPS/legislation/main/bills/2212840", "הצעת חוק הספקת החשמל (הוראת שעה), התשפ""ד–2024")</f>
        <v>6753</v>
      </c>
      <c r="E3187" t="s">
        <v>6753</v>
      </c>
      <c r="F3187" t="s">
        <v>6754</v>
      </c>
      <c r="G3187" t="s">
        <v>6755</v>
      </c>
      <c r="H3187">
             </c>
      <c r="I3187" t="s">
        <v>14</v>
      </c>
      <c r="J3187" t="s">
        <v>334</v>
      </c>
      <c r="K3187" t="s">
        <v>84</v>
      </c>
      <c r="L3187" t="s">
        <v>20</v>
      </c>
      <c r="M3187" t="s">
        <v>6692</v>
      </c>
      <c r="N3187" t="s">
        <v>14</v>
      </c>
    </row>
    <row r="3188" x14ac:dyDescent="0.25">
      <c r="A3188" t="n">
        <v>25</v>
      </c>
      <c r="B3188" t="s">
        <v>14</v>
      </c>
      <c r="C3188" t="s">
        <v>51</v>
      </c>
      <c r="D3188" s="2" t="s">
        <f>=HYPERLINK("https://main.knesset.gov.il/APPS/legislation/main/bills/2210739", "הצעת חוק חופשה שנתית (תיקון - אי-קיזוז ימי חופשה למתנדב במסגרת כוחות הביטחון וההצלה בשעת חירום), התשפ""ד-2023")</f>
        <v>6756</v>
      </c>
      <c r="E3188" t="s">
        <v>6756</v>
      </c>
      <c r="F3188" t="s">
        <v>6757</v>
      </c>
      <c r="G3188" t="s">
        <v>14</v>
      </c>
      <c r="H3188">
             </c>
      <c r="I3188" t="s">
        <v>14</v>
      </c>
      <c r="J3188" t="s">
        <v>152</v>
      </c>
      <c r="K3188" t="s">
        <v>46</v>
      </c>
      <c r="L3188" t="s">
        <v>20</v>
      </c>
      <c r="M3188" t="s">
        <v>6758</v>
      </c>
      <c r="N3188" t="s">
        <v>14</v>
      </c>
    </row>
    <row r="3189" x14ac:dyDescent="0.25">
      <c r="A3189" t="n">
        <v>25</v>
      </c>
      <c r="B3189" t="s">
        <v>14</v>
      </c>
      <c r="C3189" t="s">
        <v>51</v>
      </c>
      <c r="D3189" s="2" t="s">
        <f>=HYPERLINK("https://main.knesset.gov.il/APPS/legislation/main/bills/2211287", "הצעת חוק הביטוח הלאומי (תיקון - תגמול מתנדבי זק""א במלחמת חרבות ברזל), התשפ""ד-2023 ")</f>
        <v>6759</v>
      </c>
      <c r="E3189" t="s">
        <v>6759</v>
      </c>
      <c r="F3189" t="s">
        <v>6760</v>
      </c>
      <c r="G3189" t="s">
        <v>14</v>
      </c>
      <c r="H3189">
             </c>
      <c r="I3189" t="s">
        <v>14</v>
      </c>
      <c r="J3189" t="s">
        <v>152</v>
      </c>
      <c r="K3189" t="s">
        <v>46</v>
      </c>
      <c r="L3189" t="s">
        <v>20</v>
      </c>
      <c r="M3189" t="s">
        <v>6758</v>
      </c>
      <c r="N3189" t="s">
        <v>14</v>
      </c>
    </row>
    <row r="3190" x14ac:dyDescent="0.25">
      <c r="A3190" t="n">
        <v>25</v>
      </c>
      <c r="B3190" t="s">
        <v>14</v>
      </c>
      <c r="C3190" t="s">
        <v>51</v>
      </c>
      <c r="D3190" s="2" t="s">
        <f>=HYPERLINK("https://main.knesset.gov.il/APPS/legislation/main/bills/2204297", "הצעת חוק למניעת הוצאה של כספים מישראל על ידי מסתנן או נתין זר או עבורו, התשפ""ג-2023")</f>
        <v>6761</v>
      </c>
      <c r="E3190" t="s">
        <v>6761</v>
      </c>
      <c r="F3190" t="s">
        <v>6762</v>
      </c>
      <c r="G3190" t="s">
        <v>14</v>
      </c>
      <c r="H3190">
             </c>
      <c r="I3190" t="s">
        <v>14</v>
      </c>
      <c r="J3190" t="s">
        <v>152</v>
      </c>
      <c r="K3190" t="s">
        <v>30</v>
      </c>
      <c r="L3190" t="s">
        <v>20</v>
      </c>
      <c r="M3190" t="s">
        <v>6758</v>
      </c>
      <c r="N3190" t="s">
        <v>14</v>
      </c>
    </row>
    <row r="3191" x14ac:dyDescent="0.25">
      <c r="A3191" t="n">
        <v>25</v>
      </c>
      <c r="B3191" t="s">
        <v>14</v>
      </c>
      <c r="C3191" t="s">
        <v>51</v>
      </c>
      <c r="D3191" s="2" t="s">
        <f>=HYPERLINK("https://main.knesset.gov.il/APPS/legislation/main/bills/2214751", "הצעת חוק לתיקון סדרי הדין (חקירת עדים) (תיקון - עדות קטין בהליך אזרחי), התשפ""ד-2024")</f>
        <v>6763</v>
      </c>
      <c r="E3191" t="s">
        <v>6763</v>
      </c>
      <c r="F3191" t="s">
        <v>6764</v>
      </c>
      <c r="G3191" t="s">
        <v>14</v>
      </c>
      <c r="H3191">
             </c>
      <c r="I3191" t="s">
        <v>14</v>
      </c>
      <c r="J3191" t="s">
        <v>183</v>
      </c>
      <c r="K3191" t="s">
        <v>27</v>
      </c>
      <c r="L3191" t="s">
        <v>20</v>
      </c>
      <c r="M3191" t="s">
        <v>6758</v>
      </c>
      <c r="N3191" t="s">
        <v>14</v>
      </c>
    </row>
    <row r="3192" x14ac:dyDescent="0.25">
      <c r="A3192" t="n">
        <v>25</v>
      </c>
      <c r="B3192" t="s">
        <v>14</v>
      </c>
      <c r="C3192" t="s">
        <v>15</v>
      </c>
      <c r="D3192" s="2" t="s">
        <f>=HYPERLINK("https://main.knesset.gov.il/APPS/legislation/main/bills/2216026", "חוק לתיקון פקודת מס הכנסה (מס' 272), התשפ""ד–2024")</f>
        <v>6765</v>
      </c>
      <c r="E3192" t="s">
        <v>6765</v>
      </c>
      <c r="F3192" t="s">
        <v>14</v>
      </c>
      <c r="G3192" t="s">
        <v>6766</v>
      </c>
      <c r="H3192" t="n">
        <v>3205</v>
      </c>
      <c r="I3192" t="s">
        <v>14</v>
      </c>
      <c r="J3192" t="s">
        <v>18</v>
      </c>
      <c r="K3192" t="s">
        <v>24</v>
      </c>
      <c r="L3192" t="s">
        <v>20</v>
      </c>
      <c r="M3192" t="s">
        <v>6758</v>
      </c>
      <c r="N3192" t="s">
        <v>6767</v>
      </c>
    </row>
    <row r="3193" x14ac:dyDescent="0.25">
      <c r="A3193" t="n">
        <v>25</v>
      </c>
      <c r="B3193" t="s">
        <v>14</v>
      </c>
      <c r="C3193" t="s">
        <v>15</v>
      </c>
      <c r="D3193" s="2" t="s">
        <f>=HYPERLINK("https://main.knesset.gov.il/APPS/legislation/main/bills/2207737", "חוק שוויון זכויות לאנשים עם מוגבלות (תיקון מס' 25), התשפ""ד-2024")</f>
        <v>6768</v>
      </c>
      <c r="E3193" t="s">
        <v>6768</v>
      </c>
      <c r="F3193" t="s">
        <v>14</v>
      </c>
      <c r="G3193" t="s">
        <v>6769</v>
      </c>
      <c r="H3193" t="n">
        <v>3204</v>
      </c>
      <c r="I3193" t="s">
        <v>14</v>
      </c>
      <c r="J3193" t="s">
        <v>18</v>
      </c>
      <c r="K3193" t="s">
        <v>46</v>
      </c>
      <c r="L3193" t="s">
        <v>20</v>
      </c>
      <c r="M3193" t="s">
        <v>6758</v>
      </c>
      <c r="N3193" t="s">
        <v>6770</v>
      </c>
    </row>
    <row r="3194" x14ac:dyDescent="0.25">
      <c r="A3194" t="n">
        <v>25</v>
      </c>
      <c r="B3194" t="s">
        <v>14</v>
      </c>
      <c r="C3194" t="s">
        <v>15</v>
      </c>
      <c r="D3194" s="2" t="s">
        <f>=HYPERLINK("https://main.knesset.gov.il/APPS/legislation/main/bills/2217043", "חוק לתיקון ולהארכת תוקפן של תקנות שעת חירום (חרבות ברזל) (פגישה עם עורך דין של עצור בעבירת ביטחון) (תיקון), התשפ""ד-2024")</f>
        <v>6771</v>
      </c>
      <c r="E3194" t="s">
        <v>6771</v>
      </c>
      <c r="F3194" t="s">
        <v>14</v>
      </c>
      <c r="G3194" t="s">
        <v>6772</v>
      </c>
      <c r="H3194" t="n">
        <v>3199</v>
      </c>
      <c r="I3194" t="s">
        <v>14</v>
      </c>
      <c r="J3194" t="s">
        <v>18</v>
      </c>
      <c r="K3194" t="s">
        <v>27</v>
      </c>
      <c r="L3194" t="s">
        <v>20</v>
      </c>
      <c r="M3194" t="s">
        <v>6758</v>
      </c>
      <c r="N3194" t="s">
        <v>6773</v>
      </c>
    </row>
    <row r="3195" x14ac:dyDescent="0.25">
      <c r="A3195" t="n">
        <v>25</v>
      </c>
      <c r="B3195" t="s">
        <v>14</v>
      </c>
      <c r="C3195" t="s">
        <v>51</v>
      </c>
      <c r="D3195" s="2" t="s">
        <f>=HYPERLINK("https://main.knesset.gov.il/APPS/legislation/main/bills/2212155", "הצעת חוק חובת מיגון לנכים, לקשישים, לאלו שידם אינה משגת, לאזרחים שיש בידם דירת מגורים אחת בלבד ולמתגוררים ביישובי קו העימות, התשפ""ד-2023")</f>
        <v>6774</v>
      </c>
      <c r="E3195" t="s">
        <v>6774</v>
      </c>
      <c r="F3195" t="s">
        <v>6775</v>
      </c>
      <c r="G3195" t="s">
        <v>14</v>
      </c>
      <c r="H3195">
             </c>
      <c r="I3195" t="s">
        <v>14</v>
      </c>
      <c r="J3195" t="s">
        <v>152</v>
      </c>
      <c r="K3195" t="s">
        <v>30</v>
      </c>
      <c r="L3195" t="s">
        <v>20</v>
      </c>
      <c r="M3195" t="s">
        <v>6776</v>
      </c>
      <c r="N3195" t="s">
        <v>14</v>
      </c>
    </row>
    <row r="3196" x14ac:dyDescent="0.25">
      <c r="A3196" t="n">
        <v>25</v>
      </c>
      <c r="B3196" t="s">
        <v>14</v>
      </c>
      <c r="C3196" t="s">
        <v>51</v>
      </c>
      <c r="D3196" s="2" t="s">
        <f>=HYPERLINK("https://main.knesset.gov.il/APPS/legislation/main/bills/2199056", "הצעת חוק למניעת פגיעה כלכלית בצרכן (תיקוני חקיקה), התשפ""ד-2024")</f>
        <v>6777</v>
      </c>
      <c r="E3196" t="s">
        <v>6777</v>
      </c>
      <c r="F3196" t="s">
        <v>6778</v>
      </c>
      <c r="G3196" t="s">
        <v>14</v>
      </c>
      <c r="H3196">
             </c>
      <c r="I3196" t="s">
        <v>14</v>
      </c>
      <c r="J3196" t="s">
        <v>183</v>
      </c>
      <c r="K3196" t="s">
        <v>84</v>
      </c>
      <c r="L3196" t="s">
        <v>20</v>
      </c>
      <c r="M3196" t="s">
        <v>6776</v>
      </c>
      <c r="N3196" t="s">
        <v>14</v>
      </c>
    </row>
    <row r="3197" x14ac:dyDescent="0.25">
      <c r="A3197" t="n">
        <v>25</v>
      </c>
      <c r="B3197" t="s">
        <v>14</v>
      </c>
      <c r="C3197" t="s">
        <v>51</v>
      </c>
      <c r="D3197" s="2" t="s">
        <f>=HYPERLINK("https://main.knesset.gov.il/APPS/legislation/main/bills/2198482", "חוק מגבלות על חזרתו של מורשע במעשה טרור לסביבת נפגעי העבירה, התשפ""ד-2024")</f>
        <v>6779</v>
      </c>
      <c r="E3197" t="s">
        <v>6779</v>
      </c>
      <c r="F3197" t="s">
        <v>6780</v>
      </c>
      <c r="G3197" t="s">
        <v>6781</v>
      </c>
      <c r="H3197" t="n">
        <v>3202</v>
      </c>
      <c r="I3197" t="s">
        <v>14</v>
      </c>
      <c r="J3197" t="s">
        <v>18</v>
      </c>
      <c r="K3197" t="s">
        <v>19</v>
      </c>
      <c r="L3197" t="s">
        <v>20</v>
      </c>
      <c r="M3197" t="s">
        <v>6776</v>
      </c>
      <c r="N3197" t="s">
        <v>6782</v>
      </c>
    </row>
    <row r="3198" x14ac:dyDescent="0.25">
      <c r="A3198" t="n">
        <v>25</v>
      </c>
      <c r="B3198" t="s">
        <v>14</v>
      </c>
      <c r="C3198" t="s">
        <v>51</v>
      </c>
      <c r="D3198" s="2" t="s">
        <f>=HYPERLINK("https://main.knesset.gov.il/APPS/legislation/main/bills/2203535", "חוק לתיקון פקודת העיריות (מס' 157) , התשפ""ד–2024")</f>
        <v>6783</v>
      </c>
      <c r="E3198" t="s">
        <v>6783</v>
      </c>
      <c r="F3198" t="s">
        <v>6784</v>
      </c>
      <c r="G3198" t="s">
        <v>6785</v>
      </c>
      <c r="H3198" t="n">
        <v>3201</v>
      </c>
      <c r="I3198" t="s">
        <v>14</v>
      </c>
      <c r="J3198" t="s">
        <v>18</v>
      </c>
      <c r="K3198" t="s">
        <v>30</v>
      </c>
      <c r="L3198" t="s">
        <v>20</v>
      </c>
      <c r="M3198" t="s">
        <v>6776</v>
      </c>
      <c r="N3198" t="s">
        <v>6786</v>
      </c>
    </row>
    <row r="3199" x14ac:dyDescent="0.25">
      <c r="A3199" t="n">
        <v>25</v>
      </c>
      <c r="B3199" t="s">
        <v>14</v>
      </c>
      <c r="C3199" t="s">
        <v>15</v>
      </c>
      <c r="D3199" s="2" t="s">
        <f>=HYPERLINK("https://main.knesset.gov.il/APPS/legislation/main/bills/2215932", "חוק להסדרת הפיקוח על כלבים (תיקון מס' 6 – הוראת שעה – חרבות ברזל), התשפ""ד–2024 ")</f>
        <v>6787</v>
      </c>
      <c r="E3199" t="s">
        <v>6787</v>
      </c>
      <c r="F3199" t="s">
        <v>14</v>
      </c>
      <c r="G3199" t="s">
        <v>6788</v>
      </c>
      <c r="H3199" t="n">
        <v>3200</v>
      </c>
      <c r="I3199" t="s">
        <v>14</v>
      </c>
      <c r="J3199" t="s">
        <v>18</v>
      </c>
      <c r="K3199" t="s">
        <v>84</v>
      </c>
      <c r="L3199" t="s">
        <v>20</v>
      </c>
      <c r="M3199" t="s">
        <v>6776</v>
      </c>
      <c r="N3199" t="s">
        <v>6789</v>
      </c>
    </row>
    <row r="3200" x14ac:dyDescent="0.25">
      <c r="A3200" t="n">
        <v>25</v>
      </c>
      <c r="B3200" t="s">
        <v>14</v>
      </c>
      <c r="C3200" t="s">
        <v>15</v>
      </c>
      <c r="D3200" s="2" t="s">
        <f>=HYPERLINK("https://main.knesset.gov.il/APPS/legislation/main/bills/2215077", "חוק מניעת פגיעת גוף שידורים זר בביטחון המדינה (הוראת שעה – חרבות ברזל), התשפ""ד-2024")</f>
        <v>6790</v>
      </c>
      <c r="E3200" t="s">
        <v>6790</v>
      </c>
      <c r="F3200" t="s">
        <v>14</v>
      </c>
      <c r="G3200" t="s">
        <v>6791</v>
      </c>
      <c r="H3200" t="n">
        <v>3198</v>
      </c>
      <c r="I3200" t="s">
        <v>14</v>
      </c>
      <c r="J3200" t="s">
        <v>18</v>
      </c>
      <c r="K3200" t="s">
        <v>19</v>
      </c>
      <c r="L3200" t="s">
        <v>20</v>
      </c>
      <c r="M3200" t="s">
        <v>6776</v>
      </c>
      <c r="N3200" t="s">
        <v>6792</v>
      </c>
    </row>
    <row r="3201" x14ac:dyDescent="0.25">
      <c r="A3201" t="n">
        <v>25</v>
      </c>
      <c r="B3201" t="s">
        <v>14</v>
      </c>
      <c r="C3201" t="s">
        <v>51</v>
      </c>
      <c r="D3201" s="2" t="s">
        <f>=HYPERLINK("https://main.knesset.gov.il/APPS/legislation/main/bills/2216443", "הצעת חוק עבודת נשים (תיקון - זכות להיעדר מעבודה בעת שירות מילואים של בן הזוג), התשפ""ד-2024")</f>
        <v>6793</v>
      </c>
      <c r="E3201" t="s">
        <v>6793</v>
      </c>
      <c r="F3201" t="s">
        <v>6794</v>
      </c>
      <c r="G3201" t="s">
        <v>14</v>
      </c>
      <c r="H3201">
             </c>
      <c r="I3201" t="s">
        <v>14</v>
      </c>
      <c r="J3201" t="s">
        <v>242</v>
      </c>
      <c r="K3201" t="s">
        <v>14</v>
      </c>
      <c r="L3201" t="s">
        <v>20</v>
      </c>
      <c r="M3201" t="s">
        <v>6776</v>
      </c>
      <c r="N3201" t="s">
        <v>14</v>
      </c>
    </row>
    <row r="3202" x14ac:dyDescent="0.25">
      <c r="A3202" t="n">
        <v>25</v>
      </c>
      <c r="B3202" t="s">
        <v>14</v>
      </c>
      <c r="C3202" t="s">
        <v>51</v>
      </c>
      <c r="D3202" s="2" t="s">
        <f>=HYPERLINK("https://main.knesset.gov.il/APPS/legislation/main/bills/2217089", "הצעת חוק הביטוח הלאומי (תיקון - עדכון לוח ח'), התשפ""ד-2024")</f>
        <v>6795</v>
      </c>
      <c r="E3202" t="s">
        <v>6795</v>
      </c>
      <c r="F3202" t="s">
        <v>6796</v>
      </c>
      <c r="G3202" t="s">
        <v>14</v>
      </c>
      <c r="H3202">
             </c>
      <c r="I3202" t="s">
        <v>14</v>
      </c>
      <c r="J3202" t="s">
        <v>242</v>
      </c>
      <c r="K3202" t="s">
        <v>14</v>
      </c>
      <c r="L3202" t="s">
        <v>20</v>
      </c>
      <c r="M3202" t="s">
        <v>6776</v>
      </c>
      <c r="N3202" t="s">
        <v>14</v>
      </c>
    </row>
    <row r="3203" x14ac:dyDescent="0.25">
      <c r="A3203" t="n">
        <v>25</v>
      </c>
      <c r="B3203" t="s">
        <v>14</v>
      </c>
      <c r="C3203" t="s">
        <v>51</v>
      </c>
      <c r="D3203" s="2" t="s">
        <f>=HYPERLINK("https://main.knesset.gov.il/APPS/legislation/main/bills/2217068", "הצעת חוק לתיקון פקודת בריאות העם (הנגשת מידע ופנקס חיסונים למחוסן), התשפ""ד-2024")</f>
        <v>6102</v>
      </c>
      <c r="E3203" t="s">
        <v>6102</v>
      </c>
      <c r="F3203" t="s">
        <v>6797</v>
      </c>
      <c r="G3203" t="s">
        <v>14</v>
      </c>
      <c r="H3203">
             </c>
      <c r="I3203" t="s">
        <v>14</v>
      </c>
      <c r="J3203" t="s">
        <v>242</v>
      </c>
      <c r="K3203" t="s">
        <v>14</v>
      </c>
      <c r="L3203" t="s">
        <v>20</v>
      </c>
      <c r="M3203" t="s">
        <v>6776</v>
      </c>
      <c r="N3203" t="s">
        <v>14</v>
      </c>
    </row>
    <row r="3204" x14ac:dyDescent="0.25">
      <c r="A3204" t="n">
        <v>25</v>
      </c>
      <c r="B3204" t="s">
        <v>14</v>
      </c>
      <c r="C3204" t="s">
        <v>51</v>
      </c>
      <c r="D3204" s="2" t="s">
        <f>=HYPERLINK("https://main.knesset.gov.il/APPS/legislation/main/bills/2216381", "הצעת חוק האזרחים הוותיקים (תיקון - תור שנקבע בתיאום מראש), התשפ""ד-2024")</f>
        <v>6798</v>
      </c>
      <c r="E3204" t="s">
        <v>6798</v>
      </c>
      <c r="F3204" t="s">
        <v>6799</v>
      </c>
      <c r="G3204" t="s">
        <v>14</v>
      </c>
      <c r="H3204">
             </c>
      <c r="I3204" t="s">
        <v>14</v>
      </c>
      <c r="J3204" t="s">
        <v>242</v>
      </c>
      <c r="K3204" t="s">
        <v>14</v>
      </c>
      <c r="L3204" t="s">
        <v>20</v>
      </c>
      <c r="M3204" t="s">
        <v>6776</v>
      </c>
      <c r="N3204" t="s">
        <v>14</v>
      </c>
    </row>
    <row r="3205" x14ac:dyDescent="0.25">
      <c r="A3205" t="n">
        <v>25</v>
      </c>
      <c r="B3205" t="s">
        <v>14</v>
      </c>
      <c r="C3205" t="s">
        <v>51</v>
      </c>
      <c r="D3205" s="2" t="s">
        <f>=HYPERLINK("https://main.knesset.gov.il/APPS/legislation/main/bills/2209067", "הצעת חוק לעידוד השקעות הון (תיקון - השכרה לטווח ארוך במסלול זכאות לרכישה), התשפ""ד-2024")</f>
        <v>6800</v>
      </c>
      <c r="E3205" t="s">
        <v>6800</v>
      </c>
      <c r="F3205" t="s">
        <v>6801</v>
      </c>
      <c r="G3205" t="s">
        <v>14</v>
      </c>
      <c r="H3205">
             </c>
      <c r="I3205" t="s">
        <v>14</v>
      </c>
      <c r="J3205" t="s">
        <v>242</v>
      </c>
      <c r="K3205" t="s">
        <v>14</v>
      </c>
      <c r="L3205" t="s">
        <v>20</v>
      </c>
      <c r="M3205" t="s">
        <v>6776</v>
      </c>
      <c r="N3205" t="s">
        <v>14</v>
      </c>
    </row>
    <row r="3206" x14ac:dyDescent="0.25">
      <c r="A3206" t="n">
        <v>25</v>
      </c>
      <c r="B3206" t="s">
        <v>14</v>
      </c>
      <c r="C3206" t="s">
        <v>51</v>
      </c>
      <c r="D3206" s="2" t="s">
        <f>=HYPERLINK("https://main.knesset.gov.il/APPS/legislation/main/bills/2217090", "הצעת חוק גיל פרישה (הורה שילדו נפטר) (הוראת שעה) (תיקון - הפיכת הוראת שעה להוראה קבועה), התשפ""ד-2024")</f>
        <v>4345</v>
      </c>
      <c r="E3206" t="s">
        <v>4345</v>
      </c>
      <c r="F3206" t="s">
        <v>6802</v>
      </c>
      <c r="G3206" t="s">
        <v>14</v>
      </c>
      <c r="H3206">
             </c>
      <c r="I3206" t="s">
        <v>14</v>
      </c>
      <c r="J3206" t="s">
        <v>242</v>
      </c>
      <c r="K3206" t="s">
        <v>14</v>
      </c>
      <c r="L3206" t="s">
        <v>20</v>
      </c>
      <c r="M3206" t="s">
        <v>6776</v>
      </c>
      <c r="N3206" t="s">
        <v>14</v>
      </c>
    </row>
    <row r="3207" x14ac:dyDescent="0.25">
      <c r="A3207" t="n">
        <v>25</v>
      </c>
      <c r="B3207" t="s">
        <v>14</v>
      </c>
      <c r="C3207" t="s">
        <v>51</v>
      </c>
      <c r="D3207" s="2" t="s">
        <f>=HYPERLINK("https://main.knesset.gov.il/APPS/legislation/main/bills/2217036", "הצעת חוק משפחות חיילים שנספו במערכה (תגמולים ושיקום) (תיקון - זכויות הסתגלות לאחים שכולים), התשפ""ד-2024")</f>
        <v>3902</v>
      </c>
      <c r="E3207" t="s">
        <v>3902</v>
      </c>
      <c r="F3207" t="s">
        <v>6803</v>
      </c>
      <c r="G3207" t="s">
        <v>14</v>
      </c>
      <c r="H3207">
             </c>
      <c r="I3207" t="s">
        <v>14</v>
      </c>
      <c r="J3207" t="s">
        <v>242</v>
      </c>
      <c r="K3207" t="s">
        <v>14</v>
      </c>
      <c r="L3207" t="s">
        <v>20</v>
      </c>
      <c r="M3207" t="s">
        <v>6776</v>
      </c>
      <c r="N3207" t="s">
        <v>14</v>
      </c>
    </row>
    <row r="3208" x14ac:dyDescent="0.25">
      <c r="A3208" t="n">
        <v>25</v>
      </c>
      <c r="B3208" t="s">
        <v>14</v>
      </c>
      <c r="C3208" t="s">
        <v>51</v>
      </c>
      <c r="D3208" s="2" t="s">
        <f>=HYPERLINK("https://main.knesset.gov.il/APPS/legislation/main/bills/2217091", "הצעת חוק הביטוח הלאומי (תיקון - זכאות לקצבת אזרח ותיק לנכה), התשפ""ד-2024")</f>
        <v>6804</v>
      </c>
      <c r="E3208" t="s">
        <v>6804</v>
      </c>
      <c r="F3208" t="s">
        <v>6805</v>
      </c>
      <c r="G3208" t="s">
        <v>14</v>
      </c>
      <c r="H3208">
             </c>
      <c r="I3208" t="s">
        <v>14</v>
      </c>
      <c r="J3208" t="s">
        <v>202</v>
      </c>
      <c r="K3208" t="s">
        <v>14</v>
      </c>
      <c r="L3208" t="s">
        <v>20</v>
      </c>
      <c r="M3208" t="s">
        <v>6776</v>
      </c>
      <c r="N3208" t="s">
        <v>14</v>
      </c>
    </row>
    <row r="3209" x14ac:dyDescent="0.25">
      <c r="A3209" t="n">
        <v>25</v>
      </c>
      <c r="B3209" t="s">
        <v>14</v>
      </c>
      <c r="C3209" t="s">
        <v>51</v>
      </c>
      <c r="D3209" s="2" t="s">
        <f>=HYPERLINK("https://main.knesset.gov.il/APPS/legislation/main/bills/2216982", "הצעת חוק לתיקון פקודת העיריות (קביעת שירותי תחבורה ציבורית בתחומי הרשות המקומית), התשפ""ד-2024")</f>
        <v>6806</v>
      </c>
      <c r="E3209" t="s">
        <v>6806</v>
      </c>
      <c r="F3209" t="s">
        <v>6807</v>
      </c>
      <c r="G3209" t="s">
        <v>14</v>
      </c>
      <c r="H3209">
             </c>
      <c r="I3209" t="s">
        <v>14</v>
      </c>
      <c r="J3209" t="s">
        <v>242</v>
      </c>
      <c r="K3209" t="s">
        <v>14</v>
      </c>
      <c r="L3209" t="s">
        <v>20</v>
      </c>
      <c r="M3209" t="s">
        <v>6776</v>
      </c>
      <c r="N3209" t="s">
        <v>14</v>
      </c>
    </row>
    <row r="3210" x14ac:dyDescent="0.25">
      <c r="A3210" t="n">
        <v>25</v>
      </c>
      <c r="B3210" t="s">
        <v>14</v>
      </c>
      <c r="C3210" t="s">
        <v>51</v>
      </c>
      <c r="D3210" s="2" t="s">
        <f>=HYPERLINK("https://main.knesset.gov.il/APPS/legislation/main/bills/2216674", "הצעת חוק הביטוח הלאומי (תיקון - דמי ביטוח מופחתים למעסיק קולט עלייה), התשפ""ד-2024")</f>
        <v>6808</v>
      </c>
      <c r="E3210" t="s">
        <v>6808</v>
      </c>
      <c r="F3210" t="s">
        <v>6809</v>
      </c>
      <c r="G3210" t="s">
        <v>14</v>
      </c>
      <c r="H3210">
             </c>
      <c r="I3210" t="s">
        <v>14</v>
      </c>
      <c r="J3210" t="s">
        <v>242</v>
      </c>
      <c r="K3210" t="s">
        <v>14</v>
      </c>
      <c r="L3210" t="s">
        <v>20</v>
      </c>
      <c r="M3210" t="s">
        <v>6776</v>
      </c>
      <c r="N3210" t="s">
        <v>14</v>
      </c>
    </row>
    <row r="3211" x14ac:dyDescent="0.25">
      <c r="A3211" t="n">
        <v>25</v>
      </c>
      <c r="B3211" t="s">
        <v>14</v>
      </c>
      <c r="C3211" t="s">
        <v>51</v>
      </c>
      <c r="D3211" s="2" t="s">
        <f>=HYPERLINK("https://main.knesset.gov.il/APPS/legislation/main/bills/2216726", "הצעת חוק ביטול מאסר חלף קנס (תיקוני חקיקה), התשפ""ד-2024")</f>
        <v>6810</v>
      </c>
      <c r="E3211" t="s">
        <v>6810</v>
      </c>
      <c r="F3211" t="s">
        <v>6811</v>
      </c>
      <c r="G3211" t="s">
        <v>14</v>
      </c>
      <c r="H3211">
             </c>
      <c r="I3211" t="s">
        <v>14</v>
      </c>
      <c r="J3211" t="s">
        <v>242</v>
      </c>
      <c r="K3211" t="s">
        <v>14</v>
      </c>
      <c r="L3211" t="s">
        <v>20</v>
      </c>
      <c r="M3211" t="s">
        <v>6776</v>
      </c>
      <c r="N3211" t="s">
        <v>14</v>
      </c>
    </row>
    <row r="3212" x14ac:dyDescent="0.25">
      <c r="A3212" t="n">
        <v>25</v>
      </c>
      <c r="B3212" t="s">
        <v>14</v>
      </c>
      <c r="C3212" t="s">
        <v>51</v>
      </c>
      <c r="D3212" s="2" t="s">
        <f>=HYPERLINK("https://main.knesset.gov.il/APPS/legislation/main/bills/2217012", "הצעת חוק חובת המכרזים (תיקון - עידוד אגודות שיתופיות ותאגידים שחל עליהם הסכם קיבוצי מיוחד), התשפ""ד-2024")</f>
        <v>6812</v>
      </c>
      <c r="E3212" t="s">
        <v>6812</v>
      </c>
      <c r="F3212" t="s">
        <v>6813</v>
      </c>
      <c r="G3212" t="s">
        <v>14</v>
      </c>
      <c r="H3212">
             </c>
      <c r="I3212" t="s">
        <v>14</v>
      </c>
      <c r="J3212" t="s">
        <v>242</v>
      </c>
      <c r="K3212" t="s">
        <v>14</v>
      </c>
      <c r="L3212" t="s">
        <v>20</v>
      </c>
      <c r="M3212" t="s">
        <v>6776</v>
      </c>
      <c r="N3212" t="s">
        <v>14</v>
      </c>
    </row>
    <row r="3213" x14ac:dyDescent="0.25">
      <c r="A3213" t="n">
        <v>25</v>
      </c>
      <c r="B3213" t="s">
        <v>14</v>
      </c>
      <c r="C3213" t="s">
        <v>51</v>
      </c>
      <c r="D3213" s="2" t="s">
        <f>=HYPERLINK("https://main.knesset.gov.il/APPS/legislation/main/bills/2216967", "הצעת חוק העונשין (תיקון - מרחק סביר משוטר בעת מילוי תפקידו), התשפ""ד-2024 ")</f>
        <v>6814</v>
      </c>
      <c r="E3213" t="s">
        <v>6814</v>
      </c>
      <c r="F3213" t="s">
        <v>6815</v>
      </c>
      <c r="G3213" t="s">
        <v>14</v>
      </c>
      <c r="H3213">
             </c>
      <c r="I3213" t="s">
        <v>14</v>
      </c>
      <c r="J3213" t="s">
        <v>242</v>
      </c>
      <c r="K3213" t="s">
        <v>14</v>
      </c>
      <c r="L3213" t="s">
        <v>20</v>
      </c>
      <c r="M3213" t="s">
        <v>6776</v>
      </c>
      <c r="N3213" t="s">
        <v>14</v>
      </c>
    </row>
    <row r="3214" x14ac:dyDescent="0.25">
      <c r="A3214" t="n">
        <v>25</v>
      </c>
      <c r="B3214" t="s">
        <v>14</v>
      </c>
      <c r="C3214" t="s">
        <v>51</v>
      </c>
      <c r="D3214" s="2" t="s">
        <f>=HYPERLINK("https://main.knesset.gov.il/APPS/legislation/main/bills/2215358", "הצעת חוק הרשות הלאומית לעידוד הגירה ומאבק במסתננים מארצות אסיה ואפריקה, התשפ""ד-2024")</f>
        <v>6816</v>
      </c>
      <c r="E3214" t="s">
        <v>6816</v>
      </c>
      <c r="F3214" t="s">
        <v>6817</v>
      </c>
      <c r="G3214" t="s">
        <v>14</v>
      </c>
      <c r="H3214">
             </c>
      <c r="I3214" t="s">
        <v>14</v>
      </c>
      <c r="J3214" t="s">
        <v>242</v>
      </c>
      <c r="K3214" t="s">
        <v>14</v>
      </c>
      <c r="L3214" t="s">
        <v>20</v>
      </c>
      <c r="M3214" t="s">
        <v>6776</v>
      </c>
      <c r="N3214" t="s">
        <v>14</v>
      </c>
    </row>
    <row r="3215" x14ac:dyDescent="0.25">
      <c r="A3215" t="n">
        <v>25</v>
      </c>
      <c r="B3215" t="s">
        <v>14</v>
      </c>
      <c r="C3215" t="s">
        <v>51</v>
      </c>
      <c r="D3215" s="2" t="s">
        <f>=HYPERLINK("https://main.knesset.gov.il/APPS/legislation/main/bills/2213548", "הצעת חוק ערבויות מטעם המדינה (תיקון - חיוב תאגיד בנקאי במתן הלוואה), התשפ""ד-2024")</f>
        <v>6818</v>
      </c>
      <c r="E3215" t="s">
        <v>6818</v>
      </c>
      <c r="F3215" t="s">
        <v>6819</v>
      </c>
      <c r="G3215" t="s">
        <v>14</v>
      </c>
      <c r="H3215">
             </c>
      <c r="I3215" t="s">
        <v>14</v>
      </c>
      <c r="J3215" t="s">
        <v>242</v>
      </c>
      <c r="K3215" t="s">
        <v>14</v>
      </c>
      <c r="L3215" t="s">
        <v>20</v>
      </c>
      <c r="M3215" t="s">
        <v>6776</v>
      </c>
      <c r="N3215" t="s">
        <v>14</v>
      </c>
    </row>
    <row r="3216" x14ac:dyDescent="0.25">
      <c r="A3216" t="n">
        <v>25</v>
      </c>
      <c r="B3216" t="s">
        <v>14</v>
      </c>
      <c r="C3216" t="s">
        <v>51</v>
      </c>
      <c r="D3216" s="2" t="s">
        <f>=HYPERLINK("https://main.knesset.gov.il/APPS/legislation/main/bills/2215762", "הצעת חוק הגבלת אספקת שירותים ומוצרים לגורמי ביטחון, התשפ""ד-2024")</f>
        <v>6820</v>
      </c>
      <c r="E3216" t="s">
        <v>6820</v>
      </c>
      <c r="F3216" t="s">
        <v>6821</v>
      </c>
      <c r="G3216" t="s">
        <v>14</v>
      </c>
      <c r="H3216">
             </c>
      <c r="I3216" t="s">
        <v>14</v>
      </c>
      <c r="J3216" t="s">
        <v>202</v>
      </c>
      <c r="K3216" t="s">
        <v>14</v>
      </c>
      <c r="L3216" t="s">
        <v>20</v>
      </c>
      <c r="M3216" t="s">
        <v>6776</v>
      </c>
      <c r="N3216" t="s">
        <v>14</v>
      </c>
    </row>
    <row r="3217" x14ac:dyDescent="0.25">
      <c r="A3217" t="n">
        <v>25</v>
      </c>
      <c r="B3217" t="s">
        <v>14</v>
      </c>
      <c r="C3217" t="s">
        <v>51</v>
      </c>
      <c r="D3217" s="2" t="s">
        <f>=HYPERLINK("https://main.knesset.gov.il/APPS/legislation/main/bills/2216672", "הצעת חוק החברות (תיקון - פרסום דוחות כספיים של מונופול), התשפ""ד-2024")</f>
        <v>4329</v>
      </c>
      <c r="E3217" t="s">
        <v>4329</v>
      </c>
      <c r="F3217" t="s">
        <v>6822</v>
      </c>
      <c r="G3217" t="s">
        <v>14</v>
      </c>
      <c r="H3217">
             </c>
      <c r="I3217" t="s">
        <v>14</v>
      </c>
      <c r="J3217" t="s">
        <v>242</v>
      </c>
      <c r="K3217" t="s">
        <v>14</v>
      </c>
      <c r="L3217" t="s">
        <v>20</v>
      </c>
      <c r="M3217" t="s">
        <v>6776</v>
      </c>
      <c r="N3217" t="s">
        <v>14</v>
      </c>
    </row>
    <row r="3218" x14ac:dyDescent="0.25">
      <c r="A3218" t="n">
        <v>25</v>
      </c>
      <c r="B3218" t="s">
        <v>14</v>
      </c>
      <c r="C3218" t="s">
        <v>51</v>
      </c>
      <c r="D3218" s="2" t="s">
        <f>=HYPERLINK("https://main.knesset.gov.il/APPS/legislation/main/bills/2215336", "הצעת חוק פיתוח והתחדשות של יישובים באזור חבל תקומה (הוראת שעה), התשפ""ד-2024")</f>
        <v>6823</v>
      </c>
      <c r="E3218" t="s">
        <v>6823</v>
      </c>
      <c r="F3218" t="s">
        <v>6824</v>
      </c>
      <c r="G3218" t="s">
        <v>14</v>
      </c>
      <c r="H3218">
             </c>
      <c r="I3218" t="s">
        <v>14</v>
      </c>
      <c r="J3218" t="s">
        <v>242</v>
      </c>
      <c r="K3218" t="s">
        <v>14</v>
      </c>
      <c r="L3218" t="s">
        <v>20</v>
      </c>
      <c r="M3218" t="s">
        <v>6776</v>
      </c>
      <c r="N3218" t="s">
        <v>14</v>
      </c>
    </row>
    <row r="3219" x14ac:dyDescent="0.25">
      <c r="A3219" t="n">
        <v>25</v>
      </c>
      <c r="B3219" t="s">
        <v>14</v>
      </c>
      <c r="C3219" t="s">
        <v>51</v>
      </c>
      <c r="D3219" s="2" t="s">
        <f>=HYPERLINK("https://main.knesset.gov.il/APPS/legislation/main/bills/2216758",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6145</v>
      </c>
      <c r="E3219" t="s">
        <v>6145</v>
      </c>
      <c r="F3219" t="s">
        <v>6825</v>
      </c>
      <c r="G3219" t="s">
        <v>14</v>
      </c>
      <c r="H3219">
             </c>
      <c r="I3219" t="s">
        <v>14</v>
      </c>
      <c r="J3219" t="s">
        <v>242</v>
      </c>
      <c r="K3219" t="s">
        <v>14</v>
      </c>
      <c r="L3219" t="s">
        <v>20</v>
      </c>
      <c r="M3219" t="s">
        <v>6776</v>
      </c>
      <c r="N3219" t="s">
        <v>14</v>
      </c>
    </row>
    <row r="3220" x14ac:dyDescent="0.25">
      <c r="A3220" t="n">
        <v>25</v>
      </c>
      <c r="B3220" t="s">
        <v>14</v>
      </c>
      <c r="C3220" t="s">
        <v>51</v>
      </c>
      <c r="D3220" s="2" t="s">
        <f>=HYPERLINK("https://main.knesset.gov.il/APPS/legislation/main/bills/2214554", "הצעת חוק ביטוח בריאות ממלכתי (תיקון - ניטור זמינות שירותי רפואה), התשפ""ד-2024")</f>
        <v>6826</v>
      </c>
      <c r="E3220" t="s">
        <v>6826</v>
      </c>
      <c r="F3220" t="s">
        <v>6827</v>
      </c>
      <c r="G3220" t="s">
        <v>14</v>
      </c>
      <c r="H3220">
             </c>
      <c r="I3220" t="s">
        <v>14</v>
      </c>
      <c r="J3220" t="s">
        <v>202</v>
      </c>
      <c r="K3220" t="s">
        <v>14</v>
      </c>
      <c r="L3220" t="s">
        <v>20</v>
      </c>
      <c r="M3220" t="s">
        <v>6776</v>
      </c>
      <c r="N3220" t="s">
        <v>14</v>
      </c>
    </row>
    <row r="3221" x14ac:dyDescent="0.25">
      <c r="A3221" t="n">
        <v>25</v>
      </c>
      <c r="B3221" t="s">
        <v>14</v>
      </c>
      <c r="C3221" t="s">
        <v>51</v>
      </c>
      <c r="D3221" s="2" t="s">
        <f>=HYPERLINK("https://main.knesset.gov.il/APPS/legislation/main/bills/2216448", "הצעת חוק לתיקון פקודת המשטרה (המחלקה לחקירת שוטרים), התשפ""ד-2024")</f>
        <v>6828</v>
      </c>
      <c r="E3221" t="s">
        <v>6828</v>
      </c>
      <c r="F3221" t="s">
        <v>6829</v>
      </c>
      <c r="G3221" t="s">
        <v>14</v>
      </c>
      <c r="H3221">
             </c>
      <c r="I3221" t="s">
        <v>14</v>
      </c>
      <c r="J3221" t="s">
        <v>242</v>
      </c>
      <c r="K3221" t="s">
        <v>14</v>
      </c>
      <c r="L3221" t="s">
        <v>20</v>
      </c>
      <c r="M3221" t="s">
        <v>6776</v>
      </c>
      <c r="N3221" t="s">
        <v>14</v>
      </c>
    </row>
    <row r="3222" x14ac:dyDescent="0.25">
      <c r="A3222" t="n">
        <v>25</v>
      </c>
      <c r="B3222" t="s">
        <v>14</v>
      </c>
      <c r="C3222" t="s">
        <v>51</v>
      </c>
      <c r="D3222" s="2" t="s">
        <f>=HYPERLINK("https://main.knesset.gov.il/APPS/legislation/main/bills/2216635", "הצעת חוק הנכים (תגמולים ושיקום) (תיקון - קביעת מועד להחלטה בבקשות הכרה ולקביעת דרגת נכות), התשפ""ד-2024")</f>
        <v>6830</v>
      </c>
      <c r="E3222" t="s">
        <v>6830</v>
      </c>
      <c r="F3222" t="s">
        <v>6831</v>
      </c>
      <c r="G3222" t="s">
        <v>14</v>
      </c>
      <c r="H3222">
             </c>
      <c r="I3222" t="s">
        <v>14</v>
      </c>
      <c r="J3222" t="s">
        <v>242</v>
      </c>
      <c r="K3222" t="s">
        <v>14</v>
      </c>
      <c r="L3222" t="s">
        <v>20</v>
      </c>
      <c r="M3222" t="s">
        <v>6776</v>
      </c>
      <c r="N3222" t="s">
        <v>14</v>
      </c>
    </row>
    <row r="3223" x14ac:dyDescent="0.25">
      <c r="A3223" t="n">
        <v>25</v>
      </c>
      <c r="B3223" t="s">
        <v>14</v>
      </c>
      <c r="C3223" t="s">
        <v>51</v>
      </c>
      <c r="D3223" s="2" t="s">
        <f>=HYPERLINK("https://main.knesset.gov.il/APPS/legislation/main/bills/2216978", "הצעת חוק משק החשמל (תיקון - סקירת השפעות על הסביבה), התשפ""ד-2024")</f>
        <v>6832</v>
      </c>
      <c r="E3223" t="s">
        <v>6832</v>
      </c>
      <c r="F3223" t="s">
        <v>6833</v>
      </c>
      <c r="G3223" t="s">
        <v>14</v>
      </c>
      <c r="H3223">
             </c>
      <c r="I3223" t="s">
        <v>14</v>
      </c>
      <c r="J3223" t="s">
        <v>242</v>
      </c>
      <c r="K3223" t="s">
        <v>14</v>
      </c>
      <c r="L3223" t="s">
        <v>20</v>
      </c>
      <c r="M3223" t="s">
        <v>6776</v>
      </c>
      <c r="N3223" t="s">
        <v>14</v>
      </c>
    </row>
    <row r="3224" x14ac:dyDescent="0.25">
      <c r="A3224" t="n">
        <v>25</v>
      </c>
      <c r="B3224" t="s">
        <v>14</v>
      </c>
      <c r="C3224" t="s">
        <v>51</v>
      </c>
      <c r="D3224" s="2" t="s">
        <f>=HYPERLINK("https://main.knesset.gov.il/APPS/legislation/main/bills/2200440", "הצעת חוק העונשין (תיקון - מאבק בפשיעה חקלאית), התשפ""ד -2024 ")</f>
        <v>6834</v>
      </c>
      <c r="E3224" t="s">
        <v>6834</v>
      </c>
      <c r="F3224" t="s">
        <v>6835</v>
      </c>
      <c r="G3224" t="s">
        <v>14</v>
      </c>
      <c r="H3224">
             </c>
      <c r="I3224" t="s">
        <v>14</v>
      </c>
      <c r="J3224" t="s">
        <v>242</v>
      </c>
      <c r="K3224" t="s">
        <v>14</v>
      </c>
      <c r="L3224" t="s">
        <v>20</v>
      </c>
      <c r="M3224" t="s">
        <v>6776</v>
      </c>
      <c r="N3224" t="s">
        <v>14</v>
      </c>
    </row>
    <row r="3225" x14ac:dyDescent="0.25">
      <c r="A3225" t="n">
        <v>25</v>
      </c>
      <c r="B3225" t="s">
        <v>14</v>
      </c>
      <c r="C3225" t="s">
        <v>51</v>
      </c>
      <c r="D3225" s="2" t="s">
        <f>=HYPERLINK("https://main.knesset.gov.il/APPS/legislation/main/bills/2216963", "הצעת חוק ההתיישנות (תיקון - הרחבת הזכות לתביעה בגין עבירות שהוגש בהם כתב אישום), התשפ""ד-2024")</f>
        <v>6836</v>
      </c>
      <c r="E3225" t="s">
        <v>6836</v>
      </c>
      <c r="F3225" t="s">
        <v>6837</v>
      </c>
      <c r="G3225" t="s">
        <v>14</v>
      </c>
      <c r="H3225">
             </c>
      <c r="I3225" t="s">
        <v>14</v>
      </c>
      <c r="J3225" t="s">
        <v>242</v>
      </c>
      <c r="K3225" t="s">
        <v>14</v>
      </c>
      <c r="L3225" t="s">
        <v>20</v>
      </c>
      <c r="M3225" t="s">
        <v>6776</v>
      </c>
      <c r="N3225" t="s">
        <v>14</v>
      </c>
    </row>
    <row r="3226" x14ac:dyDescent="0.25">
      <c r="A3226" t="n">
        <v>25</v>
      </c>
      <c r="B3226" t="s">
        <v>14</v>
      </c>
      <c r="C3226" t="s">
        <v>51</v>
      </c>
      <c r="D3226" s="2" t="s">
        <f>=HYPERLINK("https://main.knesset.gov.il/APPS/legislation/main/bills/2214249", "הצעת חוק לתיקון פקודת התעבורה (איסור התניית שכר לנציג בעל רישיון להפעלת קו אוטובוס כנגד מתן קנס לנוסע בלא כרטיס), התשפ""ד-2024")</f>
        <v>6838</v>
      </c>
      <c r="E3226" t="s">
        <v>6838</v>
      </c>
      <c r="F3226" t="s">
        <v>6839</v>
      </c>
      <c r="G3226" t="s">
        <v>14</v>
      </c>
      <c r="H3226">
             </c>
      <c r="I3226" t="s">
        <v>14</v>
      </c>
      <c r="J3226" t="s">
        <v>242</v>
      </c>
      <c r="K3226" t="s">
        <v>14</v>
      </c>
      <c r="L3226" t="s">
        <v>20</v>
      </c>
      <c r="M3226" t="s">
        <v>6776</v>
      </c>
      <c r="N3226" t="s">
        <v>14</v>
      </c>
    </row>
    <row r="3227" x14ac:dyDescent="0.25">
      <c r="A3227" t="n">
        <v>25</v>
      </c>
      <c r="B3227" t="s">
        <v>14</v>
      </c>
      <c r="C3227" t="s">
        <v>51</v>
      </c>
      <c r="D3227" s="2" t="s">
        <f>=HYPERLINK("https://main.knesset.gov.il/APPS/legislation/main/bills/2215378", "הצעת חוק הגנת הצרכן (תיקון - מענה אנושי בשירות טלפוני לאזרח ותיק), התשפ""ד-2024")</f>
        <v>6840</v>
      </c>
      <c r="E3227" t="s">
        <v>6840</v>
      </c>
      <c r="F3227" t="s">
        <v>6841</v>
      </c>
      <c r="G3227" t="s">
        <v>14</v>
      </c>
      <c r="H3227">
             </c>
      <c r="I3227" t="s">
        <v>14</v>
      </c>
      <c r="J3227" t="s">
        <v>242</v>
      </c>
      <c r="K3227" t="s">
        <v>14</v>
      </c>
      <c r="L3227" t="s">
        <v>20</v>
      </c>
      <c r="M3227" t="s">
        <v>6776</v>
      </c>
      <c r="N3227" t="s">
        <v>14</v>
      </c>
    </row>
    <row r="3228" x14ac:dyDescent="0.25">
      <c r="A3228" t="n">
        <v>25</v>
      </c>
      <c r="B3228" t="s">
        <v>14</v>
      </c>
      <c r="C3228" t="s">
        <v>51</v>
      </c>
      <c r="D3228" s="2" t="s">
        <f>=HYPERLINK("https://main.knesset.gov.il/APPS/legislation/main/bills/2215761", "הצעת חוק הרשויות המקומיות (בחירת ראש הרשות וסגניו וכהונתם) (תיקון - הגבלת כהונה שלישית לראש רשות), התשפ""ד-2024")</f>
        <v>6842</v>
      </c>
      <c r="E3228" t="s">
        <v>6842</v>
      </c>
      <c r="F3228" t="s">
        <v>6843</v>
      </c>
      <c r="G3228" t="s">
        <v>14</v>
      </c>
      <c r="H3228">
             </c>
      <c r="I3228" t="s">
        <v>14</v>
      </c>
      <c r="J3228" t="s">
        <v>242</v>
      </c>
      <c r="K3228" t="s">
        <v>14</v>
      </c>
      <c r="L3228" t="s">
        <v>20</v>
      </c>
      <c r="M3228" t="s">
        <v>6776</v>
      </c>
      <c r="N3228" t="s">
        <v>14</v>
      </c>
    </row>
    <row r="3229" x14ac:dyDescent="0.25">
      <c r="A3229" t="n">
        <v>25</v>
      </c>
      <c r="B3229" t="s">
        <v>14</v>
      </c>
      <c r="C3229" t="s">
        <v>51</v>
      </c>
      <c r="D3229" s="2" t="s">
        <f>=HYPERLINK("https://main.knesset.gov.il/APPS/legislation/main/bills/2216064", "הצעת חוק הגנה על בריאות הציבור (מזון) (תיקון - שאריות חומרי הדברה במזון), התשפ""ד-2024")</f>
        <v>6844</v>
      </c>
      <c r="E3229" t="s">
        <v>6844</v>
      </c>
      <c r="F3229" t="s">
        <v>6845</v>
      </c>
      <c r="G3229" t="s">
        <v>14</v>
      </c>
      <c r="H3229">
             </c>
      <c r="I3229" t="s">
        <v>14</v>
      </c>
      <c r="J3229" t="s">
        <v>242</v>
      </c>
      <c r="K3229" t="s">
        <v>14</v>
      </c>
      <c r="L3229" t="s">
        <v>20</v>
      </c>
      <c r="M3229" t="s">
        <v>6776</v>
      </c>
      <c r="N3229" t="s">
        <v>14</v>
      </c>
    </row>
    <row r="3230" x14ac:dyDescent="0.25">
      <c r="A3230" t="n">
        <v>25</v>
      </c>
      <c r="B3230" t="s">
        <v>14</v>
      </c>
      <c r="C3230" t="s">
        <v>51</v>
      </c>
      <c r="D3230" s="2" t="s">
        <f>=HYPERLINK("https://main.knesset.gov.il/APPS/legislation/main/bills/2216627", "הצעת חוק הנכים (תגמולים ושיקום) (תיקון - אחריות תקציבית), התשפ""ד-2024")</f>
        <v>6846</v>
      </c>
      <c r="E3230" t="s">
        <v>6846</v>
      </c>
      <c r="F3230" t="s">
        <v>6847</v>
      </c>
      <c r="G3230" t="s">
        <v>14</v>
      </c>
      <c r="H3230">
             </c>
      <c r="I3230" t="s">
        <v>14</v>
      </c>
      <c r="J3230" t="s">
        <v>242</v>
      </c>
      <c r="K3230" t="s">
        <v>14</v>
      </c>
      <c r="L3230" t="s">
        <v>20</v>
      </c>
      <c r="M3230" t="s">
        <v>6776</v>
      </c>
      <c r="N3230" t="s">
        <v>14</v>
      </c>
    </row>
    <row r="3231" x14ac:dyDescent="0.25">
      <c r="A3231" t="n">
        <v>25</v>
      </c>
      <c r="B3231" t="s">
        <v>14</v>
      </c>
      <c r="C3231" t="s">
        <v>51</v>
      </c>
      <c r="D3231" s="2" t="s">
        <f>=HYPERLINK("https://main.knesset.gov.il/APPS/legislation/main/bills/2216023", "הצעת חוק סל הקליטה (תיקון - זכאות לדיור ציבורי), התשפ""ד-2024")</f>
        <v>6848</v>
      </c>
      <c r="E3231" t="s">
        <v>6848</v>
      </c>
      <c r="F3231" t="s">
        <v>6849</v>
      </c>
      <c r="G3231" t="s">
        <v>14</v>
      </c>
      <c r="H3231">
             </c>
      <c r="I3231" t="s">
        <v>14</v>
      </c>
      <c r="J3231" t="s">
        <v>242</v>
      </c>
      <c r="K3231" t="s">
        <v>14</v>
      </c>
      <c r="L3231" t="s">
        <v>20</v>
      </c>
      <c r="M3231" t="s">
        <v>6776</v>
      </c>
      <c r="N3231" t="s">
        <v>14</v>
      </c>
    </row>
    <row r="3232" x14ac:dyDescent="0.25">
      <c r="A3232" t="n">
        <v>25</v>
      </c>
      <c r="B3232" t="s">
        <v>14</v>
      </c>
      <c r="C3232" t="s">
        <v>51</v>
      </c>
      <c r="D3232" s="2" t="s">
        <f>=HYPERLINK("https://main.knesset.gov.il/APPS/legislation/main/bills/2216629", "הצעת חוק הנכים (תגמולים ושיקום) (תיקון - ראש אגף שיקום נכים), התשפ""ד-2024")</f>
        <v>6850</v>
      </c>
      <c r="E3232" t="s">
        <v>6850</v>
      </c>
      <c r="F3232" t="s">
        <v>6851</v>
      </c>
      <c r="G3232" t="s">
        <v>14</v>
      </c>
      <c r="H3232">
             </c>
      <c r="I3232" t="s">
        <v>14</v>
      </c>
      <c r="J3232" t="s">
        <v>242</v>
      </c>
      <c r="K3232" t="s">
        <v>14</v>
      </c>
      <c r="L3232" t="s">
        <v>20</v>
      </c>
      <c r="M3232" t="s">
        <v>6776</v>
      </c>
      <c r="N3232" t="s">
        <v>14</v>
      </c>
    </row>
    <row r="3233" x14ac:dyDescent="0.25">
      <c r="A3233" t="n">
        <v>25</v>
      </c>
      <c r="B3233" t="s">
        <v>14</v>
      </c>
      <c r="C3233" t="s">
        <v>51</v>
      </c>
      <c r="D3233" s="2" t="s">
        <f>=HYPERLINK("https://main.knesset.gov.il/APPS/legislation/main/bills/2216816", "הצעת חוק הנכים (תגמולים ושיקום) (תיקון - העברת תגמולים וזכאויות לבן משפחה של נכה), התשפ""ד-2024")</f>
        <v>6852</v>
      </c>
      <c r="E3233" t="s">
        <v>6852</v>
      </c>
      <c r="F3233" t="s">
        <v>6853</v>
      </c>
      <c r="G3233" t="s">
        <v>14</v>
      </c>
      <c r="H3233">
             </c>
      <c r="I3233" t="s">
        <v>14</v>
      </c>
      <c r="J3233" t="s">
        <v>242</v>
      </c>
      <c r="K3233" t="s">
        <v>14</v>
      </c>
      <c r="L3233" t="s">
        <v>20</v>
      </c>
      <c r="M3233" t="s">
        <v>6776</v>
      </c>
      <c r="N3233" t="s">
        <v>14</v>
      </c>
    </row>
    <row r="3234" x14ac:dyDescent="0.25">
      <c r="A3234" t="n">
        <v>25</v>
      </c>
      <c r="B3234" t="s">
        <v>14</v>
      </c>
      <c r="C3234" t="s">
        <v>51</v>
      </c>
      <c r="D3234" s="2" t="s">
        <f>=HYPERLINK("https://main.knesset.gov.il/APPS/legislation/main/bills/2213956", "הצעת חוק הכניסה לישראל (תיקון - החמרת הענישה בעבירות של הסעה, הלנה והעסקה שלא כדין של שוהים בלתי חוקיים), התשפ""ד-2024")</f>
        <v>6854</v>
      </c>
      <c r="E3234" t="s">
        <v>6854</v>
      </c>
      <c r="F3234" t="s">
        <v>6855</v>
      </c>
      <c r="G3234" t="s">
        <v>14</v>
      </c>
      <c r="H3234">
             </c>
      <c r="I3234" t="s">
        <v>14</v>
      </c>
      <c r="J3234" t="s">
        <v>183</v>
      </c>
      <c r="K3234" t="s">
        <v>19</v>
      </c>
      <c r="L3234" t="s">
        <v>20</v>
      </c>
      <c r="M3234" t="s">
        <v>6856</v>
      </c>
      <c r="N3234" t="s">
        <v>14</v>
      </c>
    </row>
    <row r="3235" x14ac:dyDescent="0.25">
      <c r="A3235" t="n">
        <v>25</v>
      </c>
      <c r="B3235" t="s">
        <v>14</v>
      </c>
      <c r="C3235" t="s">
        <v>51</v>
      </c>
      <c r="D3235" s="2" t="s">
        <f>=HYPERLINK("https://main.knesset.gov.il/APPS/legislation/main/bills/2203626", "הצעת חוק הבחירות לכנסת (תיקון - הצבעה של אזרחים המשרתים שירות לאומי אזרחי בחוץ לארץ), התשפ""ג-2023")</f>
        <v>6857</v>
      </c>
      <c r="E3235" t="s">
        <v>6857</v>
      </c>
      <c r="F3235" t="s">
        <v>6858</v>
      </c>
      <c r="G3235" t="s">
        <v>14</v>
      </c>
      <c r="H3235">
             </c>
      <c r="I3235" t="s">
        <v>14</v>
      </c>
      <c r="J3235" t="s">
        <v>152</v>
      </c>
      <c r="K3235" t="s">
        <v>27</v>
      </c>
      <c r="L3235" t="s">
        <v>20</v>
      </c>
      <c r="M3235" t="s">
        <v>6859</v>
      </c>
      <c r="N3235" t="s">
        <v>14</v>
      </c>
    </row>
    <row r="3236" x14ac:dyDescent="0.25">
      <c r="A3236" t="n">
        <v>25</v>
      </c>
      <c r="B3236" t="s">
        <v>14</v>
      </c>
      <c r="C3236" t="s">
        <v>51</v>
      </c>
      <c r="D3236" s="2" t="s">
        <f>=HYPERLINK("https://main.knesset.gov.il/APPS/legislation/main/bills/2200077", "חוק העונשין (תיקון מס' 149), התשפ""ד–2024")</f>
        <v>6860</v>
      </c>
      <c r="E3236" t="s">
        <v>6860</v>
      </c>
      <c r="F3236" t="s">
        <v>6861</v>
      </c>
      <c r="G3236" t="s">
        <v>6862</v>
      </c>
      <c r="H3236" t="n">
        <v>3197</v>
      </c>
      <c r="I3236" t="s">
        <v>14</v>
      </c>
      <c r="J3236" t="s">
        <v>18</v>
      </c>
      <c r="K3236" t="s">
        <v>27</v>
      </c>
      <c r="L3236" t="s">
        <v>20</v>
      </c>
      <c r="M3236" t="s">
        <v>6863</v>
      </c>
      <c r="N3236" t="s">
        <v>6864</v>
      </c>
    </row>
    <row r="3237" x14ac:dyDescent="0.25">
      <c r="A3237" t="n">
        <v>25</v>
      </c>
      <c r="B3237" t="s">
        <v>14</v>
      </c>
      <c r="C3237" t="s">
        <v>51</v>
      </c>
      <c r="D3237" s="2" t="s">
        <f>=HYPERLINK("https://main.knesset.gov.il/APPS/legislation/main/bills/2212174", "הצעת חוק איסור ביזוי אנשי כוחות הביטחון ופגיעה בכבודם, התשפ""ד-2023")</f>
        <v>6865</v>
      </c>
      <c r="E3237" t="s">
        <v>6865</v>
      </c>
      <c r="F3237" t="s">
        <v>6866</v>
      </c>
      <c r="G3237" t="s">
        <v>14</v>
      </c>
      <c r="H3237">
             </c>
      <c r="I3237" t="s">
        <v>14</v>
      </c>
      <c r="J3237" t="s">
        <v>202</v>
      </c>
      <c r="K3237" t="s">
        <v>14</v>
      </c>
      <c r="L3237" t="s">
        <v>20</v>
      </c>
      <c r="M3237" t="s">
        <v>6863</v>
      </c>
      <c r="N3237" t="s">
        <v>14</v>
      </c>
    </row>
    <row r="3238" x14ac:dyDescent="0.25">
      <c r="A3238" t="n">
        <v>25</v>
      </c>
      <c r="B3238" t="s">
        <v>14</v>
      </c>
      <c r="C3238" t="s">
        <v>51</v>
      </c>
      <c r="D3238" s="2" t="s">
        <f>=HYPERLINK("https://main.knesset.gov.il/APPS/legislation/main/bills/2208713", "הצעת חוק למניעת חרם חברתי בבתי ספר, התשפ""ג-2023")</f>
        <v>6867</v>
      </c>
      <c r="E3238" t="s">
        <v>6867</v>
      </c>
      <c r="F3238" t="s">
        <v>6868</v>
      </c>
      <c r="G3238" t="s">
        <v>14</v>
      </c>
      <c r="H3238">
             </c>
      <c r="I3238" t="s">
        <v>14</v>
      </c>
      <c r="J3238" t="s">
        <v>152</v>
      </c>
      <c r="K3238" t="s">
        <v>79</v>
      </c>
      <c r="L3238" t="s">
        <v>20</v>
      </c>
      <c r="M3238" t="s">
        <v>6863</v>
      </c>
      <c r="N3238" t="s">
        <v>14</v>
      </c>
    </row>
    <row r="3239" x14ac:dyDescent="0.25">
      <c r="A3239" t="n">
        <v>25</v>
      </c>
      <c r="B3239" t="s">
        <v>14</v>
      </c>
      <c r="C3239" t="s">
        <v>51</v>
      </c>
      <c r="D3239" s="2" t="s">
        <f>=HYPERLINK("https://main.knesset.gov.il/APPS/legislation/main/bills/2214049", "הצעת חוק לתיקון פקודת הבנקאות (חובת איתור בעלי חשבונות ללא תנועה), התשפ""ד-2024")</f>
        <v>5864</v>
      </c>
      <c r="E3239" t="s">
        <v>5864</v>
      </c>
      <c r="F3239" t="s">
        <v>6869</v>
      </c>
      <c r="G3239" t="s">
        <v>14</v>
      </c>
      <c r="H3239">
             </c>
      <c r="I3239" t="s">
        <v>14</v>
      </c>
      <c r="J3239" t="s">
        <v>152</v>
      </c>
      <c r="K3239" t="s">
        <v>84</v>
      </c>
      <c r="L3239" t="s">
        <v>20</v>
      </c>
      <c r="M3239" t="s">
        <v>6870</v>
      </c>
      <c r="N3239" t="s">
        <v>14</v>
      </c>
    </row>
    <row r="3240" x14ac:dyDescent="0.25">
      <c r="A3240" t="n">
        <v>25</v>
      </c>
      <c r="B3240" t="s">
        <v>14</v>
      </c>
      <c r="C3240" t="s">
        <v>15</v>
      </c>
      <c r="D3240" s="2" t="s">
        <f>=HYPERLINK("https://main.knesset.gov.il/APPS/legislation/main/bills/2216225", "חוק לתיקון פקודת העיריות (מס' 156 – הוראת שעה – החלטה על הטלת ארנונה כללית לגבי שנת הכספים 2024), התשפ""ד–2024")</f>
        <v>6871</v>
      </c>
      <c r="E3240" t="s">
        <v>6871</v>
      </c>
      <c r="F3240" t="s">
        <v>14</v>
      </c>
      <c r="G3240" t="s">
        <v>6872</v>
      </c>
      <c r="H3240" t="n">
        <v>3195</v>
      </c>
      <c r="I3240" t="s">
        <v>14</v>
      </c>
      <c r="J3240" t="s">
        <v>18</v>
      </c>
      <c r="K3240" t="s">
        <v>30</v>
      </c>
      <c r="L3240" t="s">
        <v>20</v>
      </c>
      <c r="M3240" t="s">
        <v>6870</v>
      </c>
      <c r="N3240" t="s">
        <v>6873</v>
      </c>
    </row>
    <row r="3241" x14ac:dyDescent="0.25">
      <c r="A3241" t="n">
        <v>25</v>
      </c>
      <c r="B3241" t="s">
        <v>14</v>
      </c>
      <c r="C3241" t="s">
        <v>15</v>
      </c>
      <c r="D3241" s="2" t="s">
        <f>=HYPERLINK("https://main.knesset.gov.il/APPS/legislation/main/bills/2215339", "חוק איסור התערבות גנטית (שיבוט אדם ושינוי גנטי בתאי רבייה) (תיקון מס' 5), התשפ""ד-2024")</f>
        <v>6874</v>
      </c>
      <c r="E3241" t="s">
        <v>6874</v>
      </c>
      <c r="F3241" t="s">
        <v>14</v>
      </c>
      <c r="G3241" t="s">
        <v>6875</v>
      </c>
      <c r="H3241" t="n">
        <v>3194</v>
      </c>
      <c r="I3241" t="s">
        <v>14</v>
      </c>
      <c r="J3241" t="s">
        <v>18</v>
      </c>
      <c r="K3241" t="s">
        <v>113</v>
      </c>
      <c r="L3241" t="s">
        <v>20</v>
      </c>
      <c r="M3241" t="s">
        <v>6870</v>
      </c>
      <c r="N3241" t="s">
        <v>6876</v>
      </c>
    </row>
    <row r="3242" x14ac:dyDescent="0.25">
      <c r="A3242" t="n">
        <v>25</v>
      </c>
      <c r="B3242" t="s">
        <v>14</v>
      </c>
      <c r="C3242" t="s">
        <v>51</v>
      </c>
      <c r="D3242" s="2" t="s">
        <f>=HYPERLINK("https://main.knesset.gov.il/APPS/legislation/main/bills/2215003", "חוק לשכת עורכי הדין (תיקון מס' 43), התשפ""ד–2024")</f>
        <v>6877</v>
      </c>
      <c r="E3242" t="s">
        <v>6877</v>
      </c>
      <c r="F3242" t="s">
        <v>6878</v>
      </c>
      <c r="G3242" t="s">
        <v>6879</v>
      </c>
      <c r="H3242" t="n">
        <v>3193</v>
      </c>
      <c r="I3242" t="s">
        <v>14</v>
      </c>
      <c r="J3242" t="s">
        <v>18</v>
      </c>
      <c r="K3242" t="s">
        <v>27</v>
      </c>
      <c r="L3242" t="s">
        <v>20</v>
      </c>
      <c r="M3242" t="s">
        <v>6870</v>
      </c>
      <c r="N3242" t="s">
        <v>6880</v>
      </c>
    </row>
    <row r="3243" x14ac:dyDescent="0.25">
      <c r="A3243" t="n">
        <v>25</v>
      </c>
      <c r="B3243" t="s">
        <v>14</v>
      </c>
      <c r="C3243" t="s">
        <v>15</v>
      </c>
      <c r="D3243" s="2" t="s">
        <f>=HYPERLINK("https://main.knesset.gov.il/APPS/legislation/main/bills/2206093", "חוק תובענות ייצוגיות (תיקון מס' 15), התשפ""ד-2024")</f>
        <v>6881</v>
      </c>
      <c r="E3243" t="s">
        <v>6881</v>
      </c>
      <c r="F3243" t="s">
        <v>14</v>
      </c>
      <c r="G3243" t="s">
        <v>6882</v>
      </c>
      <c r="H3243" t="n">
        <v>3193</v>
      </c>
      <c r="I3243" t="s">
        <v>14</v>
      </c>
      <c r="J3243" t="s">
        <v>18</v>
      </c>
      <c r="K3243" t="s">
        <v>27</v>
      </c>
      <c r="L3243" t="s">
        <v>20</v>
      </c>
      <c r="M3243" t="s">
        <v>6870</v>
      </c>
      <c r="N3243" t="s">
        <v>6883</v>
      </c>
    </row>
    <row r="3244" x14ac:dyDescent="0.25">
      <c r="A3244" t="n">
        <v>25</v>
      </c>
      <c r="B3244" t="s">
        <v>14</v>
      </c>
      <c r="C3244" t="s">
        <v>51</v>
      </c>
      <c r="D3244" s="2" t="s">
        <f>=HYPERLINK("https://main.knesset.gov.il/APPS/legislation/main/bills/2206272", "חוק איסור פרסומת והגבלת השיווק של מוצרי טבק ועישון (תיקון מס' 9), התשפ""ד–2024")</f>
        <v>6884</v>
      </c>
      <c r="E3244" t="s">
        <v>6884</v>
      </c>
      <c r="F3244" t="s">
        <v>6885</v>
      </c>
      <c r="G3244" t="s">
        <v>6886</v>
      </c>
      <c r="H3244" t="n">
        <v>3192</v>
      </c>
      <c r="I3244" t="s">
        <v>14</v>
      </c>
      <c r="J3244" t="s">
        <v>18</v>
      </c>
      <c r="K3244" t="s">
        <v>84</v>
      </c>
      <c r="L3244" t="s">
        <v>20</v>
      </c>
      <c r="M3244" t="s">
        <v>6870</v>
      </c>
      <c r="N3244" t="s">
        <v>6887</v>
      </c>
    </row>
    <row r="3245" x14ac:dyDescent="0.25">
      <c r="A3245" t="n">
        <v>25</v>
      </c>
      <c r="B3245" t="s">
        <v>14</v>
      </c>
      <c r="C3245" t="s">
        <v>15</v>
      </c>
      <c r="D3245" s="2" t="s">
        <f>=HYPERLINK("https://main.knesset.gov.il/APPS/legislation/main/bills/2212869", "חוק התגמולים לנפגעי פעולות איבה (תיקון מס' 44), התשפ""ד-2024")</f>
        <v>6888</v>
      </c>
      <c r="E3245" t="s">
        <v>6888</v>
      </c>
      <c r="F3245" t="s">
        <v>14</v>
      </c>
      <c r="G3245" t="s">
        <v>6889</v>
      </c>
      <c r="H3245" t="n">
        <v>3191</v>
      </c>
      <c r="I3245" t="s">
        <v>14</v>
      </c>
      <c r="J3245" t="s">
        <v>18</v>
      </c>
      <c r="K3245" t="s">
        <v>46</v>
      </c>
      <c r="L3245" t="s">
        <v>20</v>
      </c>
      <c r="M3245" t="s">
        <v>6870</v>
      </c>
      <c r="N3245" t="s">
        <v>6890</v>
      </c>
    </row>
    <row r="3246" x14ac:dyDescent="0.25">
      <c r="A3246" t="n">
        <v>25</v>
      </c>
      <c r="B3246" t="s">
        <v>14</v>
      </c>
      <c r="C3246" t="s">
        <v>51</v>
      </c>
      <c r="D3246" s="2" t="s">
        <f>=HYPERLINK("https://main.knesset.gov.il/APPS/legislation/main/bills/2196667", "חוק התגמולים לנפגעי פעולות איבה (תיקון מס' 43), התשפ""ד-2024")</f>
        <v>6891</v>
      </c>
      <c r="E3246" t="s">
        <v>6891</v>
      </c>
      <c r="F3246" t="s">
        <v>6892</v>
      </c>
      <c r="G3246" t="s">
        <v>6893</v>
      </c>
      <c r="H3246" t="n">
        <v>3190</v>
      </c>
      <c r="I3246" t="s">
        <v>14</v>
      </c>
      <c r="J3246" t="s">
        <v>18</v>
      </c>
      <c r="K3246" t="s">
        <v>46</v>
      </c>
      <c r="L3246" t="s">
        <v>20</v>
      </c>
      <c r="M3246" t="s">
        <v>6870</v>
      </c>
      <c r="N3246" t="s">
        <v>6894</v>
      </c>
    </row>
    <row r="3247" x14ac:dyDescent="0.25">
      <c r="A3247" t="n">
        <v>25</v>
      </c>
      <c r="B3247" t="s">
        <v>14</v>
      </c>
      <c r="C3247" t="s">
        <v>51</v>
      </c>
      <c r="D3247" s="2" t="s">
        <f>=HYPERLINK("https://main.knesset.gov.il/APPS/legislation/main/bills/2214757", "הצעת חוק הביטוח הלאומי (תיקון - חישוב התגמול למשרתים במילואים), התשפ""ד-2024")</f>
        <v>6895</v>
      </c>
      <c r="E3247" t="s">
        <v>6895</v>
      </c>
      <c r="F3247" t="s">
        <v>6896</v>
      </c>
      <c r="G3247" t="s">
        <v>14</v>
      </c>
      <c r="H3247">
             </c>
      <c r="I3247" t="s">
        <v>14</v>
      </c>
      <c r="J3247" t="s">
        <v>242</v>
      </c>
      <c r="K3247" t="s">
        <v>14</v>
      </c>
      <c r="L3247" t="s">
        <v>20</v>
      </c>
      <c r="M3247" t="s">
        <v>6870</v>
      </c>
      <c r="N3247" t="s">
        <v>14</v>
      </c>
    </row>
    <row r="3248" x14ac:dyDescent="0.25">
      <c r="A3248" t="n">
        <v>25</v>
      </c>
      <c r="B3248" t="s">
        <v>14</v>
      </c>
      <c r="C3248" t="s">
        <v>51</v>
      </c>
      <c r="D3248" s="2" t="s">
        <f>=HYPERLINK("https://main.knesset.gov.il/APPS/legislation/main/bills/2216621", "הצעת חוק הביטוח הלאומי (תיקון - זכאות לקצבת אזרח ותיק לנכה), התשפ""ד-2024")</f>
        <v>6804</v>
      </c>
      <c r="E3248" t="s">
        <v>6804</v>
      </c>
      <c r="F3248" t="s">
        <v>6897</v>
      </c>
      <c r="G3248" t="s">
        <v>14</v>
      </c>
      <c r="H3248">
             </c>
      <c r="I3248" t="s">
        <v>14</v>
      </c>
      <c r="J3248" t="s">
        <v>202</v>
      </c>
      <c r="K3248" t="s">
        <v>14</v>
      </c>
      <c r="L3248" t="s">
        <v>20</v>
      </c>
      <c r="M3248" t="s">
        <v>6870</v>
      </c>
      <c r="N3248" t="s">
        <v>14</v>
      </c>
    </row>
    <row r="3249" x14ac:dyDescent="0.25">
      <c r="A3249" t="n">
        <v>25</v>
      </c>
      <c r="B3249" t="s">
        <v>14</v>
      </c>
      <c r="C3249" t="s">
        <v>51</v>
      </c>
      <c r="D3249" s="2" t="s">
        <f>=HYPERLINK("https://main.knesset.gov.il/APPS/legislation/main/bills/2215699", "הצעת חוק החברות הממשלתיות (תיקון - פעילות פוליטית של דירקטור בחברה ממשלתית ציבורית), התשפ""ד-2024")</f>
        <v>6898</v>
      </c>
      <c r="E3249" t="s">
        <v>6898</v>
      </c>
      <c r="F3249" t="s">
        <v>6899</v>
      </c>
      <c r="G3249" t="s">
        <v>14</v>
      </c>
      <c r="H3249">
             </c>
      <c r="I3249" t="s">
        <v>14</v>
      </c>
      <c r="J3249" t="s">
        <v>242</v>
      </c>
      <c r="K3249" t="s">
        <v>14</v>
      </c>
      <c r="L3249" t="s">
        <v>20</v>
      </c>
      <c r="M3249" t="s">
        <v>6870</v>
      </c>
      <c r="N3249" t="s">
        <v>14</v>
      </c>
    </row>
    <row r="3250" x14ac:dyDescent="0.25">
      <c r="A3250" t="n">
        <v>25</v>
      </c>
      <c r="B3250" t="s">
        <v>14</v>
      </c>
      <c r="C3250" t="s">
        <v>51</v>
      </c>
      <c r="D3250" s="2" t="s">
        <f>=HYPERLINK("https://main.knesset.gov.il/APPS/legislation/main/bills/2209281", "הצעת חוק האזנת סתר (תיקון - אחריות של הורה לקטין שטרם מלאו לו 10 שנים), התשפ""ד-2024 ")</f>
        <v>6900</v>
      </c>
      <c r="E3250" t="s">
        <v>6900</v>
      </c>
      <c r="F3250" t="s">
        <v>6901</v>
      </c>
      <c r="G3250" t="s">
        <v>14</v>
      </c>
      <c r="H3250">
             </c>
      <c r="I3250" t="s">
        <v>14</v>
      </c>
      <c r="J3250" t="s">
        <v>242</v>
      </c>
      <c r="K3250" t="s">
        <v>14</v>
      </c>
      <c r="L3250" t="s">
        <v>20</v>
      </c>
      <c r="M3250" t="s">
        <v>6870</v>
      </c>
      <c r="N3250" t="s">
        <v>14</v>
      </c>
    </row>
    <row r="3251" x14ac:dyDescent="0.25">
      <c r="A3251" t="n">
        <v>25</v>
      </c>
      <c r="B3251" t="s">
        <v>14</v>
      </c>
      <c r="C3251" t="s">
        <v>51</v>
      </c>
      <c r="D3251" s="2" t="s">
        <f>=HYPERLINK("https://main.knesset.gov.il/APPS/legislation/main/bills/2216630", "הצעת חוק הנכים (תגמולים ושיקום) (תיקון - תגמול לנכה שאינו מסוגל להשתכר למחייתו), התשפ""ד-2024")</f>
        <v>6902</v>
      </c>
      <c r="E3251" t="s">
        <v>6902</v>
      </c>
      <c r="F3251" t="s">
        <v>6903</v>
      </c>
      <c r="G3251" t="s">
        <v>14</v>
      </c>
      <c r="H3251">
             </c>
      <c r="I3251" t="s">
        <v>14</v>
      </c>
      <c r="J3251" t="s">
        <v>242</v>
      </c>
      <c r="K3251" t="s">
        <v>14</v>
      </c>
      <c r="L3251" t="s">
        <v>20</v>
      </c>
      <c r="M3251" t="s">
        <v>6870</v>
      </c>
      <c r="N3251" t="s">
        <v>14</v>
      </c>
    </row>
    <row r="3252" x14ac:dyDescent="0.25">
      <c r="A3252" t="n">
        <v>25</v>
      </c>
      <c r="B3252" t="s">
        <v>14</v>
      </c>
      <c r="C3252" t="s">
        <v>51</v>
      </c>
      <c r="D3252" s="2" t="s">
        <f>=HYPERLINK("https://main.knesset.gov.il/APPS/legislation/main/bills/2213984", "הצעת חוק הדיור הציבורי (הגדלת המלאי), התשפ""ד-2024")</f>
        <v>6904</v>
      </c>
      <c r="E3252" t="s">
        <v>6904</v>
      </c>
      <c r="F3252" t="s">
        <v>6905</v>
      </c>
      <c r="G3252" t="s">
        <v>14</v>
      </c>
      <c r="H3252">
             </c>
      <c r="I3252" t="s">
        <v>14</v>
      </c>
      <c r="J3252" t="s">
        <v>242</v>
      </c>
      <c r="K3252" t="s">
        <v>14</v>
      </c>
      <c r="L3252" t="s">
        <v>20</v>
      </c>
      <c r="M3252" t="s">
        <v>6870</v>
      </c>
      <c r="N3252" t="s">
        <v>14</v>
      </c>
    </row>
    <row r="3253" x14ac:dyDescent="0.25">
      <c r="A3253" t="n">
        <v>25</v>
      </c>
      <c r="B3253" t="s">
        <v>14</v>
      </c>
      <c r="C3253" t="s">
        <v>51</v>
      </c>
      <c r="D3253" s="2" t="s">
        <f>=HYPERLINK("https://main.knesset.gov.il/APPS/legislation/main/bills/2210076", "הצעת חוק ההוצאה לפועל (תיקון - הגבלת סכום חוב פסוק מינימלי), התשפ""ד-2024")</f>
        <v>6906</v>
      </c>
      <c r="E3253" t="s">
        <v>6906</v>
      </c>
      <c r="F3253" t="s">
        <v>6907</v>
      </c>
      <c r="G3253" t="s">
        <v>14</v>
      </c>
      <c r="H3253">
             </c>
      <c r="I3253" t="s">
        <v>14</v>
      </c>
      <c r="J3253" t="s">
        <v>242</v>
      </c>
      <c r="K3253" t="s">
        <v>14</v>
      </c>
      <c r="L3253" t="s">
        <v>20</v>
      </c>
      <c r="M3253" t="s">
        <v>6870</v>
      </c>
      <c r="N3253" t="s">
        <v>14</v>
      </c>
    </row>
    <row r="3254" x14ac:dyDescent="0.25">
      <c r="A3254" t="n">
        <v>25</v>
      </c>
      <c r="B3254" t="s">
        <v>14</v>
      </c>
      <c r="C3254" t="s">
        <v>51</v>
      </c>
      <c r="D3254" s="2" t="s">
        <f>=HYPERLINK("https://main.knesset.gov.il/APPS/legislation/main/bills/2216663", "הצעת חוק סדר הדין הפלילי (חקירת חשודים) (תיקון - נוכחות עורך דין בחקירת חשוד), התשפ""ד-2024")</f>
        <v>6908</v>
      </c>
      <c r="E3254" t="s">
        <v>6908</v>
      </c>
      <c r="F3254" t="s">
        <v>6909</v>
      </c>
      <c r="G3254" t="s">
        <v>14</v>
      </c>
      <c r="H3254">
             </c>
      <c r="I3254" t="s">
        <v>14</v>
      </c>
      <c r="J3254" t="s">
        <v>242</v>
      </c>
      <c r="K3254" t="s">
        <v>14</v>
      </c>
      <c r="L3254" t="s">
        <v>20</v>
      </c>
      <c r="M3254" t="s">
        <v>6870</v>
      </c>
      <c r="N3254" t="s">
        <v>14</v>
      </c>
    </row>
    <row r="3255" x14ac:dyDescent="0.25">
      <c r="A3255" t="n">
        <v>25</v>
      </c>
      <c r="B3255" t="s">
        <v>14</v>
      </c>
      <c r="C3255" t="s">
        <v>51</v>
      </c>
      <c r="D3255" s="2" t="s">
        <f>=HYPERLINK("https://main.knesset.gov.il/APPS/legislation/main/bills/2215578", "הצעת חוק החברות הממשלתיות (תיקון - רציפות כהונת דירקטורים מקרב העובדים), התשפ""ד-2024")</f>
        <v>6910</v>
      </c>
      <c r="E3255" t="s">
        <v>6910</v>
      </c>
      <c r="F3255" t="s">
        <v>6911</v>
      </c>
      <c r="G3255" t="s">
        <v>14</v>
      </c>
      <c r="H3255">
             </c>
      <c r="I3255" t="s">
        <v>14</v>
      </c>
      <c r="J3255" t="s">
        <v>242</v>
      </c>
      <c r="K3255" t="s">
        <v>14</v>
      </c>
      <c r="L3255" t="s">
        <v>20</v>
      </c>
      <c r="M3255" t="s">
        <v>6870</v>
      </c>
      <c r="N3255" t="s">
        <v>14</v>
      </c>
    </row>
    <row r="3256" x14ac:dyDescent="0.25">
      <c r="A3256" t="n">
        <v>25</v>
      </c>
      <c r="B3256" t="s">
        <v>14</v>
      </c>
      <c r="C3256" t="s">
        <v>51</v>
      </c>
      <c r="D3256" s="2" t="s">
        <f>=HYPERLINK("https://main.knesset.gov.il/APPS/legislation/main/bills/2215511", "הצעת חוק החברות הממשלתיות (תיקון - קציבת זמן לוועדה למסירת ממצאים), התשפ""ד-2024")</f>
        <v>6912</v>
      </c>
      <c r="E3256" t="s">
        <v>6912</v>
      </c>
      <c r="F3256" t="s">
        <v>6913</v>
      </c>
      <c r="G3256" t="s">
        <v>14</v>
      </c>
      <c r="H3256">
             </c>
      <c r="I3256" t="s">
        <v>14</v>
      </c>
      <c r="J3256" t="s">
        <v>242</v>
      </c>
      <c r="K3256" t="s">
        <v>14</v>
      </c>
      <c r="L3256" t="s">
        <v>20</v>
      </c>
      <c r="M3256" t="s">
        <v>6870</v>
      </c>
      <c r="N3256" t="s">
        <v>14</v>
      </c>
    </row>
    <row r="3257" x14ac:dyDescent="0.25">
      <c r="A3257" t="n">
        <v>25</v>
      </c>
      <c r="B3257" t="s">
        <v>14</v>
      </c>
      <c r="C3257" t="s">
        <v>51</v>
      </c>
      <c r="D3257" s="2" t="s">
        <f>=HYPERLINK("https://main.knesset.gov.il/APPS/legislation/main/bills/2215997", "הצעת חוק סדר הדין הפלילי (סמכויות אכיפה - מעצרים) (תיקון - שיפוט משמעתי של עצורים), התשפ""ד-2024")</f>
        <v>6914</v>
      </c>
      <c r="E3257" t="s">
        <v>6914</v>
      </c>
      <c r="F3257" t="s">
        <v>6915</v>
      </c>
      <c r="G3257" t="s">
        <v>14</v>
      </c>
      <c r="H3257">
             </c>
      <c r="I3257" t="s">
        <v>14</v>
      </c>
      <c r="J3257" t="s">
        <v>242</v>
      </c>
      <c r="K3257" t="s">
        <v>14</v>
      </c>
      <c r="L3257" t="s">
        <v>20</v>
      </c>
      <c r="M3257" t="s">
        <v>6870</v>
      </c>
      <c r="N3257" t="s">
        <v>14</v>
      </c>
    </row>
    <row r="3258" x14ac:dyDescent="0.25">
      <c r="A3258" t="n">
        <v>25</v>
      </c>
      <c r="B3258" t="s">
        <v>14</v>
      </c>
      <c r="C3258" t="s">
        <v>51</v>
      </c>
      <c r="D3258" s="2" t="s">
        <f>=HYPERLINK("https://main.knesset.gov.il/APPS/legislation/main/bills/2216392", "הצעת חוק-יסוד: הממשלה (תיקון - הגבלת מספר שרים וסגני שרים)")</f>
        <v>3314</v>
      </c>
      <c r="E3258" t="s">
        <v>3314</v>
      </c>
      <c r="F3258" t="s">
        <v>6916</v>
      </c>
      <c r="G3258" t="s">
        <v>14</v>
      </c>
      <c r="H3258">
             </c>
      <c r="I3258" t="s">
        <v>14</v>
      </c>
      <c r="J3258" t="s">
        <v>242</v>
      </c>
      <c r="K3258" t="s">
        <v>14</v>
      </c>
      <c r="L3258" t="s">
        <v>20</v>
      </c>
      <c r="M3258" t="s">
        <v>6870</v>
      </c>
      <c r="N3258" t="s">
        <v>14</v>
      </c>
    </row>
    <row r="3259" x14ac:dyDescent="0.25">
      <c r="A3259" t="n">
        <v>25</v>
      </c>
      <c r="B3259" t="s">
        <v>14</v>
      </c>
      <c r="C3259" t="s">
        <v>51</v>
      </c>
      <c r="D3259" s="2" t="s">
        <f>=HYPERLINK("https://main.knesset.gov.il/APPS/legislation/main/bills/2210078", "הצעת חוק העונשין (תיקון - סיוג חסינות נושא משרה שיפוטית מפני אחריות פלילית), התשפ""ד-2024")</f>
        <v>6917</v>
      </c>
      <c r="E3259" t="s">
        <v>6917</v>
      </c>
      <c r="F3259" t="s">
        <v>6918</v>
      </c>
      <c r="G3259" t="s">
        <v>14</v>
      </c>
      <c r="H3259">
             </c>
      <c r="I3259" t="s">
        <v>14</v>
      </c>
      <c r="J3259" t="s">
        <v>242</v>
      </c>
      <c r="K3259" t="s">
        <v>14</v>
      </c>
      <c r="L3259" t="s">
        <v>20</v>
      </c>
      <c r="M3259" t="s">
        <v>6870</v>
      </c>
      <c r="N3259" t="s">
        <v>14</v>
      </c>
    </row>
    <row r="3260" x14ac:dyDescent="0.25">
      <c r="A3260" t="n">
        <v>25</v>
      </c>
      <c r="B3260" t="s">
        <v>14</v>
      </c>
      <c r="C3260" t="s">
        <v>51</v>
      </c>
      <c r="D3260" s="2" t="s">
        <f>=HYPERLINK("https://main.knesset.gov.il/APPS/legislation/main/bills/2215852", "הצעת חוק מס ערך מוסף (תיקון - מס בשיעור אפס על תרכובת מזון לתינוקות), התשפ""ד-2024")</f>
        <v>6919</v>
      </c>
      <c r="E3260" t="s">
        <v>6919</v>
      </c>
      <c r="F3260" t="s">
        <v>6920</v>
      </c>
      <c r="G3260" t="s">
        <v>14</v>
      </c>
      <c r="H3260">
             </c>
      <c r="I3260" t="s">
        <v>14</v>
      </c>
      <c r="J3260" t="s">
        <v>242</v>
      </c>
      <c r="K3260" t="s">
        <v>14</v>
      </c>
      <c r="L3260" t="s">
        <v>20</v>
      </c>
      <c r="M3260" t="s">
        <v>6870</v>
      </c>
      <c r="N3260" t="s">
        <v>14</v>
      </c>
    </row>
    <row r="3261" x14ac:dyDescent="0.25">
      <c r="A3261" t="n">
        <v>25</v>
      </c>
      <c r="B3261" t="s">
        <v>14</v>
      </c>
      <c r="C3261" t="s">
        <v>51</v>
      </c>
      <c r="D3261" s="2" t="s">
        <f>=HYPERLINK("https://main.knesset.gov.il/APPS/legislation/main/bills/2216631", "הצעת חוק הנכים (תגמולים ושיקום) (תיקון - ועדה רפואית), התשפ""ד-2024")</f>
        <v>6921</v>
      </c>
      <c r="E3261" t="s">
        <v>6921</v>
      </c>
      <c r="F3261" t="s">
        <v>6922</v>
      </c>
      <c r="G3261" t="s">
        <v>14</v>
      </c>
      <c r="H3261">
             </c>
      <c r="I3261" t="s">
        <v>14</v>
      </c>
      <c r="J3261" t="s">
        <v>242</v>
      </c>
      <c r="K3261" t="s">
        <v>14</v>
      </c>
      <c r="L3261" t="s">
        <v>20</v>
      </c>
      <c r="M3261" t="s">
        <v>6870</v>
      </c>
      <c r="N3261" t="s">
        <v>14</v>
      </c>
    </row>
    <row r="3262" x14ac:dyDescent="0.25">
      <c r="A3262" t="n">
        <v>25</v>
      </c>
      <c r="B3262" t="s">
        <v>14</v>
      </c>
      <c r="C3262" t="s">
        <v>51</v>
      </c>
      <c r="D3262" s="2" t="s">
        <f>=HYPERLINK("https://main.knesset.gov.il/APPS/legislation/main/bills/2215485", "הצעת חוק שכר ביום בחירות (תיקוני חקיקה), התשפ""ד-2024")</f>
        <v>6923</v>
      </c>
      <c r="E3262" t="s">
        <v>6923</v>
      </c>
      <c r="F3262" t="s">
        <v>6924</v>
      </c>
      <c r="G3262" t="s">
        <v>14</v>
      </c>
      <c r="H3262">
             </c>
      <c r="I3262" t="s">
        <v>14</v>
      </c>
      <c r="J3262" t="s">
        <v>242</v>
      </c>
      <c r="K3262" t="s">
        <v>14</v>
      </c>
      <c r="L3262" t="s">
        <v>20</v>
      </c>
      <c r="M3262" t="s">
        <v>6870</v>
      </c>
      <c r="N3262" t="s">
        <v>14</v>
      </c>
    </row>
    <row r="3263" x14ac:dyDescent="0.25">
      <c r="A3263" t="n">
        <v>25</v>
      </c>
      <c r="B3263" t="s">
        <v>14</v>
      </c>
      <c r="C3263" t="s">
        <v>51</v>
      </c>
      <c r="D3263" s="2" t="s">
        <f>=HYPERLINK("https://main.knesset.gov.il/APPS/legislation/main/bills/2216310", "הצעת חוק להחלפת המונח שיקום נכה נפש (תיקוני חקיקה), התשפ""ד-2024")</f>
        <v>6925</v>
      </c>
      <c r="E3263" t="s">
        <v>6925</v>
      </c>
      <c r="F3263" t="s">
        <v>6926</v>
      </c>
      <c r="G3263" t="s">
        <v>14</v>
      </c>
      <c r="H3263">
             </c>
      <c r="I3263" t="s">
        <v>14</v>
      </c>
      <c r="J3263" t="s">
        <v>242</v>
      </c>
      <c r="K3263" t="s">
        <v>14</v>
      </c>
      <c r="L3263" t="s">
        <v>20</v>
      </c>
      <c r="M3263" t="s">
        <v>6870</v>
      </c>
      <c r="N3263" t="s">
        <v>14</v>
      </c>
    </row>
    <row r="3264" x14ac:dyDescent="0.25">
      <c r="A3264" t="n">
        <v>25</v>
      </c>
      <c r="B3264" t="s">
        <v>14</v>
      </c>
      <c r="C3264" t="s">
        <v>51</v>
      </c>
      <c r="D3264" s="2" t="s">
        <f>=HYPERLINK("https://main.knesset.gov.il/APPS/legislation/main/bills/2216446", "הצעת חוק הרשויות המקומיות (פטור חיילים, נפגעי מלחמה ושוטרים מארנונה) (תיקון - הנחה בארנונה למשרת בשירות מילואים פעיל), התשפ""ד-2024")</f>
        <v>6927</v>
      </c>
      <c r="E3264" t="s">
        <v>6927</v>
      </c>
      <c r="F3264" t="s">
        <v>6928</v>
      </c>
      <c r="G3264" t="s">
        <v>14</v>
      </c>
      <c r="H3264">
             </c>
      <c r="I3264" t="s">
        <v>14</v>
      </c>
      <c r="J3264" t="s">
        <v>242</v>
      </c>
      <c r="K3264" t="s">
        <v>14</v>
      </c>
      <c r="L3264" t="s">
        <v>20</v>
      </c>
      <c r="M3264" t="s">
        <v>6870</v>
      </c>
      <c r="N3264" t="s">
        <v>14</v>
      </c>
    </row>
    <row r="3265" x14ac:dyDescent="0.25">
      <c r="A3265" t="n">
        <v>25</v>
      </c>
      <c r="B3265" t="s">
        <v>14</v>
      </c>
      <c r="C3265" t="s">
        <v>51</v>
      </c>
      <c r="D3265" s="2" t="s">
        <f>=HYPERLINK("https://main.knesset.gov.il/APPS/legislation/main/bills/2216442", "הצעת חוק לתיקון פקודת מס הכנסה (נקודת זיכוי בעד בן זוג במילואים), התשפ""ד-2024")</f>
        <v>6929</v>
      </c>
      <c r="E3265" t="s">
        <v>6929</v>
      </c>
      <c r="F3265" t="s">
        <v>6930</v>
      </c>
      <c r="G3265" t="s">
        <v>14</v>
      </c>
      <c r="H3265">
             </c>
      <c r="I3265" t="s">
        <v>14</v>
      </c>
      <c r="J3265" t="s">
        <v>242</v>
      </c>
      <c r="K3265" t="s">
        <v>14</v>
      </c>
      <c r="L3265" t="s">
        <v>20</v>
      </c>
      <c r="M3265" t="s">
        <v>6870</v>
      </c>
      <c r="N3265" t="s">
        <v>14</v>
      </c>
    </row>
    <row r="3266" x14ac:dyDescent="0.25">
      <c r="A3266" t="n">
        <v>25</v>
      </c>
      <c r="B3266" t="s">
        <v>14</v>
      </c>
      <c r="C3266" t="s">
        <v>51</v>
      </c>
      <c r="D3266" s="2" t="s">
        <f>=HYPERLINK("https://main.knesset.gov.il/APPS/legislation/main/bills/2216628", "הצעת חוק הנכים (תגמולים ושיקום) (תיקון - הוראות לגבי אישה נכה), התשפ""ד-2024")</f>
        <v>6931</v>
      </c>
      <c r="E3266" t="s">
        <v>6931</v>
      </c>
      <c r="F3266" t="s">
        <v>6932</v>
      </c>
      <c r="G3266" t="s">
        <v>14</v>
      </c>
      <c r="H3266">
             </c>
      <c r="I3266" t="s">
        <v>14</v>
      </c>
      <c r="J3266" t="s">
        <v>242</v>
      </c>
      <c r="K3266" t="s">
        <v>14</v>
      </c>
      <c r="L3266" t="s">
        <v>20</v>
      </c>
      <c r="M3266" t="s">
        <v>6870</v>
      </c>
      <c r="N3266" t="s">
        <v>14</v>
      </c>
    </row>
    <row r="3267" x14ac:dyDescent="0.25">
      <c r="A3267" t="n">
        <v>25</v>
      </c>
      <c r="B3267" t="s">
        <v>14</v>
      </c>
      <c r="C3267" t="s">
        <v>51</v>
      </c>
      <c r="D3267" s="2" t="s">
        <f>=HYPERLINK("https://main.knesset.gov.il/APPS/legislation/main/bills/2215888", "הצעת חוק הביטוח הלאומי (תיקון - תשלום דמי אבטלה לנשים שיצאו לחופשה ללא תשלום לאחר לידה מסיבות מוצדקות), התשפ""ד-2024")</f>
        <v>6933</v>
      </c>
      <c r="E3267" t="s">
        <v>6933</v>
      </c>
      <c r="F3267" t="s">
        <v>6934</v>
      </c>
      <c r="G3267" t="s">
        <v>14</v>
      </c>
      <c r="H3267">
             </c>
      <c r="I3267" t="s">
        <v>14</v>
      </c>
      <c r="J3267" t="s">
        <v>242</v>
      </c>
      <c r="K3267" t="s">
        <v>14</v>
      </c>
      <c r="L3267" t="s">
        <v>20</v>
      </c>
      <c r="M3267" t="s">
        <v>6870</v>
      </c>
      <c r="N3267" t="s">
        <v>14</v>
      </c>
    </row>
    <row r="3268" x14ac:dyDescent="0.25">
      <c r="A3268" t="n">
        <v>25</v>
      </c>
      <c r="B3268" t="s">
        <v>14</v>
      </c>
      <c r="C3268" t="s">
        <v>51</v>
      </c>
      <c r="D3268" s="2" t="s">
        <f>=HYPERLINK("https://main.knesset.gov.il/APPS/legislation/main/bills/2209262", "הצעת חוק התגמולים לנפגעי פעולות איבה (תיקון - הנצחת אזרחי ישראל חללי פעולות איבה), התשפ""ד-2024")</f>
        <v>6935</v>
      </c>
      <c r="E3268" t="s">
        <v>6935</v>
      </c>
      <c r="F3268" t="s">
        <v>6936</v>
      </c>
      <c r="G3268" t="s">
        <v>14</v>
      </c>
      <c r="H3268">
             </c>
      <c r="I3268" t="s">
        <v>14</v>
      </c>
      <c r="J3268" t="s">
        <v>242</v>
      </c>
      <c r="K3268" t="s">
        <v>14</v>
      </c>
      <c r="L3268" t="s">
        <v>20</v>
      </c>
      <c r="M3268" t="s">
        <v>6870</v>
      </c>
      <c r="N3268" t="s">
        <v>14</v>
      </c>
    </row>
    <row r="3269" x14ac:dyDescent="0.25">
      <c r="A3269" t="n">
        <v>25</v>
      </c>
      <c r="B3269" t="s">
        <v>14</v>
      </c>
      <c r="C3269" t="s">
        <v>51</v>
      </c>
      <c r="D3269" s="2" t="s">
        <f>=HYPERLINK("https://main.knesset.gov.il/APPS/legislation/main/bills/2216671", "הצעת חוק האזרחים הוותיקים (תיקון - הקצאת מקומות חניה במקום ציבורי לאזרח ותיק), התשפ""ד-2024")</f>
        <v>6937</v>
      </c>
      <c r="E3269" t="s">
        <v>6937</v>
      </c>
      <c r="F3269" t="s">
        <v>6938</v>
      </c>
      <c r="G3269" t="s">
        <v>14</v>
      </c>
      <c r="H3269">
             </c>
      <c r="I3269" t="s">
        <v>14</v>
      </c>
      <c r="J3269" t="s">
        <v>242</v>
      </c>
      <c r="K3269" t="s">
        <v>14</v>
      </c>
      <c r="L3269" t="s">
        <v>20</v>
      </c>
      <c r="M3269" t="s">
        <v>6870</v>
      </c>
      <c r="N3269" t="s">
        <v>14</v>
      </c>
    </row>
    <row r="3270" x14ac:dyDescent="0.25">
      <c r="A3270" t="n">
        <v>25</v>
      </c>
      <c r="B3270" t="s">
        <v>14</v>
      </c>
      <c r="C3270" t="s">
        <v>51</v>
      </c>
      <c r="D3270" s="2" t="s">
        <f>=HYPERLINK("https://main.knesset.gov.il/APPS/legislation/main/bills/2216317", "הצעת חוק זכויות החולה (תיקון - קבלת חוות דעת נוספת על מצב רפואי), התשפ""ד-2024")</f>
        <v>6154</v>
      </c>
      <c r="E3270" t="s">
        <v>6154</v>
      </c>
      <c r="F3270" t="s">
        <v>6939</v>
      </c>
      <c r="G3270" t="s">
        <v>14</v>
      </c>
      <c r="H3270">
             </c>
      <c r="I3270" t="s">
        <v>14</v>
      </c>
      <c r="J3270" t="s">
        <v>242</v>
      </c>
      <c r="K3270" t="s">
        <v>14</v>
      </c>
      <c r="L3270" t="s">
        <v>20</v>
      </c>
      <c r="M3270" t="s">
        <v>6870</v>
      </c>
      <c r="N3270" t="s">
        <v>14</v>
      </c>
    </row>
    <row r="3271" x14ac:dyDescent="0.25">
      <c r="A3271" t="n">
        <v>25</v>
      </c>
      <c r="B3271" t="s">
        <v>14</v>
      </c>
      <c r="C3271" t="s">
        <v>51</v>
      </c>
      <c r="D3271" s="2" t="s">
        <f>=HYPERLINK("https://main.knesset.gov.il/APPS/legislation/main/bills/2216444", "הצעת חוק הביטוח הלאומי (תיקון - פטור מתשלומי חובה בעד תגמול מילואים), התשפ""ד-2024")</f>
        <v>6940</v>
      </c>
      <c r="E3271" t="s">
        <v>6940</v>
      </c>
      <c r="F3271" t="s">
        <v>6941</v>
      </c>
      <c r="G3271" t="s">
        <v>14</v>
      </c>
      <c r="H3271">
             </c>
      <c r="I3271" t="s">
        <v>14</v>
      </c>
      <c r="J3271" t="s">
        <v>242</v>
      </c>
      <c r="K3271" t="s">
        <v>14</v>
      </c>
      <c r="L3271" t="s">
        <v>20</v>
      </c>
      <c r="M3271" t="s">
        <v>6870</v>
      </c>
      <c r="N3271" t="s">
        <v>14</v>
      </c>
    </row>
    <row r="3272" x14ac:dyDescent="0.25">
      <c r="A3272" t="n">
        <v>25</v>
      </c>
      <c r="B3272" t="s">
        <v>14</v>
      </c>
      <c r="C3272" t="s">
        <v>51</v>
      </c>
      <c r="D3272" s="2" t="s">
        <f>=HYPERLINK("https://main.knesset.gov.il/APPS/legislation/main/bills/2216670", "הצעת חוק הביטוח הלאומי (תיקון - זכאות לקצבת אזרח ותיק לנכה), התשפ""ד-2024 ")</f>
        <v>6942</v>
      </c>
      <c r="E3272" t="s">
        <v>6942</v>
      </c>
      <c r="F3272" t="s">
        <v>6943</v>
      </c>
      <c r="G3272" t="s">
        <v>14</v>
      </c>
      <c r="H3272">
             </c>
      <c r="I3272" t="s">
        <v>14</v>
      </c>
      <c r="J3272" t="s">
        <v>202</v>
      </c>
      <c r="K3272" t="s">
        <v>14</v>
      </c>
      <c r="L3272" t="s">
        <v>20</v>
      </c>
      <c r="M3272" t="s">
        <v>6870</v>
      </c>
      <c r="N3272" t="s">
        <v>14</v>
      </c>
    </row>
    <row r="3273" x14ac:dyDescent="0.25">
      <c r="A3273" t="n">
        <v>25</v>
      </c>
      <c r="B3273" t="s">
        <v>14</v>
      </c>
      <c r="C3273" t="s">
        <v>15</v>
      </c>
      <c r="D3273" s="2" t="s">
        <f>=HYPERLINK("https://main.knesset.gov.il/APPS/legislation/main/bills/2209059", "הצעת חוק לתיקון פקודת הרוקחים (מס' 35), התשפ""ג-2023")</f>
        <v>6944</v>
      </c>
      <c r="E3273" t="s">
        <v>6944</v>
      </c>
      <c r="F3273" t="s">
        <v>14</v>
      </c>
      <c r="G3273" t="s">
        <v>6945</v>
      </c>
      <c r="H3273">
             </c>
      <c r="I3273" t="s">
        <v>14</v>
      </c>
      <c r="J3273" t="s">
        <v>38</v>
      </c>
      <c r="K3273" t="s">
        <v>361</v>
      </c>
      <c r="L3273" t="s">
        <v>20</v>
      </c>
      <c r="M3273" t="s">
        <v>6946</v>
      </c>
      <c r="N3273" t="s">
        <v>14</v>
      </c>
    </row>
    <row r="3274" x14ac:dyDescent="0.25">
      <c r="A3274" t="n">
        <v>25</v>
      </c>
      <c r="B3274" t="s">
        <v>14</v>
      </c>
      <c r="C3274" t="s">
        <v>51</v>
      </c>
      <c r="D3274" s="2" t="s">
        <f>=HYPERLINK("https://main.knesset.gov.il/APPS/legislation/main/bills/2202287", "חוק בתי קברות צבאיים (תיקון מס' 5), התשפ""ד–2024")</f>
        <v>6947</v>
      </c>
      <c r="E3274" t="s">
        <v>6947</v>
      </c>
      <c r="F3274" t="s">
        <v>6948</v>
      </c>
      <c r="G3274" t="s">
        <v>6949</v>
      </c>
      <c r="H3274" t="n">
        <v>3189</v>
      </c>
      <c r="I3274" t="s">
        <v>14</v>
      </c>
      <c r="J3274" t="s">
        <v>18</v>
      </c>
      <c r="K3274" t="s">
        <v>19</v>
      </c>
      <c r="L3274" t="s">
        <v>20</v>
      </c>
      <c r="M3274" t="s">
        <v>6946</v>
      </c>
      <c r="N3274" t="s">
        <v>6950</v>
      </c>
    </row>
    <row r="3275" x14ac:dyDescent="0.25">
      <c r="A3275" t="n">
        <v>25</v>
      </c>
      <c r="B3275" t="s">
        <v>14</v>
      </c>
      <c r="C3275" t="s">
        <v>51</v>
      </c>
      <c r="D3275" s="2" t="s">
        <f>=HYPERLINK("https://main.knesset.gov.il/APPS/legislation/main/bills/2213472", "הצעת חוק מס ערך מוסף (תיקון - תשלום המס במתן שירותי כוח אדם ועבודות בנייה), התשפ""ד-2024")</f>
        <v>6951</v>
      </c>
      <c r="E3275" t="s">
        <v>6951</v>
      </c>
      <c r="F3275" t="s">
        <v>6952</v>
      </c>
      <c r="G3275" t="s">
        <v>14</v>
      </c>
      <c r="H3275">
             </c>
      <c r="I3275" t="s">
        <v>14</v>
      </c>
      <c r="J3275" t="s">
        <v>193</v>
      </c>
      <c r="K3275" t="s">
        <v>14</v>
      </c>
      <c r="L3275" t="s">
        <v>20</v>
      </c>
      <c r="M3275" t="s">
        <v>6946</v>
      </c>
      <c r="N3275" t="s">
        <v>14</v>
      </c>
    </row>
    <row r="3276" x14ac:dyDescent="0.25">
      <c r="A3276" t="n">
        <v>25</v>
      </c>
      <c r="B3276" t="s">
        <v>14</v>
      </c>
      <c r="C3276" t="s">
        <v>51</v>
      </c>
      <c r="D3276" s="2" t="s">
        <f>=HYPERLINK("https://main.knesset.gov.il/APPS/legislation/main/bills/2211481", "הצעת חוק שירות הקבע בצבא הגנה לישראל (גמלאות) (תיקון - ביטול ניכוי מקצבה), התשפ""ד-2023")</f>
        <v>6953</v>
      </c>
      <c r="E3276" t="s">
        <v>6953</v>
      </c>
      <c r="F3276" t="s">
        <v>6954</v>
      </c>
      <c r="G3276" t="s">
        <v>14</v>
      </c>
      <c r="H3276">
             </c>
      <c r="I3276" t="s">
        <v>14</v>
      </c>
      <c r="J3276" t="s">
        <v>152</v>
      </c>
      <c r="K3276" t="s">
        <v>46</v>
      </c>
      <c r="L3276" t="s">
        <v>20</v>
      </c>
      <c r="M3276" t="s">
        <v>6946</v>
      </c>
      <c r="N3276" t="s">
        <v>14</v>
      </c>
    </row>
    <row r="3277" x14ac:dyDescent="0.25">
      <c r="A3277" t="n">
        <v>25</v>
      </c>
      <c r="B3277" t="s">
        <v>14</v>
      </c>
      <c r="C3277" t="s">
        <v>51</v>
      </c>
      <c r="D3277" s="2" t="s">
        <f>=HYPERLINK("https://main.knesset.gov.il/APPS/legislation/main/bills/2208597", "הצעת חוק האזרחים הוותיקים (תיקון - הקצאת מקומות חניה במקום ציבורי לאזרח ותיק), התשפ""ג-2023")</f>
        <v>6955</v>
      </c>
      <c r="E3277" t="s">
        <v>6955</v>
      </c>
      <c r="F3277" t="s">
        <v>6956</v>
      </c>
      <c r="G3277" t="s">
        <v>14</v>
      </c>
      <c r="H3277">
             </c>
      <c r="I3277" t="s">
        <v>14</v>
      </c>
      <c r="J3277" t="s">
        <v>202</v>
      </c>
      <c r="K3277" t="s">
        <v>14</v>
      </c>
      <c r="L3277" t="s">
        <v>20</v>
      </c>
      <c r="M3277" t="s">
        <v>6946</v>
      </c>
      <c r="N3277" t="s">
        <v>14</v>
      </c>
    </row>
    <row r="3278" x14ac:dyDescent="0.25">
      <c r="A3278" t="n">
        <v>25</v>
      </c>
      <c r="B3278" t="s">
        <v>14</v>
      </c>
      <c r="C3278" t="s">
        <v>51</v>
      </c>
      <c r="D3278" s="2" t="s">
        <f>=HYPERLINK("https://main.knesset.gov.il/APPS/legislation/main/bills/2207111", "הצעת חוק סדר הדין הפלילי (סמכויות אכיפה - מעצרים) (תיקון - מעצר עד תום ההליכים בגין עבירה של סחיטה באיומים), התשפ""ג-2023")</f>
        <v>6957</v>
      </c>
      <c r="E3278" t="s">
        <v>6957</v>
      </c>
      <c r="F3278" t="s">
        <v>6958</v>
      </c>
      <c r="G3278" t="s">
        <v>14</v>
      </c>
      <c r="H3278">
             </c>
      <c r="I3278" t="s">
        <v>14</v>
      </c>
      <c r="J3278" t="s">
        <v>193</v>
      </c>
      <c r="K3278" t="s">
        <v>14</v>
      </c>
      <c r="L3278" t="s">
        <v>20</v>
      </c>
      <c r="M3278" t="s">
        <v>6946</v>
      </c>
      <c r="N3278" t="s">
        <v>14</v>
      </c>
    </row>
    <row r="3279" x14ac:dyDescent="0.25">
      <c r="A3279" t="n">
        <v>25</v>
      </c>
      <c r="B3279" t="s">
        <v>14</v>
      </c>
      <c r="C3279" t="s">
        <v>51</v>
      </c>
      <c r="D3279" s="2" t="s">
        <f>=HYPERLINK("https://main.knesset.gov.il/APPS/legislation/main/bills/2199807", "הצעת חוק איסור הלבנת הון (תיקון - מתן סמכות פיקוח לרשות לאיסור הלבנת הון ומימון טרור על נותני שירותים פיננסיים), התשפ""ג-2023")</f>
        <v>6959</v>
      </c>
      <c r="E3279" t="s">
        <v>6959</v>
      </c>
      <c r="F3279" t="s">
        <v>6960</v>
      </c>
      <c r="G3279" t="s">
        <v>14</v>
      </c>
      <c r="H3279">
             </c>
      <c r="I3279" t="s">
        <v>14</v>
      </c>
      <c r="J3279" t="s">
        <v>193</v>
      </c>
      <c r="K3279" t="s">
        <v>14</v>
      </c>
      <c r="L3279" t="s">
        <v>20</v>
      </c>
      <c r="M3279" t="s">
        <v>6946</v>
      </c>
      <c r="N3279" t="s">
        <v>14</v>
      </c>
    </row>
    <row r="3280" x14ac:dyDescent="0.25">
      <c r="A3280" t="n">
        <v>25</v>
      </c>
      <c r="B3280" t="s">
        <v>14</v>
      </c>
      <c r="C3280" t="s">
        <v>51</v>
      </c>
      <c r="D3280" s="2" t="s">
        <f>=HYPERLINK("https://main.knesset.gov.il/APPS/legislation/main/bills/2199930", "הצעת חוק שירות ביטחון (תיקון - השוואת תהליכי המיון, השיבוץ, התקינה וההכשרה, המסלולים המקצועיים ואופקי הקידום לנשים וגברים), התשפ""ג-2023")</f>
        <v>6961</v>
      </c>
      <c r="E3280" t="s">
        <v>6961</v>
      </c>
      <c r="F3280" t="s">
        <v>6962</v>
      </c>
      <c r="G3280" t="s">
        <v>14</v>
      </c>
      <c r="H3280">
             </c>
      <c r="I3280" t="s">
        <v>14</v>
      </c>
      <c r="J3280" t="s">
        <v>193</v>
      </c>
      <c r="K3280" t="s">
        <v>14</v>
      </c>
      <c r="L3280" t="s">
        <v>20</v>
      </c>
      <c r="M3280" t="s">
        <v>6946</v>
      </c>
      <c r="N3280" t="s">
        <v>14</v>
      </c>
    </row>
    <row r="3281" x14ac:dyDescent="0.25">
      <c r="A3281" t="n">
        <v>25</v>
      </c>
      <c r="B3281" t="s">
        <v>14</v>
      </c>
      <c r="C3281" t="s">
        <v>51</v>
      </c>
      <c r="D3281" s="2" t="s">
        <f>=HYPERLINK("https://main.knesset.gov.il/APPS/legislation/main/bills/2198747", "הצעת חוק הבנקאות (שירות ללקוח) (תיקון - הגבלת עמלת ערבות בנקאית שמובטחת בפיקדון כספי מסוים), התשפ""ג-2023")</f>
        <v>6963</v>
      </c>
      <c r="E3281" t="s">
        <v>6963</v>
      </c>
      <c r="F3281" t="s">
        <v>6964</v>
      </c>
      <c r="G3281" t="s">
        <v>14</v>
      </c>
      <c r="H3281">
             </c>
      <c r="I3281" t="s">
        <v>14</v>
      </c>
      <c r="J3281" t="s">
        <v>152</v>
      </c>
      <c r="K3281" t="s">
        <v>84</v>
      </c>
      <c r="L3281" t="s">
        <v>20</v>
      </c>
      <c r="M3281" t="s">
        <v>6946</v>
      </c>
      <c r="N3281" t="s">
        <v>14</v>
      </c>
    </row>
    <row r="3282" x14ac:dyDescent="0.25">
      <c r="A3282" t="n">
        <v>25</v>
      </c>
      <c r="B3282" t="s">
        <v>14</v>
      </c>
      <c r="C3282" t="s">
        <v>51</v>
      </c>
      <c r="D3282" s="2" t="s">
        <f>=HYPERLINK("https://main.knesset.gov.il/APPS/legislation/main/bills/2196821", "הצעת חוק הבנקאות (שירות ללקוח) (תיקון - הגבלת עמלת ערבות בנקאית שמובטחת בפיקדון כספי מסוים), התשפ""ג-2022")</f>
        <v>6965</v>
      </c>
      <c r="E3282" t="s">
        <v>6965</v>
      </c>
      <c r="F3282" t="s">
        <v>6966</v>
      </c>
      <c r="G3282" t="s">
        <v>14</v>
      </c>
      <c r="H3282">
             </c>
      <c r="I3282" t="s">
        <v>14</v>
      </c>
      <c r="J3282" t="s">
        <v>152</v>
      </c>
      <c r="K3282" t="s">
        <v>84</v>
      </c>
      <c r="L3282" t="s">
        <v>20</v>
      </c>
      <c r="M3282" t="s">
        <v>6946</v>
      </c>
      <c r="N3282" t="s">
        <v>14</v>
      </c>
    </row>
    <row r="3283" x14ac:dyDescent="0.25">
      <c r="A3283" t="n">
        <v>25</v>
      </c>
      <c r="B3283" t="s">
        <v>14</v>
      </c>
      <c r="C3283" t="s">
        <v>51</v>
      </c>
      <c r="D3283" s="2" t="s">
        <f>=HYPERLINK("https://main.knesset.gov.il/APPS/legislation/main/bills/2211025", "חוק משפחות חיילים שנספו במערכה (תגמולים ושיקום) (תיקון מס' 43), התשפ""ד–2024")</f>
        <v>6967</v>
      </c>
      <c r="E3283" t="s">
        <v>6967</v>
      </c>
      <c r="F3283" t="s">
        <v>6968</v>
      </c>
      <c r="G3283" t="s">
        <v>6969</v>
      </c>
      <c r="H3283" t="n">
        <v>3185</v>
      </c>
      <c r="I3283" t="s">
        <v>14</v>
      </c>
      <c r="J3283" t="s">
        <v>18</v>
      </c>
      <c r="K3283" t="s">
        <v>46</v>
      </c>
      <c r="L3283" t="s">
        <v>20</v>
      </c>
      <c r="M3283" t="s">
        <v>6970</v>
      </c>
      <c r="N3283" t="s">
        <v>6971</v>
      </c>
    </row>
    <row r="3284" x14ac:dyDescent="0.25">
      <c r="A3284" t="n">
        <v>25</v>
      </c>
      <c r="B3284" t="s">
        <v>14</v>
      </c>
      <c r="C3284" t="s">
        <v>15</v>
      </c>
      <c r="D3284" s="2" t="s">
        <f>=HYPERLINK("https://main.knesset.gov.il/APPS/legislation/main/bills/2216209", "חוק לתיקון ולהארכת תוקפן של תקנות שעת חירום (חרבות ברזל) (הארכת מעצר לחשוד בעבירת ביטחון) (תיקון), התשפ""ד-2024")</f>
        <v>6972</v>
      </c>
      <c r="E3284" t="s">
        <v>6972</v>
      </c>
      <c r="F3284" t="s">
        <v>14</v>
      </c>
      <c r="G3284" t="s">
        <v>6973</v>
      </c>
      <c r="H3284" t="n">
        <v>3183</v>
      </c>
      <c r="I3284" t="s">
        <v>14</v>
      </c>
      <c r="J3284" t="s">
        <v>18</v>
      </c>
      <c r="K3284" t="s">
        <v>27</v>
      </c>
      <c r="L3284" t="s">
        <v>20</v>
      </c>
      <c r="M3284" t="s">
        <v>6970</v>
      </c>
      <c r="N3284" t="s">
        <v>6974</v>
      </c>
    </row>
    <row r="3285" x14ac:dyDescent="0.25">
      <c r="A3285" t="n">
        <v>25</v>
      </c>
      <c r="B3285" t="s">
        <v>14</v>
      </c>
      <c r="C3285" t="s">
        <v>51</v>
      </c>
      <c r="D3285" s="2" t="s">
        <f>=HYPERLINK("https://main.knesset.gov.il/APPS/legislation/main/bills/2213476", "הצעת חוק משפחות חיילים שנספו במערכה (תגמולים ושיקום) (תיקון - הכרה בארוסות חיילים שנספו במערכה), התשפ""ד-2024")</f>
        <v>6975</v>
      </c>
      <c r="E3285" t="s">
        <v>6975</v>
      </c>
      <c r="F3285" t="s">
        <v>6976</v>
      </c>
      <c r="G3285" t="s">
        <v>14</v>
      </c>
      <c r="H3285">
             </c>
      <c r="I3285" t="s">
        <v>14</v>
      </c>
      <c r="J3285" t="s">
        <v>183</v>
      </c>
      <c r="K3285" t="s">
        <v>46</v>
      </c>
      <c r="L3285" t="s">
        <v>20</v>
      </c>
      <c r="M3285" t="s">
        <v>6970</v>
      </c>
      <c r="N3285" t="s">
        <v>14</v>
      </c>
    </row>
    <row r="3286" x14ac:dyDescent="0.25">
      <c r="A3286" t="n">
        <v>25</v>
      </c>
      <c r="B3286" t="s">
        <v>14</v>
      </c>
      <c r="C3286" t="s">
        <v>15</v>
      </c>
      <c r="D3286" s="2" t="s">
        <f>=HYPERLINK("https://main.knesset.gov.il/APPS/legislation/main/bills/2216042", "חוק הכללת אמצעי זיהוי ביומטריים ונתוני זיהוי ביומטריים במסמכי זיהוי ובמאגר מידע (תיקון מס' 4 – הוראת שעה), התשפ""ד–2024")</f>
        <v>6977</v>
      </c>
      <c r="E3286" t="s">
        <v>6977</v>
      </c>
      <c r="F3286" t="s">
        <v>14</v>
      </c>
      <c r="G3286" t="s">
        <v>6978</v>
      </c>
      <c r="H3286" t="n">
        <v>3187</v>
      </c>
      <c r="I3286" t="s">
        <v>14</v>
      </c>
      <c r="J3286" t="s">
        <v>18</v>
      </c>
      <c r="K3286" t="s">
        <v>14</v>
      </c>
      <c r="L3286" t="s">
        <v>20</v>
      </c>
      <c r="M3286" t="s">
        <v>6970</v>
      </c>
      <c r="N3286" t="s">
        <v>6979</v>
      </c>
    </row>
    <row r="3287" x14ac:dyDescent="0.25">
      <c r="A3287" t="n">
        <v>25</v>
      </c>
      <c r="B3287" t="s">
        <v>14</v>
      </c>
      <c r="C3287" t="s">
        <v>51</v>
      </c>
      <c r="D3287" s="2" t="s">
        <f>=HYPERLINK("https://main.knesset.gov.il/APPS/legislation/main/bills/2197217", "חוק יום משפחות היתומים בישראל, התשפ""ד–2024")</f>
        <v>6980</v>
      </c>
      <c r="E3287" t="s">
        <v>6980</v>
      </c>
      <c r="F3287" t="s">
        <v>6981</v>
      </c>
      <c r="G3287" t="s">
        <v>6982</v>
      </c>
      <c r="H3287" t="n">
        <v>3186</v>
      </c>
      <c r="I3287" t="s">
        <v>14</v>
      </c>
      <c r="J3287" t="s">
        <v>18</v>
      </c>
      <c r="K3287" t="s">
        <v>79</v>
      </c>
      <c r="L3287" t="s">
        <v>20</v>
      </c>
      <c r="M3287" t="s">
        <v>6970</v>
      </c>
      <c r="N3287" t="s">
        <v>6983</v>
      </c>
    </row>
    <row r="3288" x14ac:dyDescent="0.25">
      <c r="A3288" t="n">
        <v>25</v>
      </c>
      <c r="B3288" t="s">
        <v>14</v>
      </c>
      <c r="C3288" t="s">
        <v>51</v>
      </c>
      <c r="D3288" s="2" t="s">
        <f>=HYPERLINK("https://main.knesset.gov.il/APPS/legislation/main/bills/2197106", "הצעת חוק התגמולים לנפגעי פעולות איבה (תיקון - תביעה נגד מפגע), התשפ""ג-2022 ")</f>
        <v>6984</v>
      </c>
      <c r="E3288" t="s">
        <v>6984</v>
      </c>
      <c r="F3288" t="s">
        <v>6985</v>
      </c>
      <c r="G3288" t="s">
        <v>14</v>
      </c>
      <c r="H3288">
             </c>
      <c r="I3288" t="s">
        <v>14</v>
      </c>
      <c r="J3288" t="s">
        <v>183</v>
      </c>
      <c r="K3288" t="s">
        <v>46</v>
      </c>
      <c r="L3288" t="s">
        <v>20</v>
      </c>
      <c r="M3288" t="s">
        <v>6986</v>
      </c>
      <c r="N3288" t="s">
        <v>14</v>
      </c>
    </row>
    <row r="3289" x14ac:dyDescent="0.25">
      <c r="A3289" t="n">
        <v>25</v>
      </c>
      <c r="B3289" t="s">
        <v>14</v>
      </c>
      <c r="C3289" t="s">
        <v>15</v>
      </c>
      <c r="D3289" s="2" t="s">
        <f>=HYPERLINK("https://main.knesset.gov.il/APPS/legislation/main/bills/2214721", "חוק סיוע להורים לילדים עד גיל שלוש (תיקוני חקיקה), התשפ""ד-2024")</f>
        <v>6987</v>
      </c>
      <c r="E3289" t="s">
        <v>6987</v>
      </c>
      <c r="F3289" t="s">
        <v>14</v>
      </c>
      <c r="G3289" t="s">
        <v>6988</v>
      </c>
      <c r="H3289" t="n">
        <v>3184</v>
      </c>
      <c r="I3289" t="s">
        <v>14</v>
      </c>
      <c r="J3289" t="s">
        <v>18</v>
      </c>
      <c r="K3289" t="s">
        <v>24</v>
      </c>
      <c r="L3289" t="s">
        <v>20</v>
      </c>
      <c r="M3289" t="s">
        <v>6986</v>
      </c>
      <c r="N3289" t="s">
        <v>6989</v>
      </c>
    </row>
    <row r="3290" x14ac:dyDescent="0.25">
      <c r="A3290" t="n">
        <v>25</v>
      </c>
      <c r="B3290" t="s">
        <v>14</v>
      </c>
      <c r="C3290" t="s">
        <v>15</v>
      </c>
      <c r="D3290" s="2" t="s">
        <f>=HYPERLINK("https://main.knesset.gov.il/APPS/legislation/main/bills/2203070", "חוק התכנון והבנייה (תיקון מס' 152), התשפ""ד-2024")</f>
        <v>6990</v>
      </c>
      <c r="E3290" t="s">
        <v>6990</v>
      </c>
      <c r="F3290" t="s">
        <v>14</v>
      </c>
      <c r="G3290" t="s">
        <v>6991</v>
      </c>
      <c r="H3290" t="n">
        <v>3182</v>
      </c>
      <c r="I3290" t="s">
        <v>14</v>
      </c>
      <c r="J3290" t="s">
        <v>18</v>
      </c>
      <c r="K3290" t="s">
        <v>30</v>
      </c>
      <c r="L3290" t="s">
        <v>20</v>
      </c>
      <c r="M3290" t="s">
        <v>6986</v>
      </c>
      <c r="N3290" t="s">
        <v>6992</v>
      </c>
    </row>
    <row r="3291" x14ac:dyDescent="0.25">
      <c r="A3291" t="n">
        <v>25</v>
      </c>
      <c r="B3291" t="s">
        <v>14</v>
      </c>
      <c r="C3291" t="s">
        <v>15</v>
      </c>
      <c r="D3291" s="2" t="s">
        <f>=HYPERLINK("https://main.knesset.gov.il/APPS/legislation/main/bills/2202796", "חוק התכנון והבנייה (תיקון מס' 151), התשפ""ד-2024")</f>
        <v>6993</v>
      </c>
      <c r="E3291" t="s">
        <v>6993</v>
      </c>
      <c r="F3291" t="s">
        <v>14</v>
      </c>
      <c r="G3291" t="s">
        <v>6994</v>
      </c>
      <c r="H3291" t="n">
        <v>3182</v>
      </c>
      <c r="I3291" t="s">
        <v>14</v>
      </c>
      <c r="J3291" t="s">
        <v>18</v>
      </c>
      <c r="K3291" t="s">
        <v>30</v>
      </c>
      <c r="L3291" t="s">
        <v>20</v>
      </c>
      <c r="M3291" t="s">
        <v>6986</v>
      </c>
      <c r="N3291" t="s">
        <v>6995</v>
      </c>
    </row>
    <row r="3292" x14ac:dyDescent="0.25">
      <c r="A3292" t="n">
        <v>25</v>
      </c>
      <c r="B3292" t="s">
        <v>14</v>
      </c>
      <c r="C3292" t="s">
        <v>15</v>
      </c>
      <c r="D3292" s="2" t="s">
        <f>=HYPERLINK("https://main.knesset.gov.il/APPS/legislation/main/bills/2215018", "חוק הסיוע המשפטי (תיקון מס' 25), התשפ""ד–2024")</f>
        <v>6996</v>
      </c>
      <c r="E3292" t="s">
        <v>6996</v>
      </c>
      <c r="F3292" t="s">
        <v>14</v>
      </c>
      <c r="G3292" t="s">
        <v>6997</v>
      </c>
      <c r="H3292" t="n">
        <v>3181</v>
      </c>
      <c r="I3292" t="s">
        <v>14</v>
      </c>
      <c r="J3292" t="s">
        <v>18</v>
      </c>
      <c r="K3292" t="s">
        <v>27</v>
      </c>
      <c r="L3292" t="s">
        <v>20</v>
      </c>
      <c r="M3292" t="s">
        <v>6986</v>
      </c>
      <c r="N3292" t="s">
        <v>6998</v>
      </c>
    </row>
    <row r="3293" x14ac:dyDescent="0.25">
      <c r="A3293" t="n">
        <v>25</v>
      </c>
      <c r="B3293" t="s">
        <v>14</v>
      </c>
      <c r="C3293" t="s">
        <v>51</v>
      </c>
      <c r="D3293" s="2" t="s">
        <f>=HYPERLINK("https://main.knesset.gov.il/APPS/legislation/main/bills/2215662", "הצעת חוק המסייעים לנטרול תוצאות אסון צ'רנוביל (תיקון - ציון יום המסייעים), התשפ""ד-2024")</f>
        <v>6999</v>
      </c>
      <c r="E3293" t="s">
        <v>6999</v>
      </c>
      <c r="F3293" t="s">
        <v>7000</v>
      </c>
      <c r="G3293" t="s">
        <v>14</v>
      </c>
      <c r="H3293">
             </c>
      <c r="I3293" t="s">
        <v>14</v>
      </c>
      <c r="J3293" t="s">
        <v>242</v>
      </c>
      <c r="K3293" t="s">
        <v>14</v>
      </c>
      <c r="L3293" t="s">
        <v>20</v>
      </c>
      <c r="M3293" t="s">
        <v>6986</v>
      </c>
      <c r="N3293" t="s">
        <v>14</v>
      </c>
    </row>
    <row r="3294" x14ac:dyDescent="0.25">
      <c r="A3294" t="n">
        <v>25</v>
      </c>
      <c r="B3294" t="s">
        <v>14</v>
      </c>
      <c r="C3294" t="s">
        <v>51</v>
      </c>
      <c r="D3294" s="2" t="s">
        <f>=HYPERLINK("https://main.knesset.gov.il/APPS/legislation/main/bills/2214630", "הצעת חוק מימון שכר לימוד לסטודנטים באזורי מלחמה ועימות (הוראת שעה - חרבות ברזל), התשפ""ד-2024")</f>
        <v>5981</v>
      </c>
      <c r="E3294" t="s">
        <v>5981</v>
      </c>
      <c r="F3294" t="s">
        <v>7001</v>
      </c>
      <c r="G3294" t="s">
        <v>14</v>
      </c>
      <c r="H3294">
             </c>
      <c r="I3294" t="s">
        <v>14</v>
      </c>
      <c r="J3294" t="s">
        <v>242</v>
      </c>
      <c r="K3294" t="s">
        <v>14</v>
      </c>
      <c r="L3294" t="s">
        <v>20</v>
      </c>
      <c r="M3294" t="s">
        <v>6986</v>
      </c>
      <c r="N3294" t="s">
        <v>14</v>
      </c>
    </row>
    <row r="3295" x14ac:dyDescent="0.25">
      <c r="A3295" t="n">
        <v>25</v>
      </c>
      <c r="B3295" t="s">
        <v>14</v>
      </c>
      <c r="C3295" t="s">
        <v>51</v>
      </c>
      <c r="D3295" s="2" t="s">
        <f>=HYPERLINK("https://main.knesset.gov.il/APPS/legislation/main/bills/2215871", "הצעת חוק החומרים המסוכנים (תיקון - פרטי התקשרות למרכז רעלים), התשפ""ד-2024")</f>
        <v>7002</v>
      </c>
      <c r="E3295" t="s">
        <v>7002</v>
      </c>
      <c r="F3295" t="s">
        <v>7003</v>
      </c>
      <c r="G3295" t="s">
        <v>14</v>
      </c>
      <c r="H3295">
             </c>
      <c r="I3295" t="s">
        <v>14</v>
      </c>
      <c r="J3295" t="s">
        <v>242</v>
      </c>
      <c r="K3295" t="s">
        <v>14</v>
      </c>
      <c r="L3295" t="s">
        <v>20</v>
      </c>
      <c r="M3295" t="s">
        <v>6986</v>
      </c>
      <c r="N3295" t="s">
        <v>14</v>
      </c>
    </row>
    <row r="3296" x14ac:dyDescent="0.25">
      <c r="A3296" t="n">
        <v>25</v>
      </c>
      <c r="B3296" t="s">
        <v>14</v>
      </c>
      <c r="C3296" t="s">
        <v>51</v>
      </c>
      <c r="D3296" s="2" t="s">
        <f>=HYPERLINK("https://main.knesset.gov.il/APPS/legislation/main/bills/2215414", "הצעת חוק הביטוח הלאומי (תיקון - מניין הימים לעניין מבוטח בשירות מילואים בנסיבות חירום), התשפ""ד-2024 ")</f>
        <v>6568</v>
      </c>
      <c r="E3296" t="s">
        <v>6568</v>
      </c>
      <c r="F3296" t="s">
        <v>7004</v>
      </c>
      <c r="G3296" t="s">
        <v>14</v>
      </c>
      <c r="H3296">
             </c>
      <c r="I3296" t="s">
        <v>14</v>
      </c>
      <c r="J3296" t="s">
        <v>242</v>
      </c>
      <c r="K3296" t="s">
        <v>14</v>
      </c>
      <c r="L3296" t="s">
        <v>20</v>
      </c>
      <c r="M3296" t="s">
        <v>6986</v>
      </c>
      <c r="N3296" t="s">
        <v>14</v>
      </c>
    </row>
    <row r="3297" x14ac:dyDescent="0.25">
      <c r="A3297" t="n">
        <v>25</v>
      </c>
      <c r="B3297" t="s">
        <v>14</v>
      </c>
      <c r="C3297" t="s">
        <v>51</v>
      </c>
      <c r="D3297" s="2" t="s">
        <f>=HYPERLINK("https://main.knesset.gov.il/APPS/legislation/main/bills/2215976", "הצעת חוק דמי מחלה (תיקון - חישוב היעדרות לעובד המצוי בסיכון מוגבר לחלות במחלה ממארת), התשפ""ד-2024")</f>
        <v>7005</v>
      </c>
      <c r="E3297" t="s">
        <v>7005</v>
      </c>
      <c r="F3297" t="s">
        <v>7006</v>
      </c>
      <c r="G3297" t="s">
        <v>14</v>
      </c>
      <c r="H3297">
             </c>
      <c r="I3297" t="s">
        <v>14</v>
      </c>
      <c r="J3297" t="s">
        <v>242</v>
      </c>
      <c r="K3297" t="s">
        <v>14</v>
      </c>
      <c r="L3297" t="s">
        <v>20</v>
      </c>
      <c r="M3297" t="s">
        <v>6986</v>
      </c>
      <c r="N3297" t="s">
        <v>14</v>
      </c>
    </row>
    <row r="3298" x14ac:dyDescent="0.25">
      <c r="A3298" t="n">
        <v>25</v>
      </c>
      <c r="B3298" t="s">
        <v>14</v>
      </c>
      <c r="C3298" t="s">
        <v>51</v>
      </c>
      <c r="D3298" s="2" t="s">
        <f>=HYPERLINK("https://main.knesset.gov.il/APPS/legislation/main/bills/2215937", "הצעת חוק פנייה לגופים ציבוריים באמצעי קשר דיגיטליים (תיקון - קביעת תור באמצעות האינטרנט), התשפ""ד-2024")</f>
        <v>7007</v>
      </c>
      <c r="E3298" t="s">
        <v>7007</v>
      </c>
      <c r="F3298" t="s">
        <v>7008</v>
      </c>
      <c r="G3298" t="s">
        <v>14</v>
      </c>
      <c r="H3298">
             </c>
      <c r="I3298" t="s">
        <v>14</v>
      </c>
      <c r="J3298" t="s">
        <v>242</v>
      </c>
      <c r="K3298" t="s">
        <v>14</v>
      </c>
      <c r="L3298" t="s">
        <v>20</v>
      </c>
      <c r="M3298" t="s">
        <v>6986</v>
      </c>
      <c r="N3298" t="s">
        <v>14</v>
      </c>
    </row>
    <row r="3299" x14ac:dyDescent="0.25">
      <c r="A3299" t="n">
        <v>25</v>
      </c>
      <c r="B3299" t="s">
        <v>14</v>
      </c>
      <c r="C3299" t="s">
        <v>51</v>
      </c>
      <c r="D3299" s="2" t="s">
        <f>=HYPERLINK("https://main.knesset.gov.il/APPS/legislation/main/bills/2215361", "הצעת חוק הרשות הלאומית לתרבות של יהודים דוברי רוסית, התשפ""ד-2024")</f>
        <v>7009</v>
      </c>
      <c r="E3299" t="s">
        <v>7009</v>
      </c>
      <c r="F3299" t="s">
        <v>7010</v>
      </c>
      <c r="G3299" t="s">
        <v>14</v>
      </c>
      <c r="H3299">
             </c>
      <c r="I3299" t="s">
        <v>14</v>
      </c>
      <c r="J3299" t="s">
        <v>242</v>
      </c>
      <c r="K3299" t="s">
        <v>14</v>
      </c>
      <c r="L3299" t="s">
        <v>20</v>
      </c>
      <c r="M3299" t="s">
        <v>6986</v>
      </c>
      <c r="N3299" t="s">
        <v>14</v>
      </c>
    </row>
    <row r="3300" x14ac:dyDescent="0.25">
      <c r="A3300" t="n">
        <v>25</v>
      </c>
      <c r="B3300" t="s">
        <v>14</v>
      </c>
      <c r="C3300" t="s">
        <v>51</v>
      </c>
      <c r="D3300" s="2" t="s">
        <f>=HYPERLINK("https://main.knesset.gov.il/APPS/legislation/main/bills/2215784", "הצעת חוק הוועדה לטיפול במשפחות נעדרים אזרחיים, התשפ""ד-2024")</f>
        <v>877</v>
      </c>
      <c r="E3300" t="s">
        <v>877</v>
      </c>
      <c r="F3300" t="s">
        <v>7011</v>
      </c>
      <c r="G3300" t="s">
        <v>14</v>
      </c>
      <c r="H3300">
             </c>
      <c r="I3300" t="s">
        <v>14</v>
      </c>
      <c r="J3300" t="s">
        <v>242</v>
      </c>
      <c r="K3300" t="s">
        <v>14</v>
      </c>
      <c r="L3300" t="s">
        <v>20</v>
      </c>
      <c r="M3300" t="s">
        <v>6986</v>
      </c>
      <c r="N3300" t="s">
        <v>14</v>
      </c>
    </row>
    <row r="3301" x14ac:dyDescent="0.25">
      <c r="A3301" t="n">
        <v>25</v>
      </c>
      <c r="B3301" t="s">
        <v>14</v>
      </c>
      <c r="C3301" t="s">
        <v>51</v>
      </c>
      <c r="D3301" s="2" t="s">
        <f>=HYPERLINK("https://main.knesset.gov.il/APPS/legislation/main/bills/2216020", "הצעת חוק מימון מפלגות (תיקון - שלילת מימון ממפלגה שקוראת להטלת חרם על מדינת ישראל), התשפ""ד-2024")</f>
        <v>6666</v>
      </c>
      <c r="E3301" t="s">
        <v>6666</v>
      </c>
      <c r="F3301" t="s">
        <v>7012</v>
      </c>
      <c r="G3301" t="s">
        <v>14</v>
      </c>
      <c r="H3301">
             </c>
      <c r="I3301" t="s">
        <v>14</v>
      </c>
      <c r="J3301" t="s">
        <v>242</v>
      </c>
      <c r="K3301" t="s">
        <v>14</v>
      </c>
      <c r="L3301" t="s">
        <v>20</v>
      </c>
      <c r="M3301" t="s">
        <v>6986</v>
      </c>
      <c r="N3301" t="s">
        <v>14</v>
      </c>
    </row>
    <row r="3302" x14ac:dyDescent="0.25">
      <c r="A3302" t="n">
        <v>25</v>
      </c>
      <c r="B3302" t="s">
        <v>14</v>
      </c>
      <c r="C3302" t="s">
        <v>51</v>
      </c>
      <c r="D3302" s="2" t="s">
        <f>=HYPERLINK("https://main.knesset.gov.il/APPS/legislation/main/bills/2213832", "הצעת חוק עידוד מעורבות סטודנטים בפעילות חברתית וקהילתית (תיקון - הכרה בנקודות זכות בשל שירות מילואים ממושך בנסיבות חירום), התשפ""ד-2024")</f>
        <v>7013</v>
      </c>
      <c r="E3302" t="s">
        <v>7013</v>
      </c>
      <c r="F3302" t="s">
        <v>7014</v>
      </c>
      <c r="G3302" t="s">
        <v>14</v>
      </c>
      <c r="H3302">
             </c>
      <c r="I3302" t="s">
        <v>14</v>
      </c>
      <c r="J3302" t="s">
        <v>242</v>
      </c>
      <c r="K3302" t="s">
        <v>14</v>
      </c>
      <c r="L3302" t="s">
        <v>20</v>
      </c>
      <c r="M3302" t="s">
        <v>6986</v>
      </c>
      <c r="N3302" t="s">
        <v>14</v>
      </c>
    </row>
    <row r="3303" x14ac:dyDescent="0.25">
      <c r="A3303" t="n">
        <v>25</v>
      </c>
      <c r="B3303" t="s">
        <v>14</v>
      </c>
      <c r="C3303" t="s">
        <v>51</v>
      </c>
      <c r="D3303" s="2" t="s">
        <f>=HYPERLINK("https://main.knesset.gov.il/APPS/legislation/main/bills/2216177", "הצעת חוק הרבנות הראשית לישראל (תיקון - רב ראשי אחד), התשפ""ד-2024")</f>
        <v>7015</v>
      </c>
      <c r="E3303" t="s">
        <v>7015</v>
      </c>
      <c r="F3303" t="s">
        <v>7016</v>
      </c>
      <c r="G3303" t="s">
        <v>14</v>
      </c>
      <c r="H3303">
             </c>
      <c r="I3303" t="s">
        <v>14</v>
      </c>
      <c r="J3303" t="s">
        <v>242</v>
      </c>
      <c r="K3303" t="s">
        <v>14</v>
      </c>
      <c r="L3303" t="s">
        <v>20</v>
      </c>
      <c r="M3303" t="s">
        <v>6986</v>
      </c>
      <c r="N3303" t="s">
        <v>14</v>
      </c>
    </row>
    <row r="3304" x14ac:dyDescent="0.25">
      <c r="A3304" t="n">
        <v>25</v>
      </c>
      <c r="B3304" t="s">
        <v>14</v>
      </c>
      <c r="C3304" t="s">
        <v>51</v>
      </c>
      <c r="D3304" s="2" t="s">
        <f>=HYPERLINK("https://main.knesset.gov.il/APPS/legislation/main/bills/2214997", "הצעת חוק ההוצאה לפועל (תיקון - החלת אגרה על החייב בהליך של נפגע פעולות איבה), התשפ""ד-2024 ")</f>
        <v>7017</v>
      </c>
      <c r="E3304" t="s">
        <v>7017</v>
      </c>
      <c r="F3304" t="s">
        <v>7018</v>
      </c>
      <c r="G3304" t="s">
        <v>14</v>
      </c>
      <c r="H3304">
             </c>
      <c r="I3304" t="s">
        <v>14</v>
      </c>
      <c r="J3304" t="s">
        <v>242</v>
      </c>
      <c r="K3304" t="s">
        <v>14</v>
      </c>
      <c r="L3304" t="s">
        <v>20</v>
      </c>
      <c r="M3304" t="s">
        <v>6986</v>
      </c>
      <c r="N3304" t="s">
        <v>14</v>
      </c>
    </row>
    <row r="3305" x14ac:dyDescent="0.25">
      <c r="A3305" t="n">
        <v>25</v>
      </c>
      <c r="B3305" t="s">
        <v>14</v>
      </c>
      <c r="C3305" t="s">
        <v>51</v>
      </c>
      <c r="D3305" s="2" t="s">
        <f>=HYPERLINK("https://main.knesset.gov.il/APPS/legislation/main/bills/2213838", "הצעת חוק עקרונות האסדרה (תיקון - הוראה בעניין מסים), התשפ""ד-2024")</f>
        <v>7019</v>
      </c>
      <c r="E3305" t="s">
        <v>7019</v>
      </c>
      <c r="F3305" t="s">
        <v>7020</v>
      </c>
      <c r="G3305" t="s">
        <v>14</v>
      </c>
      <c r="H3305">
             </c>
      <c r="I3305" t="s">
        <v>14</v>
      </c>
      <c r="J3305" t="s">
        <v>242</v>
      </c>
      <c r="K3305" t="s">
        <v>14</v>
      </c>
      <c r="L3305" t="s">
        <v>20</v>
      </c>
      <c r="M3305" t="s">
        <v>6986</v>
      </c>
      <c r="N3305" t="s">
        <v>14</v>
      </c>
    </row>
    <row r="3306" x14ac:dyDescent="0.25">
      <c r="A3306" t="n">
        <v>25</v>
      </c>
      <c r="B3306" t="s">
        <v>14</v>
      </c>
      <c r="C3306" t="s">
        <v>51</v>
      </c>
      <c r="D3306" s="2" t="s">
        <f>=HYPERLINK("https://main.knesset.gov.il/APPS/legislation/main/bills/2216346", "הצעת חוק סיוע למשפחות נפגעי מאורעות ה-7 באוקטובר, התשפ""ד-2024")</f>
        <v>6632</v>
      </c>
      <c r="E3306" t="s">
        <v>6632</v>
      </c>
      <c r="F3306" t="s">
        <v>7021</v>
      </c>
      <c r="G3306" t="s">
        <v>14</v>
      </c>
      <c r="H3306">
             </c>
      <c r="I3306" t="s">
        <v>14</v>
      </c>
      <c r="J3306" t="s">
        <v>242</v>
      </c>
      <c r="K3306" t="s">
        <v>14</v>
      </c>
      <c r="L3306" t="s">
        <v>20</v>
      </c>
      <c r="M3306" t="s">
        <v>6986</v>
      </c>
      <c r="N3306" t="s">
        <v>14</v>
      </c>
    </row>
    <row r="3307" x14ac:dyDescent="0.25">
      <c r="A3307" t="n">
        <v>25</v>
      </c>
      <c r="B3307" t="s">
        <v>14</v>
      </c>
      <c r="C3307" t="s">
        <v>51</v>
      </c>
      <c r="D3307" s="2" t="s">
        <f>=HYPERLINK("https://main.knesset.gov.il/APPS/legislation/main/bills/2215753", "הצעת חוק דוד בן-גוריון (תיקון - מינוי נציגי יד בן-גוריון למכון), התשפ""ד-2024")</f>
        <v>7022</v>
      </c>
      <c r="E3307" t="s">
        <v>7022</v>
      </c>
      <c r="F3307" t="s">
        <v>7023</v>
      </c>
      <c r="G3307" t="s">
        <v>14</v>
      </c>
      <c r="H3307">
             </c>
      <c r="I3307" t="s">
        <v>14</v>
      </c>
      <c r="J3307" t="s">
        <v>242</v>
      </c>
      <c r="K3307" t="s">
        <v>14</v>
      </c>
      <c r="L3307" t="s">
        <v>20</v>
      </c>
      <c r="M3307" t="s">
        <v>6986</v>
      </c>
      <c r="N3307" t="s">
        <v>14</v>
      </c>
    </row>
    <row r="3308" x14ac:dyDescent="0.25">
      <c r="A3308" t="n">
        <v>25</v>
      </c>
      <c r="B3308" t="s">
        <v>14</v>
      </c>
      <c r="C3308" t="s">
        <v>51</v>
      </c>
      <c r="D3308" s="2" t="s">
        <f>=HYPERLINK("https://main.knesset.gov.il/APPS/legislation/main/bills/2214426", "הצעת חוק מינהלת תקומה בצפון, התשפ""ד-2024")</f>
        <v>7024</v>
      </c>
      <c r="E3308" t="s">
        <v>7024</v>
      </c>
      <c r="F3308" t="s">
        <v>7025</v>
      </c>
      <c r="G3308" t="s">
        <v>14</v>
      </c>
      <c r="H3308">
             </c>
      <c r="I3308" t="s">
        <v>14</v>
      </c>
      <c r="J3308" t="s">
        <v>242</v>
      </c>
      <c r="K3308" t="s">
        <v>14</v>
      </c>
      <c r="L3308" t="s">
        <v>20</v>
      </c>
      <c r="M3308" t="s">
        <v>6986</v>
      </c>
      <c r="N3308" t="s">
        <v>14</v>
      </c>
    </row>
    <row r="3309" x14ac:dyDescent="0.25">
      <c r="A3309" t="n">
        <v>25</v>
      </c>
      <c r="B3309" t="s">
        <v>14</v>
      </c>
      <c r="C3309" t="s">
        <v>51</v>
      </c>
      <c r="D3309" s="2" t="s">
        <f>=HYPERLINK("https://main.knesset.gov.il/APPS/legislation/main/bills/2215618", "הצעת חוק המרכז למורשת יהדות אתיופיה (תיקון - פעילויות חינוך והנצחה), התשפ""ד-2024")</f>
        <v>7026</v>
      </c>
      <c r="E3309" t="s">
        <v>7026</v>
      </c>
      <c r="F3309" t="s">
        <v>7027</v>
      </c>
      <c r="G3309" t="s">
        <v>14</v>
      </c>
      <c r="H3309">
             </c>
      <c r="I3309" t="s">
        <v>14</v>
      </c>
      <c r="J3309" t="s">
        <v>242</v>
      </c>
      <c r="K3309" t="s">
        <v>14</v>
      </c>
      <c r="L3309" t="s">
        <v>20</v>
      </c>
      <c r="M3309" t="s">
        <v>6986</v>
      </c>
      <c r="N3309" t="s">
        <v>14</v>
      </c>
    </row>
    <row r="3310" x14ac:dyDescent="0.25">
      <c r="A3310" t="n">
        <v>25</v>
      </c>
      <c r="B3310" t="s">
        <v>14</v>
      </c>
      <c r="C3310" t="s">
        <v>51</v>
      </c>
      <c r="D3310" s="2" t="s">
        <f>=HYPERLINK("https://main.knesset.gov.il/APPS/legislation/main/bills/2209185", "הצעת חוק דמי נסיעה לעובדים, התשפ""ד-2024 ")</f>
        <v>7028</v>
      </c>
      <c r="E3310" t="s">
        <v>7028</v>
      </c>
      <c r="F3310" t="s">
        <v>7029</v>
      </c>
      <c r="G3310" t="s">
        <v>14</v>
      </c>
      <c r="H3310">
             </c>
      <c r="I3310" t="s">
        <v>14</v>
      </c>
      <c r="J3310" t="s">
        <v>242</v>
      </c>
      <c r="K3310" t="s">
        <v>14</v>
      </c>
      <c r="L3310" t="s">
        <v>20</v>
      </c>
      <c r="M3310" t="s">
        <v>6986</v>
      </c>
      <c r="N3310" t="s">
        <v>14</v>
      </c>
    </row>
    <row r="3311" x14ac:dyDescent="0.25">
      <c r="A3311" t="n">
        <v>25</v>
      </c>
      <c r="B3311" t="s">
        <v>14</v>
      </c>
      <c r="C3311" t="s">
        <v>51</v>
      </c>
      <c r="D3311" s="2" t="s">
        <f>=HYPERLINK("https://main.knesset.gov.il/APPS/legislation/main/bills/2210334", "הצעת חוק לתיקון פקודת בריאות העם (פטור מבחינות לאחיות ממדינות חוץ), התשפ""ד-2024")</f>
        <v>7030</v>
      </c>
      <c r="E3311" t="s">
        <v>7030</v>
      </c>
      <c r="F3311" t="s">
        <v>7031</v>
      </c>
      <c r="G3311" t="s">
        <v>14</v>
      </c>
      <c r="H3311">
             </c>
      <c r="I3311" t="s">
        <v>14</v>
      </c>
      <c r="J3311" t="s">
        <v>242</v>
      </c>
      <c r="K3311" t="s">
        <v>14</v>
      </c>
      <c r="L3311" t="s">
        <v>20</v>
      </c>
      <c r="M3311" t="s">
        <v>6986</v>
      </c>
      <c r="N3311" t="s">
        <v>14</v>
      </c>
    </row>
    <row r="3312" x14ac:dyDescent="0.25">
      <c r="A3312" t="n">
        <v>25</v>
      </c>
      <c r="B3312" t="s">
        <v>14</v>
      </c>
      <c r="C3312" t="s">
        <v>51</v>
      </c>
      <c r="D3312" s="2" t="s">
        <f>=HYPERLINK("https://main.knesset.gov.il/APPS/legislation/main/bills/2216275", "הצעת חוק פיקוח על מחירי מצרכים ושירותים (תיקון - פיקוח על מוצרי מזון בריא בסיסיים), התשפ""ד-2024 ")</f>
        <v>6180</v>
      </c>
      <c r="E3312" t="s">
        <v>6180</v>
      </c>
      <c r="F3312" t="s">
        <v>7032</v>
      </c>
      <c r="G3312" t="s">
        <v>14</v>
      </c>
      <c r="H3312">
             </c>
      <c r="I3312" t="s">
        <v>14</v>
      </c>
      <c r="J3312" t="s">
        <v>242</v>
      </c>
      <c r="K3312" t="s">
        <v>14</v>
      </c>
      <c r="L3312" t="s">
        <v>20</v>
      </c>
      <c r="M3312" t="s">
        <v>6986</v>
      </c>
      <c r="N3312" t="s">
        <v>14</v>
      </c>
    </row>
    <row r="3313" x14ac:dyDescent="0.25">
      <c r="A3313" t="n">
        <v>25</v>
      </c>
      <c r="B3313" t="s">
        <v>14</v>
      </c>
      <c r="C3313" t="s">
        <v>51</v>
      </c>
      <c r="D3313" s="2" t="s">
        <f>=HYPERLINK("https://main.knesset.gov.il/APPS/legislation/main/bills/2215975", "הצעת חוק הסכמים לנשיאת עוברים (אישור הסכם ומעמד היילוד) (תיקון - מעמד אפוטרופוס להורי היילוד), התשפ""ד-2024")</f>
        <v>7033</v>
      </c>
      <c r="E3313" t="s">
        <v>7033</v>
      </c>
      <c r="F3313" t="s">
        <v>7034</v>
      </c>
      <c r="G3313" t="s">
        <v>14</v>
      </c>
      <c r="H3313">
             </c>
      <c r="I3313" t="s">
        <v>14</v>
      </c>
      <c r="J3313" t="s">
        <v>202</v>
      </c>
      <c r="K3313" t="s">
        <v>14</v>
      </c>
      <c r="L3313" t="s">
        <v>20</v>
      </c>
      <c r="M3313" t="s">
        <v>6986</v>
      </c>
      <c r="N3313" t="s">
        <v>14</v>
      </c>
    </row>
    <row r="3314" x14ac:dyDescent="0.25">
      <c r="A3314" t="n">
        <v>25</v>
      </c>
      <c r="B3314" t="s">
        <v>14</v>
      </c>
      <c r="C3314" t="s">
        <v>51</v>
      </c>
      <c r="D3314" s="2" t="s">
        <f>=HYPERLINK("https://main.knesset.gov.il/APPS/legislation/main/bills/2216197", "הצעת חוק הביטוח הלאומי (תיקון - זכאות לקצבת אזרח ותיק לנכה), התשפ""ד-2024")</f>
        <v>6804</v>
      </c>
      <c r="E3314" t="s">
        <v>6804</v>
      </c>
      <c r="F3314" t="s">
        <v>7035</v>
      </c>
      <c r="G3314" t="s">
        <v>14</v>
      </c>
      <c r="H3314">
             </c>
      <c r="I3314" t="s">
        <v>14</v>
      </c>
      <c r="J3314" t="s">
        <v>242</v>
      </c>
      <c r="K3314" t="s">
        <v>14</v>
      </c>
      <c r="L3314" t="s">
        <v>20</v>
      </c>
      <c r="M3314" t="s">
        <v>6986</v>
      </c>
      <c r="N3314" t="s">
        <v>14</v>
      </c>
    </row>
    <row r="3315" x14ac:dyDescent="0.25">
      <c r="A3315" t="n">
        <v>25</v>
      </c>
      <c r="B3315" t="s">
        <v>14</v>
      </c>
      <c r="C3315" t="s">
        <v>51</v>
      </c>
      <c r="D3315" s="2" t="s">
        <f>=HYPERLINK("https://main.knesset.gov.il/APPS/legislation/main/bills/2215938", "הצעת חוק הגנת הצרכן (תיקון - מענה אנושי בשירות טלפוני לאזרח ותיק), התשפ""ד-2024")</f>
        <v>6840</v>
      </c>
      <c r="E3315" t="s">
        <v>6840</v>
      </c>
      <c r="F3315" t="s">
        <v>7036</v>
      </c>
      <c r="G3315" t="s">
        <v>14</v>
      </c>
      <c r="H3315">
             </c>
      <c r="I3315" t="s">
        <v>14</v>
      </c>
      <c r="J3315" t="s">
        <v>242</v>
      </c>
      <c r="K3315" t="s">
        <v>14</v>
      </c>
      <c r="L3315" t="s">
        <v>20</v>
      </c>
      <c r="M3315" t="s">
        <v>6986</v>
      </c>
      <c r="N3315" t="s">
        <v>14</v>
      </c>
    </row>
    <row r="3316" x14ac:dyDescent="0.25">
      <c r="A3316" t="n">
        <v>25</v>
      </c>
      <c r="B3316" t="s">
        <v>14</v>
      </c>
      <c r="C3316" t="s">
        <v>15</v>
      </c>
      <c r="D3316" s="2" t="s">
        <f>=HYPERLINK("https://main.knesset.gov.il/APPS/legislation/main/bills/2214776", "חוק תקציב נוסף לשנת הכספים 2024, התשפ""ד-2024")</f>
        <v>7037</v>
      </c>
      <c r="E3316" t="s">
        <v>7037</v>
      </c>
      <c r="F3316" t="s">
        <v>14</v>
      </c>
      <c r="G3316" t="s">
        <v>7038</v>
      </c>
      <c r="H3316" t="n">
        <v>3188</v>
      </c>
      <c r="I3316" t="s">
        <v>14</v>
      </c>
      <c r="J3316" t="s">
        <v>18</v>
      </c>
      <c r="K3316" t="s">
        <v>24</v>
      </c>
      <c r="L3316" t="s">
        <v>20</v>
      </c>
      <c r="M3316" t="s">
        <v>7039</v>
      </c>
      <c r="N3316" t="s">
        <v>7040</v>
      </c>
    </row>
    <row r="3317" x14ac:dyDescent="0.25">
      <c r="A3317" t="n">
        <v>25</v>
      </c>
      <c r="B3317" t="s">
        <v>14</v>
      </c>
      <c r="C3317" t="s">
        <v>15</v>
      </c>
      <c r="D3317" s="2" t="s">
        <f>=HYPERLINK("https://main.knesset.gov.il/APPS/legislation/main/bills/2215130", "חוק הקפאה והפחתה של דמי הבראה בשנת 2024 לשם תקצוב הטבות לחיילי מילואים, התשפ""ד-2024")</f>
        <v>7041</v>
      </c>
      <c r="E3317" t="s">
        <v>7041</v>
      </c>
      <c r="F3317" t="s">
        <v>14</v>
      </c>
      <c r="G3317" t="s">
        <v>7042</v>
      </c>
      <c r="H3317" t="n">
        <v>3180</v>
      </c>
      <c r="I3317" t="s">
        <v>14</v>
      </c>
      <c r="J3317" t="s">
        <v>18</v>
      </c>
      <c r="K3317" t="s">
        <v>46</v>
      </c>
      <c r="L3317" t="s">
        <v>20</v>
      </c>
      <c r="M3317" t="s">
        <v>7039</v>
      </c>
      <c r="N3317" t="s">
        <v>7043</v>
      </c>
    </row>
    <row r="3318" x14ac:dyDescent="0.25">
      <c r="A3318" t="n">
        <v>25</v>
      </c>
      <c r="B3318" t="s">
        <v>14</v>
      </c>
      <c r="C3318" t="s">
        <v>15</v>
      </c>
      <c r="D3318" s="2" t="s">
        <f>=HYPERLINK("https://main.knesset.gov.il/APPS/legislation/main/bills/2214414", "חוק הפחתת הגירעון והגבלת ההוצאה התקציבית (תיקון מס' 25), התשפ""ד-2024")</f>
        <v>7044</v>
      </c>
      <c r="E3318" t="s">
        <v>7044</v>
      </c>
      <c r="F3318" t="s">
        <v>14</v>
      </c>
      <c r="G3318" t="s">
        <v>7042</v>
      </c>
      <c r="H3318" t="n">
        <v>3179</v>
      </c>
      <c r="I3318" t="s">
        <v>14</v>
      </c>
      <c r="J3318" t="s">
        <v>18</v>
      </c>
      <c r="K3318" t="s">
        <v>24</v>
      </c>
      <c r="L3318" t="s">
        <v>20</v>
      </c>
      <c r="M3318" t="s">
        <v>7039</v>
      </c>
      <c r="N3318" t="s">
        <v>7045</v>
      </c>
    </row>
    <row r="3319" x14ac:dyDescent="0.25">
      <c r="A3319" t="n">
        <v>25</v>
      </c>
      <c r="B3319" t="s">
        <v>14</v>
      </c>
      <c r="C3319" t="s">
        <v>15</v>
      </c>
      <c r="D3319" s="2" t="s">
        <f>=HYPERLINK("https://main.knesset.gov.il/APPS/legislation/main/bills/2215128", "חוק הביטוח הלאומי (תיקון מס' 244 והוראת שעה), התשפ""ד-2024")</f>
        <v>7046</v>
      </c>
      <c r="E3319" t="s">
        <v>7046</v>
      </c>
      <c r="F3319" t="s">
        <v>14</v>
      </c>
      <c r="G3319" t="s">
        <v>7042</v>
      </c>
      <c r="H3319" t="n">
        <v>3178</v>
      </c>
      <c r="I3319" t="s">
        <v>14</v>
      </c>
      <c r="J3319" t="s">
        <v>18</v>
      </c>
      <c r="K3319" t="s">
        <v>46</v>
      </c>
      <c r="L3319" t="s">
        <v>20</v>
      </c>
      <c r="M3319" t="s">
        <v>7039</v>
      </c>
      <c r="N3319" t="s">
        <v>7047</v>
      </c>
    </row>
    <row r="3320" x14ac:dyDescent="0.25">
      <c r="A3320" t="n">
        <v>25</v>
      </c>
      <c r="B3320" t="s">
        <v>14</v>
      </c>
      <c r="C3320" t="s">
        <v>15</v>
      </c>
      <c r="D3320" s="2" t="s">
        <f>=HYPERLINK("https://main.knesset.gov.il/APPS/legislation/main/bills/2215129", "חוק ביטוח בריאות ממלכתי (תיקון מס' 69 והוראת שעה), התשפ""ד-2024")</f>
        <v>7048</v>
      </c>
      <c r="E3320" t="s">
        <v>7048</v>
      </c>
      <c r="F3320" t="s">
        <v>14</v>
      </c>
      <c r="G3320" t="s">
        <v>7042</v>
      </c>
      <c r="H3320" t="n">
        <v>3177</v>
      </c>
      <c r="I3320" t="s">
        <v>14</v>
      </c>
      <c r="J3320" t="s">
        <v>18</v>
      </c>
      <c r="K3320" t="s">
        <v>361</v>
      </c>
      <c r="L3320" t="s">
        <v>20</v>
      </c>
      <c r="M3320" t="s">
        <v>7039</v>
      </c>
      <c r="N3320" t="s">
        <v>7049</v>
      </c>
    </row>
    <row r="3321" x14ac:dyDescent="0.25">
      <c r="A3321" t="n">
        <v>25</v>
      </c>
      <c r="B3321" t="s">
        <v>14</v>
      </c>
      <c r="C3321" t="s">
        <v>15</v>
      </c>
      <c r="D3321" s="2" t="s">
        <f>=HYPERLINK("https://main.knesset.gov.il/APPS/legislation/main/bills/2215131", "חוק תשלום מיוחד לשם השגת יעדי התקציב (הוראת שעה – חרבות ברזל), התשפ""ד–2024 ")</f>
        <v>7050</v>
      </c>
      <c r="E3321" t="s">
        <v>7050</v>
      </c>
      <c r="F3321" t="s">
        <v>14</v>
      </c>
      <c r="G3321" t="s">
        <v>7042</v>
      </c>
      <c r="H3321" t="n">
        <v>3176</v>
      </c>
      <c r="I3321" t="s">
        <v>14</v>
      </c>
      <c r="J3321" t="s">
        <v>18</v>
      </c>
      <c r="K3321" t="s">
        <v>24</v>
      </c>
      <c r="L3321" t="s">
        <v>20</v>
      </c>
      <c r="M3321" t="s">
        <v>7039</v>
      </c>
      <c r="N3321" t="s">
        <v>7051</v>
      </c>
    </row>
    <row r="3322" x14ac:dyDescent="0.25">
      <c r="A3322" t="n">
        <v>25</v>
      </c>
      <c r="B3322" t="s">
        <v>14</v>
      </c>
      <c r="C3322" t="s">
        <v>15</v>
      </c>
      <c r="D3322" s="2" t="s">
        <f>=HYPERLINK("https://main.knesset.gov.il/APPS/legislation/main/bills/2215340", "חוק חדלות פירעון ושיקום כלכלי (תיקון מס' 4 – הוראת שעה – נגיף הקורונה החדש) (תיקון מס' 2) (הארכת תוקף – חרבות ברזל), התשפ""ד-2024")</f>
        <v>7052</v>
      </c>
      <c r="E3322" t="s">
        <v>7052</v>
      </c>
      <c r="F3322" t="s">
        <v>14</v>
      </c>
      <c r="G3322" t="s">
        <v>7053</v>
      </c>
      <c r="H3322" t="n">
        <v>3175</v>
      </c>
      <c r="I3322" t="s">
        <v>14</v>
      </c>
      <c r="J3322" t="s">
        <v>18</v>
      </c>
      <c r="K3322" t="s">
        <v>27</v>
      </c>
      <c r="L3322" t="s">
        <v>20</v>
      </c>
      <c r="M3322" t="s">
        <v>7039</v>
      </c>
      <c r="N3322" t="s">
        <v>7054</v>
      </c>
    </row>
    <row r="3323" x14ac:dyDescent="0.25">
      <c r="A3323" t="n">
        <v>25</v>
      </c>
      <c r="B3323" t="s">
        <v>14</v>
      </c>
      <c r="C3323" t="s">
        <v>15</v>
      </c>
      <c r="D3323" s="2" t="s">
        <f>=HYPERLINK("https://main.knesset.gov.il/APPS/legislation/main/bills/2214722", "חוק לתיקון פקודת בתי הסוהר (תיקון מס' 66 – הוראת שעה – חרבות ברזל) (חופשה מיוחדת לאסיר), התשפ""ד–2024")</f>
        <v>7055</v>
      </c>
      <c r="E3323" t="s">
        <v>7055</v>
      </c>
      <c r="F3323" t="s">
        <v>14</v>
      </c>
      <c r="G3323" t="s">
        <v>7056</v>
      </c>
      <c r="H3323" t="n">
        <v>3174</v>
      </c>
      <c r="I3323" t="s">
        <v>14</v>
      </c>
      <c r="J3323" t="s">
        <v>18</v>
      </c>
      <c r="K3323" t="s">
        <v>19</v>
      </c>
      <c r="L3323" t="s">
        <v>20</v>
      </c>
      <c r="M3323" t="s">
        <v>7057</v>
      </c>
      <c r="N3323" t="s">
        <v>7058</v>
      </c>
    </row>
    <row r="3324" x14ac:dyDescent="0.25">
      <c r="A3324" t="n">
        <v>25</v>
      </c>
      <c r="B3324" t="s">
        <v>14</v>
      </c>
      <c r="C3324" t="s">
        <v>51</v>
      </c>
      <c r="D3324" s="2" t="s">
        <f>=HYPERLINK("https://main.knesset.gov.il/APPS/legislation/main/bills/2201602", "חוק לפיצוי קורבנות טרור (פיצויים לדוגמה), התשפ""ד-2024")</f>
        <v>7059</v>
      </c>
      <c r="E3324" t="s">
        <v>7059</v>
      </c>
      <c r="F3324" t="s">
        <v>7060</v>
      </c>
      <c r="G3324" t="s">
        <v>7061</v>
      </c>
      <c r="H3324" t="n">
        <v>3173</v>
      </c>
      <c r="I3324" t="s">
        <v>14</v>
      </c>
      <c r="J3324" t="s">
        <v>18</v>
      </c>
      <c r="K3324" t="s">
        <v>39</v>
      </c>
      <c r="L3324" t="s">
        <v>20</v>
      </c>
      <c r="M3324" t="s">
        <v>7057</v>
      </c>
      <c r="N3324" t="s">
        <v>7062</v>
      </c>
    </row>
    <row r="3325" x14ac:dyDescent="0.25">
      <c r="A3325" t="n">
        <v>25</v>
      </c>
      <c r="B3325" t="s">
        <v>14</v>
      </c>
      <c r="C3325" t="s">
        <v>51</v>
      </c>
      <c r="D3325" s="2" t="s">
        <f>=HYPERLINK("https://main.knesset.gov.il/APPS/legislation/main/bills/2215996", "הצעת חוק המשטרה (סמכויות), התשפ""ד-2024")</f>
        <v>7063</v>
      </c>
      <c r="E3325" t="s">
        <v>7063</v>
      </c>
      <c r="F3325" t="s">
        <v>7064</v>
      </c>
      <c r="G3325" t="s">
        <v>14</v>
      </c>
      <c r="H3325">
             </c>
      <c r="I3325" t="s">
        <v>14</v>
      </c>
      <c r="J3325" t="s">
        <v>242</v>
      </c>
      <c r="K3325" t="s">
        <v>14</v>
      </c>
      <c r="L3325" t="s">
        <v>20</v>
      </c>
      <c r="M3325" t="s">
        <v>7057</v>
      </c>
      <c r="N3325" t="s">
        <v>14</v>
      </c>
    </row>
    <row r="3326" x14ac:dyDescent="0.25">
      <c r="A3326" t="n">
        <v>25</v>
      </c>
      <c r="B3326" t="s">
        <v>14</v>
      </c>
      <c r="C3326" t="s">
        <v>51</v>
      </c>
      <c r="D3326" s="2" t="s">
        <f>=HYPERLINK("https://main.knesset.gov.il/APPS/legislation/main/bills/2215731",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6145</v>
      </c>
      <c r="E3326" t="s">
        <v>6145</v>
      </c>
      <c r="F3326" t="s">
        <v>7065</v>
      </c>
      <c r="G3326" t="s">
        <v>14</v>
      </c>
      <c r="H3326">
             </c>
      <c r="I3326" t="s">
        <v>14</v>
      </c>
      <c r="J3326" t="s">
        <v>242</v>
      </c>
      <c r="K3326" t="s">
        <v>14</v>
      </c>
      <c r="L3326" t="s">
        <v>20</v>
      </c>
      <c r="M3326" t="s">
        <v>7057</v>
      </c>
      <c r="N3326" t="s">
        <v>14</v>
      </c>
    </row>
    <row r="3327" x14ac:dyDescent="0.25">
      <c r="A3327" t="n">
        <v>25</v>
      </c>
      <c r="B3327" t="s">
        <v>14</v>
      </c>
      <c r="C3327" t="s">
        <v>51</v>
      </c>
      <c r="D3327" s="2" t="s">
        <f>=HYPERLINK("https://main.knesset.gov.il/APPS/legislation/main/bills/2215660", "הצעת חוק צוותי התערבות במשבר, התשפ""ד-2024")</f>
        <v>7066</v>
      </c>
      <c r="E3327" t="s">
        <v>7066</v>
      </c>
      <c r="F3327" t="s">
        <v>7067</v>
      </c>
      <c r="G3327" t="s">
        <v>14</v>
      </c>
      <c r="H3327">
             </c>
      <c r="I3327" t="s">
        <v>14</v>
      </c>
      <c r="J3327" t="s">
        <v>242</v>
      </c>
      <c r="K3327" t="s">
        <v>14</v>
      </c>
      <c r="L3327" t="s">
        <v>20</v>
      </c>
      <c r="M3327" t="s">
        <v>7057</v>
      </c>
      <c r="N3327" t="s">
        <v>14</v>
      </c>
    </row>
    <row r="3328" x14ac:dyDescent="0.25">
      <c r="A3328" t="n">
        <v>25</v>
      </c>
      <c r="B3328" t="s">
        <v>14</v>
      </c>
      <c r="C3328" t="s">
        <v>51</v>
      </c>
      <c r="D3328" s="2" t="s">
        <f>=HYPERLINK("https://main.knesset.gov.il/APPS/legislation/main/bills/2215834", "הצעת חוק עידוד מעורבות סטודנטים בפעילות חברתית וקהילתית (תיקון - הכרה בהתנדבות למען המפונים והחטופים), התשפ""ד-2024")</f>
        <v>7068</v>
      </c>
      <c r="E3328" t="s">
        <v>7068</v>
      </c>
      <c r="F3328" t="s">
        <v>7069</v>
      </c>
      <c r="G3328" t="s">
        <v>14</v>
      </c>
      <c r="H3328">
             </c>
      <c r="I3328" t="s">
        <v>14</v>
      </c>
      <c r="J3328" t="s">
        <v>242</v>
      </c>
      <c r="K3328" t="s">
        <v>14</v>
      </c>
      <c r="L3328" t="s">
        <v>20</v>
      </c>
      <c r="M3328" t="s">
        <v>7057</v>
      </c>
      <c r="N3328" t="s">
        <v>14</v>
      </c>
    </row>
    <row r="3329" x14ac:dyDescent="0.25">
      <c r="A3329" t="n">
        <v>25</v>
      </c>
      <c r="B3329" t="s">
        <v>14</v>
      </c>
      <c r="C3329" t="s">
        <v>51</v>
      </c>
      <c r="D3329" s="2" t="s">
        <f>=HYPERLINK("https://main.knesset.gov.il/APPS/legislation/main/bills/2205196", "הצעת חוק המים (תיקון - מניעת זיהום מים במוקדי זיהום אפשריים בשגרה ובחירום), התשפ""ד-2024 ")</f>
        <v>7070</v>
      </c>
      <c r="E3329" t="s">
        <v>7070</v>
      </c>
      <c r="F3329" t="s">
        <v>7071</v>
      </c>
      <c r="G3329" t="s">
        <v>14</v>
      </c>
      <c r="H3329">
             </c>
      <c r="I3329" t="s">
        <v>14</v>
      </c>
      <c r="J3329" t="s">
        <v>242</v>
      </c>
      <c r="K3329" t="s">
        <v>14</v>
      </c>
      <c r="L3329" t="s">
        <v>20</v>
      </c>
      <c r="M3329" t="s">
        <v>7057</v>
      </c>
      <c r="N3329" t="s">
        <v>14</v>
      </c>
    </row>
    <row r="3330" x14ac:dyDescent="0.25">
      <c r="A3330" t="n">
        <v>25</v>
      </c>
      <c r="B3330" t="s">
        <v>14</v>
      </c>
      <c r="C3330" t="s">
        <v>51</v>
      </c>
      <c r="D3330" s="2" t="s">
        <f>=HYPERLINK("https://main.knesset.gov.il/APPS/legislation/main/bills/2215638", "הצעת חוק שכר לחיילים בשירות סדיר, התשפ""ד-2024")</f>
        <v>7072</v>
      </c>
      <c r="E3330" t="s">
        <v>7072</v>
      </c>
      <c r="F3330" t="s">
        <v>7073</v>
      </c>
      <c r="G3330" t="s">
        <v>14</v>
      </c>
      <c r="H3330">
             </c>
      <c r="I3330" t="s">
        <v>14</v>
      </c>
      <c r="J3330" t="s">
        <v>242</v>
      </c>
      <c r="K3330" t="s">
        <v>14</v>
      </c>
      <c r="L3330" t="s">
        <v>20</v>
      </c>
      <c r="M3330" t="s">
        <v>7057</v>
      </c>
      <c r="N3330" t="s">
        <v>14</v>
      </c>
    </row>
    <row r="3331" x14ac:dyDescent="0.25">
      <c r="A3331" t="n">
        <v>25</v>
      </c>
      <c r="B3331" t="s">
        <v>14</v>
      </c>
      <c r="C3331" t="s">
        <v>51</v>
      </c>
      <c r="D3331" s="2" t="s">
        <f>=HYPERLINK("https://main.knesset.gov.il/APPS/legislation/main/bills/2215329", "הצעת חוק הבנקאות (שירות ללקוח) (תיקון - הגברת השקיפות לגבי רמת הריביות בשוק האשראי), התשפ""ד-2024")</f>
        <v>7074</v>
      </c>
      <c r="E3331" t="s">
        <v>7074</v>
      </c>
      <c r="F3331" t="s">
        <v>7075</v>
      </c>
      <c r="G3331" t="s">
        <v>14</v>
      </c>
      <c r="H3331">
             </c>
      <c r="I3331" t="s">
        <v>14</v>
      </c>
      <c r="J3331" t="s">
        <v>242</v>
      </c>
      <c r="K3331" t="s">
        <v>14</v>
      </c>
      <c r="L3331" t="s">
        <v>20</v>
      </c>
      <c r="M3331" t="s">
        <v>7057</v>
      </c>
      <c r="N3331" t="s">
        <v>14</v>
      </c>
    </row>
    <row r="3332" x14ac:dyDescent="0.25">
      <c r="A3332" t="n">
        <v>25</v>
      </c>
      <c r="B3332" t="s">
        <v>14</v>
      </c>
      <c r="C3332" t="s">
        <v>51</v>
      </c>
      <c r="D3332" s="2" t="s">
        <f>=HYPERLINK("https://main.knesset.gov.il/APPS/legislation/main/bills/2214421", "הצעת חוק איסור העברת כספים לרשות תומכת טרור (תיקוני חקיקה), התשפ""ד-2024")</f>
        <v>7076</v>
      </c>
      <c r="E3332" t="s">
        <v>7076</v>
      </c>
      <c r="F3332" t="s">
        <v>7077</v>
      </c>
      <c r="G3332" t="s">
        <v>14</v>
      </c>
      <c r="H3332">
             </c>
      <c r="I3332" t="s">
        <v>14</v>
      </c>
      <c r="J3332" t="s">
        <v>242</v>
      </c>
      <c r="K3332" t="s">
        <v>14</v>
      </c>
      <c r="L3332" t="s">
        <v>20</v>
      </c>
      <c r="M3332" t="s">
        <v>7057</v>
      </c>
      <c r="N3332" t="s">
        <v>14</v>
      </c>
    </row>
    <row r="3333" x14ac:dyDescent="0.25">
      <c r="A3333" t="n">
        <v>25</v>
      </c>
      <c r="B3333" t="s">
        <v>14</v>
      </c>
      <c r="C3333" t="s">
        <v>51</v>
      </c>
      <c r="D3333" s="2" t="s">
        <f>=HYPERLINK("https://main.knesset.gov.il/APPS/legislation/main/bills/2214890", "הצעת חוק קידום התחרות בענף המזון (תיקון - איסור העלאת מחירים של מוצרי מזון בתקופת חירום), התשפ""ד-2024")</f>
        <v>7078</v>
      </c>
      <c r="E3333" t="s">
        <v>7078</v>
      </c>
      <c r="F3333" t="s">
        <v>7079</v>
      </c>
      <c r="G3333" t="s">
        <v>14</v>
      </c>
      <c r="H3333">
             </c>
      <c r="I3333" t="s">
        <v>14</v>
      </c>
      <c r="J3333" t="s">
        <v>242</v>
      </c>
      <c r="K3333" t="s">
        <v>14</v>
      </c>
      <c r="L3333" t="s">
        <v>20</v>
      </c>
      <c r="M3333" t="s">
        <v>7057</v>
      </c>
      <c r="N3333" t="s">
        <v>14</v>
      </c>
    </row>
    <row r="3334" x14ac:dyDescent="0.25">
      <c r="A3334" t="n">
        <v>25</v>
      </c>
      <c r="B3334" t="s">
        <v>14</v>
      </c>
      <c r="C3334" t="s">
        <v>51</v>
      </c>
      <c r="D3334" s="2" t="s">
        <f>=HYPERLINK("https://main.knesset.gov.il/APPS/legislation/main/bills/2214175", "הצעת חוק צמצום פערי שכר מגדריים (תיקוני חקיקה), התשפ""ד-2024")</f>
        <v>7080</v>
      </c>
      <c r="E3334" t="s">
        <v>7080</v>
      </c>
      <c r="F3334" t="s">
        <v>7081</v>
      </c>
      <c r="G3334" t="s">
        <v>14</v>
      </c>
      <c r="H3334">
             </c>
      <c r="I3334" t="s">
        <v>14</v>
      </c>
      <c r="J3334" t="s">
        <v>242</v>
      </c>
      <c r="K3334" t="s">
        <v>14</v>
      </c>
      <c r="L3334" t="s">
        <v>20</v>
      </c>
      <c r="M3334" t="s">
        <v>7057</v>
      </c>
      <c r="N3334" t="s">
        <v>14</v>
      </c>
    </row>
    <row r="3335" x14ac:dyDescent="0.25">
      <c r="A3335" t="n">
        <v>25</v>
      </c>
      <c r="B3335" t="s">
        <v>14</v>
      </c>
      <c r="C3335" t="s">
        <v>51</v>
      </c>
      <c r="D3335" s="2" t="s">
        <f>=HYPERLINK("https://main.knesset.gov.il/APPS/legislation/main/bills/2213881", "הצעת חוק הנחה בדמי נסיעה בתחבורה ציבורית לעובדי בתי החולים הציבוריים הכלליים (תיקוני חקיקה), התשפ""ד-2024")</f>
        <v>7082</v>
      </c>
      <c r="E3335" t="s">
        <v>7082</v>
      </c>
      <c r="F3335" t="s">
        <v>7083</v>
      </c>
      <c r="G3335" t="s">
        <v>14</v>
      </c>
      <c r="H3335">
             </c>
      <c r="I3335" t="s">
        <v>14</v>
      </c>
      <c r="J3335" t="s">
        <v>242</v>
      </c>
      <c r="K3335" t="s">
        <v>14</v>
      </c>
      <c r="L3335" t="s">
        <v>20</v>
      </c>
      <c r="M3335" t="s">
        <v>7057</v>
      </c>
      <c r="N3335" t="s">
        <v>14</v>
      </c>
    </row>
    <row r="3336" x14ac:dyDescent="0.25">
      <c r="A3336" t="n">
        <v>25</v>
      </c>
      <c r="B3336" t="s">
        <v>14</v>
      </c>
      <c r="C3336" t="s">
        <v>51</v>
      </c>
      <c r="D3336" s="2" t="s">
        <f>=HYPERLINK("https://main.knesset.gov.il/APPS/legislation/main/bills/2215637", "הצעת חוק החיילים המשוחררים (החזרה לעבודה) (תיקון - הגנה על בן זוג של חייל מילואים), התשפ""ד-2024")</f>
        <v>7084</v>
      </c>
      <c r="E3336" t="s">
        <v>7084</v>
      </c>
      <c r="F3336" t="s">
        <v>7085</v>
      </c>
      <c r="G3336" t="s">
        <v>14</v>
      </c>
      <c r="H3336">
             </c>
      <c r="I3336" t="s">
        <v>14</v>
      </c>
      <c r="J3336" t="s">
        <v>242</v>
      </c>
      <c r="K3336" t="s">
        <v>14</v>
      </c>
      <c r="L3336" t="s">
        <v>20</v>
      </c>
      <c r="M3336" t="s">
        <v>7057</v>
      </c>
      <c r="N3336" t="s">
        <v>14</v>
      </c>
    </row>
    <row r="3337" x14ac:dyDescent="0.25">
      <c r="A3337" t="n">
        <v>25</v>
      </c>
      <c r="B3337" t="s">
        <v>14</v>
      </c>
      <c r="C3337" t="s">
        <v>51</v>
      </c>
      <c r="D3337" s="2" t="s">
        <f>=HYPERLINK("https://main.knesset.gov.il/APPS/legislation/main/bills/2214017", "הצעת חוק שירות הביטחון הכללי (תיקון - בדיקת פוליגרף למשתתפים בוועדת החוץ והביטחון של הכנסת), התשפ""ד-2024 ")</f>
        <v>7086</v>
      </c>
      <c r="E3337" t="s">
        <v>7086</v>
      </c>
      <c r="F3337" t="s">
        <v>7087</v>
      </c>
      <c r="G3337" t="s">
        <v>14</v>
      </c>
      <c r="H3337">
             </c>
      <c r="I3337" t="s">
        <v>14</v>
      </c>
      <c r="J3337" t="s">
        <v>242</v>
      </c>
      <c r="K3337" t="s">
        <v>14</v>
      </c>
      <c r="L3337" t="s">
        <v>20</v>
      </c>
      <c r="M3337" t="s">
        <v>7057</v>
      </c>
      <c r="N3337" t="s">
        <v>14</v>
      </c>
    </row>
    <row r="3338" x14ac:dyDescent="0.25">
      <c r="A3338" t="n">
        <v>25</v>
      </c>
      <c r="B3338" t="s">
        <v>14</v>
      </c>
      <c r="C3338" t="s">
        <v>51</v>
      </c>
      <c r="D3338" s="2" t="s">
        <f>=HYPERLINK("https://main.knesset.gov.il/APPS/legislation/main/bills/2215413", "הצעת חוק קביעת דרגת הקדימות לקבלת ילד למעון או למשפחתון בהתחשב בשירות מילואים, התשפ""ד-2024")</f>
        <v>7088</v>
      </c>
      <c r="E3338" t="s">
        <v>7088</v>
      </c>
      <c r="F3338" t="s">
        <v>7089</v>
      </c>
      <c r="G3338" t="s">
        <v>14</v>
      </c>
      <c r="H3338">
             </c>
      <c r="I3338" t="s">
        <v>14</v>
      </c>
      <c r="J3338" t="s">
        <v>242</v>
      </c>
      <c r="K3338" t="s">
        <v>14</v>
      </c>
      <c r="L3338" t="s">
        <v>20</v>
      </c>
      <c r="M3338" t="s">
        <v>7057</v>
      </c>
      <c r="N3338" t="s">
        <v>14</v>
      </c>
    </row>
    <row r="3339" x14ac:dyDescent="0.25">
      <c r="A3339" t="n">
        <v>25</v>
      </c>
      <c r="B3339" t="s">
        <v>14</v>
      </c>
      <c r="C3339" t="s">
        <v>51</v>
      </c>
      <c r="D3339" s="2" t="s">
        <f>=HYPERLINK("https://main.knesset.gov.il/APPS/legislation/main/bills/2215658", "הצעת חוק שירותי תשלום (תיקון - דיווח על ניצול כלכלי של אזרח ותיק או חסר ישע), התשפ""ד-2024")</f>
        <v>7090</v>
      </c>
      <c r="E3339" t="s">
        <v>7090</v>
      </c>
      <c r="F3339" t="s">
        <v>7091</v>
      </c>
      <c r="G3339" t="s">
        <v>14</v>
      </c>
      <c r="H3339">
             </c>
      <c r="I3339" t="s">
        <v>14</v>
      </c>
      <c r="J3339" t="s">
        <v>242</v>
      </c>
      <c r="K3339" t="s">
        <v>14</v>
      </c>
      <c r="L3339" t="s">
        <v>20</v>
      </c>
      <c r="M3339" t="s">
        <v>7057</v>
      </c>
      <c r="N3339" t="s">
        <v>14</v>
      </c>
    </row>
    <row r="3340" x14ac:dyDescent="0.25">
      <c r="A3340" t="n">
        <v>25</v>
      </c>
      <c r="B3340" t="s">
        <v>14</v>
      </c>
      <c r="C3340" t="s">
        <v>51</v>
      </c>
      <c r="D3340" s="2" t="s">
        <f>=HYPERLINK("https://main.knesset.gov.il/APPS/legislation/main/bills/2210033", "הצעת חוק בתי קברות צבאיים (תיקון - קבורה לסוהרים ולכבאים), התשפ""ד-2023")</f>
        <v>7092</v>
      </c>
      <c r="E3340" t="s">
        <v>7092</v>
      </c>
      <c r="F3340" t="s">
        <v>7093</v>
      </c>
      <c r="G3340" t="s">
        <v>14</v>
      </c>
      <c r="H3340">
             </c>
      <c r="I3340" t="s">
        <v>14</v>
      </c>
      <c r="J3340" t="s">
        <v>183</v>
      </c>
      <c r="K3340" t="s">
        <v>19</v>
      </c>
      <c r="L3340" t="s">
        <v>20</v>
      </c>
      <c r="M3340" t="s">
        <v>7094</v>
      </c>
      <c r="N3340" t="s">
        <v>14</v>
      </c>
    </row>
    <row r="3341" x14ac:dyDescent="0.25">
      <c r="A3341" t="n">
        <v>25</v>
      </c>
      <c r="B3341" t="s">
        <v>14</v>
      </c>
      <c r="C3341" t="s">
        <v>51</v>
      </c>
      <c r="D3341" s="2" t="s">
        <f>=HYPERLINK("https://main.knesset.gov.il/APPS/legislation/main/bills/2168215", "הצעת חוק לתיקון פקודת הראיות (מס' 20) (חיסיון קרימינולוג קליני), התשפ""ב–2022")</f>
        <v>7095</v>
      </c>
      <c r="E3341" t="s">
        <v>7095</v>
      </c>
      <c r="F3341" t="s">
        <v>7096</v>
      </c>
      <c r="G3341" t="s">
        <v>7097</v>
      </c>
      <c r="H3341">
             </c>
      <c r="I3341" t="s">
        <v>3504</v>
      </c>
      <c r="J3341" t="s">
        <v>38</v>
      </c>
      <c r="K3341" t="s">
        <v>27</v>
      </c>
      <c r="L3341" t="s">
        <v>20</v>
      </c>
      <c r="M3341" t="s">
        <v>7094</v>
      </c>
      <c r="N3341" t="s">
        <v>14</v>
      </c>
    </row>
    <row r="3342" x14ac:dyDescent="0.25">
      <c r="A3342" t="n">
        <v>25</v>
      </c>
      <c r="B3342" t="s">
        <v>14</v>
      </c>
      <c r="C3342" t="s">
        <v>51</v>
      </c>
      <c r="D3342" s="2" t="s">
        <f>=HYPERLINK("https://main.knesset.gov.il/APPS/legislation/main/bills/2214266", "הצעת חוק למניעת אלימות במשפחה (תיקון - מניעת אלימות כלכלית) (הוראת שעה), התשפ""ד-2024")</f>
        <v>7098</v>
      </c>
      <c r="E3342" t="s">
        <v>7098</v>
      </c>
      <c r="F3342" t="s">
        <v>7099</v>
      </c>
      <c r="G3342" t="s">
        <v>14</v>
      </c>
      <c r="H3342">
             </c>
      <c r="I3342" t="s">
        <v>14</v>
      </c>
      <c r="J3342" t="s">
        <v>202</v>
      </c>
      <c r="K3342" t="s">
        <v>14</v>
      </c>
      <c r="L3342" t="s">
        <v>20</v>
      </c>
      <c r="M3342" t="s">
        <v>7094</v>
      </c>
      <c r="N3342" t="s">
        <v>14</v>
      </c>
    </row>
    <row r="3343" x14ac:dyDescent="0.25">
      <c r="A3343" t="n">
        <v>25</v>
      </c>
      <c r="B3343" t="s">
        <v>14</v>
      </c>
      <c r="C3343" t="s">
        <v>51</v>
      </c>
      <c r="D3343" s="2" t="s">
        <f>=HYPERLINK("https://main.knesset.gov.il/APPS/legislation/main/bills/2212962", "הצעת חוק הנכים (תגמולים ושיקום) (תיקון - סיוע לבן משפחה של נכה עם הפרעה בתר-חבלתית), התשפ""ד-2024")</f>
        <v>7100</v>
      </c>
      <c r="E3343" t="s">
        <v>7100</v>
      </c>
      <c r="F3343" t="s">
        <v>7101</v>
      </c>
      <c r="G3343" t="s">
        <v>14</v>
      </c>
      <c r="H3343">
             </c>
      <c r="I3343" t="s">
        <v>14</v>
      </c>
      <c r="J3343" t="s">
        <v>193</v>
      </c>
      <c r="K3343" t="s">
        <v>14</v>
      </c>
      <c r="L3343" t="s">
        <v>20</v>
      </c>
      <c r="M3343" t="s">
        <v>7094</v>
      </c>
      <c r="N3343" t="s">
        <v>14</v>
      </c>
    </row>
    <row r="3344" x14ac:dyDescent="0.25">
      <c r="A3344" t="n">
        <v>25</v>
      </c>
      <c r="B3344" t="s">
        <v>14</v>
      </c>
      <c r="C3344" t="s">
        <v>51</v>
      </c>
      <c r="D3344" s="2" t="s">
        <f>=HYPERLINK("https://main.knesset.gov.il/APPS/legislation/main/bills/2213475", "הצעת חוק עובדים זרים (תיקון - הפחתת אגרה לעובדים בענף המלונאות), התשפ""ד-2024")</f>
        <v>7102</v>
      </c>
      <c r="E3344" t="s">
        <v>7102</v>
      </c>
      <c r="F3344" t="s">
        <v>7103</v>
      </c>
      <c r="G3344" t="s">
        <v>14</v>
      </c>
      <c r="H3344">
             </c>
      <c r="I3344" t="s">
        <v>14</v>
      </c>
      <c r="J3344" t="s">
        <v>202</v>
      </c>
      <c r="K3344" t="s">
        <v>14</v>
      </c>
      <c r="L3344" t="s">
        <v>20</v>
      </c>
      <c r="M3344" t="s">
        <v>7094</v>
      </c>
      <c r="N3344" t="s">
        <v>14</v>
      </c>
    </row>
    <row r="3345" x14ac:dyDescent="0.25">
      <c r="A3345" t="n">
        <v>25</v>
      </c>
      <c r="B3345" t="s">
        <v>14</v>
      </c>
      <c r="C3345" t="s">
        <v>51</v>
      </c>
      <c r="D3345" s="2" t="s">
        <f>=HYPERLINK("https://main.knesset.gov.il/APPS/legislation/main/bills/2212129", "הצעת חוק העונשין (תיקון - החמרת ענישה בעבירות ביזה) (הוראת שעה), התשפ""ד-2023")</f>
        <v>7104</v>
      </c>
      <c r="E3345" t="s">
        <v>7104</v>
      </c>
      <c r="F3345" t="s">
        <v>7105</v>
      </c>
      <c r="G3345" t="s">
        <v>14</v>
      </c>
      <c r="H3345">
             </c>
      <c r="I3345" t="s">
        <v>14</v>
      </c>
      <c r="J3345" t="s">
        <v>193</v>
      </c>
      <c r="K3345" t="s">
        <v>14</v>
      </c>
      <c r="L3345" t="s">
        <v>20</v>
      </c>
      <c r="M3345" t="s">
        <v>7094</v>
      </c>
      <c r="N3345" t="s">
        <v>14</v>
      </c>
    </row>
    <row r="3346" x14ac:dyDescent="0.25">
      <c r="A3346" t="n">
        <v>25</v>
      </c>
      <c r="B3346" t="s">
        <v>14</v>
      </c>
      <c r="C3346" t="s">
        <v>51</v>
      </c>
      <c r="D3346" s="2" t="s">
        <f>=HYPERLINK("https://main.knesset.gov.il/APPS/legislation/main/bills/2205673", "הצעת חוק שירות חובה לכול, התשפ""ג-2023")</f>
        <v>7106</v>
      </c>
      <c r="E3346" t="s">
        <v>7106</v>
      </c>
      <c r="F3346" t="s">
        <v>7107</v>
      </c>
      <c r="G3346" t="s">
        <v>14</v>
      </c>
      <c r="H3346">
             </c>
      <c r="I3346" t="s">
        <v>14</v>
      </c>
      <c r="J3346" t="s">
        <v>193</v>
      </c>
      <c r="K3346" t="s">
        <v>14</v>
      </c>
      <c r="L3346" t="s">
        <v>20</v>
      </c>
      <c r="M3346" t="s">
        <v>7094</v>
      </c>
      <c r="N3346" t="s">
        <v>14</v>
      </c>
    </row>
    <row r="3347" x14ac:dyDescent="0.25">
      <c r="A3347" t="n">
        <v>25</v>
      </c>
      <c r="B3347" t="s">
        <v>14</v>
      </c>
      <c r="C3347" t="s">
        <v>51</v>
      </c>
      <c r="D3347" s="2" t="s">
        <f>=HYPERLINK("https://main.knesset.gov.il/APPS/legislation/main/bills/2195999", "הצעת חוק למניעת אלימות במשפחה (תיקון - מניעת אלימות כלכלית), התשפ""ג-2022")</f>
        <v>7108</v>
      </c>
      <c r="E3347" t="s">
        <v>7108</v>
      </c>
      <c r="F3347" t="s">
        <v>7109</v>
      </c>
      <c r="G3347" t="s">
        <v>14</v>
      </c>
      <c r="H3347">
             </c>
      <c r="I3347" t="s">
        <v>14</v>
      </c>
      <c r="J3347" t="s">
        <v>202</v>
      </c>
      <c r="K3347" t="s">
        <v>14</v>
      </c>
      <c r="L3347" t="s">
        <v>20</v>
      </c>
      <c r="M3347" t="s">
        <v>7094</v>
      </c>
      <c r="N3347" t="s">
        <v>14</v>
      </c>
    </row>
    <row r="3348" x14ac:dyDescent="0.25">
      <c r="A3348" t="n">
        <v>25</v>
      </c>
      <c r="B3348" t="s">
        <v>14</v>
      </c>
      <c r="C3348" t="s">
        <v>51</v>
      </c>
      <c r="D3348" s="2" t="s">
        <f>=HYPERLINK("https://main.knesset.gov.il/APPS/legislation/main/bills/2197223", "חוק הסדרת העיסוק במקצועות הבריאות (תיקון מס' 9), התשפ""ד–2024")</f>
        <v>7110</v>
      </c>
      <c r="E3348" t="s">
        <v>7110</v>
      </c>
      <c r="F3348" t="s">
        <v>7111</v>
      </c>
      <c r="G3348" t="s">
        <v>7112</v>
      </c>
      <c r="H3348" t="n">
        <v>3172</v>
      </c>
      <c r="I3348" t="s">
        <v>14</v>
      </c>
      <c r="J3348" t="s">
        <v>18</v>
      </c>
      <c r="K3348" t="s">
        <v>361</v>
      </c>
      <c r="L3348" t="s">
        <v>20</v>
      </c>
      <c r="M3348" t="s">
        <v>7113</v>
      </c>
      <c r="N3348" t="s">
        <v>7114</v>
      </c>
    </row>
    <row r="3349" x14ac:dyDescent="0.25">
      <c r="A3349" t="n">
        <v>25</v>
      </c>
      <c r="B3349" t="s">
        <v>14</v>
      </c>
      <c r="C3349" t="s">
        <v>51</v>
      </c>
      <c r="D3349" s="2" t="s">
        <f>=HYPERLINK("https://main.knesset.gov.il/APPS/legislation/main/bills/2190321", "חוק הארכת השעיה של עובד המדינה ופיטורים של עובד הוראה לשם הגנה על קטין או חסר ישע (תיקוני חקיקה), התשפ""ד–2024")</f>
        <v>7115</v>
      </c>
      <c r="E3349" t="s">
        <v>7115</v>
      </c>
      <c r="F3349" t="s">
        <v>7116</v>
      </c>
      <c r="G3349" t="s">
        <v>7117</v>
      </c>
      <c r="H3349" t="n">
        <v>3171</v>
      </c>
      <c r="I3349" t="s">
        <v>14</v>
      </c>
      <c r="J3349" t="s">
        <v>18</v>
      </c>
      <c r="K3349" t="s">
        <v>79</v>
      </c>
      <c r="L3349" t="s">
        <v>20</v>
      </c>
      <c r="M3349" t="s">
        <v>7113</v>
      </c>
      <c r="N3349" t="s">
        <v>7118</v>
      </c>
    </row>
    <row r="3350" x14ac:dyDescent="0.25">
      <c r="A3350" t="n">
        <v>25</v>
      </c>
      <c r="B3350" t="s">
        <v>14</v>
      </c>
      <c r="C3350" t="s">
        <v>51</v>
      </c>
      <c r="D3350" s="2" t="s">
        <f>=HYPERLINK("https://main.knesset.gov.il/APPS/legislation/main/bills/2202783", "חוק פיקוח על בתי ספר (תיקון מס' 11), התשפ""ד–2024")</f>
        <v>7119</v>
      </c>
      <c r="E3350" t="s">
        <v>7119</v>
      </c>
      <c r="F3350" t="s">
        <v>7120</v>
      </c>
      <c r="G3350" t="s">
        <v>7121</v>
      </c>
      <c r="H3350" t="n">
        <v>3170</v>
      </c>
      <c r="I3350" t="s">
        <v>14</v>
      </c>
      <c r="J3350" t="s">
        <v>18</v>
      </c>
      <c r="K3350" t="s">
        <v>46</v>
      </c>
      <c r="L3350" t="s">
        <v>20</v>
      </c>
      <c r="M3350" t="s">
        <v>7113</v>
      </c>
      <c r="N3350" t="s">
        <v>7122</v>
      </c>
    </row>
    <row r="3351" x14ac:dyDescent="0.25">
      <c r="A3351" t="n">
        <v>25</v>
      </c>
      <c r="B3351" t="s">
        <v>14</v>
      </c>
      <c r="C3351" t="s">
        <v>51</v>
      </c>
      <c r="D3351" s="2" t="s">
        <f>=HYPERLINK("https://main.knesset.gov.il/APPS/legislation/main/bills/2213142", "הצעת חוק צער בעלי חיים (הגנה על בעלי חיים) (תיקון - איסור על זיווג ומכירה של כלבים וחתולים), התשפ״ד-2024")</f>
        <v>7123</v>
      </c>
      <c r="E3351" t="s">
        <v>7123</v>
      </c>
      <c r="F3351" t="s">
        <v>7124</v>
      </c>
      <c r="G3351" t="s">
        <v>14</v>
      </c>
      <c r="H3351">
             </c>
      <c r="I3351" t="s">
        <v>14</v>
      </c>
      <c r="J3351" t="s">
        <v>183</v>
      </c>
      <c r="K3351" t="s">
        <v>79</v>
      </c>
      <c r="L3351" t="s">
        <v>20</v>
      </c>
      <c r="M3351" t="s">
        <v>7125</v>
      </c>
      <c r="N3351" t="s">
        <v>14</v>
      </c>
    </row>
    <row r="3352" x14ac:dyDescent="0.25">
      <c r="A3352" t="n">
        <v>25</v>
      </c>
      <c r="B3352" t="s">
        <v>14</v>
      </c>
      <c r="C3352" t="s">
        <v>15</v>
      </c>
      <c r="D3352" s="2" t="s">
        <f>=HYPERLINK("https://main.knesset.gov.il/APPS/legislation/main/bills/2215127", "חוק התקנים (תיקון מס' 18), התשפ""ד–2024")</f>
        <v>7126</v>
      </c>
      <c r="E3352" t="s">
        <v>7126</v>
      </c>
      <c r="F3352" t="s">
        <v>14</v>
      </c>
      <c r="G3352" t="s">
        <v>7042</v>
      </c>
      <c r="H3352" t="n">
        <v>3169</v>
      </c>
      <c r="I3352" t="s">
        <v>14</v>
      </c>
      <c r="J3352" t="s">
        <v>18</v>
      </c>
      <c r="K3352" t="s">
        <v>84</v>
      </c>
      <c r="L3352" t="s">
        <v>20</v>
      </c>
      <c r="M3352" t="s">
        <v>7125</v>
      </c>
      <c r="N3352" t="s">
        <v>7127</v>
      </c>
    </row>
    <row r="3353" x14ac:dyDescent="0.25">
      <c r="A3353" t="n">
        <v>25</v>
      </c>
      <c r="B3353" t="s">
        <v>14</v>
      </c>
      <c r="C3353" t="s">
        <v>51</v>
      </c>
      <c r="D3353" s="2" t="s">
        <f>=HYPERLINK("https://main.knesset.gov.il/APPS/legislation/main/bills/2215410", "הצעת חוק שירות ביטחון (תיקון - שילוב גברים תלמידי ישיבות), התשפ""ד-2024")</f>
        <v>7128</v>
      </c>
      <c r="E3353" t="s">
        <v>7128</v>
      </c>
      <c r="F3353" t="s">
        <v>7129</v>
      </c>
      <c r="G3353" t="s">
        <v>14</v>
      </c>
      <c r="H3353">
             </c>
      <c r="I3353" t="s">
        <v>14</v>
      </c>
      <c r="J3353" t="s">
        <v>242</v>
      </c>
      <c r="K3353" t="s">
        <v>14</v>
      </c>
      <c r="L3353" t="s">
        <v>20</v>
      </c>
      <c r="M3353" t="s">
        <v>7125</v>
      </c>
      <c r="N3353" t="s">
        <v>14</v>
      </c>
    </row>
    <row r="3354" x14ac:dyDescent="0.25">
      <c r="A3354" t="n">
        <v>25</v>
      </c>
      <c r="B3354" t="s">
        <v>14</v>
      </c>
      <c r="C3354" t="s">
        <v>51</v>
      </c>
      <c r="D3354" s="2" t="s">
        <f>=HYPERLINK("https://main.knesset.gov.il/APPS/legislation/main/bills/2213789", "הצעת חוק הביטוח הלאומי (תיקון - דמי קיום לעצמאי יחיד) (הוראת שעה - חרבות ברזל), התשפ""ד-2024")</f>
        <v>7130</v>
      </c>
      <c r="E3354" t="s">
        <v>7130</v>
      </c>
      <c r="F3354" t="s">
        <v>7131</v>
      </c>
      <c r="G3354" t="s">
        <v>14</v>
      </c>
      <c r="H3354">
             </c>
      <c r="I3354" t="s">
        <v>14</v>
      </c>
      <c r="J3354" t="s">
        <v>242</v>
      </c>
      <c r="K3354" t="s">
        <v>14</v>
      </c>
      <c r="L3354" t="s">
        <v>20</v>
      </c>
      <c r="M3354" t="s">
        <v>7125</v>
      </c>
      <c r="N3354" t="s">
        <v>14</v>
      </c>
    </row>
    <row r="3355" x14ac:dyDescent="0.25">
      <c r="A3355" t="n">
        <v>25</v>
      </c>
      <c r="B3355" t="s">
        <v>14</v>
      </c>
      <c r="C3355" t="s">
        <v>51</v>
      </c>
      <c r="D3355" s="2" t="s">
        <f>=HYPERLINK("https://main.knesset.gov.il/APPS/legislation/main/bills/2215754", "הצעת חוק-יסוד: פרס ישראל")</f>
        <v>7132</v>
      </c>
      <c r="E3355" t="s">
        <v>7132</v>
      </c>
      <c r="F3355" t="s">
        <v>7133</v>
      </c>
      <c r="G3355" t="s">
        <v>14</v>
      </c>
      <c r="H3355">
             </c>
      <c r="I3355" t="s">
        <v>14</v>
      </c>
      <c r="J3355" t="s">
        <v>242</v>
      </c>
      <c r="K3355" t="s">
        <v>14</v>
      </c>
      <c r="L3355" t="s">
        <v>20</v>
      </c>
      <c r="M3355" t="s">
        <v>7125</v>
      </c>
      <c r="N3355" t="s">
        <v>14</v>
      </c>
    </row>
    <row r="3356" x14ac:dyDescent="0.25">
      <c r="A3356" t="n">
        <v>25</v>
      </c>
      <c r="B3356" t="s">
        <v>14</v>
      </c>
      <c r="C3356" t="s">
        <v>51</v>
      </c>
      <c r="D3356" s="2" t="s">
        <f>=HYPERLINK("https://main.knesset.gov.il/APPS/legislation/main/bills/2215100", "הצעת חוק חדלות פירעון ושיקום כלכלי (תיקון - הפטר לאלתר לחייב יחיד מעבר לגיל פרישה), התשפ""ד-2024")</f>
        <v>7134</v>
      </c>
      <c r="E3356" t="s">
        <v>7134</v>
      </c>
      <c r="F3356" t="s">
        <v>7135</v>
      </c>
      <c r="G3356" t="s">
        <v>14</v>
      </c>
      <c r="H3356">
             </c>
      <c r="I3356" t="s">
        <v>14</v>
      </c>
      <c r="J3356" t="s">
        <v>202</v>
      </c>
      <c r="K3356" t="s">
        <v>14</v>
      </c>
      <c r="L3356" t="s">
        <v>20</v>
      </c>
      <c r="M3356" t="s">
        <v>7125</v>
      </c>
      <c r="N3356" t="s">
        <v>14</v>
      </c>
    </row>
    <row r="3357" x14ac:dyDescent="0.25">
      <c r="A3357" t="n">
        <v>25</v>
      </c>
      <c r="B3357" t="s">
        <v>14</v>
      </c>
      <c r="C3357" t="s">
        <v>51</v>
      </c>
      <c r="D3357" s="2" t="s">
        <f>=HYPERLINK("https://main.knesset.gov.il/APPS/legislation/main/bills/2215039", "הצעת חוק שירות אזרחי (תיקון - ארגונים מפעילים), התשפ""ד-2024 ")</f>
        <v>7136</v>
      </c>
      <c r="E3357" t="s">
        <v>7136</v>
      </c>
      <c r="F3357" t="s">
        <v>7137</v>
      </c>
      <c r="G3357" t="s">
        <v>14</v>
      </c>
      <c r="H3357">
             </c>
      <c r="I3357" t="s">
        <v>14</v>
      </c>
      <c r="J3357" t="s">
        <v>242</v>
      </c>
      <c r="K3357" t="s">
        <v>14</v>
      </c>
      <c r="L3357" t="s">
        <v>20</v>
      </c>
      <c r="M3357" t="s">
        <v>7125</v>
      </c>
      <c r="N3357" t="s">
        <v>14</v>
      </c>
    </row>
    <row r="3358" x14ac:dyDescent="0.25">
      <c r="A3358" t="n">
        <v>25</v>
      </c>
      <c r="B3358" t="s">
        <v>14</v>
      </c>
      <c r="C3358" t="s">
        <v>51</v>
      </c>
      <c r="D3358" s="2" t="s">
        <f>=HYPERLINK("https://main.knesset.gov.il/APPS/legislation/main/bills/2215196", "הצעת חוק הפיקוח על מעונות יום לפעוטות (תיקון - סמכות משרד החינוך), התשפ""ד-2024")</f>
        <v>6013</v>
      </c>
      <c r="E3358" t="s">
        <v>6013</v>
      </c>
      <c r="F3358" t="s">
        <v>7138</v>
      </c>
      <c r="G3358" t="s">
        <v>14</v>
      </c>
      <c r="H3358">
             </c>
      <c r="I3358" t="s">
        <v>14</v>
      </c>
      <c r="J3358" t="s">
        <v>242</v>
      </c>
      <c r="K3358" t="s">
        <v>14</v>
      </c>
      <c r="L3358" t="s">
        <v>20</v>
      </c>
      <c r="M3358" t="s">
        <v>7125</v>
      </c>
      <c r="N3358" t="s">
        <v>14</v>
      </c>
    </row>
    <row r="3359" x14ac:dyDescent="0.25">
      <c r="A3359" t="n">
        <v>25</v>
      </c>
      <c r="B3359" t="s">
        <v>14</v>
      </c>
      <c r="C3359" t="s">
        <v>51</v>
      </c>
      <c r="D3359" s="2" t="s">
        <f>=HYPERLINK("https://main.knesset.gov.il/APPS/legislation/main/bills/2215360", "הצעת חוק לתיקון פקודת העיריות (הוספת ועדה לטיפול בתופעת המסתננים והשוהים הבלתי חוקיים), התשפ""ד-2024 ")</f>
        <v>7139</v>
      </c>
      <c r="E3359" t="s">
        <v>7139</v>
      </c>
      <c r="F3359" t="s">
        <v>7140</v>
      </c>
      <c r="G3359" t="s">
        <v>14</v>
      </c>
      <c r="H3359">
             </c>
      <c r="I3359" t="s">
        <v>14</v>
      </c>
      <c r="J3359" t="s">
        <v>242</v>
      </c>
      <c r="K3359" t="s">
        <v>14</v>
      </c>
      <c r="L3359" t="s">
        <v>20</v>
      </c>
      <c r="M3359" t="s">
        <v>7125</v>
      </c>
      <c r="N3359" t="s">
        <v>14</v>
      </c>
    </row>
    <row r="3360" x14ac:dyDescent="0.25">
      <c r="A3360" t="n">
        <v>25</v>
      </c>
      <c r="B3360" t="s">
        <v>14</v>
      </c>
      <c r="C3360" t="s">
        <v>51</v>
      </c>
      <c r="D3360" s="2" t="s">
        <f>=HYPERLINK("https://main.knesset.gov.il/APPS/legislation/main/bills/2215756", "הצעת חוק התניית יום שבתון בהצבעה בבחירות (תיקוני חקיקה), התשפ""ד-2024")</f>
        <v>7141</v>
      </c>
      <c r="E3360" t="s">
        <v>7141</v>
      </c>
      <c r="F3360" t="s">
        <v>7142</v>
      </c>
      <c r="G3360" t="s">
        <v>14</v>
      </c>
      <c r="H3360">
             </c>
      <c r="I3360" t="s">
        <v>14</v>
      </c>
      <c r="J3360" t="s">
        <v>242</v>
      </c>
      <c r="K3360" t="s">
        <v>14</v>
      </c>
      <c r="L3360" t="s">
        <v>20</v>
      </c>
      <c r="M3360" t="s">
        <v>7125</v>
      </c>
      <c r="N3360" t="s">
        <v>14</v>
      </c>
    </row>
    <row r="3361" x14ac:dyDescent="0.25">
      <c r="A3361" t="n">
        <v>25</v>
      </c>
      <c r="B3361" t="s">
        <v>14</v>
      </c>
      <c r="C3361" t="s">
        <v>51</v>
      </c>
      <c r="D3361" s="2" t="s">
        <f>=HYPERLINK("https://main.knesset.gov.il/APPS/legislation/main/bills/2215363", "הצעת חוק לתיקון פקודת העיריות (ועדה לקליטת עלייה), התשפ""ד-2024 ")</f>
        <v>7143</v>
      </c>
      <c r="E3361" t="s">
        <v>7143</v>
      </c>
      <c r="F3361" t="s">
        <v>7144</v>
      </c>
      <c r="G3361" t="s">
        <v>14</v>
      </c>
      <c r="H3361">
             </c>
      <c r="I3361" t="s">
        <v>14</v>
      </c>
      <c r="J3361" t="s">
        <v>242</v>
      </c>
      <c r="K3361" t="s">
        <v>14</v>
      </c>
      <c r="L3361" t="s">
        <v>20</v>
      </c>
      <c r="M3361" t="s">
        <v>7125</v>
      </c>
      <c r="N3361" t="s">
        <v>14</v>
      </c>
    </row>
    <row r="3362" x14ac:dyDescent="0.25">
      <c r="A3362" t="n">
        <v>25</v>
      </c>
      <c r="B3362" t="s">
        <v>14</v>
      </c>
      <c r="C3362" t="s">
        <v>51</v>
      </c>
      <c r="D3362" s="2" t="s">
        <f>=HYPERLINK("https://main.knesset.gov.il/APPS/legislation/main/bills/2215236", "הצעת חוק עבודת נשים (תיקון - תקופת לידה והורות למשפחת אומנה), התשפ""ד-2024")</f>
        <v>7145</v>
      </c>
      <c r="E3362" t="s">
        <v>7145</v>
      </c>
      <c r="F3362" t="s">
        <v>7146</v>
      </c>
      <c r="G3362" t="s">
        <v>14</v>
      </c>
      <c r="H3362">
             </c>
      <c r="I3362" t="s">
        <v>14</v>
      </c>
      <c r="J3362" t="s">
        <v>242</v>
      </c>
      <c r="K3362" t="s">
        <v>14</v>
      </c>
      <c r="L3362" t="s">
        <v>20</v>
      </c>
      <c r="M3362" t="s">
        <v>7125</v>
      </c>
      <c r="N3362" t="s">
        <v>14</v>
      </c>
    </row>
    <row r="3363" x14ac:dyDescent="0.25">
      <c r="A3363" t="n">
        <v>25</v>
      </c>
      <c r="B3363" t="s">
        <v>14</v>
      </c>
      <c r="C3363" t="s">
        <v>51</v>
      </c>
      <c r="D3363" s="2" t="s">
        <f>=HYPERLINK("https://main.knesset.gov.il/APPS/legislation/main/bills/2213070", "הצעת חוק מס קנייה (טובין ושירותים) (תיקון - שיעור המס על רכב חשמלי), התשפ""ד-2024")</f>
        <v>7147</v>
      </c>
      <c r="E3363" t="s">
        <v>7147</v>
      </c>
      <c r="F3363" t="s">
        <v>7148</v>
      </c>
      <c r="G3363" t="s">
        <v>14</v>
      </c>
      <c r="H3363">
             </c>
      <c r="I3363" t="s">
        <v>14</v>
      </c>
      <c r="J3363" t="s">
        <v>242</v>
      </c>
      <c r="K3363" t="s">
        <v>14</v>
      </c>
      <c r="L3363" t="s">
        <v>20</v>
      </c>
      <c r="M3363" t="s">
        <v>7125</v>
      </c>
      <c r="N3363" t="s">
        <v>14</v>
      </c>
    </row>
    <row r="3364" x14ac:dyDescent="0.25">
      <c r="A3364" t="n">
        <v>25</v>
      </c>
      <c r="B3364" t="s">
        <v>14</v>
      </c>
      <c r="C3364" t="s">
        <v>51</v>
      </c>
      <c r="D3364" s="2" t="s">
        <f>=HYPERLINK("https://main.knesset.gov.il/APPS/legislation/main/bills/2215104", "הצעת חוק הרשויות המקומיות (הגבלת הזכות להיבחר) (תיקון - חברי כנסת, שרים וסגני שרים), התשפ""ד-2024")</f>
        <v>7149</v>
      </c>
      <c r="E3364" t="s">
        <v>7149</v>
      </c>
      <c r="F3364" t="s">
        <v>7150</v>
      </c>
      <c r="G3364" t="s">
        <v>14</v>
      </c>
      <c r="H3364">
             </c>
      <c r="I3364" t="s">
        <v>14</v>
      </c>
      <c r="J3364" t="s">
        <v>242</v>
      </c>
      <c r="K3364" t="s">
        <v>14</v>
      </c>
      <c r="L3364" t="s">
        <v>20</v>
      </c>
      <c r="M3364" t="s">
        <v>7125</v>
      </c>
      <c r="N3364" t="s">
        <v>14</v>
      </c>
    </row>
    <row r="3365" x14ac:dyDescent="0.25">
      <c r="A3365" t="n">
        <v>25</v>
      </c>
      <c r="B3365" t="s">
        <v>14</v>
      </c>
      <c r="C3365" t="s">
        <v>51</v>
      </c>
      <c r="D3365" s="2" t="s">
        <f>=HYPERLINK("https://main.knesset.gov.il/APPS/legislation/main/bills/2213904", "הצעת חוק הביטוח הלאומי (תיקון - שיפוי מעסיקים על הפרשות פנסיוניות בעד עובדות בתקופת לידה והורות או בשמירת היריון), התשפ""ד-2024")</f>
        <v>7151</v>
      </c>
      <c r="E3365" t="s">
        <v>7151</v>
      </c>
      <c r="F3365" t="s">
        <v>7152</v>
      </c>
      <c r="G3365" t="s">
        <v>14</v>
      </c>
      <c r="H3365">
             </c>
      <c r="I3365" t="s">
        <v>14</v>
      </c>
      <c r="J3365" t="s">
        <v>242</v>
      </c>
      <c r="K3365" t="s">
        <v>14</v>
      </c>
      <c r="L3365" t="s">
        <v>20</v>
      </c>
      <c r="M3365" t="s">
        <v>7125</v>
      </c>
      <c r="N3365" t="s">
        <v>14</v>
      </c>
    </row>
    <row r="3366" x14ac:dyDescent="0.25">
      <c r="A3366" t="n">
        <v>25</v>
      </c>
      <c r="B3366" t="s">
        <v>14</v>
      </c>
      <c r="C3366" t="s">
        <v>51</v>
      </c>
      <c r="D3366" s="2" t="s">
        <f>=HYPERLINK("https://main.knesset.gov.il/APPS/legislation/main/bills/2214667", "הצעת חוק הגבלת מכירה של קנביס רפואי בסביבת בתי ספר, התשפ""ד-2024")</f>
        <v>7153</v>
      </c>
      <c r="E3366" t="s">
        <v>7153</v>
      </c>
      <c r="F3366" t="s">
        <v>7154</v>
      </c>
      <c r="G3366" t="s">
        <v>14</v>
      </c>
      <c r="H3366">
             </c>
      <c r="I3366" t="s">
        <v>14</v>
      </c>
      <c r="J3366" t="s">
        <v>202</v>
      </c>
      <c r="K3366" t="s">
        <v>14</v>
      </c>
      <c r="L3366" t="s">
        <v>20</v>
      </c>
      <c r="M3366" t="s">
        <v>7125</v>
      </c>
      <c r="N3366" t="s">
        <v>14</v>
      </c>
    </row>
    <row r="3367" x14ac:dyDescent="0.25">
      <c r="A3367" t="n">
        <v>25</v>
      </c>
      <c r="B3367" t="s">
        <v>14</v>
      </c>
      <c r="C3367" t="s">
        <v>51</v>
      </c>
      <c r="D3367" s="2" t="s">
        <f>=HYPERLINK("https://main.knesset.gov.il/APPS/legislation/main/bills/2212656", "הצעת חוק מגבלות על חזרתו של עבריין טרור לסביבת נפגע עבירה, התשפ""ד-2024")</f>
        <v>7155</v>
      </c>
      <c r="E3367" t="s">
        <v>7155</v>
      </c>
      <c r="F3367" t="s">
        <v>7156</v>
      </c>
      <c r="G3367" t="s">
        <v>14</v>
      </c>
      <c r="H3367">
             </c>
      <c r="I3367" t="s">
        <v>14</v>
      </c>
      <c r="J3367" t="s">
        <v>183</v>
      </c>
      <c r="K3367" t="s">
        <v>19</v>
      </c>
      <c r="L3367" t="s">
        <v>20</v>
      </c>
      <c r="M3367" t="s">
        <v>7125</v>
      </c>
      <c r="N3367" t="s">
        <v>14</v>
      </c>
    </row>
    <row r="3368" x14ac:dyDescent="0.25">
      <c r="A3368" t="n">
        <v>25</v>
      </c>
      <c r="B3368" t="s">
        <v>14</v>
      </c>
      <c r="C3368" t="s">
        <v>51</v>
      </c>
      <c r="D3368" s="2" t="s">
        <f>=HYPERLINK("https://main.knesset.gov.il/APPS/legislation/main/bills/2212133", "הצעת חוק מגבלות על חזרתו של מורשע במעשה טרור לסביבת נפגע העבירה, התשפ""ד-2023")</f>
        <v>7157</v>
      </c>
      <c r="E3368" t="s">
        <v>7157</v>
      </c>
      <c r="F3368" t="s">
        <v>7158</v>
      </c>
      <c r="G3368" t="s">
        <v>14</v>
      </c>
      <c r="H3368">
             </c>
      <c r="I3368" t="s">
        <v>14</v>
      </c>
      <c r="J3368" t="s">
        <v>183</v>
      </c>
      <c r="K3368" t="s">
        <v>19</v>
      </c>
      <c r="L3368" t="s">
        <v>20</v>
      </c>
      <c r="M3368" t="s">
        <v>7125</v>
      </c>
      <c r="N3368" t="s">
        <v>14</v>
      </c>
    </row>
    <row r="3369" x14ac:dyDescent="0.25">
      <c r="A3369" t="n">
        <v>25</v>
      </c>
      <c r="B3369" t="s">
        <v>14</v>
      </c>
      <c r="C3369" t="s">
        <v>15</v>
      </c>
      <c r="D3369" s="2" t="s">
        <f>=HYPERLINK("https://main.knesset.gov.il/APPS/legislation/main/bills/2214427", "חוק שירות ביטחון (תיקון מס' 26 – הוראת שעה – חרבות ברזל), התשפ""ד-2024")</f>
        <v>7159</v>
      </c>
      <c r="E3369" t="s">
        <v>7159</v>
      </c>
      <c r="F3369" t="s">
        <v>14</v>
      </c>
      <c r="G3369" t="s">
        <v>7160</v>
      </c>
      <c r="H3369" t="n">
        <v>3167</v>
      </c>
      <c r="I3369" t="s">
        <v>14</v>
      </c>
      <c r="J3369" t="s">
        <v>18</v>
      </c>
      <c r="K3369" t="s">
        <v>39</v>
      </c>
      <c r="L3369" t="s">
        <v>20</v>
      </c>
      <c r="M3369" t="s">
        <v>7161</v>
      </c>
      <c r="N3369" t="s">
        <v>7162</v>
      </c>
    </row>
    <row r="3370" x14ac:dyDescent="0.25">
      <c r="A3370" t="n">
        <v>25</v>
      </c>
      <c r="B3370" t="s">
        <v>14</v>
      </c>
      <c r="C3370" t="s">
        <v>15</v>
      </c>
      <c r="D3370" s="2" t="s">
        <f>=HYPERLINK("https://main.knesset.gov.il/APPS/legislation/main/bills/2215701", "חוק הסכמים קיבוציים (תיקון מס' 11 - הוראת שעה - חרבות ברזל) (הוראות מיוחדות לעניין הרחבת הסכם קיבוצי כללי שנעשה בשל פעולות האיבה או פעולות המלחמה), התשפ""ד-2024")</f>
        <v>7163</v>
      </c>
      <c r="E3370" t="s">
        <v>7163</v>
      </c>
      <c r="F3370" t="s">
        <v>14</v>
      </c>
      <c r="G3370" t="s">
        <v>7164</v>
      </c>
      <c r="H3370" t="n">
        <v>3166</v>
      </c>
      <c r="I3370" t="s">
        <v>14</v>
      </c>
      <c r="J3370" t="s">
        <v>18</v>
      </c>
      <c r="K3370" t="s">
        <v>46</v>
      </c>
      <c r="L3370" t="s">
        <v>20</v>
      </c>
      <c r="M3370" t="s">
        <v>7161</v>
      </c>
      <c r="N3370" t="s">
        <v>7165</v>
      </c>
    </row>
    <row r="3371" x14ac:dyDescent="0.25">
      <c r="A3371" t="n">
        <v>25</v>
      </c>
      <c r="B3371" t="s">
        <v>14</v>
      </c>
      <c r="C3371" t="s">
        <v>51</v>
      </c>
      <c r="D3371" s="2" t="s">
        <f>=HYPERLINK("https://main.knesset.gov.il/APPS/legislation/main/bills/2212352", "הצעת חוק לשכת עורכי הדין (תיקון - התמחות ומבחני הסמכה) (הוראת שעה - חרבות ברזל), התשפ""ד-2023")</f>
        <v>7166</v>
      </c>
      <c r="E3371" t="s">
        <v>7166</v>
      </c>
      <c r="F3371" t="s">
        <v>7167</v>
      </c>
      <c r="G3371" t="s">
        <v>14</v>
      </c>
      <c r="H3371">
             </c>
      <c r="I3371" t="s">
        <v>14</v>
      </c>
      <c r="J3371" t="s">
        <v>152</v>
      </c>
      <c r="K3371" t="s">
        <v>27</v>
      </c>
      <c r="L3371" t="s">
        <v>20</v>
      </c>
      <c r="M3371" t="s">
        <v>7161</v>
      </c>
      <c r="N3371" t="s">
        <v>14</v>
      </c>
    </row>
    <row r="3372" x14ac:dyDescent="0.25">
      <c r="A3372" t="n">
        <v>25</v>
      </c>
      <c r="B3372" t="s">
        <v>14</v>
      </c>
      <c r="C3372" t="s">
        <v>15</v>
      </c>
      <c r="D3372" s="2" t="s">
        <f>=HYPERLINK("https://main.knesset.gov.il/APPS/legislation/main/bills/2209987", "חוק לתיקון פקודת בריאות העם (מס' 41), התשפ""ד-2024")</f>
        <v>7168</v>
      </c>
      <c r="E3372" t="s">
        <v>7168</v>
      </c>
      <c r="F3372" t="s">
        <v>14</v>
      </c>
      <c r="G3372" t="s">
        <v>7169</v>
      </c>
      <c r="H3372" t="n">
        <v>3168</v>
      </c>
      <c r="I3372" t="s">
        <v>14</v>
      </c>
      <c r="J3372" t="s">
        <v>18</v>
      </c>
      <c r="K3372" t="s">
        <v>361</v>
      </c>
      <c r="L3372" t="s">
        <v>20</v>
      </c>
      <c r="M3372" t="s">
        <v>7161</v>
      </c>
      <c r="N3372" t="s">
        <v>7170</v>
      </c>
    </row>
    <row r="3373" x14ac:dyDescent="0.25">
      <c r="A3373" t="n">
        <v>25</v>
      </c>
      <c r="B3373" t="s">
        <v>14</v>
      </c>
      <c r="C3373" t="s">
        <v>51</v>
      </c>
      <c r="D3373" s="2" t="s">
        <f>=HYPERLINK("https://main.knesset.gov.il/APPS/legislation/main/bills/2202420", "הצעת חוק אוויר נקי (תיקון - איסור שימוש בתנורים המוסקים בדלק מוצק), התשפ""ג-2023")</f>
        <v>7171</v>
      </c>
      <c r="E3373" t="s">
        <v>7171</v>
      </c>
      <c r="F3373" t="s">
        <v>7172</v>
      </c>
      <c r="G3373" t="s">
        <v>14</v>
      </c>
      <c r="H3373">
             </c>
      <c r="I3373" t="s">
        <v>14</v>
      </c>
      <c r="J3373" t="s">
        <v>202</v>
      </c>
      <c r="K3373" t="s">
        <v>14</v>
      </c>
      <c r="L3373" t="s">
        <v>20</v>
      </c>
      <c r="M3373" t="s">
        <v>7161</v>
      </c>
      <c r="N3373" t="s">
        <v>14</v>
      </c>
    </row>
    <row r="3374" x14ac:dyDescent="0.25">
      <c r="A3374" t="n">
        <v>25</v>
      </c>
      <c r="B3374" t="s">
        <v>14</v>
      </c>
      <c r="C3374" t="s">
        <v>51</v>
      </c>
      <c r="D3374" s="2" t="s">
        <f>=HYPERLINK("https://main.knesset.gov.il/APPS/legislation/main/bills/2200574", "הצעת חוק המאבק בטרור (תיקון - אי-החזרת גופות מחבלים), התשפ""ג-2023")</f>
        <v>5031</v>
      </c>
      <c r="E3374" t="s">
        <v>5031</v>
      </c>
      <c r="F3374" t="s">
        <v>7173</v>
      </c>
      <c r="G3374" t="s">
        <v>14</v>
      </c>
      <c r="H3374">
             </c>
      <c r="I3374" t="s">
        <v>14</v>
      </c>
      <c r="J3374" t="s">
        <v>152</v>
      </c>
      <c r="K3374" t="s">
        <v>39</v>
      </c>
      <c r="L3374" t="s">
        <v>20</v>
      </c>
      <c r="M3374" t="s">
        <v>7174</v>
      </c>
      <c r="N3374" t="s">
        <v>14</v>
      </c>
    </row>
    <row r="3375" x14ac:dyDescent="0.25">
      <c r="A3375" t="n">
        <v>25</v>
      </c>
      <c r="B3375" t="s">
        <v>14</v>
      </c>
      <c r="C3375" t="s">
        <v>51</v>
      </c>
      <c r="D3375" s="2" t="s">
        <f>=HYPERLINK("https://main.knesset.gov.il/APPS/legislation/main/bills/2198919", "הצעת חוק המאבק בטרור (תיקון - איסור החזרת גופות מחבלים), התשפ""ג-2023")</f>
        <v>7175</v>
      </c>
      <c r="E3375" t="s">
        <v>7175</v>
      </c>
      <c r="F3375" t="s">
        <v>7176</v>
      </c>
      <c r="G3375" t="s">
        <v>14</v>
      </c>
      <c r="H3375">
             </c>
      <c r="I3375" t="s">
        <v>14</v>
      </c>
      <c r="J3375" t="s">
        <v>152</v>
      </c>
      <c r="K3375" t="s">
        <v>39</v>
      </c>
      <c r="L3375" t="s">
        <v>20</v>
      </c>
      <c r="M3375" t="s">
        <v>7174</v>
      </c>
      <c r="N3375" t="s">
        <v>14</v>
      </c>
    </row>
    <row r="3376" x14ac:dyDescent="0.25">
      <c r="A3376" t="n">
        <v>25</v>
      </c>
      <c r="B3376" t="s">
        <v>14</v>
      </c>
      <c r="C3376" t="s">
        <v>15</v>
      </c>
      <c r="D3376" s="2" t="s">
        <f>=HYPERLINK("https://main.knesset.gov.il/APPS/legislation/main/bills/2213429", "חוק זכויות הדייר בדיור הציבורי (הוראת שעה – חרבות ברזל) (דייר ממשיך מיוחד), התשפ""ד-2024")</f>
        <v>7177</v>
      </c>
      <c r="E3376" t="s">
        <v>7177</v>
      </c>
      <c r="F3376" t="s">
        <v>14</v>
      </c>
      <c r="G3376" t="s">
        <v>7178</v>
      </c>
      <c r="H3376" t="n">
        <v>3165</v>
      </c>
      <c r="I3376" t="s">
        <v>14</v>
      </c>
      <c r="J3376" t="s">
        <v>18</v>
      </c>
      <c r="K3376" t="s">
        <v>30</v>
      </c>
      <c r="L3376" t="s">
        <v>20</v>
      </c>
      <c r="M3376" t="s">
        <v>7174</v>
      </c>
      <c r="N3376" t="s">
        <v>7179</v>
      </c>
    </row>
    <row r="3377" x14ac:dyDescent="0.25">
      <c r="A3377" t="n">
        <v>25</v>
      </c>
      <c r="B3377" t="s">
        <v>14</v>
      </c>
      <c r="C3377" t="s">
        <v>15</v>
      </c>
      <c r="D3377" s="2" t="s">
        <f>=HYPERLINK("https://main.knesset.gov.il/APPS/legislation/main/bills/2212125", "חוק התוכנית הכלכלית (תיקוני חקיקה ליישום המדיניות הכלכלית לשנות התקציב 2023 ו-2024) (תיקון), התשפ""ד-2024")</f>
        <v>7180</v>
      </c>
      <c r="E3377" t="s">
        <v>7180</v>
      </c>
      <c r="F3377" t="s">
        <v>14</v>
      </c>
      <c r="G3377" t="s">
        <v>7181</v>
      </c>
      <c r="H3377" t="n">
        <v>3164</v>
      </c>
      <c r="I3377" t="s">
        <v>14</v>
      </c>
      <c r="J3377" t="s">
        <v>18</v>
      </c>
      <c r="K3377" t="s">
        <v>84</v>
      </c>
      <c r="L3377" t="s">
        <v>20</v>
      </c>
      <c r="M3377" t="s">
        <v>7174</v>
      </c>
      <c r="N3377" t="s">
        <v>7182</v>
      </c>
    </row>
    <row r="3378" x14ac:dyDescent="0.25">
      <c r="A3378" t="n">
        <v>25</v>
      </c>
      <c r="B3378" t="s">
        <v>14</v>
      </c>
      <c r="C3378" t="s">
        <v>51</v>
      </c>
      <c r="D3378" s="2" t="s">
        <f>=HYPERLINK("https://main.knesset.gov.il/APPS/legislation/main/bills/2213233", "הצעת חוק משפחות חיילים שנספו במערכה (תגמולים ושיקום) (תיקון - העלאת סכום הסיוע למימון שיעורי נהיגה), התשפ""ד-2024")</f>
        <v>7183</v>
      </c>
      <c r="E3378" t="s">
        <v>7183</v>
      </c>
      <c r="F3378" t="s">
        <v>7184</v>
      </c>
      <c r="G3378" t="s">
        <v>14</v>
      </c>
      <c r="H3378">
             </c>
      <c r="I3378" t="s">
        <v>14</v>
      </c>
      <c r="J3378" t="s">
        <v>242</v>
      </c>
      <c r="K3378" t="s">
        <v>14</v>
      </c>
      <c r="L3378" t="s">
        <v>20</v>
      </c>
      <c r="M3378" t="s">
        <v>7174</v>
      </c>
      <c r="N3378" t="s">
        <v>14</v>
      </c>
    </row>
    <row r="3379" x14ac:dyDescent="0.25">
      <c r="A3379" t="n">
        <v>25</v>
      </c>
      <c r="B3379" t="s">
        <v>14</v>
      </c>
      <c r="C3379" t="s">
        <v>51</v>
      </c>
      <c r="D3379" s="2" t="s">
        <f>=HYPERLINK("https://main.knesset.gov.il/APPS/legislation/main/bills/2214944", "הצעת חוק התכנון והבנייה (תיקון - פטור מהיטל השבחה עבור מיתקני אגירה), התשפ""ד-2024")</f>
        <v>7185</v>
      </c>
      <c r="E3379" t="s">
        <v>7185</v>
      </c>
      <c r="F3379" t="s">
        <v>7186</v>
      </c>
      <c r="G3379" t="s">
        <v>14</v>
      </c>
      <c r="H3379">
             </c>
      <c r="I3379" t="s">
        <v>14</v>
      </c>
      <c r="J3379" t="s">
        <v>242</v>
      </c>
      <c r="K3379" t="s">
        <v>14</v>
      </c>
      <c r="L3379" t="s">
        <v>20</v>
      </c>
      <c r="M3379" t="s">
        <v>7174</v>
      </c>
      <c r="N3379" t="s">
        <v>14</v>
      </c>
    </row>
    <row r="3380" x14ac:dyDescent="0.25">
      <c r="A3380" t="n">
        <v>25</v>
      </c>
      <c r="B3380" t="s">
        <v>14</v>
      </c>
      <c r="C3380" t="s">
        <v>51</v>
      </c>
      <c r="D3380" s="2" t="s">
        <f>=HYPERLINK("https://main.knesset.gov.il/APPS/legislation/main/bills/2215409", "הצעת חוק לייצור אמצעי לחימה בתעשיות הביטחוניות בישראל, התשפ""ד-2024")</f>
        <v>7187</v>
      </c>
      <c r="E3380" t="s">
        <v>7187</v>
      </c>
      <c r="F3380" t="s">
        <v>7188</v>
      </c>
      <c r="G3380" t="s">
        <v>14</v>
      </c>
      <c r="H3380">
             </c>
      <c r="I3380" t="s">
        <v>14</v>
      </c>
      <c r="J3380" t="s">
        <v>242</v>
      </c>
      <c r="K3380" t="s">
        <v>14</v>
      </c>
      <c r="L3380" t="s">
        <v>20</v>
      </c>
      <c r="M3380" t="s">
        <v>7174</v>
      </c>
      <c r="N3380" t="s">
        <v>14</v>
      </c>
    </row>
    <row r="3381" x14ac:dyDescent="0.25">
      <c r="A3381" t="n">
        <v>25</v>
      </c>
      <c r="B3381" t="s">
        <v>14</v>
      </c>
      <c r="C3381" t="s">
        <v>51</v>
      </c>
      <c r="D3381" s="2" t="s">
        <f>=HYPERLINK("https://main.knesset.gov.il/APPS/legislation/main/bills/2215171", "הצעת חוק הבטחת הכנסה (תיקון - מימון תרופות שאינן בסל שירותי הבריאות לילדים שהוריהם מקבלים גמלת הבטחת הכנסה), התשפ""ד-2024")</f>
        <v>7189</v>
      </c>
      <c r="E3381" t="s">
        <v>7189</v>
      </c>
      <c r="F3381" t="s">
        <v>7190</v>
      </c>
      <c r="G3381" t="s">
        <v>14</v>
      </c>
      <c r="H3381">
             </c>
      <c r="I3381" t="s">
        <v>14</v>
      </c>
      <c r="J3381" t="s">
        <v>242</v>
      </c>
      <c r="K3381" t="s">
        <v>14</v>
      </c>
      <c r="L3381" t="s">
        <v>20</v>
      </c>
      <c r="M3381" t="s">
        <v>7174</v>
      </c>
      <c r="N3381" t="s">
        <v>14</v>
      </c>
    </row>
    <row r="3382" x14ac:dyDescent="0.25">
      <c r="A3382" t="n">
        <v>25</v>
      </c>
      <c r="B3382" t="s">
        <v>14</v>
      </c>
      <c r="C3382" t="s">
        <v>51</v>
      </c>
      <c r="D3382" s="2" t="s">
        <f>=HYPERLINK("https://main.knesset.gov.il/APPS/legislation/main/bills/2215179", "הצעת חוק התחשבנות בין בתי חולים לקופות חולים לשנים 2021 עד 2025 (התחשבנות בעד שירותי בריאות בבתי חולים ציבוריים כלליים) (תיקון - מועד התשלום לבית חולים ציבורי כללי עצמאי), התשפ""ד-2024")</f>
        <v>6145</v>
      </c>
      <c r="E3382" t="s">
        <v>6145</v>
      </c>
      <c r="F3382" t="s">
        <v>7191</v>
      </c>
      <c r="G3382" t="s">
        <v>14</v>
      </c>
      <c r="H3382">
             </c>
      <c r="I3382" t="s">
        <v>14</v>
      </c>
      <c r="J3382" t="s">
        <v>242</v>
      </c>
      <c r="K3382" t="s">
        <v>14</v>
      </c>
      <c r="L3382" t="s">
        <v>20</v>
      </c>
      <c r="M3382" t="s">
        <v>7174</v>
      </c>
      <c r="N3382" t="s">
        <v>14</v>
      </c>
    </row>
    <row r="3383" x14ac:dyDescent="0.25">
      <c r="A3383" t="n">
        <v>25</v>
      </c>
      <c r="B3383" t="s">
        <v>14</v>
      </c>
      <c r="C3383" t="s">
        <v>51</v>
      </c>
      <c r="D3383" s="2" t="s">
        <f>=HYPERLINK("https://main.knesset.gov.il/APPS/legislation/main/bills/2210152", "הצעת חוק-יסוד: כבוד האדם וחירותו (תיקון - תוקפו של חוק חורג בעניין מסתננים) ")</f>
        <v>7192</v>
      </c>
      <c r="E3383" t="s">
        <v>7192</v>
      </c>
      <c r="F3383" t="s">
        <v>7193</v>
      </c>
      <c r="G3383" t="s">
        <v>14</v>
      </c>
      <c r="H3383">
             </c>
      <c r="I3383" t="s">
        <v>14</v>
      </c>
      <c r="J3383" t="s">
        <v>242</v>
      </c>
      <c r="K3383" t="s">
        <v>14</v>
      </c>
      <c r="L3383" t="s">
        <v>20</v>
      </c>
      <c r="M3383" t="s">
        <v>7174</v>
      </c>
      <c r="N3383" t="s">
        <v>14</v>
      </c>
    </row>
    <row r="3384" x14ac:dyDescent="0.25">
      <c r="A3384" t="n">
        <v>25</v>
      </c>
      <c r="B3384" t="s">
        <v>14</v>
      </c>
      <c r="C3384" t="s">
        <v>51</v>
      </c>
      <c r="D3384" s="2" t="s">
        <f>=HYPERLINK("https://main.knesset.gov.il/APPS/legislation/main/bills/2214945", "הצעת חוק התכנון והבנייה (תיקון - מיתקן אגירת אנרגיה בבניין רב קומות), התשפ""ד-2024")</f>
        <v>7194</v>
      </c>
      <c r="E3384" t="s">
        <v>7194</v>
      </c>
      <c r="F3384" t="s">
        <v>7195</v>
      </c>
      <c r="G3384" t="s">
        <v>14</v>
      </c>
      <c r="H3384">
             </c>
      <c r="I3384" t="s">
        <v>14</v>
      </c>
      <c r="J3384" t="s">
        <v>242</v>
      </c>
      <c r="K3384" t="s">
        <v>14</v>
      </c>
      <c r="L3384" t="s">
        <v>20</v>
      </c>
      <c r="M3384" t="s">
        <v>7174</v>
      </c>
      <c r="N3384" t="s">
        <v>14</v>
      </c>
    </row>
    <row r="3385" x14ac:dyDescent="0.25">
      <c r="A3385" t="n">
        <v>25</v>
      </c>
      <c r="B3385" t="s">
        <v>14</v>
      </c>
      <c r="C3385" t="s">
        <v>51</v>
      </c>
      <c r="D3385" s="2" t="s">
        <f>=HYPERLINK("https://main.knesset.gov.il/APPS/legislation/main/bills/2214914", "הצעת חוק הרשויות המקומיות (מימון בחירות) (תיקון - עידוד התמודדות נשים לראשות רשות מקומית או מועצה אזורית), התשפ""ד-2024")</f>
        <v>7196</v>
      </c>
      <c r="E3385" t="s">
        <v>7196</v>
      </c>
      <c r="F3385" t="s">
        <v>7197</v>
      </c>
      <c r="G3385" t="s">
        <v>14</v>
      </c>
      <c r="H3385">
             </c>
      <c r="I3385" t="s">
        <v>14</v>
      </c>
      <c r="J3385" t="s">
        <v>242</v>
      </c>
      <c r="K3385" t="s">
        <v>14</v>
      </c>
      <c r="L3385" t="s">
        <v>20</v>
      </c>
      <c r="M3385" t="s">
        <v>7174</v>
      </c>
      <c r="N3385" t="s">
        <v>14</v>
      </c>
    </row>
    <row r="3386" x14ac:dyDescent="0.25">
      <c r="A3386" t="n">
        <v>25</v>
      </c>
      <c r="B3386" t="s">
        <v>14</v>
      </c>
      <c r="C3386" t="s">
        <v>51</v>
      </c>
      <c r="D3386" s="2" t="s">
        <f>=HYPERLINK("https://main.knesset.gov.il/APPS/legislation/main/bills/2215118", "הצעת חוק עידוד מעורבות סטודנטים בפעילות חברתית וקהילתית (תיקון - הכרה בהתנדבות למען המפונים והחטופים), התשפ""ד-2024")</f>
        <v>7068</v>
      </c>
      <c r="E3386" t="s">
        <v>7068</v>
      </c>
      <c r="F3386" t="s">
        <v>7198</v>
      </c>
      <c r="G3386" t="s">
        <v>14</v>
      </c>
      <c r="H3386">
             </c>
      <c r="I3386" t="s">
        <v>14</v>
      </c>
      <c r="J3386" t="s">
        <v>242</v>
      </c>
      <c r="K3386" t="s">
        <v>14</v>
      </c>
      <c r="L3386" t="s">
        <v>20</v>
      </c>
      <c r="M3386" t="s">
        <v>7174</v>
      </c>
      <c r="N3386" t="s">
        <v>14</v>
      </c>
    </row>
    <row r="3387" x14ac:dyDescent="0.25">
      <c r="A3387" t="n">
        <v>25</v>
      </c>
      <c r="B3387" t="s">
        <v>14</v>
      </c>
      <c r="C3387" t="s">
        <v>51</v>
      </c>
      <c r="D3387" s="2" t="s">
        <f>=HYPERLINK("https://main.knesset.gov.il/APPS/legislation/main/bills/2214629", "הצעת חוק שמירה על זכויות תעסוקה של משרתי מילואים ובני זוגם (תיקוני חקיקה), התשפ""ד-2024")</f>
        <v>7199</v>
      </c>
      <c r="E3387" t="s">
        <v>7199</v>
      </c>
      <c r="F3387" t="s">
        <v>7200</v>
      </c>
      <c r="G3387" t="s">
        <v>14</v>
      </c>
      <c r="H3387">
             </c>
      <c r="I3387" t="s">
        <v>14</v>
      </c>
      <c r="J3387" t="s">
        <v>242</v>
      </c>
      <c r="K3387" t="s">
        <v>14</v>
      </c>
      <c r="L3387" t="s">
        <v>20</v>
      </c>
      <c r="M3387" t="s">
        <v>7174</v>
      </c>
      <c r="N3387" t="s">
        <v>14</v>
      </c>
    </row>
    <row r="3388" x14ac:dyDescent="0.25">
      <c r="A3388" t="n">
        <v>25</v>
      </c>
      <c r="B3388" t="s">
        <v>14</v>
      </c>
      <c r="C3388" t="s">
        <v>51</v>
      </c>
      <c r="D3388" s="2" t="s">
        <f>=HYPERLINK("https://main.knesset.gov.il/APPS/legislation/main/bills/2213880", "הצעת חוק חינוך אקלימי בבתי חולים ציבוריים כלליים, התשפ""ד-2024")</f>
        <v>7201</v>
      </c>
      <c r="E3388" t="s">
        <v>7201</v>
      </c>
      <c r="F3388" t="s">
        <v>7202</v>
      </c>
      <c r="G3388" t="s">
        <v>14</v>
      </c>
      <c r="H3388">
             </c>
      <c r="I3388" t="s">
        <v>14</v>
      </c>
      <c r="J3388" t="s">
        <v>242</v>
      </c>
      <c r="K3388" t="s">
        <v>14</v>
      </c>
      <c r="L3388" t="s">
        <v>20</v>
      </c>
      <c r="M3388" t="s">
        <v>7174</v>
      </c>
      <c r="N3388" t="s">
        <v>14</v>
      </c>
    </row>
    <row r="3389" x14ac:dyDescent="0.25">
      <c r="A3389" t="n">
        <v>25</v>
      </c>
      <c r="B3389" t="s">
        <v>14</v>
      </c>
      <c r="C3389" t="s">
        <v>51</v>
      </c>
      <c r="D3389" s="2" t="s">
        <f>=HYPERLINK("https://main.knesset.gov.il/APPS/legislation/main/bills/2215372", "הצעת חוק מס ערך מוסף (תיקון - מס בשיעור אפס על תרכובת מזון לתינוקות), התשפ""ד-2024")</f>
        <v>6919</v>
      </c>
      <c r="E3389" t="s">
        <v>6919</v>
      </c>
      <c r="F3389" t="s">
        <v>7203</v>
      </c>
      <c r="G3389" t="s">
        <v>14</v>
      </c>
      <c r="H3389">
             </c>
      <c r="I3389" t="s">
        <v>14</v>
      </c>
      <c r="J3389" t="s">
        <v>242</v>
      </c>
      <c r="K3389" t="s">
        <v>14</v>
      </c>
      <c r="L3389" t="s">
        <v>20</v>
      </c>
      <c r="M3389" t="s">
        <v>7174</v>
      </c>
      <c r="N3389" t="s">
        <v>14</v>
      </c>
    </row>
    <row r="3390" x14ac:dyDescent="0.25">
      <c r="A3390" t="n">
        <v>25</v>
      </c>
      <c r="B3390" t="s">
        <v>14</v>
      </c>
      <c r="C3390" t="s">
        <v>15</v>
      </c>
      <c r="D3390" s="2" t="s">
        <f>=HYPERLINK("https://main.knesset.gov.il/APPS/legislation/main/bills/2215019", "הצעת חוק הפיקוח על שירותים פיננסיים (ייעוץ, שיווק ומערכת סליקה פנסיוניים) (תיקון מס' 13), התשפ""ד-2024")</f>
        <v>7204</v>
      </c>
      <c r="E3390" t="s">
        <v>7204</v>
      </c>
      <c r="F3390" t="s">
        <v>14</v>
      </c>
      <c r="G3390" t="s">
        <v>7205</v>
      </c>
      <c r="H3390">
             </c>
      <c r="I3390" t="s">
        <v>14</v>
      </c>
      <c r="J3390" t="s">
        <v>38</v>
      </c>
      <c r="K3390" t="s">
        <v>24</v>
      </c>
      <c r="L3390" t="s">
        <v>20</v>
      </c>
      <c r="M3390" t="s">
        <v>7174</v>
      </c>
      <c r="N3390" t="s">
        <v>14</v>
      </c>
    </row>
    <row r="3391" x14ac:dyDescent="0.25">
      <c r="A3391" t="n">
        <v>25</v>
      </c>
      <c r="B3391" t="s">
        <v>14</v>
      </c>
      <c r="C3391" t="s">
        <v>51</v>
      </c>
      <c r="D3391" s="2" t="s">
        <f>=HYPERLINK("https://main.knesset.gov.il/APPS/legislation/main/bills/2212525", "הצעת חוק משפחות חיילים שנספו במערכה (תגמולים ושיקום) (תיקון - הכרה בארוסות חיילים שנספו במערכה), התשפ""ד-2024")</f>
        <v>6975</v>
      </c>
      <c r="E3391" t="s">
        <v>6975</v>
      </c>
      <c r="F3391" t="s">
        <v>7206</v>
      </c>
      <c r="G3391" t="s">
        <v>14</v>
      </c>
      <c r="H3391">
             </c>
      <c r="I3391" t="s">
        <v>14</v>
      </c>
      <c r="J3391" t="s">
        <v>183</v>
      </c>
      <c r="K3391" t="s">
        <v>46</v>
      </c>
      <c r="L3391" t="s">
        <v>20</v>
      </c>
      <c r="M3391" t="s">
        <v>7207</v>
      </c>
      <c r="N3391" t="s">
        <v>14</v>
      </c>
    </row>
    <row r="3392" x14ac:dyDescent="0.25">
      <c r="A3392" t="n">
        <v>25</v>
      </c>
      <c r="B3392" t="s">
        <v>14</v>
      </c>
      <c r="C3392" t="s">
        <v>51</v>
      </c>
      <c r="D3392" s="2" t="s">
        <f>=HYPERLINK("https://main.knesset.gov.il/APPS/legislation/main/bills/2201652", "חוק שירותי רווחה (זכויות נשים ששהו במקלט לנשים מוכות) (תיקון מס' 4), התשפ""ד–2024")</f>
        <v>7208</v>
      </c>
      <c r="E3392" t="s">
        <v>7208</v>
      </c>
      <c r="F3392" t="s">
        <v>7209</v>
      </c>
      <c r="G3392" t="s">
        <v>7210</v>
      </c>
      <c r="H3392" t="n">
        <v>3163</v>
      </c>
      <c r="I3392" t="s">
        <v>14</v>
      </c>
      <c r="J3392" t="s">
        <v>18</v>
      </c>
      <c r="K3392" t="s">
        <v>46</v>
      </c>
      <c r="L3392" t="s">
        <v>20</v>
      </c>
      <c r="M3392" t="s">
        <v>7207</v>
      </c>
      <c r="N3392" t="s">
        <v>7211</v>
      </c>
    </row>
    <row r="3393" x14ac:dyDescent="0.25">
      <c r="A3393" t="n">
        <v>25</v>
      </c>
      <c r="B3393" t="s">
        <v>14</v>
      </c>
      <c r="C3393" t="s">
        <v>51</v>
      </c>
      <c r="D3393" s="2" t="s">
        <f>=HYPERLINK("https://main.knesset.gov.il/APPS/legislation/main/bills/2209530", "הצעת חוק שירות המדינה (מינויים) (תיקון - העדפת מועמדים תושבי פריפריה), התשפ""ד-2023")</f>
        <v>7212</v>
      </c>
      <c r="E3393" t="s">
        <v>7212</v>
      </c>
      <c r="F3393" t="s">
        <v>7213</v>
      </c>
      <c r="G3393" t="s">
        <v>14</v>
      </c>
      <c r="H3393">
             </c>
      <c r="I3393" t="s">
        <v>14</v>
      </c>
      <c r="J3393" t="s">
        <v>432</v>
      </c>
      <c r="K3393" t="s">
        <v>14</v>
      </c>
      <c r="L3393" t="s">
        <v>20</v>
      </c>
      <c r="M3393" t="s">
        <v>7207</v>
      </c>
      <c r="N3393" t="s">
        <v>14</v>
      </c>
    </row>
    <row r="3394" x14ac:dyDescent="0.25">
      <c r="A3394" t="n">
        <v>25</v>
      </c>
      <c r="B3394" t="s">
        <v>14</v>
      </c>
      <c r="C3394" t="s">
        <v>51</v>
      </c>
      <c r="D3394" s="2" t="s">
        <f>=HYPERLINK("https://main.knesset.gov.il/APPS/legislation/main/bills/2206673", "הצעת חוק ההסדרים במשק המדינה (תיקוני חקיקה להשגת יעדי התקציב) (תיקון - הנחה בארנונה לנכים), התשפ""ג-2023")</f>
        <v>7214</v>
      </c>
      <c r="E3394" t="s">
        <v>7214</v>
      </c>
      <c r="F3394" t="s">
        <v>7215</v>
      </c>
      <c r="G3394" t="s">
        <v>14</v>
      </c>
      <c r="H3394">
             </c>
      <c r="I3394" t="s">
        <v>14</v>
      </c>
      <c r="J3394" t="s">
        <v>193</v>
      </c>
      <c r="K3394" t="s">
        <v>14</v>
      </c>
      <c r="L3394" t="s">
        <v>20</v>
      </c>
      <c r="M3394" t="s">
        <v>7207</v>
      </c>
      <c r="N3394" t="s">
        <v>14</v>
      </c>
    </row>
    <row r="3395" x14ac:dyDescent="0.25">
      <c r="A3395" t="n">
        <v>25</v>
      </c>
      <c r="B3395" t="s">
        <v>14</v>
      </c>
      <c r="C3395" t="s">
        <v>51</v>
      </c>
      <c r="D3395" s="2" t="s">
        <f>=HYPERLINK("https://main.knesset.gov.il/APPS/legislation/main/bills/2198898", "הצעת חוק הגנת הצרכן (תיקון - איסור גביית תשלום בכרטיסי חיוב בלבד), התשפ""ג-2023")</f>
        <v>7216</v>
      </c>
      <c r="E3395" t="s">
        <v>7216</v>
      </c>
      <c r="F3395" t="s">
        <v>7217</v>
      </c>
      <c r="G3395" t="s">
        <v>14</v>
      </c>
      <c r="H3395">
             </c>
      <c r="I3395" t="s">
        <v>14</v>
      </c>
      <c r="J3395" t="s">
        <v>193</v>
      </c>
      <c r="K3395" t="s">
        <v>14</v>
      </c>
      <c r="L3395" t="s">
        <v>20</v>
      </c>
      <c r="M3395" t="s">
        <v>7207</v>
      </c>
      <c r="N3395" t="s">
        <v>14</v>
      </c>
    </row>
    <row r="3396" x14ac:dyDescent="0.25">
      <c r="A3396" t="n">
        <v>25</v>
      </c>
      <c r="B3396" t="s">
        <v>14</v>
      </c>
      <c r="C3396" t="s">
        <v>15</v>
      </c>
      <c r="D3396" s="2" t="s">
        <f>=HYPERLINK("https://main.knesset.gov.il/APPS/legislation/main/bills/2207051", "הצעת חוק לתיקון פקודת מס הכנסה (תיקון מס' 268), התשפ""ג-2023")</f>
        <v>7218</v>
      </c>
      <c r="E3396" t="s">
        <v>7218</v>
      </c>
      <c r="F3396" t="s">
        <v>14</v>
      </c>
      <c r="G3396" t="s">
        <v>7219</v>
      </c>
      <c r="H3396">
             </c>
      <c r="I3396" t="s">
        <v>14</v>
      </c>
      <c r="J3396" t="s">
        <v>38</v>
      </c>
      <c r="K3396" t="s">
        <v>24</v>
      </c>
      <c r="L3396" t="s">
        <v>20</v>
      </c>
      <c r="M3396" t="s">
        <v>7220</v>
      </c>
      <c r="N3396" t="s">
        <v>14</v>
      </c>
    </row>
    <row r="3397" x14ac:dyDescent="0.25">
      <c r="A3397" t="n">
        <v>25</v>
      </c>
      <c r="B3397" t="s">
        <v>14</v>
      </c>
      <c r="C3397" t="s">
        <v>51</v>
      </c>
      <c r="D3397" s="2" t="s">
        <f>=HYPERLINK("https://main.knesset.gov.il/APPS/legislation/main/bills/2201342", "הצעת חוק הקמת מאגר מידע גנטי של כלבים, התשפ""ג-2023")</f>
        <v>7221</v>
      </c>
      <c r="E3397" t="s">
        <v>7221</v>
      </c>
      <c r="F3397" t="s">
        <v>7222</v>
      </c>
      <c r="G3397" t="s">
        <v>14</v>
      </c>
      <c r="H3397">
             </c>
      <c r="I3397" t="s">
        <v>14</v>
      </c>
      <c r="J3397" t="s">
        <v>183</v>
      </c>
      <c r="K3397" t="s">
        <v>84</v>
      </c>
      <c r="L3397" t="s">
        <v>20</v>
      </c>
      <c r="M3397" t="s">
        <v>7220</v>
      </c>
      <c r="N3397" t="s">
        <v>14</v>
      </c>
    </row>
    <row r="3398" x14ac:dyDescent="0.25">
      <c r="A3398" t="n">
        <v>25</v>
      </c>
      <c r="B3398" t="s">
        <v>14</v>
      </c>
      <c r="C3398" t="s">
        <v>15</v>
      </c>
      <c r="D3398" s="2" t="s">
        <f>=HYPERLINK("https://main.knesset.gov.il/APPS/legislation/main/bills/2214842", "הצעת חוק מיסוי מקרקעין (שבח ורכישה) (תיקון מס' 104), התשפ""ד-2024")</f>
        <v>7223</v>
      </c>
      <c r="E3398" t="s">
        <v>7223</v>
      </c>
      <c r="F3398" t="s">
        <v>14</v>
      </c>
      <c r="G3398" t="s">
        <v>7224</v>
      </c>
      <c r="H3398">
             </c>
      <c r="I3398" t="s">
        <v>14</v>
      </c>
      <c r="J3398" t="s">
        <v>38</v>
      </c>
      <c r="K3398" t="s">
        <v>24</v>
      </c>
      <c r="L3398" t="s">
        <v>20</v>
      </c>
      <c r="M3398" t="s">
        <v>7220</v>
      </c>
      <c r="N3398" t="s">
        <v>14</v>
      </c>
    </row>
    <row r="3399" x14ac:dyDescent="0.25">
      <c r="A3399" t="n">
        <v>25</v>
      </c>
      <c r="B3399" t="s">
        <v>14</v>
      </c>
      <c r="C3399" t="s">
        <v>51</v>
      </c>
      <c r="D3399" s="2" t="s">
        <f>=HYPERLINK("https://main.knesset.gov.il/APPS/legislation/main/bills/2209258", "הצעת חוק רישוי עסקים (תיקון - מכירת יין בחנות גדולה), התשפ""ד-2023")</f>
        <v>7225</v>
      </c>
      <c r="E3399" t="s">
        <v>7225</v>
      </c>
      <c r="F3399" t="s">
        <v>7226</v>
      </c>
      <c r="G3399" t="s">
        <v>14</v>
      </c>
      <c r="H3399">
             </c>
      <c r="I3399" t="s">
        <v>14</v>
      </c>
      <c r="J3399" t="s">
        <v>183</v>
      </c>
      <c r="K3399" t="s">
        <v>30</v>
      </c>
      <c r="L3399" t="s">
        <v>20</v>
      </c>
      <c r="M3399" t="s">
        <v>7220</v>
      </c>
      <c r="N3399" t="s">
        <v>14</v>
      </c>
    </row>
    <row r="3400" x14ac:dyDescent="0.25">
      <c r="A3400" t="n">
        <v>25</v>
      </c>
      <c r="B3400" t="s">
        <v>14</v>
      </c>
      <c r="C3400" t="s">
        <v>51</v>
      </c>
      <c r="D3400" s="2" t="s">
        <f>=HYPERLINK("https://main.knesset.gov.il/APPS/legislation/main/bills/2207260", "הצעת חוק רישוי עסקים (תיקון - מכירת יין בחנות גדולה), התשפ""ג-2023")</f>
        <v>7227</v>
      </c>
      <c r="E3400" t="s">
        <v>7227</v>
      </c>
      <c r="F3400" t="s">
        <v>7228</v>
      </c>
      <c r="G3400" t="s">
        <v>14</v>
      </c>
      <c r="H3400">
             </c>
      <c r="I3400" t="s">
        <v>14</v>
      </c>
      <c r="J3400" t="s">
        <v>183</v>
      </c>
      <c r="K3400" t="s">
        <v>30</v>
      </c>
      <c r="L3400" t="s">
        <v>20</v>
      </c>
      <c r="M3400" t="s">
        <v>7220</v>
      </c>
      <c r="N3400" t="s">
        <v>14</v>
      </c>
    </row>
    <row r="3401" x14ac:dyDescent="0.25">
      <c r="A3401" t="n">
        <v>25</v>
      </c>
      <c r="B3401" t="s">
        <v>14</v>
      </c>
      <c r="C3401" t="s">
        <v>51</v>
      </c>
      <c r="D3401" s="2" t="s">
        <f>=HYPERLINK("https://main.knesset.gov.il/APPS/legislation/main/bills/2203292", "הצעת חוק רישוי עסקים (תיקון - מכירת יין בחנות גדולה), התשפ""ג-2023")</f>
        <v>7227</v>
      </c>
      <c r="E3401" t="s">
        <v>7227</v>
      </c>
      <c r="F3401" t="s">
        <v>7229</v>
      </c>
      <c r="G3401" t="s">
        <v>14</v>
      </c>
      <c r="H3401">
             </c>
      <c r="I3401" t="s">
        <v>14</v>
      </c>
      <c r="J3401" t="s">
        <v>183</v>
      </c>
      <c r="K3401" t="s">
        <v>30</v>
      </c>
      <c r="L3401" t="s">
        <v>20</v>
      </c>
      <c r="M3401" t="s">
        <v>7220</v>
      </c>
      <c r="N3401" t="s">
        <v>14</v>
      </c>
    </row>
    <row r="3402" x14ac:dyDescent="0.25">
      <c r="A3402" t="n">
        <v>25</v>
      </c>
      <c r="B3402" t="s">
        <v>14</v>
      </c>
      <c r="C3402" t="s">
        <v>51</v>
      </c>
      <c r="D3402" s="2" t="s">
        <f>=HYPERLINK("https://main.knesset.gov.il/APPS/legislation/main/bills/2204998", "הצעת חוק לתיקון פקודת התעבורה (תשלום עבור נסיעה בתחבורה ציבורית בכרטיס אשראי), התשפ""ג-2023")</f>
        <v>7230</v>
      </c>
      <c r="E3402" t="s">
        <v>7230</v>
      </c>
      <c r="F3402" t="s">
        <v>7231</v>
      </c>
      <c r="G3402" t="s">
        <v>14</v>
      </c>
      <c r="H3402">
             </c>
      <c r="I3402" t="s">
        <v>14</v>
      </c>
      <c r="J3402" t="s">
        <v>183</v>
      </c>
      <c r="K3402" t="s">
        <v>84</v>
      </c>
      <c r="L3402" t="s">
        <v>20</v>
      </c>
      <c r="M3402" t="s">
        <v>7220</v>
      </c>
      <c r="N3402" t="s">
        <v>14</v>
      </c>
    </row>
    <row r="3403" x14ac:dyDescent="0.25">
      <c r="A3403" t="n">
        <v>25</v>
      </c>
      <c r="B3403" t="s">
        <v>14</v>
      </c>
      <c r="C3403" t="s">
        <v>15</v>
      </c>
      <c r="D3403" s="2" t="s">
        <f>=HYPERLINK("https://main.knesset.gov.il/APPS/legislation/main/bills/2213078", "חוק עובדים זרים (תיקון מס' 24), התשפ""ד-2024")</f>
        <v>7232</v>
      </c>
      <c r="E3403" t="s">
        <v>7232</v>
      </c>
      <c r="F3403" t="s">
        <v>14</v>
      </c>
      <c r="G3403" t="s">
        <v>7233</v>
      </c>
      <c r="H3403" t="n">
        <v>3162</v>
      </c>
      <c r="I3403" t="s">
        <v>14</v>
      </c>
      <c r="J3403" t="s">
        <v>18</v>
      </c>
      <c r="K3403" t="s">
        <v>46</v>
      </c>
      <c r="L3403" t="s">
        <v>20</v>
      </c>
      <c r="M3403" t="s">
        <v>7220</v>
      </c>
      <c r="N3403" t="s">
        <v>7234</v>
      </c>
    </row>
    <row r="3404" x14ac:dyDescent="0.25">
      <c r="A3404" t="n">
        <v>25</v>
      </c>
      <c r="B3404" t="s">
        <v>14</v>
      </c>
      <c r="C3404" t="s">
        <v>15</v>
      </c>
      <c r="D3404" s="2" t="s">
        <f>=HYPERLINK("https://main.knesset.gov.il/APPS/legislation/main/bills/2214084", "חוק לשכת עורכי הדין (תיקון מס' 42), התשפ""ד-2024")</f>
        <v>7235</v>
      </c>
      <c r="E3404" t="s">
        <v>7235</v>
      </c>
      <c r="F3404" t="s">
        <v>14</v>
      </c>
      <c r="G3404" t="s">
        <v>7236</v>
      </c>
      <c r="H3404" t="n">
        <v>3161</v>
      </c>
      <c r="I3404" t="s">
        <v>14</v>
      </c>
      <c r="J3404" t="s">
        <v>18</v>
      </c>
      <c r="K3404" t="s">
        <v>27</v>
      </c>
      <c r="L3404" t="s">
        <v>20</v>
      </c>
      <c r="M3404" t="s">
        <v>7220</v>
      </c>
      <c r="N3404" t="s">
        <v>7237</v>
      </c>
    </row>
    <row r="3405" x14ac:dyDescent="0.25">
      <c r="A3405" t="n">
        <v>25</v>
      </c>
      <c r="B3405" t="s">
        <v>14</v>
      </c>
      <c r="C3405" t="s">
        <v>51</v>
      </c>
      <c r="D3405" s="2" t="s">
        <f>=HYPERLINK("https://main.knesset.gov.il/APPS/legislation/main/bills/2200338", "חוק הביטוח הלאומי (תיקון מס' 243), התשפ""ד–2024")</f>
        <v>7238</v>
      </c>
      <c r="E3405" t="s">
        <v>7238</v>
      </c>
      <c r="F3405" t="s">
        <v>7239</v>
      </c>
      <c r="G3405" t="s">
        <v>7240</v>
      </c>
      <c r="H3405" t="n">
        <v>3160</v>
      </c>
      <c r="I3405" t="s">
        <v>14</v>
      </c>
      <c r="J3405" t="s">
        <v>18</v>
      </c>
      <c r="K3405" t="s">
        <v>46</v>
      </c>
      <c r="L3405" t="s">
        <v>20</v>
      </c>
      <c r="M3405" t="s">
        <v>7220</v>
      </c>
      <c r="N3405" t="s">
        <v>7241</v>
      </c>
    </row>
    <row r="3406" x14ac:dyDescent="0.25">
      <c r="A3406" t="n">
        <v>25</v>
      </c>
      <c r="B3406" t="s">
        <v>14</v>
      </c>
      <c r="C3406" t="s">
        <v>15</v>
      </c>
      <c r="D3406" s="2" t="s">
        <f>=HYPERLINK("https://main.knesset.gov.il/APPS/legislation/main/bills/2207735", "חוק אומנה לילדים (תיקון מס' 3), התשפ""ד-2024")</f>
        <v>7242</v>
      </c>
      <c r="E3406" t="s">
        <v>7242</v>
      </c>
      <c r="F3406" t="s">
        <v>14</v>
      </c>
      <c r="G3406" t="s">
        <v>7243</v>
      </c>
      <c r="H3406" t="n">
        <v>3159</v>
      </c>
      <c r="I3406" t="s">
        <v>14</v>
      </c>
      <c r="J3406" t="s">
        <v>18</v>
      </c>
      <c r="K3406" t="s">
        <v>46</v>
      </c>
      <c r="L3406" t="s">
        <v>20</v>
      </c>
      <c r="M3406" t="s">
        <v>7220</v>
      </c>
      <c r="N3406" t="s">
        <v>7244</v>
      </c>
    </row>
    <row r="3407" x14ac:dyDescent="0.25">
      <c r="A3407" t="n">
        <v>25</v>
      </c>
      <c r="B3407" t="s">
        <v>14</v>
      </c>
      <c r="C3407" t="s">
        <v>51</v>
      </c>
      <c r="D3407" s="2" t="s">
        <f>=HYPERLINK("https://main.knesset.gov.il/APPS/legislation/main/bills/2215178", "הצעת חוק הטלת סנקציות על תומכי טרור, התשפ""ד-2024")</f>
        <v>7245</v>
      </c>
      <c r="E3407" t="s">
        <v>7245</v>
      </c>
      <c r="F3407" t="s">
        <v>7246</v>
      </c>
      <c r="G3407" t="s">
        <v>14</v>
      </c>
      <c r="H3407">
             </c>
      <c r="I3407" t="s">
        <v>14</v>
      </c>
      <c r="J3407" t="s">
        <v>1372</v>
      </c>
      <c r="K3407" t="s">
        <v>14</v>
      </c>
      <c r="L3407" t="s">
        <v>20</v>
      </c>
      <c r="M3407" t="s">
        <v>7220</v>
      </c>
      <c r="N3407" t="s">
        <v>14</v>
      </c>
    </row>
    <row r="3408" x14ac:dyDescent="0.25">
      <c r="A3408" t="n">
        <v>25</v>
      </c>
      <c r="B3408" t="s">
        <v>14</v>
      </c>
      <c r="C3408" t="s">
        <v>51</v>
      </c>
      <c r="D3408" s="2" t="s">
        <f>=HYPERLINK("https://main.knesset.gov.il/APPS/legislation/main/bills/2214783", "הצעת חוק חיילים משוחררים (החזרה לעבודה) (תיקון - הארכת תקופת הגנה מפני פיטורים למשרתי מילואים ובני ובנות זוגם), התשפ""ד-2024")</f>
        <v>7247</v>
      </c>
      <c r="E3408" t="s">
        <v>7247</v>
      </c>
      <c r="F3408" t="s">
        <v>7248</v>
      </c>
      <c r="G3408" t="s">
        <v>14</v>
      </c>
      <c r="H3408">
             </c>
      <c r="I3408" t="s">
        <v>14</v>
      </c>
      <c r="J3408" t="s">
        <v>242</v>
      </c>
      <c r="K3408" t="s">
        <v>14</v>
      </c>
      <c r="L3408" t="s">
        <v>20</v>
      </c>
      <c r="M3408" t="s">
        <v>7220</v>
      </c>
      <c r="N3408" t="s">
        <v>14</v>
      </c>
    </row>
    <row r="3409" x14ac:dyDescent="0.25">
      <c r="A3409" t="n">
        <v>25</v>
      </c>
      <c r="B3409" t="s">
        <v>14</v>
      </c>
      <c r="C3409" t="s">
        <v>51</v>
      </c>
      <c r="D3409" s="2" t="s">
        <f>=HYPERLINK("https://main.knesset.gov.il/APPS/legislation/main/bills/2214782", "הצעת חוק שוויון ההזדמנויות בעבודה (תיקון - איסור הפליה), התשפ""ד-2024")</f>
        <v>7249</v>
      </c>
      <c r="E3409" t="s">
        <v>7249</v>
      </c>
      <c r="F3409" t="s">
        <v>7250</v>
      </c>
      <c r="G3409" t="s">
        <v>14</v>
      </c>
      <c r="H3409">
             </c>
      <c r="I3409" t="s">
        <v>14</v>
      </c>
      <c r="J3409" t="s">
        <v>242</v>
      </c>
      <c r="K3409" t="s">
        <v>14</v>
      </c>
      <c r="L3409" t="s">
        <v>20</v>
      </c>
      <c r="M3409" t="s">
        <v>7220</v>
      </c>
      <c r="N3409" t="s">
        <v>14</v>
      </c>
    </row>
    <row r="3410" x14ac:dyDescent="0.25">
      <c r="A3410" t="n">
        <v>25</v>
      </c>
      <c r="B3410" t="s">
        <v>14</v>
      </c>
      <c r="C3410" t="s">
        <v>51</v>
      </c>
      <c r="D3410" s="2" t="s">
        <f>=HYPERLINK("https://main.knesset.gov.il/APPS/legislation/main/bills/2215002", "הצעת חוק חכירה הוגנת, התשפ""ד-2024")</f>
        <v>4331</v>
      </c>
      <c r="E3410" t="s">
        <v>4331</v>
      </c>
      <c r="F3410" t="s">
        <v>7251</v>
      </c>
      <c r="G3410" t="s">
        <v>14</v>
      </c>
      <c r="H3410">
             </c>
      <c r="I3410" t="s">
        <v>14</v>
      </c>
      <c r="J3410" t="s">
        <v>242</v>
      </c>
      <c r="K3410" t="s">
        <v>14</v>
      </c>
      <c r="L3410" t="s">
        <v>20</v>
      </c>
      <c r="M3410" t="s">
        <v>7220</v>
      </c>
      <c r="N3410" t="s">
        <v>14</v>
      </c>
    </row>
    <row r="3411" x14ac:dyDescent="0.25">
      <c r="A3411" t="n">
        <v>25</v>
      </c>
      <c r="B3411" t="s">
        <v>14</v>
      </c>
      <c r="C3411" t="s">
        <v>51</v>
      </c>
      <c r="D3411" s="2" t="s">
        <f>=HYPERLINK("https://main.knesset.gov.il/APPS/legislation/main/bills/2214143", "הצעת חוק התכנון והבנייה (תיקון - תוקף היתר בנייה), התשפ""ד-2024")</f>
        <v>7252</v>
      </c>
      <c r="E3411" t="s">
        <v>7252</v>
      </c>
      <c r="F3411" t="s">
        <v>7253</v>
      </c>
      <c r="G3411" t="s">
        <v>14</v>
      </c>
      <c r="H3411">
             </c>
      <c r="I3411" t="s">
        <v>14</v>
      </c>
      <c r="J3411" t="s">
        <v>242</v>
      </c>
      <c r="K3411" t="s">
        <v>14</v>
      </c>
      <c r="L3411" t="s">
        <v>20</v>
      </c>
      <c r="M3411" t="s">
        <v>7220</v>
      </c>
      <c r="N3411" t="s">
        <v>14</v>
      </c>
    </row>
    <row r="3412" x14ac:dyDescent="0.25">
      <c r="A3412" t="n">
        <v>25</v>
      </c>
      <c r="B3412" t="s">
        <v>14</v>
      </c>
      <c r="C3412" t="s">
        <v>51</v>
      </c>
      <c r="D3412" s="2" t="s">
        <f>=HYPERLINK("https://main.knesset.gov.il/APPS/legislation/main/bills/2214759", "הצעת חוק הרשויות המקומיות (בחירות) (תיקון - סמכות השר לדחיית מועד בחירות ופיצוי כספי בגין דחייה), התשפ""ד-2024 ")</f>
        <v>7254</v>
      </c>
      <c r="E3412" t="s">
        <v>7254</v>
      </c>
      <c r="F3412" t="s">
        <v>7255</v>
      </c>
      <c r="G3412" t="s">
        <v>14</v>
      </c>
      <c r="H3412">
             </c>
      <c r="I3412" t="s">
        <v>14</v>
      </c>
      <c r="J3412" t="s">
        <v>242</v>
      </c>
      <c r="K3412" t="s">
        <v>14</v>
      </c>
      <c r="L3412" t="s">
        <v>20</v>
      </c>
      <c r="M3412" t="s">
        <v>7220</v>
      </c>
      <c r="N3412" t="s">
        <v>14</v>
      </c>
    </row>
    <row r="3413" x14ac:dyDescent="0.25">
      <c r="A3413" t="n">
        <v>25</v>
      </c>
      <c r="B3413" t="s">
        <v>14</v>
      </c>
      <c r="C3413" t="s">
        <v>51</v>
      </c>
      <c r="D3413" s="2" t="s">
        <f>=HYPERLINK("https://main.knesset.gov.il/APPS/legislation/main/bills/2214301", "הצעת חוק למניעת הוצאה של כספים מישראל על ידי מסתנן או נתין זר או עבורו, התשפ""ד-2024")</f>
        <v>7256</v>
      </c>
      <c r="E3413" t="s">
        <v>7256</v>
      </c>
      <c r="F3413" t="s">
        <v>7257</v>
      </c>
      <c r="G3413" t="s">
        <v>14</v>
      </c>
      <c r="H3413">
             </c>
      <c r="I3413" t="s">
        <v>14</v>
      </c>
      <c r="J3413" t="s">
        <v>242</v>
      </c>
      <c r="K3413" t="s">
        <v>14</v>
      </c>
      <c r="L3413" t="s">
        <v>20</v>
      </c>
      <c r="M3413" t="s">
        <v>7220</v>
      </c>
      <c r="N3413" t="s">
        <v>14</v>
      </c>
    </row>
    <row r="3414" x14ac:dyDescent="0.25">
      <c r="A3414" t="n">
        <v>25</v>
      </c>
      <c r="B3414" t="s">
        <v>14</v>
      </c>
      <c r="C3414" t="s">
        <v>51</v>
      </c>
      <c r="D3414" s="2" t="s">
        <f>=HYPERLINK("https://main.knesset.gov.il/APPS/legislation/main/bills/2213737", "הצעת חוק שירות ביטחון (תיקון - הזדמנות שווה לנשים בצה""ל), התשפ""ד-2024")</f>
        <v>7258</v>
      </c>
      <c r="E3414" t="s">
        <v>7258</v>
      </c>
      <c r="F3414" t="s">
        <v>7259</v>
      </c>
      <c r="G3414" t="s">
        <v>14</v>
      </c>
      <c r="H3414">
             </c>
      <c r="I3414" t="s">
        <v>14</v>
      </c>
      <c r="J3414" t="s">
        <v>202</v>
      </c>
      <c r="K3414" t="s">
        <v>14</v>
      </c>
      <c r="L3414" t="s">
        <v>20</v>
      </c>
      <c r="M3414" t="s">
        <v>7220</v>
      </c>
      <c r="N3414" t="s">
        <v>14</v>
      </c>
    </row>
    <row r="3415" x14ac:dyDescent="0.25">
      <c r="A3415" t="n">
        <v>25</v>
      </c>
      <c r="B3415" t="s">
        <v>14</v>
      </c>
      <c r="C3415" t="s">
        <v>51</v>
      </c>
      <c r="D3415" s="2" t="s">
        <f>=HYPERLINK("https://main.knesset.gov.il/APPS/legislation/main/bills/2214691", "הצעת חוק להפסקת פעילות סוכנות הסעד והתעסוקה של האו""ם לפליטי פלסטין במזרח הקרוב (אונר""א), התשפ""ד-2024")</f>
        <v>6544</v>
      </c>
      <c r="E3415" t="s">
        <v>6544</v>
      </c>
      <c r="F3415" t="s">
        <v>7260</v>
      </c>
      <c r="G3415" t="s">
        <v>14</v>
      </c>
      <c r="H3415">
             </c>
      <c r="I3415" t="s">
        <v>14</v>
      </c>
      <c r="J3415" t="s">
        <v>242</v>
      </c>
      <c r="K3415" t="s">
        <v>14</v>
      </c>
      <c r="L3415" t="s">
        <v>20</v>
      </c>
      <c r="M3415" t="s">
        <v>7220</v>
      </c>
      <c r="N3415" t="s">
        <v>14</v>
      </c>
    </row>
    <row r="3416" x14ac:dyDescent="0.25">
      <c r="A3416" t="n">
        <v>25</v>
      </c>
      <c r="B3416" t="s">
        <v>14</v>
      </c>
      <c r="C3416" t="s">
        <v>51</v>
      </c>
      <c r="D3416" s="2" t="s">
        <f>=HYPERLINK("https://main.knesset.gov.il/APPS/legislation/main/bills/2214315", "הצעת חוק סל הקליטה (תיקון - שעות לימוד עברית), התשפ""ד-2024")</f>
        <v>7261</v>
      </c>
      <c r="E3416" t="s">
        <v>7261</v>
      </c>
      <c r="F3416" t="s">
        <v>7262</v>
      </c>
      <c r="G3416" t="s">
        <v>14</v>
      </c>
      <c r="H3416">
             </c>
      <c r="I3416" t="s">
        <v>14</v>
      </c>
      <c r="J3416" t="s">
        <v>242</v>
      </c>
      <c r="K3416" t="s">
        <v>14</v>
      </c>
      <c r="L3416" t="s">
        <v>20</v>
      </c>
      <c r="M3416" t="s">
        <v>7220</v>
      </c>
      <c r="N3416" t="s">
        <v>14</v>
      </c>
    </row>
    <row r="3417" x14ac:dyDescent="0.25">
      <c r="A3417" t="n">
        <v>25</v>
      </c>
      <c r="B3417" t="s">
        <v>14</v>
      </c>
      <c r="C3417" t="s">
        <v>51</v>
      </c>
      <c r="D3417" s="2" t="s">
        <f>=HYPERLINK("https://main.knesset.gov.il/APPS/legislation/main/bills/2214311", "הצעת חוק יום לציון זכרם של חללי ונפגעי יהדות התפוצות על רקע אנטישמי, התשפ""ד-2024")</f>
        <v>7263</v>
      </c>
      <c r="E3417" t="s">
        <v>7263</v>
      </c>
      <c r="F3417" t="s">
        <v>7264</v>
      </c>
      <c r="G3417" t="s">
        <v>14</v>
      </c>
      <c r="H3417">
             </c>
      <c r="I3417" t="s">
        <v>14</v>
      </c>
      <c r="J3417" t="s">
        <v>242</v>
      </c>
      <c r="K3417" t="s">
        <v>14</v>
      </c>
      <c r="L3417" t="s">
        <v>20</v>
      </c>
      <c r="M3417" t="s">
        <v>7220</v>
      </c>
      <c r="N3417" t="s">
        <v>14</v>
      </c>
    </row>
    <row r="3418" x14ac:dyDescent="0.25">
      <c r="A3418" t="n">
        <v>25</v>
      </c>
      <c r="B3418" t="s">
        <v>14</v>
      </c>
      <c r="C3418" t="s">
        <v>51</v>
      </c>
      <c r="D3418" s="2" t="s">
        <f>=HYPERLINK("https://main.knesset.gov.il/APPS/legislation/main/bills/2215114", "הצעת חוק לתיקון פקודת מס הכנסה (הגדלת זיכוי מס על תרומה לבתי חולים בפריפריה), התשפ""ד-2024")</f>
        <v>7265</v>
      </c>
      <c r="E3418" t="s">
        <v>7265</v>
      </c>
      <c r="F3418" t="s">
        <v>7266</v>
      </c>
      <c r="G3418" t="s">
        <v>14</v>
      </c>
      <c r="H3418">
             </c>
      <c r="I3418" t="s">
        <v>14</v>
      </c>
      <c r="J3418" t="s">
        <v>242</v>
      </c>
      <c r="K3418" t="s">
        <v>14</v>
      </c>
      <c r="L3418" t="s">
        <v>20</v>
      </c>
      <c r="M3418" t="s">
        <v>7220</v>
      </c>
      <c r="N3418" t="s">
        <v>14</v>
      </c>
    </row>
    <row r="3419" x14ac:dyDescent="0.25">
      <c r="A3419" t="n">
        <v>25</v>
      </c>
      <c r="B3419" t="s">
        <v>14</v>
      </c>
      <c r="C3419" t="s">
        <v>15</v>
      </c>
      <c r="D3419" s="2" t="s">
        <f>=HYPERLINK("https://main.knesset.gov.il/APPS/legislation/main/bills/2214733", "חוק הרבנות הראשית לישראל (הארכת כהונה של הרבנים הראשיים לישראל ושל חברי מועצת הרבנות הראשית לישראל) (הוראת שעה) (תיקון), התשפ""ד-2024")</f>
        <v>7267</v>
      </c>
      <c r="E3419" t="s">
        <v>7267</v>
      </c>
      <c r="F3419" t="s">
        <v>14</v>
      </c>
      <c r="G3419" t="s">
        <v>7268</v>
      </c>
      <c r="H3419" t="n">
        <v>3158</v>
      </c>
      <c r="I3419" t="s">
        <v>14</v>
      </c>
      <c r="J3419" t="s">
        <v>18</v>
      </c>
      <c r="K3419" t="s">
        <v>27</v>
      </c>
      <c r="L3419" t="s">
        <v>20</v>
      </c>
      <c r="M3419" t="s">
        <v>7269</v>
      </c>
      <c r="N3419" t="s">
        <v>7270</v>
      </c>
    </row>
    <row r="3420" x14ac:dyDescent="0.25">
      <c r="A3420" t="n">
        <v>25</v>
      </c>
      <c r="B3420" t="s">
        <v>14</v>
      </c>
      <c r="C3420" t="s">
        <v>51</v>
      </c>
      <c r="D3420" s="2" t="s">
        <f>=HYPERLINK("https://main.knesset.gov.il/APPS/legislation/main/bills/2204095", "הצעת חוק לתיקון פקודת מס הכנסה (קרנות השקעה), התשפ""ג-2023")</f>
        <v>7271</v>
      </c>
      <c r="E3420" t="s">
        <v>7271</v>
      </c>
      <c r="F3420" t="s">
        <v>7272</v>
      </c>
      <c r="G3420" t="s">
        <v>14</v>
      </c>
      <c r="H3420">
             </c>
      <c r="I3420" t="s">
        <v>14</v>
      </c>
      <c r="J3420" t="s">
        <v>152</v>
      </c>
      <c r="K3420" t="s">
        <v>24</v>
      </c>
      <c r="L3420" t="s">
        <v>20</v>
      </c>
      <c r="M3420" t="s">
        <v>7269</v>
      </c>
      <c r="N3420" t="s">
        <v>14</v>
      </c>
    </row>
    <row r="3421" x14ac:dyDescent="0.25">
      <c r="A3421" t="n">
        <v>25</v>
      </c>
      <c r="B3421" t="s">
        <v>14</v>
      </c>
      <c r="C3421" t="s">
        <v>51</v>
      </c>
      <c r="D3421" s="2" t="s">
        <f>=HYPERLINK("https://main.knesset.gov.il/APPS/legislation/main/bills/2205219", "הצעת חוק המאבק בטרור (תיקון - אי-החזרת גופות מחבלים), התשפ""ג-2023")</f>
        <v>5031</v>
      </c>
      <c r="E3421" t="s">
        <v>5031</v>
      </c>
      <c r="F3421" t="s">
        <v>7273</v>
      </c>
      <c r="G3421" t="s">
        <v>14</v>
      </c>
      <c r="H3421">
             </c>
      <c r="I3421" t="s">
        <v>14</v>
      </c>
      <c r="J3421" t="s">
        <v>152</v>
      </c>
      <c r="K3421" t="s">
        <v>39</v>
      </c>
      <c r="L3421" t="s">
        <v>20</v>
      </c>
      <c r="M3421" t="s">
        <v>7269</v>
      </c>
      <c r="N3421" t="s">
        <v>14</v>
      </c>
    </row>
    <row r="3422" x14ac:dyDescent="0.25">
      <c r="A3422" t="n">
        <v>25</v>
      </c>
      <c r="B3422" t="s">
        <v>14</v>
      </c>
      <c r="C3422" t="s">
        <v>51</v>
      </c>
      <c r="D3422" s="2" t="s">
        <f>=HYPERLINK("https://main.knesset.gov.il/APPS/legislation/main/bills/2198852", "הצעת חוק הכרה אזרחית בהכשרות צבאיות (תיקון - הכרה בניסיון פיקודי כניסיון ניהולי), התשפ""ג-2023")</f>
        <v>7274</v>
      </c>
      <c r="E3422" t="s">
        <v>7274</v>
      </c>
      <c r="F3422" t="s">
        <v>7275</v>
      </c>
      <c r="G3422" t="s">
        <v>14</v>
      </c>
      <c r="H3422">
             </c>
      <c r="I3422" t="s">
        <v>14</v>
      </c>
      <c r="J3422" t="s">
        <v>193</v>
      </c>
      <c r="K3422" t="s">
        <v>14</v>
      </c>
      <c r="L3422" t="s">
        <v>20</v>
      </c>
      <c r="M3422" t="s">
        <v>7269</v>
      </c>
      <c r="N3422" t="s">
        <v>14</v>
      </c>
    </row>
    <row r="3423" x14ac:dyDescent="0.25">
      <c r="A3423" t="n">
        <v>25</v>
      </c>
      <c r="B3423" t="s">
        <v>14</v>
      </c>
      <c r="C3423" t="s">
        <v>51</v>
      </c>
      <c r="D3423" s="2" t="s">
        <f>=HYPERLINK("https://main.knesset.gov.il/APPS/legislation/main/bills/2196783", "הצעת חוק הביטוח הלאומי (תיקון - תשלום דמי אבטלה לנשים שיצאו לחופשה ללא תשלום לאחר לידה מסיבות מוצדקות), התשפ""ג-2022")</f>
        <v>7276</v>
      </c>
      <c r="E3423" t="s">
        <v>7276</v>
      </c>
      <c r="F3423" t="s">
        <v>7277</v>
      </c>
      <c r="G3423" t="s">
        <v>14</v>
      </c>
      <c r="H3423">
             </c>
      <c r="I3423" t="s">
        <v>14</v>
      </c>
      <c r="J3423" t="s">
        <v>193</v>
      </c>
      <c r="K3423" t="s">
        <v>14</v>
      </c>
      <c r="L3423" t="s">
        <v>20</v>
      </c>
      <c r="M3423" t="s">
        <v>7269</v>
      </c>
      <c r="N3423" t="s">
        <v>14</v>
      </c>
    </row>
    <row r="3424" x14ac:dyDescent="0.25">
      <c r="A3424" t="n">
        <v>25</v>
      </c>
      <c r="B3424" t="s">
        <v>14</v>
      </c>
      <c r="C3424" t="s">
        <v>51</v>
      </c>
      <c r="D3424" s="2" t="s">
        <f>=HYPERLINK("https://main.knesset.gov.il/APPS/legislation/main/bills/2212972", "חוק מימון הוצאות למשפחות שבויים, חטופים ונעדרים (תיקון מס' 2), התשפ""ד-2024")</f>
        <v>7278</v>
      </c>
      <c r="E3424" t="s">
        <v>7278</v>
      </c>
      <c r="F3424" t="s">
        <v>7279</v>
      </c>
      <c r="G3424" t="s">
        <v>7280</v>
      </c>
      <c r="H3424" t="n">
        <v>3157</v>
      </c>
      <c r="I3424" t="s">
        <v>14</v>
      </c>
      <c r="J3424" t="s">
        <v>18</v>
      </c>
      <c r="K3424" t="s">
        <v>46</v>
      </c>
      <c r="L3424" t="s">
        <v>20</v>
      </c>
      <c r="M3424" t="s">
        <v>7281</v>
      </c>
      <c r="N3424" t="s">
        <v>7282</v>
      </c>
    </row>
    <row r="3425" x14ac:dyDescent="0.25">
      <c r="A3425" t="n">
        <v>25</v>
      </c>
      <c r="B3425" t="s">
        <v>14</v>
      </c>
      <c r="C3425" t="s">
        <v>15</v>
      </c>
      <c r="D3425" s="2" t="s">
        <f>=HYPERLINK("https://main.knesset.gov.il/APPS/legislation/main/bills/2214412", "פרק א' (מטרת החוק) מתוך הצעת חוק התוכנית המאזנת (תיקוני חקיקה להשגת יעדי התקציב לשנת התקציב 2024), התשפ""ד-2024 [פוצלה לפי סעיף 84(ב) לתקנון]")</f>
        <v>7283</v>
      </c>
      <c r="E3425" t="s">
        <v>7283</v>
      </c>
      <c r="F3425" t="s">
        <v>14</v>
      </c>
      <c r="G3425" t="s">
        <v>7042</v>
      </c>
      <c r="H3425">
             </c>
      <c r="I3425" t="s">
        <v>14</v>
      </c>
      <c r="J3425" t="s">
        <v>38</v>
      </c>
      <c r="K3425" t="s">
        <v>42</v>
      </c>
      <c r="L3425" t="s">
        <v>20</v>
      </c>
      <c r="M3425" t="s">
        <v>7284</v>
      </c>
      <c r="N3425" t="s">
        <v>14</v>
      </c>
    </row>
    <row r="3426" x14ac:dyDescent="0.25">
      <c r="A3426" t="n">
        <v>25</v>
      </c>
      <c r="B3426" t="s">
        <v>14</v>
      </c>
      <c r="C3426" t="s">
        <v>15</v>
      </c>
      <c r="D3426" s="2" t="s">
        <f>=HYPERLINK("https://main.knesset.gov.il/APPS/legislation/main/bills/2214443", "חוק לתיקון דיני הבחירות לרשויות המקומיות והוראות שעה לעניין הבחירות הקרובות, התשפ""ד-2024")</f>
        <v>7285</v>
      </c>
      <c r="E3426" t="s">
        <v>7285</v>
      </c>
      <c r="F3426" t="s">
        <v>14</v>
      </c>
      <c r="G3426" t="s">
        <v>7286</v>
      </c>
      <c r="H3426" t="n">
        <v>3155</v>
      </c>
      <c r="I3426" t="s">
        <v>14</v>
      </c>
      <c r="J3426" t="s">
        <v>18</v>
      </c>
      <c r="K3426" t="s">
        <v>30</v>
      </c>
      <c r="L3426" t="s">
        <v>20</v>
      </c>
      <c r="M3426" t="s">
        <v>7284</v>
      </c>
      <c r="N3426" t="s">
        <v>7287</v>
      </c>
    </row>
    <row r="3427" x14ac:dyDescent="0.25">
      <c r="A3427" t="n">
        <v>25</v>
      </c>
      <c r="B3427" t="s">
        <v>14</v>
      </c>
      <c r="C3427" t="s">
        <v>15</v>
      </c>
      <c r="D3427" s="2" t="s">
        <f>=HYPERLINK("https://main.knesset.gov.il/APPS/legislation/main/bills/2209386", "חוק הבוררות המסחרית הבין-לאומית, התשפ""ד-2024")</f>
        <v>7288</v>
      </c>
      <c r="E3427" t="s">
        <v>7288</v>
      </c>
      <c r="F3427" t="s">
        <v>14</v>
      </c>
      <c r="G3427" t="s">
        <v>7289</v>
      </c>
      <c r="H3427" t="n">
        <v>3156</v>
      </c>
      <c r="I3427" t="s">
        <v>14</v>
      </c>
      <c r="J3427" t="s">
        <v>18</v>
      </c>
      <c r="K3427" t="s">
        <v>27</v>
      </c>
      <c r="L3427" t="s">
        <v>20</v>
      </c>
      <c r="M3427" t="s">
        <v>7284</v>
      </c>
      <c r="N3427" t="s">
        <v>7290</v>
      </c>
    </row>
    <row r="3428" x14ac:dyDescent="0.25">
      <c r="A3428" t="n">
        <v>25</v>
      </c>
      <c r="B3428" t="s">
        <v>14</v>
      </c>
      <c r="C3428" t="s">
        <v>51</v>
      </c>
      <c r="D3428" s="2" t="s">
        <f>=HYPERLINK("https://main.knesset.gov.il/APPS/legislation/main/bills/2212765", "הצעת חוק רכזי ביטחון שוטף לאומי ביישובי ישראל המוגדרים, התשפ""ד-2024")</f>
        <v>7291</v>
      </c>
      <c r="E3428" t="s">
        <v>7291</v>
      </c>
      <c r="F3428" t="s">
        <v>7292</v>
      </c>
      <c r="G3428" t="s">
        <v>14</v>
      </c>
      <c r="H3428">
             </c>
      <c r="I3428" t="s">
        <v>14</v>
      </c>
      <c r="J3428" t="s">
        <v>242</v>
      </c>
      <c r="K3428" t="s">
        <v>14</v>
      </c>
      <c r="L3428" t="s">
        <v>20</v>
      </c>
      <c r="M3428" t="s">
        <v>7284</v>
      </c>
      <c r="N3428" t="s">
        <v>14</v>
      </c>
    </row>
    <row r="3429" x14ac:dyDescent="0.25">
      <c r="A3429" t="n">
        <v>25</v>
      </c>
      <c r="B3429" t="s">
        <v>14</v>
      </c>
      <c r="C3429" t="s">
        <v>51</v>
      </c>
      <c r="D3429" s="2" t="s">
        <f>=HYPERLINK("https://main.knesset.gov.il/APPS/legislation/main/bills/2214555", "הצעת חוק החיילים המשוחררים (החזרה לעבודה) (תיקון - הרחבת תקופת הגנה מפני פיטורים למשרתים במילואים), התשפ""ד-2024")</f>
        <v>6027</v>
      </c>
      <c r="E3429" t="s">
        <v>6027</v>
      </c>
      <c r="F3429" t="s">
        <v>7293</v>
      </c>
      <c r="G3429" t="s">
        <v>14</v>
      </c>
      <c r="H3429">
             </c>
      <c r="I3429" t="s">
        <v>14</v>
      </c>
      <c r="J3429" t="s">
        <v>242</v>
      </c>
      <c r="K3429" t="s">
        <v>14</v>
      </c>
      <c r="L3429" t="s">
        <v>20</v>
      </c>
      <c r="M3429" t="s">
        <v>7284</v>
      </c>
      <c r="N3429" t="s">
        <v>14</v>
      </c>
    </row>
    <row r="3430" x14ac:dyDescent="0.25">
      <c r="A3430" t="n">
        <v>25</v>
      </c>
      <c r="B3430" t="s">
        <v>14</v>
      </c>
      <c r="C3430" t="s">
        <v>51</v>
      </c>
      <c r="D3430" s="2" t="s">
        <f>=HYPERLINK("https://main.knesset.gov.il/APPS/legislation/main/bills/2213821", "הצעת חוק הביטוח הלאומי (תיקון - תשלום דמי אבטלה לנשים שיצאו לחופשה ללא תשלום לאחר לידה מסיבות מוצדקות) (הוראת שעה - חרבות ברזל), התשפ""ד-2024")</f>
        <v>7294</v>
      </c>
      <c r="E3430" t="s">
        <v>7294</v>
      </c>
      <c r="F3430" t="s">
        <v>7295</v>
      </c>
      <c r="G3430" t="s">
        <v>14</v>
      </c>
      <c r="H3430">
             </c>
      <c r="I3430" t="s">
        <v>14</v>
      </c>
      <c r="J3430" t="s">
        <v>242</v>
      </c>
      <c r="K3430" t="s">
        <v>14</v>
      </c>
      <c r="L3430" t="s">
        <v>20</v>
      </c>
      <c r="M3430" t="s">
        <v>7284</v>
      </c>
      <c r="N3430" t="s">
        <v>14</v>
      </c>
    </row>
    <row r="3431" x14ac:dyDescent="0.25">
      <c r="A3431" t="n">
        <v>25</v>
      </c>
      <c r="B3431" t="s">
        <v>14</v>
      </c>
      <c r="C3431" t="s">
        <v>51</v>
      </c>
      <c r="D3431" s="2" t="s">
        <f>=HYPERLINK("https://main.knesset.gov.il/APPS/legislation/main/bills/2214653", "הצעת חוק הביטוח הלאומי (תיקון - גמלה בשל דיכאון לאחר לידה), התשפ""ד-2024")</f>
        <v>7296</v>
      </c>
      <c r="E3431" t="s">
        <v>7296</v>
      </c>
      <c r="F3431" t="s">
        <v>7297</v>
      </c>
      <c r="G3431" t="s">
        <v>14</v>
      </c>
      <c r="H3431">
             </c>
      <c r="I3431" t="s">
        <v>14</v>
      </c>
      <c r="J3431" t="s">
        <v>242</v>
      </c>
      <c r="K3431" t="s">
        <v>14</v>
      </c>
      <c r="L3431" t="s">
        <v>20</v>
      </c>
      <c r="M3431" t="s">
        <v>7284</v>
      </c>
      <c r="N3431" t="s">
        <v>14</v>
      </c>
    </row>
    <row r="3432" x14ac:dyDescent="0.25">
      <c r="A3432" t="n">
        <v>25</v>
      </c>
      <c r="B3432" t="s">
        <v>14</v>
      </c>
      <c r="C3432" t="s">
        <v>51</v>
      </c>
      <c r="D3432" s="2" t="s">
        <f>=HYPERLINK("https://main.knesset.gov.il/APPS/legislation/main/bills/2214188", "הצעת חוק הגנה על עובדים בשעת חירום (תיקון - הגנה על בני ובנות זוג של משרתי מילואים) (הוראת שעה - חרבות ברזל), התשפ""ד-2024")</f>
        <v>7298</v>
      </c>
      <c r="E3432" t="s">
        <v>7298</v>
      </c>
      <c r="F3432" t="s">
        <v>7299</v>
      </c>
      <c r="G3432" t="s">
        <v>14</v>
      </c>
      <c r="H3432">
             </c>
      <c r="I3432" t="s">
        <v>14</v>
      </c>
      <c r="J3432" t="s">
        <v>242</v>
      </c>
      <c r="K3432" t="s">
        <v>14</v>
      </c>
      <c r="L3432" t="s">
        <v>20</v>
      </c>
      <c r="M3432" t="s">
        <v>7284</v>
      </c>
      <c r="N3432" t="s">
        <v>14</v>
      </c>
    </row>
    <row r="3433" x14ac:dyDescent="0.25">
      <c r="A3433" t="n">
        <v>25</v>
      </c>
      <c r="B3433" t="s">
        <v>14</v>
      </c>
      <c r="C3433" t="s">
        <v>51</v>
      </c>
      <c r="D3433" s="2" t="s">
        <f>=HYPERLINK("https://main.knesset.gov.il/APPS/legislation/main/bills/2214654", "הצעת חוק הביטוח הלאומי (תיקון - דמי אבטלה למתמחים), התשפ""ד-2024")</f>
        <v>7300</v>
      </c>
      <c r="E3433" t="s">
        <v>7300</v>
      </c>
      <c r="F3433" t="s">
        <v>7301</v>
      </c>
      <c r="G3433" t="s">
        <v>14</v>
      </c>
      <c r="H3433">
             </c>
      <c r="I3433" t="s">
        <v>14</v>
      </c>
      <c r="J3433" t="s">
        <v>242</v>
      </c>
      <c r="K3433" t="s">
        <v>14</v>
      </c>
      <c r="L3433" t="s">
        <v>20</v>
      </c>
      <c r="M3433" t="s">
        <v>7284</v>
      </c>
      <c r="N3433" t="s">
        <v>14</v>
      </c>
    </row>
    <row r="3434" x14ac:dyDescent="0.25">
      <c r="A3434" t="n">
        <v>25</v>
      </c>
      <c r="B3434" t="s">
        <v>14</v>
      </c>
      <c r="C3434" t="s">
        <v>51</v>
      </c>
      <c r="D3434" s="2" t="s">
        <f>=HYPERLINK("https://main.knesset.gov.il/APPS/legislation/main/bills/2214320", "הצעת חוק הביטוח הלאומי (תיקון - ביטול מבחן הכנסה לצורך קביעת זכאות ניצול שואה לגמלת סיעוד), התשפ""ד-2024")</f>
        <v>7302</v>
      </c>
      <c r="E3434" t="s">
        <v>7302</v>
      </c>
      <c r="F3434" t="s">
        <v>7303</v>
      </c>
      <c r="G3434" t="s">
        <v>14</v>
      </c>
      <c r="H3434">
             </c>
      <c r="I3434" t="s">
        <v>14</v>
      </c>
      <c r="J3434" t="s">
        <v>242</v>
      </c>
      <c r="K3434" t="s">
        <v>14</v>
      </c>
      <c r="L3434" t="s">
        <v>20</v>
      </c>
      <c r="M3434" t="s">
        <v>7284</v>
      </c>
      <c r="N3434" t="s">
        <v>14</v>
      </c>
    </row>
    <row r="3435" x14ac:dyDescent="0.25">
      <c r="A3435" t="n">
        <v>25</v>
      </c>
      <c r="B3435" t="s">
        <v>14</v>
      </c>
      <c r="C3435" t="s">
        <v>51</v>
      </c>
      <c r="D3435" s="2" t="s">
        <f>=HYPERLINK("https://main.knesset.gov.il/APPS/legislation/main/bills/2213629", "הצעת חוק לייצור אמצעי לחימה בתעשיות הביטחוניות בישראל, התשפ""ד-2024")</f>
        <v>7187</v>
      </c>
      <c r="E3435" t="s">
        <v>7187</v>
      </c>
      <c r="F3435" t="s">
        <v>7304</v>
      </c>
      <c r="G3435" t="s">
        <v>14</v>
      </c>
      <c r="H3435">
             </c>
      <c r="I3435" t="s">
        <v>14</v>
      </c>
      <c r="J3435" t="s">
        <v>242</v>
      </c>
      <c r="K3435" t="s">
        <v>14</v>
      </c>
      <c r="L3435" t="s">
        <v>20</v>
      </c>
      <c r="M3435" t="s">
        <v>7284</v>
      </c>
      <c r="N3435" t="s">
        <v>14</v>
      </c>
    </row>
    <row r="3436" x14ac:dyDescent="0.25">
      <c r="A3436" t="n">
        <v>25</v>
      </c>
      <c r="B3436" t="s">
        <v>14</v>
      </c>
      <c r="C3436" t="s">
        <v>51</v>
      </c>
      <c r="D3436" s="2" t="s">
        <f>=HYPERLINK("https://main.knesset.gov.il/APPS/legislation/main/bills/2214664", "הצעת חוק הביטוח הלאומי (תיקון - תשלום גמלה לשמירת היריון בעד כל התקופה), התשפ""ד-2024")</f>
        <v>6401</v>
      </c>
      <c r="E3436" t="s">
        <v>6401</v>
      </c>
      <c r="F3436" t="s">
        <v>7305</v>
      </c>
      <c r="G3436" t="s">
        <v>14</v>
      </c>
      <c r="H3436">
             </c>
      <c r="I3436" t="s">
        <v>14</v>
      </c>
      <c r="J3436" t="s">
        <v>242</v>
      </c>
      <c r="K3436" t="s">
        <v>14</v>
      </c>
      <c r="L3436" t="s">
        <v>20</v>
      </c>
      <c r="M3436" t="s">
        <v>7284</v>
      </c>
      <c r="N3436" t="s">
        <v>14</v>
      </c>
    </row>
    <row r="3437" x14ac:dyDescent="0.25">
      <c r="A3437" t="n">
        <v>25</v>
      </c>
      <c r="B3437" t="s">
        <v>14</v>
      </c>
      <c r="C3437" t="s">
        <v>51</v>
      </c>
      <c r="D3437" s="2" t="s">
        <f>=HYPERLINK("https://main.knesset.gov.il/APPS/legislation/main/bills/2214663", "הצעת חוק עבודת נשים (תיקון - תקופת לידה והורות לנשים בעבודה פיזית קשה), התשפ""ד-2024")</f>
        <v>7306</v>
      </c>
      <c r="E3437" t="s">
        <v>7306</v>
      </c>
      <c r="F3437" t="s">
        <v>7307</v>
      </c>
      <c r="G3437" t="s">
        <v>14</v>
      </c>
      <c r="H3437">
             </c>
      <c r="I3437" t="s">
        <v>14</v>
      </c>
      <c r="J3437" t="s">
        <v>242</v>
      </c>
      <c r="K3437" t="s">
        <v>14</v>
      </c>
      <c r="L3437" t="s">
        <v>20</v>
      </c>
      <c r="M3437" t="s">
        <v>7284</v>
      </c>
      <c r="N3437" t="s">
        <v>14</v>
      </c>
    </row>
    <row r="3438" x14ac:dyDescent="0.25">
      <c r="A3438" t="n">
        <v>25</v>
      </c>
      <c r="B3438" t="s">
        <v>14</v>
      </c>
      <c r="C3438" t="s">
        <v>51</v>
      </c>
      <c r="D3438" s="2" t="s">
        <f>=HYPERLINK("https://main.knesset.gov.il/APPS/legislation/main/bills/2209956", "הצעת חוק זכויות הסטודנט (תיקון - התאמות למועמד ללימודים שעברית אינה שפת אמו), התשפ""ד-2024")</f>
        <v>7308</v>
      </c>
      <c r="E3438" t="s">
        <v>7308</v>
      </c>
      <c r="F3438" t="s">
        <v>7309</v>
      </c>
      <c r="G3438" t="s">
        <v>14</v>
      </c>
      <c r="H3438">
             </c>
      <c r="I3438" t="s">
        <v>14</v>
      </c>
      <c r="J3438" t="s">
        <v>242</v>
      </c>
      <c r="K3438" t="s">
        <v>14</v>
      </c>
      <c r="L3438" t="s">
        <v>20</v>
      </c>
      <c r="M3438" t="s">
        <v>7284</v>
      </c>
      <c r="N3438" t="s">
        <v>14</v>
      </c>
    </row>
    <row r="3439" x14ac:dyDescent="0.25">
      <c r="A3439" t="n">
        <v>25</v>
      </c>
      <c r="B3439" t="s">
        <v>14</v>
      </c>
      <c r="C3439" t="s">
        <v>51</v>
      </c>
      <c r="D3439" s="2" t="s">
        <f>=HYPERLINK("https://main.knesset.gov.il/APPS/legislation/main/bills/2214256", "הצעת חוק החברות הממשלתיות (תיקון - מינוי דירקטורים מקרב עובדי החברה), התשפ""ד-2024")</f>
        <v>7310</v>
      </c>
      <c r="E3439" t="s">
        <v>7310</v>
      </c>
      <c r="F3439" t="s">
        <v>7311</v>
      </c>
      <c r="G3439" t="s">
        <v>14</v>
      </c>
      <c r="H3439">
             </c>
      <c r="I3439" t="s">
        <v>14</v>
      </c>
      <c r="J3439" t="s">
        <v>242</v>
      </c>
      <c r="K3439" t="s">
        <v>14</v>
      </c>
      <c r="L3439" t="s">
        <v>20</v>
      </c>
      <c r="M3439" t="s">
        <v>7284</v>
      </c>
      <c r="N3439" t="s">
        <v>14</v>
      </c>
    </row>
    <row r="3440" x14ac:dyDescent="0.25">
      <c r="A3440" t="n">
        <v>25</v>
      </c>
      <c r="B3440" t="s">
        <v>14</v>
      </c>
      <c r="C3440" t="s">
        <v>51</v>
      </c>
      <c r="D3440" s="2" t="s">
        <f>=HYPERLINK("https://main.knesset.gov.il/APPS/legislation/main/bills/2214319", "הצעת חוק הסיוע המשפטי (תיקון - סיוע משפטי לנפגעי הונאה ועושק), התשפ""ד-2024")</f>
        <v>7312</v>
      </c>
      <c r="E3440" t="s">
        <v>7312</v>
      </c>
      <c r="F3440" t="s">
        <v>7313</v>
      </c>
      <c r="G3440" t="s">
        <v>14</v>
      </c>
      <c r="H3440">
             </c>
      <c r="I3440" t="s">
        <v>14</v>
      </c>
      <c r="J3440" t="s">
        <v>242</v>
      </c>
      <c r="K3440" t="s">
        <v>14</v>
      </c>
      <c r="L3440" t="s">
        <v>20</v>
      </c>
      <c r="M3440" t="s">
        <v>7284</v>
      </c>
      <c r="N3440" t="s">
        <v>14</v>
      </c>
    </row>
    <row r="3441" x14ac:dyDescent="0.25">
      <c r="A3441" t="n">
        <v>25</v>
      </c>
      <c r="B3441" t="s">
        <v>14</v>
      </c>
      <c r="C3441" t="s">
        <v>51</v>
      </c>
      <c r="D3441" s="2" t="s">
        <f>=HYPERLINK("https://main.knesset.gov.il/APPS/legislation/main/bills/2210131", "הצעת חוק בתי המשפט (תיקון - ערעור על החלטת שופט בית המשפט העליון בטענת פסלות), התשפ""ד-2024")</f>
        <v>7314</v>
      </c>
      <c r="E3441" t="s">
        <v>7314</v>
      </c>
      <c r="F3441" t="s">
        <v>7315</v>
      </c>
      <c r="G3441" t="s">
        <v>14</v>
      </c>
      <c r="H3441">
             </c>
      <c r="I3441" t="s">
        <v>14</v>
      </c>
      <c r="J3441" t="s">
        <v>242</v>
      </c>
      <c r="K3441" t="s">
        <v>14</v>
      </c>
      <c r="L3441" t="s">
        <v>20</v>
      </c>
      <c r="M3441" t="s">
        <v>7284</v>
      </c>
      <c r="N3441" t="s">
        <v>14</v>
      </c>
    </row>
    <row r="3442" x14ac:dyDescent="0.25">
      <c r="A3442" t="n">
        <v>25</v>
      </c>
      <c r="B3442" t="s">
        <v>14</v>
      </c>
      <c r="C3442" t="s">
        <v>51</v>
      </c>
      <c r="D3442" s="2" t="s">
        <f>=HYPERLINK("https://main.knesset.gov.il/APPS/legislation/main/bills/2214442", "הצעת חוק העונשין (תיקון - החמרת הענישה בעבירת סחר בנשק של כוחות הביטחון), התשפ""ד-2024")</f>
        <v>7316</v>
      </c>
      <c r="E3442" t="s">
        <v>7316</v>
      </c>
      <c r="F3442" t="s">
        <v>7317</v>
      </c>
      <c r="G3442" t="s">
        <v>14</v>
      </c>
      <c r="H3442">
             </c>
      <c r="I3442" t="s">
        <v>14</v>
      </c>
      <c r="J3442" t="s">
        <v>242</v>
      </c>
      <c r="K3442" t="s">
        <v>14</v>
      </c>
      <c r="L3442" t="s">
        <v>20</v>
      </c>
      <c r="M3442" t="s">
        <v>7284</v>
      </c>
      <c r="N3442" t="s">
        <v>14</v>
      </c>
    </row>
    <row r="3443" x14ac:dyDescent="0.25">
      <c r="A3443" t="n">
        <v>25</v>
      </c>
      <c r="B3443" t="s">
        <v>14</v>
      </c>
      <c r="C3443" t="s">
        <v>51</v>
      </c>
      <c r="D3443" s="2" t="s">
        <f>=HYPERLINK("https://main.knesset.gov.il/APPS/legislation/main/bills/2212926", "הצעת חוק לתיקון פקודת התעבורה (סייגים למתן רישיון נהיגה), התשפ""ד-2024")</f>
        <v>7318</v>
      </c>
      <c r="E3443" t="s">
        <v>7318</v>
      </c>
      <c r="F3443" t="s">
        <v>7319</v>
      </c>
      <c r="G3443" t="s">
        <v>14</v>
      </c>
      <c r="H3443">
             </c>
      <c r="I3443" t="s">
        <v>14</v>
      </c>
      <c r="J3443" t="s">
        <v>242</v>
      </c>
      <c r="K3443" t="s">
        <v>14</v>
      </c>
      <c r="L3443" t="s">
        <v>20</v>
      </c>
      <c r="M3443" t="s">
        <v>7284</v>
      </c>
      <c r="N3443" t="s">
        <v>14</v>
      </c>
    </row>
    <row r="3444" x14ac:dyDescent="0.25">
      <c r="A3444" t="n">
        <v>25</v>
      </c>
      <c r="B3444" t="s">
        <v>14</v>
      </c>
      <c r="C3444" t="s">
        <v>51</v>
      </c>
      <c r="D3444" s="2" t="s">
        <f>=HYPERLINK("https://main.knesset.gov.il/APPS/legislation/main/bills/2210248", "הצעת חוק-יסוד: השפיטה (תיקון - פיקוח על עבודת השופטים)")</f>
        <v>7320</v>
      </c>
      <c r="E3444" t="s">
        <v>7320</v>
      </c>
      <c r="F3444" t="s">
        <v>7321</v>
      </c>
      <c r="G3444" t="s">
        <v>14</v>
      </c>
      <c r="H3444">
             </c>
      <c r="I3444" t="s">
        <v>14</v>
      </c>
      <c r="J3444" t="s">
        <v>242</v>
      </c>
      <c r="K3444" t="s">
        <v>14</v>
      </c>
      <c r="L3444" t="s">
        <v>20</v>
      </c>
      <c r="M3444" t="s">
        <v>7284</v>
      </c>
      <c r="N3444" t="s">
        <v>14</v>
      </c>
    </row>
    <row r="3445" x14ac:dyDescent="0.25">
      <c r="A3445" t="n">
        <v>25</v>
      </c>
      <c r="B3445" t="s">
        <v>14</v>
      </c>
      <c r="C3445" t="s">
        <v>51</v>
      </c>
      <c r="D3445" s="2" t="s">
        <f>=HYPERLINK("https://main.knesset.gov.il/APPS/legislation/main/bills/2212340", "הצעת חוק המועצה לענף הלול (ייצור ושיווק) (תיקון - סימון ביצים), התשפ""ד-2024")</f>
        <v>6207</v>
      </c>
      <c r="E3445" t="s">
        <v>6207</v>
      </c>
      <c r="F3445" t="s">
        <v>7322</v>
      </c>
      <c r="G3445" t="s">
        <v>14</v>
      </c>
      <c r="H3445">
             </c>
      <c r="I3445" t="s">
        <v>14</v>
      </c>
      <c r="J3445" t="s">
        <v>242</v>
      </c>
      <c r="K3445" t="s">
        <v>14</v>
      </c>
      <c r="L3445" t="s">
        <v>20</v>
      </c>
      <c r="M3445" t="s">
        <v>7284</v>
      </c>
      <c r="N3445" t="s">
        <v>14</v>
      </c>
    </row>
    <row r="3446" x14ac:dyDescent="0.25">
      <c r="A3446" t="n">
        <v>25</v>
      </c>
      <c r="B3446" t="s">
        <v>14</v>
      </c>
      <c r="C3446" t="s">
        <v>51</v>
      </c>
      <c r="D3446" s="2" t="s">
        <f>=HYPERLINK("https://main.knesset.gov.il/APPS/legislation/main/bills/2214660", "הצעת חוק הביטוח הלאומי (תיקון - קצבת לידה בשל לידת תאומים), התשפ""ד-2024")</f>
        <v>7323</v>
      </c>
      <c r="E3446" t="s">
        <v>7323</v>
      </c>
      <c r="F3446" t="s">
        <v>7324</v>
      </c>
      <c r="G3446" t="s">
        <v>14</v>
      </c>
      <c r="H3446">
             </c>
      <c r="I3446" t="s">
        <v>14</v>
      </c>
      <c r="J3446" t="s">
        <v>242</v>
      </c>
      <c r="K3446" t="s">
        <v>14</v>
      </c>
      <c r="L3446" t="s">
        <v>20</v>
      </c>
      <c r="M3446" t="s">
        <v>7284</v>
      </c>
      <c r="N3446" t="s">
        <v>14</v>
      </c>
    </row>
    <row r="3447" x14ac:dyDescent="0.25">
      <c r="A3447" t="n">
        <v>25</v>
      </c>
      <c r="B3447" t="s">
        <v>14</v>
      </c>
      <c r="C3447" t="s">
        <v>51</v>
      </c>
      <c r="D3447" s="2" t="s">
        <f>=HYPERLINK("https://main.knesset.gov.il/APPS/legislation/main/bills/2214310", "הצעת חוק העונשין (תיקון - הגנה על בסיסי צה""ל, שטחי אש, תחנות משטרה ומתקנים ביטחוניים), התשפ""ד-2024 ")</f>
        <v>7325</v>
      </c>
      <c r="E3447" t="s">
        <v>7325</v>
      </c>
      <c r="F3447" t="s">
        <v>7326</v>
      </c>
      <c r="G3447" t="s">
        <v>14</v>
      </c>
      <c r="H3447">
             </c>
      <c r="I3447" t="s">
        <v>14</v>
      </c>
      <c r="J3447" t="s">
        <v>242</v>
      </c>
      <c r="K3447" t="s">
        <v>14</v>
      </c>
      <c r="L3447" t="s">
        <v>20</v>
      </c>
      <c r="M3447" t="s">
        <v>7284</v>
      </c>
      <c r="N3447" t="s">
        <v>14</v>
      </c>
    </row>
    <row r="3448" x14ac:dyDescent="0.25">
      <c r="A3448" t="n">
        <v>25</v>
      </c>
      <c r="B3448" t="s">
        <v>14</v>
      </c>
      <c r="C3448" t="s">
        <v>51</v>
      </c>
      <c r="D3448" s="2" t="s">
        <f>=HYPERLINK("https://main.knesset.gov.il/APPS/legislation/main/bills/2214309", "הצעת חוק העונשין (תיקון - החמרת ענישה בעבירות ביזה) (הוראת שעה), התשפ""ד-2024")</f>
        <v>6663</v>
      </c>
      <c r="E3448" t="s">
        <v>6663</v>
      </c>
      <c r="F3448" t="s">
        <v>7327</v>
      </c>
      <c r="G3448" t="s">
        <v>14</v>
      </c>
      <c r="H3448">
             </c>
      <c r="I3448" t="s">
        <v>14</v>
      </c>
      <c r="J3448" t="s">
        <v>242</v>
      </c>
      <c r="K3448" t="s">
        <v>14</v>
      </c>
      <c r="L3448" t="s">
        <v>20</v>
      </c>
      <c r="M3448" t="s">
        <v>7284</v>
      </c>
      <c r="N3448" t="s">
        <v>14</v>
      </c>
    </row>
    <row r="3449" x14ac:dyDescent="0.25">
      <c r="A3449" t="n">
        <v>25</v>
      </c>
      <c r="B3449" t="s">
        <v>14</v>
      </c>
      <c r="C3449" t="s">
        <v>51</v>
      </c>
      <c r="D3449" s="2" t="s">
        <f>=HYPERLINK("https://main.knesset.gov.il/APPS/legislation/main/bills/2210347", "הצעת חוק כבישי אגרה (תיקוני חקיקה), התשפ""ד-2024")</f>
        <v>7328</v>
      </c>
      <c r="E3449" t="s">
        <v>7328</v>
      </c>
      <c r="F3449" t="s">
        <v>7329</v>
      </c>
      <c r="G3449" t="s">
        <v>14</v>
      </c>
      <c r="H3449">
             </c>
      <c r="I3449" t="s">
        <v>14</v>
      </c>
      <c r="J3449" t="s">
        <v>242</v>
      </c>
      <c r="K3449" t="s">
        <v>14</v>
      </c>
      <c r="L3449" t="s">
        <v>20</v>
      </c>
      <c r="M3449" t="s">
        <v>7284</v>
      </c>
      <c r="N3449" t="s">
        <v>14</v>
      </c>
    </row>
    <row r="3450" x14ac:dyDescent="0.25">
      <c r="A3450" t="n">
        <v>25</v>
      </c>
      <c r="B3450" t="s">
        <v>14</v>
      </c>
      <c r="C3450" t="s">
        <v>51</v>
      </c>
      <c r="D3450" s="2" t="s">
        <f>=HYPERLINK("https://main.knesset.gov.il/APPS/legislation/main/bills/2214445", "הצעת חוק העונשין (תיקון - פריצה למיתקן ביטחוני), התשפ""ד-2024")</f>
        <v>7330</v>
      </c>
      <c r="E3450" t="s">
        <v>7330</v>
      </c>
      <c r="F3450" t="s">
        <v>7331</v>
      </c>
      <c r="G3450" t="s">
        <v>14</v>
      </c>
      <c r="H3450">
             </c>
      <c r="I3450" t="s">
        <v>14</v>
      </c>
      <c r="J3450" t="s">
        <v>242</v>
      </c>
      <c r="K3450" t="s">
        <v>14</v>
      </c>
      <c r="L3450" t="s">
        <v>20</v>
      </c>
      <c r="M3450" t="s">
        <v>7284</v>
      </c>
      <c r="N3450" t="s">
        <v>14</v>
      </c>
    </row>
    <row r="3451" x14ac:dyDescent="0.25">
      <c r="A3451" t="n">
        <v>25</v>
      </c>
      <c r="B3451" t="s">
        <v>14</v>
      </c>
      <c r="C3451" t="s">
        <v>51</v>
      </c>
      <c r="D3451" s="2" t="s">
        <f>=HYPERLINK("https://main.knesset.gov.il/APPS/legislation/main/bills/2214306", "הצעת חוק העונשין (תיקון - חילוט בעבירות החזקת נשק בלתי חוקי ללא אישום או הרשעה), התשפ""ד-2024")</f>
        <v>7332</v>
      </c>
      <c r="E3451" t="s">
        <v>7332</v>
      </c>
      <c r="F3451" t="s">
        <v>7333</v>
      </c>
      <c r="G3451" t="s">
        <v>14</v>
      </c>
      <c r="H3451">
             </c>
      <c r="I3451" t="s">
        <v>14</v>
      </c>
      <c r="J3451" t="s">
        <v>242</v>
      </c>
      <c r="K3451" t="s">
        <v>14</v>
      </c>
      <c r="L3451" t="s">
        <v>20</v>
      </c>
      <c r="M3451" t="s">
        <v>7284</v>
      </c>
      <c r="N3451" t="s">
        <v>14</v>
      </c>
    </row>
    <row r="3452" x14ac:dyDescent="0.25">
      <c r="A3452" t="n">
        <v>25</v>
      </c>
      <c r="B3452" t="s">
        <v>14</v>
      </c>
      <c r="C3452" t="s">
        <v>51</v>
      </c>
      <c r="D3452" s="2" t="s">
        <f>=HYPERLINK("https://main.knesset.gov.il/APPS/legislation/main/bills/2214312", "הצעת חוק זיכרון השואה והגבורה - יד ושם (תיקון - עידוד יצירה להנצחת זיכרון השואה והגבורה), התשפ""ד-2024")</f>
        <v>7334</v>
      </c>
      <c r="E3452" t="s">
        <v>7334</v>
      </c>
      <c r="F3452" t="s">
        <v>7335</v>
      </c>
      <c r="G3452" t="s">
        <v>14</v>
      </c>
      <c r="H3452">
             </c>
      <c r="I3452" t="s">
        <v>14</v>
      </c>
      <c r="J3452" t="s">
        <v>242</v>
      </c>
      <c r="K3452" t="s">
        <v>14</v>
      </c>
      <c r="L3452" t="s">
        <v>20</v>
      </c>
      <c r="M3452" t="s">
        <v>7284</v>
      </c>
      <c r="N3452" t="s">
        <v>14</v>
      </c>
    </row>
    <row r="3453" x14ac:dyDescent="0.25">
      <c r="A3453" t="n">
        <v>25</v>
      </c>
      <c r="B3453" t="s">
        <v>14</v>
      </c>
      <c r="C3453" t="s">
        <v>51</v>
      </c>
      <c r="D3453" s="2" t="s">
        <f>=HYPERLINK("https://main.knesset.gov.il/APPS/legislation/main/bills/2214314", "הצעת חוק מענק יובל לעובדי הוראה עולים, התשפ""ד-2024")</f>
        <v>7336</v>
      </c>
      <c r="E3453" t="s">
        <v>7336</v>
      </c>
      <c r="F3453" t="s">
        <v>7337</v>
      </c>
      <c r="G3453" t="s">
        <v>14</v>
      </c>
      <c r="H3453">
             </c>
      <c r="I3453" t="s">
        <v>14</v>
      </c>
      <c r="J3453" t="s">
        <v>242</v>
      </c>
      <c r="K3453" t="s">
        <v>14</v>
      </c>
      <c r="L3453" t="s">
        <v>20</v>
      </c>
      <c r="M3453" t="s">
        <v>7284</v>
      </c>
      <c r="N3453" t="s">
        <v>14</v>
      </c>
    </row>
    <row r="3454" x14ac:dyDescent="0.25">
      <c r="A3454" t="n">
        <v>25</v>
      </c>
      <c r="B3454" t="s">
        <v>14</v>
      </c>
      <c r="C3454" t="s">
        <v>51</v>
      </c>
      <c r="D3454" s="2" t="s">
        <f>=HYPERLINK("https://main.knesset.gov.il/APPS/legislation/main/bills/2214659", "הצעת חוק זכויות הסטודנט (תיקון - התאמות לסטודנטית לאחר לידה), התשפ""ד-2024")</f>
        <v>7338</v>
      </c>
      <c r="E3454" t="s">
        <v>7338</v>
      </c>
      <c r="F3454" t="s">
        <v>7339</v>
      </c>
      <c r="G3454" t="s">
        <v>14</v>
      </c>
      <c r="H3454">
             </c>
      <c r="I3454" t="s">
        <v>14</v>
      </c>
      <c r="J3454" t="s">
        <v>242</v>
      </c>
      <c r="K3454" t="s">
        <v>14</v>
      </c>
      <c r="L3454" t="s">
        <v>20</v>
      </c>
      <c r="M3454" t="s">
        <v>7284</v>
      </c>
      <c r="N3454" t="s">
        <v>14</v>
      </c>
    </row>
    <row r="3455" x14ac:dyDescent="0.25">
      <c r="A3455" t="n">
        <v>25</v>
      </c>
      <c r="B3455" t="s">
        <v>14</v>
      </c>
      <c r="C3455" t="s">
        <v>15</v>
      </c>
      <c r="D3455" s="2" t="s">
        <f>=HYPERLINK("https://main.knesset.gov.il/APPS/legislation/main/bills/2214872", "הצעת חוק לצמצום השימוש במזומן (תיקון מס' 2) (הגבלה על מתן הלוואות במזומן על ידי גופים פיננסיים מפוקחים), התשפ""ד-2024")</f>
        <v>7340</v>
      </c>
      <c r="E3455" t="s">
        <v>7340</v>
      </c>
      <c r="F3455" t="s">
        <v>14</v>
      </c>
      <c r="G3455" t="s">
        <v>7341</v>
      </c>
      <c r="H3455">
             </c>
      <c r="I3455" t="s">
        <v>14</v>
      </c>
      <c r="J3455" t="s">
        <v>303</v>
      </c>
      <c r="K3455" t="s">
        <v>14</v>
      </c>
      <c r="L3455" t="s">
        <v>20</v>
      </c>
      <c r="M3455" t="s">
        <v>7284</v>
      </c>
      <c r="N3455" t="s">
        <v>14</v>
      </c>
    </row>
    <row r="3456" x14ac:dyDescent="0.25">
      <c r="A3456" t="n">
        <v>25</v>
      </c>
      <c r="B3456" t="s">
        <v>14</v>
      </c>
      <c r="C3456" t="s">
        <v>51</v>
      </c>
      <c r="D3456" s="2" t="s">
        <f>=HYPERLINK("https://main.knesset.gov.il/APPS/legislation/main/bills/2212681", "הצעת חוק העבירות המינהליות (תיקון - הפחתת תוספת הפיגור על אי-תשלום קנס), התשפ""ד-2024 פ/4166/25")</f>
        <v>7342</v>
      </c>
      <c r="E3456" t="s">
        <v>7342</v>
      </c>
      <c r="F3456" t="s">
        <v>7343</v>
      </c>
      <c r="G3456" t="s">
        <v>14</v>
      </c>
      <c r="H3456">
             </c>
      <c r="I3456" t="s">
        <v>14</v>
      </c>
      <c r="J3456" t="s">
        <v>183</v>
      </c>
      <c r="K3456" t="s">
        <v>27</v>
      </c>
      <c r="L3456" t="s">
        <v>20</v>
      </c>
      <c r="M3456" t="s">
        <v>7344</v>
      </c>
      <c r="N3456" t="s">
        <v>14</v>
      </c>
    </row>
    <row r="3457" x14ac:dyDescent="0.25">
      <c r="A3457" t="n">
        <v>25</v>
      </c>
      <c r="B3457" t="s">
        <v>14</v>
      </c>
      <c r="C3457" t="s">
        <v>51</v>
      </c>
      <c r="D3457" s="2" t="s">
        <f>=HYPERLINK("https://main.knesset.gov.il/APPS/legislation/main/bills/2203986", "הצעת חוק העבירות המינהליות (תיקון - הפחתת תוספת הפיגור על אי-תשלום קנס), התשפ""ג-2023 פ/3253/25")</f>
        <v>7345</v>
      </c>
      <c r="E3457" t="s">
        <v>7345</v>
      </c>
      <c r="F3457" t="s">
        <v>7346</v>
      </c>
      <c r="G3457" t="s">
        <v>14</v>
      </c>
      <c r="H3457">
             </c>
      <c r="I3457" t="s">
        <v>14</v>
      </c>
      <c r="J3457" t="s">
        <v>183</v>
      </c>
      <c r="K3457" t="s">
        <v>27</v>
      </c>
      <c r="L3457" t="s">
        <v>20</v>
      </c>
      <c r="M3457" t="s">
        <v>7344</v>
      </c>
      <c r="N3457" t="s">
        <v>14</v>
      </c>
    </row>
    <row r="3458" x14ac:dyDescent="0.25">
      <c r="A3458" t="n">
        <v>25</v>
      </c>
      <c r="B3458" t="s">
        <v>14</v>
      </c>
      <c r="C3458" t="s">
        <v>51</v>
      </c>
      <c r="D3458" s="2" t="s">
        <f>=HYPERLINK("https://main.knesset.gov.il/APPS/legislation/main/bills/2202920", "הצעת חוק שימוש בזרע של נפטר לשם הולדה, התשפ""ג-2023 ")</f>
        <v>7347</v>
      </c>
      <c r="E3458" t="s">
        <v>7347</v>
      </c>
      <c r="F3458" t="s">
        <v>7348</v>
      </c>
      <c r="G3458" t="s">
        <v>14</v>
      </c>
      <c r="H3458">
             </c>
      <c r="I3458" t="s">
        <v>14</v>
      </c>
      <c r="J3458" t="s">
        <v>2082</v>
      </c>
      <c r="K3458" t="s">
        <v>361</v>
      </c>
      <c r="L3458" t="s">
        <v>20</v>
      </c>
      <c r="M3458" t="s">
        <v>7349</v>
      </c>
      <c r="N3458" t="s">
        <v>14</v>
      </c>
    </row>
    <row r="3459" x14ac:dyDescent="0.25">
      <c r="A3459" t="n">
        <v>25</v>
      </c>
      <c r="B3459" t="s">
        <v>14</v>
      </c>
      <c r="C3459" t="s">
        <v>51</v>
      </c>
      <c r="D3459" s="2" t="s">
        <f>=HYPERLINK("https://main.knesset.gov.il/APPS/legislation/main/bills/2199820", "הצעת חוק אומנה לילדים (תיקון - אומנת חירום), התשפ""ג-2023")</f>
        <v>7350</v>
      </c>
      <c r="E3459" t="s">
        <v>7350</v>
      </c>
      <c r="F3459" t="s">
        <v>7351</v>
      </c>
      <c r="G3459" t="s">
        <v>14</v>
      </c>
      <c r="H3459">
             </c>
      <c r="I3459" t="s">
        <v>14</v>
      </c>
      <c r="J3459" t="s">
        <v>183</v>
      </c>
      <c r="K3459" t="s">
        <v>46</v>
      </c>
      <c r="L3459" t="s">
        <v>20</v>
      </c>
      <c r="M3459" t="s">
        <v>7352</v>
      </c>
      <c r="N3459" t="s">
        <v>14</v>
      </c>
    </row>
    <row r="3460" x14ac:dyDescent="0.25">
      <c r="A3460" t="n">
        <v>25</v>
      </c>
      <c r="B3460" t="s">
        <v>14</v>
      </c>
      <c r="C3460" t="s">
        <v>51</v>
      </c>
      <c r="D3460" s="2" t="s">
        <f>=HYPERLINK("https://main.knesset.gov.il/APPS/legislation/main/bills/2203426", "הצעת חוק מגבלות על חזרתו של מורשע במעשה טרור לסביבת נפגעי העבירה, התשפ""ג-2023")</f>
        <v>7353</v>
      </c>
      <c r="E3460" t="s">
        <v>7353</v>
      </c>
      <c r="F3460" t="s">
        <v>7354</v>
      </c>
      <c r="G3460" t="s">
        <v>14</v>
      </c>
      <c r="H3460">
             </c>
      <c r="I3460" t="s">
        <v>14</v>
      </c>
      <c r="J3460" t="s">
        <v>183</v>
      </c>
      <c r="K3460" t="s">
        <v>19</v>
      </c>
      <c r="L3460" t="s">
        <v>20</v>
      </c>
      <c r="M3460" t="s">
        <v>7352</v>
      </c>
      <c r="N3460" t="s">
        <v>14</v>
      </c>
    </row>
    <row r="3461" x14ac:dyDescent="0.25">
      <c r="A3461" t="n">
        <v>25</v>
      </c>
      <c r="B3461" t="s">
        <v>14</v>
      </c>
      <c r="C3461" t="s">
        <v>51</v>
      </c>
      <c r="D3461" s="2" t="s">
        <f>=HYPERLINK("https://main.knesset.gov.il/APPS/legislation/main/bills/2212711", "הצעת חוק הרשויות המקומיות (בחירות) (תיקון - הצבעת חיילים), התשפ""ד-2023")</f>
        <v>7355</v>
      </c>
      <c r="E3461" t="s">
        <v>7355</v>
      </c>
      <c r="F3461" t="s">
        <v>7356</v>
      </c>
      <c r="G3461" t="s">
        <v>14</v>
      </c>
      <c r="H3461">
             </c>
      <c r="I3461" t="s">
        <v>14</v>
      </c>
      <c r="J3461" t="s">
        <v>183</v>
      </c>
      <c r="K3461" t="s">
        <v>30</v>
      </c>
      <c r="L3461" t="s">
        <v>20</v>
      </c>
      <c r="M3461" t="s">
        <v>7357</v>
      </c>
      <c r="N3461" t="s">
        <v>14</v>
      </c>
    </row>
    <row r="3462" x14ac:dyDescent="0.25">
      <c r="A3462" t="n">
        <v>25</v>
      </c>
      <c r="B3462" t="s">
        <v>14</v>
      </c>
      <c r="C3462" t="s">
        <v>15</v>
      </c>
      <c r="D3462" s="2" t="s">
        <f>=HYPERLINK("https://main.knesset.gov.il/APPS/legislation/main/bills/2212768", "חוק לשכת עורכי הדין (תיקון מס' 41 - הוראת שעה – חרבות ברזל), התשפ""ד-2024")</f>
        <v>7358</v>
      </c>
      <c r="E3462" t="s">
        <v>7358</v>
      </c>
      <c r="F3462" t="s">
        <v>14</v>
      </c>
      <c r="G3462" t="s">
        <v>7359</v>
      </c>
      <c r="H3462" t="n">
        <v>3154</v>
      </c>
      <c r="I3462" t="s">
        <v>14</v>
      </c>
      <c r="J3462" t="s">
        <v>18</v>
      </c>
      <c r="K3462" t="s">
        <v>27</v>
      </c>
      <c r="L3462" t="s">
        <v>20</v>
      </c>
      <c r="M3462" t="s">
        <v>7357</v>
      </c>
      <c r="N3462" t="s">
        <v>7360</v>
      </c>
    </row>
    <row r="3463" x14ac:dyDescent="0.25">
      <c r="A3463" t="n">
        <v>25</v>
      </c>
      <c r="B3463" t="s">
        <v>14</v>
      </c>
      <c r="C3463" t="s">
        <v>51</v>
      </c>
      <c r="D3463" s="2" t="s">
        <f>=HYPERLINK("https://main.knesset.gov.il/APPS/legislation/main/bills/2207532", "הצעת חוק העונשין (תיקון - פיצוי עבור בעל חיים שניזוק), התשפ""ד-2024")</f>
        <v>7361</v>
      </c>
      <c r="E3463" t="s">
        <v>7361</v>
      </c>
      <c r="F3463" t="s">
        <v>7362</v>
      </c>
      <c r="G3463" t="s">
        <v>14</v>
      </c>
      <c r="H3463">
             </c>
      <c r="I3463" t="s">
        <v>14</v>
      </c>
      <c r="J3463" t="s">
        <v>242</v>
      </c>
      <c r="K3463" t="s">
        <v>14</v>
      </c>
      <c r="L3463" t="s">
        <v>20</v>
      </c>
      <c r="M3463" t="s">
        <v>7357</v>
      </c>
      <c r="N3463" t="s">
        <v>14</v>
      </c>
    </row>
    <row r="3464" x14ac:dyDescent="0.25">
      <c r="A3464" t="n">
        <v>25</v>
      </c>
      <c r="B3464" t="s">
        <v>14</v>
      </c>
      <c r="C3464" t="s">
        <v>51</v>
      </c>
      <c r="D3464" s="2" t="s">
        <f>=HYPERLINK("https://main.knesset.gov.il/APPS/legislation/main/bills/2213774", "הצעת חוק שימוש בזרע של נפטר לשם הולדה, התשפ""ד-2024")</f>
        <v>7363</v>
      </c>
      <c r="E3464" t="s">
        <v>7363</v>
      </c>
      <c r="F3464" t="s">
        <v>7364</v>
      </c>
      <c r="G3464" t="s">
        <v>14</v>
      </c>
      <c r="H3464">
             </c>
      <c r="I3464" t="s">
        <v>14</v>
      </c>
      <c r="J3464" t="s">
        <v>202</v>
      </c>
      <c r="K3464" t="s">
        <v>14</v>
      </c>
      <c r="L3464" t="s">
        <v>20</v>
      </c>
      <c r="M3464" t="s">
        <v>7357</v>
      </c>
      <c r="N3464" t="s">
        <v>14</v>
      </c>
    </row>
    <row r="3465" x14ac:dyDescent="0.25">
      <c r="A3465" t="n">
        <v>25</v>
      </c>
      <c r="B3465" t="s">
        <v>14</v>
      </c>
      <c r="C3465" t="s">
        <v>51</v>
      </c>
      <c r="D3465" s="2" t="s">
        <f>=HYPERLINK("https://main.knesset.gov.il/APPS/legislation/main/bills/2213738", "הצעת חוק שירות ביטחון (תיקון - מינוי קצינה לקידום נשים לתפקידים בכירים ויצירת מסלולים לקידום קצינות בדרג הבכיר), התשפ""ד-2024")</f>
        <v>7365</v>
      </c>
      <c r="E3465" t="s">
        <v>7365</v>
      </c>
      <c r="F3465" t="s">
        <v>7366</v>
      </c>
      <c r="G3465" t="s">
        <v>14</v>
      </c>
      <c r="H3465">
             </c>
      <c r="I3465" t="s">
        <v>14</v>
      </c>
      <c r="J3465" t="s">
        <v>242</v>
      </c>
      <c r="K3465" t="s">
        <v>14</v>
      </c>
      <c r="L3465" t="s">
        <v>20</v>
      </c>
      <c r="M3465" t="s">
        <v>7357</v>
      </c>
      <c r="N3465" t="s">
        <v>14</v>
      </c>
    </row>
    <row r="3466" x14ac:dyDescent="0.25">
      <c r="A3466" t="n">
        <v>25</v>
      </c>
      <c r="B3466" t="s">
        <v>14</v>
      </c>
      <c r="C3466" t="s">
        <v>51</v>
      </c>
      <c r="D3466" s="2" t="s">
        <f>=HYPERLINK("https://main.knesset.gov.il/APPS/legislation/main/bills/2213706", "הצעת חוק שירות לאומי-אזרחי (תיקון - משרת בודד), התשפ""ד-2024")</f>
        <v>7367</v>
      </c>
      <c r="E3466" t="s">
        <v>7367</v>
      </c>
      <c r="F3466" t="s">
        <v>7368</v>
      </c>
      <c r="G3466" t="s">
        <v>14</v>
      </c>
      <c r="H3466">
             </c>
      <c r="I3466" t="s">
        <v>14</v>
      </c>
      <c r="J3466" t="s">
        <v>242</v>
      </c>
      <c r="K3466" t="s">
        <v>14</v>
      </c>
      <c r="L3466" t="s">
        <v>20</v>
      </c>
      <c r="M3466" t="s">
        <v>7357</v>
      </c>
      <c r="N3466" t="s">
        <v>14</v>
      </c>
    </row>
    <row r="3467" x14ac:dyDescent="0.25">
      <c r="A3467" t="n">
        <v>25</v>
      </c>
      <c r="B3467" t="s">
        <v>14</v>
      </c>
      <c r="C3467" t="s">
        <v>51</v>
      </c>
      <c r="D3467" s="2" t="s">
        <f>=HYPERLINK("https://main.knesset.gov.il/APPS/legislation/main/bills/2213741", "הצעת חוק משפחות חיילים שנספו במערכה (תגמולים ושיקום) (תיקון - מימון שימור פיריון לאלמנה), התשפ""ד-2024")</f>
        <v>7369</v>
      </c>
      <c r="E3467" t="s">
        <v>7369</v>
      </c>
      <c r="F3467" t="s">
        <v>7370</v>
      </c>
      <c r="G3467" t="s">
        <v>14</v>
      </c>
      <c r="H3467">
             </c>
      <c r="I3467" t="s">
        <v>14</v>
      </c>
      <c r="J3467" t="s">
        <v>242</v>
      </c>
      <c r="K3467" t="s">
        <v>14</v>
      </c>
      <c r="L3467" t="s">
        <v>20</v>
      </c>
      <c r="M3467" t="s">
        <v>7357</v>
      </c>
      <c r="N3467" t="s">
        <v>14</v>
      </c>
    </row>
    <row r="3468" x14ac:dyDescent="0.25">
      <c r="A3468" t="n">
        <v>25</v>
      </c>
      <c r="B3468" t="s">
        <v>14</v>
      </c>
      <c r="C3468" t="s">
        <v>51</v>
      </c>
      <c r="D3468" s="2" t="s">
        <f>=HYPERLINK("https://main.knesset.gov.il/APPS/legislation/main/bills/2214556", "הצעת חוק החיילים המשוחררים (החזרה לעבודה) (תיקון - הארכת תקופת ההגנה מפיטורים למשרתי מילואים), התשפ""ד-2024")</f>
        <v>7371</v>
      </c>
      <c r="E3468" t="s">
        <v>7371</v>
      </c>
      <c r="F3468" t="s">
        <v>7372</v>
      </c>
      <c r="G3468" t="s">
        <v>14</v>
      </c>
      <c r="H3468">
             </c>
      <c r="I3468" t="s">
        <v>14</v>
      </c>
      <c r="J3468" t="s">
        <v>242</v>
      </c>
      <c r="K3468" t="s">
        <v>14</v>
      </c>
      <c r="L3468" t="s">
        <v>20</v>
      </c>
      <c r="M3468" t="s">
        <v>7357</v>
      </c>
      <c r="N3468" t="s">
        <v>14</v>
      </c>
    </row>
    <row r="3469" x14ac:dyDescent="0.25">
      <c r="A3469" t="n">
        <v>25</v>
      </c>
      <c r="B3469" t="s">
        <v>14</v>
      </c>
      <c r="C3469" t="s">
        <v>51</v>
      </c>
      <c r="D3469" s="2" t="s">
        <f>=HYPERLINK("https://main.knesset.gov.il/APPS/legislation/main/bills/2213848", "הצעת חוק הרשויות המקומיות (פטור חיילים, נפגעי מלחמה ושוטרים מארנונה) (תיקון - פטור מארנונה לבית עסק של משרת בשירות מילואים פעיל) (הוראת שעה), התשפ""ד-2024")</f>
        <v>7373</v>
      </c>
      <c r="E3469" t="s">
        <v>7373</v>
      </c>
      <c r="F3469" t="s">
        <v>7374</v>
      </c>
      <c r="G3469" t="s">
        <v>14</v>
      </c>
      <c r="H3469">
             </c>
      <c r="I3469" t="s">
        <v>14</v>
      </c>
      <c r="J3469" t="s">
        <v>242</v>
      </c>
      <c r="K3469" t="s">
        <v>14</v>
      </c>
      <c r="L3469" t="s">
        <v>20</v>
      </c>
      <c r="M3469" t="s">
        <v>7357</v>
      </c>
      <c r="N3469" t="s">
        <v>14</v>
      </c>
    </row>
    <row r="3470" x14ac:dyDescent="0.25">
      <c r="A3470" t="n">
        <v>25</v>
      </c>
      <c r="B3470" t="s">
        <v>14</v>
      </c>
      <c r="C3470" t="s">
        <v>51</v>
      </c>
      <c r="D3470" s="2" t="s">
        <f>=HYPERLINK("https://main.knesset.gov.il/APPS/legislation/main/bills/2213710", "הצעת חוק תקופת כהונה סטטוטורית של ראשי גופים ביטחוניים, התשפ""ד-2024")</f>
        <v>7375</v>
      </c>
      <c r="E3470" t="s">
        <v>7375</v>
      </c>
      <c r="F3470" t="s">
        <v>7376</v>
      </c>
      <c r="G3470" t="s">
        <v>14</v>
      </c>
      <c r="H3470">
             </c>
      <c r="I3470" t="s">
        <v>14</v>
      </c>
      <c r="J3470" t="s">
        <v>242</v>
      </c>
      <c r="K3470" t="s">
        <v>14</v>
      </c>
      <c r="L3470" t="s">
        <v>20</v>
      </c>
      <c r="M3470" t="s">
        <v>7357</v>
      </c>
      <c r="N3470" t="s">
        <v>14</v>
      </c>
    </row>
    <row r="3471" x14ac:dyDescent="0.25">
      <c r="A3471" t="n">
        <v>25</v>
      </c>
      <c r="B3471" t="s">
        <v>14</v>
      </c>
      <c r="C3471" t="s">
        <v>51</v>
      </c>
      <c r="D3471" s="2" t="s">
        <f>=HYPERLINK("https://main.knesset.gov.il/APPS/legislation/main/bills/2214450", "הצעת חוק החיילים המשוחררים (החזרה לעבודה) (תיקון - הרחבת תקופת הגנה מפני פיטורים למשרתים במילואים), התשפ""ד-2024")</f>
        <v>6027</v>
      </c>
      <c r="E3471" t="s">
        <v>6027</v>
      </c>
      <c r="F3471" t="s">
        <v>7377</v>
      </c>
      <c r="G3471" t="s">
        <v>14</v>
      </c>
      <c r="H3471">
             </c>
      <c r="I3471" t="s">
        <v>14</v>
      </c>
      <c r="J3471" t="s">
        <v>242</v>
      </c>
      <c r="K3471" t="s">
        <v>14</v>
      </c>
      <c r="L3471" t="s">
        <v>20</v>
      </c>
      <c r="M3471" t="s">
        <v>7357</v>
      </c>
      <c r="N3471" t="s">
        <v>14</v>
      </c>
    </row>
    <row r="3472" x14ac:dyDescent="0.25">
      <c r="A3472" t="n">
        <v>25</v>
      </c>
      <c r="B3472" t="s">
        <v>14</v>
      </c>
      <c r="C3472" t="s">
        <v>51</v>
      </c>
      <c r="D3472" s="2" t="s">
        <f>=HYPERLINK("https://main.knesset.gov.il/APPS/legislation/main/bills/2212005", "הצעת חוק מיסוי מקרקעין (שבח ורכישה) (תיקון - מדרגות המס על דירה יחידה) (הוראת שעה - חרבות ברזל), התשפ""ד-2024")</f>
        <v>7378</v>
      </c>
      <c r="E3472" t="s">
        <v>7378</v>
      </c>
      <c r="F3472" t="s">
        <v>7379</v>
      </c>
      <c r="G3472" t="s">
        <v>14</v>
      </c>
      <c r="H3472">
             </c>
      <c r="I3472" t="s">
        <v>14</v>
      </c>
      <c r="J3472" t="s">
        <v>242</v>
      </c>
      <c r="K3472" t="s">
        <v>14</v>
      </c>
      <c r="L3472" t="s">
        <v>20</v>
      </c>
      <c r="M3472" t="s">
        <v>7357</v>
      </c>
      <c r="N3472" t="s">
        <v>14</v>
      </c>
    </row>
    <row r="3473" x14ac:dyDescent="0.25">
      <c r="A3473" t="n">
        <v>25</v>
      </c>
      <c r="B3473" t="s">
        <v>14</v>
      </c>
      <c r="C3473" t="s">
        <v>51</v>
      </c>
      <c r="D3473" s="2" t="s">
        <f>=HYPERLINK("https://main.knesset.gov.il/APPS/legislation/main/bills/2214627", "הצעת חוק לקביעת מועד בחירות חדש ברשויות בקו העימות, התשפ""ד-2024")</f>
        <v>7380</v>
      </c>
      <c r="E3473" t="s">
        <v>7380</v>
      </c>
      <c r="F3473" t="s">
        <v>7381</v>
      </c>
      <c r="G3473" t="s">
        <v>14</v>
      </c>
      <c r="H3473">
             </c>
      <c r="I3473" t="s">
        <v>14</v>
      </c>
      <c r="J3473" t="s">
        <v>242</v>
      </c>
      <c r="K3473" t="s">
        <v>14</v>
      </c>
      <c r="L3473" t="s">
        <v>20</v>
      </c>
      <c r="M3473" t="s">
        <v>7357</v>
      </c>
      <c r="N3473" t="s">
        <v>14</v>
      </c>
    </row>
    <row r="3474" x14ac:dyDescent="0.25">
      <c r="A3474" t="n">
        <v>25</v>
      </c>
      <c r="B3474" t="s">
        <v>14</v>
      </c>
      <c r="C3474" t="s">
        <v>51</v>
      </c>
      <c r="D3474" s="2" t="s">
        <f>=HYPERLINK("https://main.knesset.gov.il/APPS/legislation/main/bills/2213879", "הצעת חוק פיקוח על עסקאות רכש מערכת הביטחון, התשפ""ד-2024")</f>
        <v>7382</v>
      </c>
      <c r="E3474" t="s">
        <v>7382</v>
      </c>
      <c r="F3474" t="s">
        <v>7383</v>
      </c>
      <c r="G3474" t="s">
        <v>14</v>
      </c>
      <c r="H3474">
             </c>
      <c r="I3474" t="s">
        <v>14</v>
      </c>
      <c r="J3474" t="s">
        <v>242</v>
      </c>
      <c r="K3474" t="s">
        <v>14</v>
      </c>
      <c r="L3474" t="s">
        <v>20</v>
      </c>
      <c r="M3474" t="s">
        <v>7357</v>
      </c>
      <c r="N3474" t="s">
        <v>14</v>
      </c>
    </row>
    <row r="3475" x14ac:dyDescent="0.25">
      <c r="A3475" t="n">
        <v>25</v>
      </c>
      <c r="B3475" t="s">
        <v>14</v>
      </c>
      <c r="C3475" t="s">
        <v>51</v>
      </c>
      <c r="D3475" s="2" t="s">
        <f>=HYPERLINK("https://main.knesset.gov.il/APPS/legislation/main/bills/2213882", "הצעת חוק מיגון יישוב מאוים ביטחונית, התשפ""ד-2024")</f>
        <v>7384</v>
      </c>
      <c r="E3475" t="s">
        <v>7384</v>
      </c>
      <c r="F3475" t="s">
        <v>7385</v>
      </c>
      <c r="G3475" t="s">
        <v>14</v>
      </c>
      <c r="H3475">
             </c>
      <c r="I3475" t="s">
        <v>14</v>
      </c>
      <c r="J3475" t="s">
        <v>242</v>
      </c>
      <c r="K3475" t="s">
        <v>14</v>
      </c>
      <c r="L3475" t="s">
        <v>20</v>
      </c>
      <c r="M3475" t="s">
        <v>7357</v>
      </c>
      <c r="N3475" t="s">
        <v>14</v>
      </c>
    </row>
    <row r="3476" x14ac:dyDescent="0.25">
      <c r="A3476" t="n">
        <v>25</v>
      </c>
      <c r="B3476" t="s">
        <v>14</v>
      </c>
      <c r="C3476" t="s">
        <v>51</v>
      </c>
      <c r="D3476" s="2" t="s">
        <f>=HYPERLINK("https://main.knesset.gov.il/APPS/legislation/main/bills/2213464", "הצעת חוק לתיקון פקודת מס הכנסה (הפחתת מס רווחי הון), התשפ""ד-2024")</f>
        <v>7386</v>
      </c>
      <c r="E3476" t="s">
        <v>7386</v>
      </c>
      <c r="F3476" t="s">
        <v>7387</v>
      </c>
      <c r="G3476" t="s">
        <v>14</v>
      </c>
      <c r="H3476">
             </c>
      <c r="I3476" t="s">
        <v>14</v>
      </c>
      <c r="J3476" t="s">
        <v>242</v>
      </c>
      <c r="K3476" t="s">
        <v>14</v>
      </c>
      <c r="L3476" t="s">
        <v>20</v>
      </c>
      <c r="M3476" t="s">
        <v>7357</v>
      </c>
      <c r="N3476" t="s">
        <v>14</v>
      </c>
    </row>
    <row r="3477" x14ac:dyDescent="0.25">
      <c r="A3477" t="n">
        <v>25</v>
      </c>
      <c r="B3477" t="s">
        <v>14</v>
      </c>
      <c r="C3477" t="s">
        <v>51</v>
      </c>
      <c r="D3477" s="2" t="s">
        <f>=HYPERLINK("https://main.knesset.gov.il/APPS/legislation/main/bills/2213735", "הצעת חוק לתיקון פקודת המשטרה (ביטול הצורך בקבלת רישיון להפגנה), התשפ""ד-2024")</f>
        <v>7388</v>
      </c>
      <c r="E3477" t="s">
        <v>7388</v>
      </c>
      <c r="F3477" t="s">
        <v>7389</v>
      </c>
      <c r="G3477" t="s">
        <v>14</v>
      </c>
      <c r="H3477">
             </c>
      <c r="I3477" t="s">
        <v>14</v>
      </c>
      <c r="J3477" t="s">
        <v>242</v>
      </c>
      <c r="K3477" t="s">
        <v>14</v>
      </c>
      <c r="L3477" t="s">
        <v>20</v>
      </c>
      <c r="M3477" t="s">
        <v>7357</v>
      </c>
      <c r="N3477" t="s">
        <v>14</v>
      </c>
    </row>
    <row r="3478" x14ac:dyDescent="0.25">
      <c r="A3478" t="n">
        <v>25</v>
      </c>
      <c r="B3478" t="s">
        <v>14</v>
      </c>
      <c r="C3478" t="s">
        <v>51</v>
      </c>
      <c r="D3478" s="2" t="s">
        <f>=HYPERLINK("https://main.knesset.gov.il/APPS/legislation/main/bills/2213813", "הצעת חוק הרשות הארצית לכבאות והצלה (נכים ונספים), התשפ""ד-2024")</f>
        <v>7390</v>
      </c>
      <c r="E3478" t="s">
        <v>7390</v>
      </c>
      <c r="F3478" t="s">
        <v>7391</v>
      </c>
      <c r="G3478" t="s">
        <v>14</v>
      </c>
      <c r="H3478">
             </c>
      <c r="I3478" t="s">
        <v>14</v>
      </c>
      <c r="J3478" t="s">
        <v>242</v>
      </c>
      <c r="K3478" t="s">
        <v>14</v>
      </c>
      <c r="L3478" t="s">
        <v>20</v>
      </c>
      <c r="M3478" t="s">
        <v>7357</v>
      </c>
      <c r="N3478" t="s">
        <v>14</v>
      </c>
    </row>
    <row r="3479" x14ac:dyDescent="0.25">
      <c r="A3479" t="n">
        <v>25</v>
      </c>
      <c r="B3479" t="s">
        <v>14</v>
      </c>
      <c r="C3479" t="s">
        <v>51</v>
      </c>
      <c r="D3479" s="2" t="s">
        <f>=HYPERLINK("https://main.knesset.gov.il/APPS/legislation/main/bills/2213713", "הצעת חוק לעידוד הקמת מרחבים מוגנים דירתיים, התשפ""ד-2024")</f>
        <v>7392</v>
      </c>
      <c r="E3479" t="s">
        <v>7392</v>
      </c>
      <c r="F3479" t="s">
        <v>7393</v>
      </c>
      <c r="G3479" t="s">
        <v>14</v>
      </c>
      <c r="H3479">
             </c>
      <c r="I3479" t="s">
        <v>14</v>
      </c>
      <c r="J3479" t="s">
        <v>242</v>
      </c>
      <c r="K3479" t="s">
        <v>14</v>
      </c>
      <c r="L3479" t="s">
        <v>20</v>
      </c>
      <c r="M3479" t="s">
        <v>7357</v>
      </c>
      <c r="N3479" t="s">
        <v>14</v>
      </c>
    </row>
    <row r="3480" x14ac:dyDescent="0.25">
      <c r="A3480" t="n">
        <v>25</v>
      </c>
      <c r="B3480" t="s">
        <v>14</v>
      </c>
      <c r="C3480" t="s">
        <v>51</v>
      </c>
      <c r="D3480" s="2" t="s">
        <f>=HYPERLINK("https://main.knesset.gov.il/APPS/legislation/main/bills/2213771", "הצעת חוק-יסוד: הממשלה (תיקון - מינוי שרי הממשלה)")</f>
        <v>7394</v>
      </c>
      <c r="E3480" t="s">
        <v>7394</v>
      </c>
      <c r="F3480" t="s">
        <v>7395</v>
      </c>
      <c r="G3480" t="s">
        <v>14</v>
      </c>
      <c r="H3480">
             </c>
      <c r="I3480" t="s">
        <v>14</v>
      </c>
      <c r="J3480" t="s">
        <v>242</v>
      </c>
      <c r="K3480" t="s">
        <v>14</v>
      </c>
      <c r="L3480" t="s">
        <v>20</v>
      </c>
      <c r="M3480" t="s">
        <v>7357</v>
      </c>
      <c r="N3480" t="s">
        <v>14</v>
      </c>
    </row>
    <row r="3481" x14ac:dyDescent="0.25">
      <c r="A3481" t="n">
        <v>25</v>
      </c>
      <c r="B3481" t="s">
        <v>14</v>
      </c>
      <c r="C3481" t="s">
        <v>51</v>
      </c>
      <c r="D3481" s="2" t="s">
        <f>=HYPERLINK("https://main.knesset.gov.il/APPS/legislation/main/bills/2213441", "הצעת חוק לתיקון פקודת התעבורה (איסור נסיעת משאיות בנתיב תחבורה ציבורית), התשפ""ד-2024")</f>
        <v>7396</v>
      </c>
      <c r="E3481" t="s">
        <v>7396</v>
      </c>
      <c r="F3481" t="s">
        <v>7397</v>
      </c>
      <c r="G3481" t="s">
        <v>14</v>
      </c>
      <c r="H3481">
             </c>
      <c r="I3481" t="s">
        <v>14</v>
      </c>
      <c r="J3481" t="s">
        <v>242</v>
      </c>
      <c r="K3481" t="s">
        <v>14</v>
      </c>
      <c r="L3481" t="s">
        <v>20</v>
      </c>
      <c r="M3481" t="s">
        <v>7357</v>
      </c>
      <c r="N3481" t="s">
        <v>14</v>
      </c>
    </row>
    <row r="3482" x14ac:dyDescent="0.25">
      <c r="A3482" t="n">
        <v>25</v>
      </c>
      <c r="B3482" t="s">
        <v>14</v>
      </c>
      <c r="C3482" t="s">
        <v>51</v>
      </c>
      <c r="D3482" s="2" t="s">
        <f>=HYPERLINK("https://main.knesset.gov.il/APPS/legislation/main/bills/2213782", "הצעת חוק הסדרת העיסוק במקצועות הבריאות (תיקון - טיפול באמצעות בעלי חיים), התשפ""ד-2024")</f>
        <v>6675</v>
      </c>
      <c r="E3482" t="s">
        <v>6675</v>
      </c>
      <c r="F3482" t="s">
        <v>7398</v>
      </c>
      <c r="G3482" t="s">
        <v>14</v>
      </c>
      <c r="H3482">
             </c>
      <c r="I3482" t="s">
        <v>14</v>
      </c>
      <c r="J3482" t="s">
        <v>242</v>
      </c>
      <c r="K3482" t="s">
        <v>14</v>
      </c>
      <c r="L3482" t="s">
        <v>20</v>
      </c>
      <c r="M3482" t="s">
        <v>7357</v>
      </c>
      <c r="N3482" t="s">
        <v>14</v>
      </c>
    </row>
    <row r="3483" x14ac:dyDescent="0.25">
      <c r="A3483" t="n">
        <v>25</v>
      </c>
      <c r="B3483" t="s">
        <v>14</v>
      </c>
      <c r="C3483" t="s">
        <v>51</v>
      </c>
      <c r="D3483" s="2" t="s">
        <f>=HYPERLINK("https://main.knesset.gov.il/APPS/legislation/main/bills/2213757", "הצעת חוק הבטחת הכנסה (תיקון - גמלה למי שבן זוגו משרת במילואים בנסיבות חירום), התשפ""ד-2024")</f>
        <v>7399</v>
      </c>
      <c r="E3483" t="s">
        <v>7399</v>
      </c>
      <c r="F3483" t="s">
        <v>7400</v>
      </c>
      <c r="G3483" t="s">
        <v>14</v>
      </c>
      <c r="H3483">
             </c>
      <c r="I3483" t="s">
        <v>14</v>
      </c>
      <c r="J3483" t="s">
        <v>242</v>
      </c>
      <c r="K3483" t="s">
        <v>14</v>
      </c>
      <c r="L3483" t="s">
        <v>20</v>
      </c>
      <c r="M3483" t="s">
        <v>7357</v>
      </c>
      <c r="N3483" t="s">
        <v>14</v>
      </c>
    </row>
    <row r="3484" x14ac:dyDescent="0.25">
      <c r="A3484" t="n">
        <v>25</v>
      </c>
      <c r="B3484" t="s">
        <v>14</v>
      </c>
      <c r="C3484" t="s">
        <v>15</v>
      </c>
      <c r="D3484" s="2" t="s">
        <f>=HYPERLINK("https://main.knesset.gov.il/APPS/legislation/main/bills/2214085", "חוק לתיקון ולהארכת תוקפן של תקנות שעת חירום (חרבות ברזל) (הארכת מעצר לחשוד בעבירת ביטחון), התשפ""ד-2024")</f>
        <v>7401</v>
      </c>
      <c r="E3484" t="s">
        <v>7401</v>
      </c>
      <c r="F3484" t="s">
        <v>14</v>
      </c>
      <c r="G3484" t="s">
        <v>7402</v>
      </c>
      <c r="H3484" t="n">
        <v>3153</v>
      </c>
      <c r="I3484" t="s">
        <v>14</v>
      </c>
      <c r="J3484" t="s">
        <v>18</v>
      </c>
      <c r="K3484" t="s">
        <v>27</v>
      </c>
      <c r="L3484" t="s">
        <v>20</v>
      </c>
      <c r="M3484" t="s">
        <v>7403</v>
      </c>
      <c r="N3484" t="s">
        <v>7404</v>
      </c>
    </row>
    <row r="3485" x14ac:dyDescent="0.25">
      <c r="A3485" t="n">
        <v>25</v>
      </c>
      <c r="B3485" t="s">
        <v>14</v>
      </c>
      <c r="C3485" t="s">
        <v>51</v>
      </c>
      <c r="D3485" s="2" t="s">
        <f>=HYPERLINK("https://main.knesset.gov.il/APPS/legislation/main/bills/2211011", "הצעת חוק עצירת כספים קואליציוניים במצב חירום (הוראת שעה - חרבות ברזל), התשפ""ד-2023")</f>
        <v>7405</v>
      </c>
      <c r="E3485" t="s">
        <v>7405</v>
      </c>
      <c r="F3485" t="s">
        <v>7406</v>
      </c>
      <c r="G3485" t="s">
        <v>14</v>
      </c>
      <c r="H3485">
             </c>
      <c r="I3485" t="s">
        <v>14</v>
      </c>
      <c r="J3485" t="s">
        <v>193</v>
      </c>
      <c r="K3485" t="s">
        <v>14</v>
      </c>
      <c r="L3485" t="s">
        <v>20</v>
      </c>
      <c r="M3485" t="s">
        <v>7403</v>
      </c>
      <c r="N3485" t="s">
        <v>14</v>
      </c>
    </row>
    <row r="3486" x14ac:dyDescent="0.25">
      <c r="A3486" t="n">
        <v>25</v>
      </c>
      <c r="B3486" t="s">
        <v>14</v>
      </c>
      <c r="C3486" t="s">
        <v>51</v>
      </c>
      <c r="D3486" s="2" t="s">
        <f>=HYPERLINK("https://main.knesset.gov.il/APPS/legislation/main/bills/2211131", "הצעת חוק לצמצום משרדי ממשלה ולהעברת תקציבם למאמץ המלחמתי (הוראת שעה - חרבות ברזל), התשפ״ד-2023")</f>
        <v>7407</v>
      </c>
      <c r="E3486" t="s">
        <v>7407</v>
      </c>
      <c r="F3486" t="s">
        <v>7408</v>
      </c>
      <c r="G3486" t="s">
        <v>14</v>
      </c>
      <c r="H3486">
             </c>
      <c r="I3486" t="s">
        <v>14</v>
      </c>
      <c r="J3486" t="s">
        <v>193</v>
      </c>
      <c r="K3486" t="s">
        <v>14</v>
      </c>
      <c r="L3486" t="s">
        <v>20</v>
      </c>
      <c r="M3486" t="s">
        <v>7403</v>
      </c>
      <c r="N3486" t="s">
        <v>14</v>
      </c>
    </row>
    <row r="3487" x14ac:dyDescent="0.25">
      <c r="A3487" t="n">
        <v>25</v>
      </c>
      <c r="B3487" t="s">
        <v>14</v>
      </c>
      <c r="C3487" t="s">
        <v>51</v>
      </c>
      <c r="D3487" s="2" t="s">
        <f>=HYPERLINK("https://main.knesset.gov.il/APPS/legislation/main/bills/2211369", "הצעת חוק-יסוד: כבוד האדם וחירותו (תיקון - שוויון בפני החוק ואיסור הפליה)")</f>
        <v>7409</v>
      </c>
      <c r="E3487" t="s">
        <v>7409</v>
      </c>
      <c r="F3487" t="s">
        <v>7410</v>
      </c>
      <c r="G3487" t="s">
        <v>14</v>
      </c>
      <c r="H3487">
             </c>
      <c r="I3487" t="s">
        <v>14</v>
      </c>
      <c r="J3487" t="s">
        <v>193</v>
      </c>
      <c r="K3487" t="s">
        <v>14</v>
      </c>
      <c r="L3487" t="s">
        <v>20</v>
      </c>
      <c r="M3487" t="s">
        <v>7403</v>
      </c>
      <c r="N3487" t="s">
        <v>14</v>
      </c>
    </row>
    <row r="3488" x14ac:dyDescent="0.25">
      <c r="A3488" t="n">
        <v>25</v>
      </c>
      <c r="B3488" t="s">
        <v>14</v>
      </c>
      <c r="C3488" t="s">
        <v>51</v>
      </c>
      <c r="D3488" s="2" t="s">
        <f>=HYPERLINK("https://main.knesset.gov.il/APPS/legislation/main/bills/2207020", "הצעת חוק חובת המכרזים (תיקון - עידוד הצלת מזון עודף), התשפ""ג-2023")</f>
        <v>7411</v>
      </c>
      <c r="E3488" t="s">
        <v>7411</v>
      </c>
      <c r="F3488" t="s">
        <v>7412</v>
      </c>
      <c r="G3488" t="s">
        <v>14</v>
      </c>
      <c r="H3488">
             </c>
      <c r="I3488" t="s">
        <v>14</v>
      </c>
      <c r="J3488" t="s">
        <v>152</v>
      </c>
      <c r="K3488" t="s">
        <v>27</v>
      </c>
      <c r="L3488" t="s">
        <v>20</v>
      </c>
      <c r="M3488" t="s">
        <v>7403</v>
      </c>
      <c r="N3488" t="s">
        <v>14</v>
      </c>
    </row>
    <row r="3489" x14ac:dyDescent="0.25">
      <c r="A3489" t="n">
        <v>25</v>
      </c>
      <c r="B3489" t="s">
        <v>14</v>
      </c>
      <c r="C3489" t="s">
        <v>51</v>
      </c>
      <c r="D3489" s="2" t="s">
        <f>=HYPERLINK("https://main.knesset.gov.il/APPS/legislation/main/bills/2205838", "הצעת חוק חובת המכרזים (תיקון - עידוד הצלת מזון עודף), התשפ""ג-2023")</f>
        <v>7411</v>
      </c>
      <c r="E3489" t="s">
        <v>7411</v>
      </c>
      <c r="F3489" t="s">
        <v>7413</v>
      </c>
      <c r="G3489" t="s">
        <v>14</v>
      </c>
      <c r="H3489">
             </c>
      <c r="I3489" t="s">
        <v>14</v>
      </c>
      <c r="J3489" t="s">
        <v>152</v>
      </c>
      <c r="K3489" t="s">
        <v>27</v>
      </c>
      <c r="L3489" t="s">
        <v>20</v>
      </c>
      <c r="M3489" t="s">
        <v>7403</v>
      </c>
      <c r="N3489" t="s">
        <v>14</v>
      </c>
    </row>
    <row r="3490" x14ac:dyDescent="0.25">
      <c r="A3490" t="n">
        <v>25</v>
      </c>
      <c r="B3490" t="s">
        <v>14</v>
      </c>
      <c r="C3490" t="s">
        <v>51</v>
      </c>
      <c r="D3490" s="2" t="s">
        <f>=HYPERLINK("https://main.knesset.gov.il/APPS/legislation/main/bills/2199396", "הצעת חוק תאגידי מים וביוב (תיקון - הקמת ועדת הנחות), התשפ""ג-2023")</f>
        <v>7414</v>
      </c>
      <c r="E3490" t="s">
        <v>7414</v>
      </c>
      <c r="F3490" t="s">
        <v>7415</v>
      </c>
      <c r="G3490" t="s">
        <v>14</v>
      </c>
      <c r="H3490">
             </c>
      <c r="I3490" t="s">
        <v>14</v>
      </c>
      <c r="J3490" t="s">
        <v>193</v>
      </c>
      <c r="K3490" t="s">
        <v>14</v>
      </c>
      <c r="L3490" t="s">
        <v>20</v>
      </c>
      <c r="M3490" t="s">
        <v>7403</v>
      </c>
      <c r="N3490" t="s">
        <v>14</v>
      </c>
    </row>
    <row r="3491" x14ac:dyDescent="0.25">
      <c r="A3491" t="n">
        <v>25</v>
      </c>
      <c r="B3491" t="s">
        <v>14</v>
      </c>
      <c r="C3491" t="s">
        <v>51</v>
      </c>
      <c r="D3491" s="2" t="s">
        <f>=HYPERLINK("https://main.knesset.gov.il/APPS/legislation/main/bills/2197704", "הצעת חוק לתיקון פקודת מס הכנסה (הגדלת זיכוי מס על תרומה לבתי חולים בפריפריה), התשפ""ג-2022")</f>
        <v>7416</v>
      </c>
      <c r="E3491" t="s">
        <v>7416</v>
      </c>
      <c r="F3491" t="s">
        <v>7417</v>
      </c>
      <c r="G3491" t="s">
        <v>14</v>
      </c>
      <c r="H3491">
             </c>
      <c r="I3491" t="s">
        <v>14</v>
      </c>
      <c r="J3491" t="s">
        <v>193</v>
      </c>
      <c r="K3491" t="s">
        <v>14</v>
      </c>
      <c r="L3491" t="s">
        <v>20</v>
      </c>
      <c r="M3491" t="s">
        <v>7403</v>
      </c>
      <c r="N3491" t="s">
        <v>14</v>
      </c>
    </row>
    <row r="3492" x14ac:dyDescent="0.25">
      <c r="A3492" t="n">
        <v>25</v>
      </c>
      <c r="B3492" t="s">
        <v>14</v>
      </c>
      <c r="C3492" t="s">
        <v>51</v>
      </c>
      <c r="D3492" s="2" t="s">
        <f>=HYPERLINK("https://main.knesset.gov.il/APPS/legislation/main/bills/2199624", "הצעת חוק יום האחדות, התשפ""ג–2023")</f>
        <v>7418</v>
      </c>
      <c r="E3492" t="s">
        <v>7418</v>
      </c>
      <c r="F3492" t="s">
        <v>7419</v>
      </c>
      <c r="G3492" t="s">
        <v>14</v>
      </c>
      <c r="H3492">
             </c>
      <c r="I3492" t="s">
        <v>14</v>
      </c>
      <c r="J3492" t="s">
        <v>183</v>
      </c>
      <c r="K3492" t="s">
        <v>79</v>
      </c>
      <c r="L3492" t="s">
        <v>20</v>
      </c>
      <c r="M3492" t="s">
        <v>7420</v>
      </c>
      <c r="N3492" t="s">
        <v>14</v>
      </c>
    </row>
    <row r="3493" x14ac:dyDescent="0.25">
      <c r="A3493" t="n">
        <v>25</v>
      </c>
      <c r="B3493" t="s">
        <v>14</v>
      </c>
      <c r="C3493" t="s">
        <v>51</v>
      </c>
      <c r="D3493" s="2" t="s">
        <f>=HYPERLINK("https://main.knesset.gov.il/APPS/legislation/main/bills/2198571", "הצעת חוק יום האחדות, התשפ""ג-2023")</f>
        <v>7421</v>
      </c>
      <c r="E3493" t="s">
        <v>7421</v>
      </c>
      <c r="F3493" t="s">
        <v>7422</v>
      </c>
      <c r="G3493" t="s">
        <v>14</v>
      </c>
      <c r="H3493">
             </c>
      <c r="I3493" t="s">
        <v>14</v>
      </c>
      <c r="J3493" t="s">
        <v>183</v>
      </c>
      <c r="K3493" t="s">
        <v>79</v>
      </c>
      <c r="L3493" t="s">
        <v>20</v>
      </c>
      <c r="M3493" t="s">
        <v>7420</v>
      </c>
      <c r="N3493" t="s">
        <v>14</v>
      </c>
    </row>
    <row r="3494" x14ac:dyDescent="0.25">
      <c r="A3494" t="n">
        <v>25</v>
      </c>
      <c r="B3494" t="s">
        <v>14</v>
      </c>
      <c r="C3494" t="s">
        <v>51</v>
      </c>
      <c r="D3494" s="2" t="s">
        <f>=HYPERLINK("https://main.knesset.gov.il/APPS/legislation/main/bills/2212280", "הצעת חוק סיוע לסטודנטים המשרתים במילואים (הוראת שעה - חרבות ברזל), התשפ""ד-2023")</f>
        <v>7423</v>
      </c>
      <c r="E3494" t="s">
        <v>7423</v>
      </c>
      <c r="F3494" t="s">
        <v>7424</v>
      </c>
      <c r="G3494" t="s">
        <v>14</v>
      </c>
      <c r="H3494">
             </c>
      <c r="I3494" t="s">
        <v>14</v>
      </c>
      <c r="J3494" t="s">
        <v>183</v>
      </c>
      <c r="K3494" t="s">
        <v>79</v>
      </c>
      <c r="L3494" t="s">
        <v>20</v>
      </c>
      <c r="M3494" t="s">
        <v>7420</v>
      </c>
      <c r="N3494" t="s">
        <v>14</v>
      </c>
    </row>
    <row r="3495" x14ac:dyDescent="0.25">
      <c r="A3495" t="n">
        <v>25</v>
      </c>
      <c r="B3495" t="s">
        <v>14</v>
      </c>
      <c r="C3495" t="s">
        <v>51</v>
      </c>
      <c r="D3495" s="2" t="s">
        <f>=HYPERLINK("https://main.knesset.gov.il/APPS/legislation/main/bills/2198161", "הצעת חוק עידוד מעורבות סטודנטים בפעילות חברתית וקהילתית (תיקון – הקלות למשרתי מילואים), התשפ""ג–2023")</f>
        <v>7425</v>
      </c>
      <c r="E3495" t="s">
        <v>7425</v>
      </c>
      <c r="F3495" t="s">
        <v>7426</v>
      </c>
      <c r="G3495" t="s">
        <v>14</v>
      </c>
      <c r="H3495">
             </c>
      <c r="I3495" t="s">
        <v>14</v>
      </c>
      <c r="J3495" t="s">
        <v>183</v>
      </c>
      <c r="K3495" t="s">
        <v>79</v>
      </c>
      <c r="L3495" t="s">
        <v>20</v>
      </c>
      <c r="M3495" t="s">
        <v>7420</v>
      </c>
      <c r="N3495" t="s">
        <v>14</v>
      </c>
    </row>
    <row r="3496" x14ac:dyDescent="0.25">
      <c r="A3496" t="n">
        <v>25</v>
      </c>
      <c r="B3496" t="s">
        <v>14</v>
      </c>
      <c r="C3496" t="s">
        <v>51</v>
      </c>
      <c r="D3496" s="2" t="s">
        <f>=HYPERLINK("https://main.knesset.gov.il/APPS/legislation/main/bills/2203048", "הצעת חוק לתיקון פקודת התעבורה (תשלום דמי חניה), התשפ""ג-2023")</f>
        <v>7427</v>
      </c>
      <c r="E3496" t="s">
        <v>7427</v>
      </c>
      <c r="F3496" t="s">
        <v>7428</v>
      </c>
      <c r="G3496" t="s">
        <v>14</v>
      </c>
      <c r="H3496">
             </c>
      <c r="I3496" t="s">
        <v>14</v>
      </c>
      <c r="J3496" t="s">
        <v>183</v>
      </c>
      <c r="K3496" t="s">
        <v>84</v>
      </c>
      <c r="L3496" t="s">
        <v>20</v>
      </c>
      <c r="M3496" t="s">
        <v>7429</v>
      </c>
      <c r="N3496" t="s">
        <v>14</v>
      </c>
    </row>
    <row r="3497" x14ac:dyDescent="0.25">
      <c r="A3497" t="n">
        <v>25</v>
      </c>
      <c r="B3497" t="s">
        <v>14</v>
      </c>
      <c r="C3497" t="s">
        <v>51</v>
      </c>
      <c r="D3497" s="2" t="s">
        <f>=HYPERLINK("https://main.knesset.gov.il/APPS/legislation/main/bills/2199213", "הצעת חוק לתיקון פקודת התעבורה (תשלום דמי חניה), התשפ""ג-2023")</f>
        <v>7427</v>
      </c>
      <c r="E3497" t="s">
        <v>7427</v>
      </c>
      <c r="F3497" t="s">
        <v>7430</v>
      </c>
      <c r="G3497" t="s">
        <v>14</v>
      </c>
      <c r="H3497">
             </c>
      <c r="I3497" t="s">
        <v>14</v>
      </c>
      <c r="J3497" t="s">
        <v>183</v>
      </c>
      <c r="K3497" t="s">
        <v>84</v>
      </c>
      <c r="L3497" t="s">
        <v>20</v>
      </c>
      <c r="M3497" t="s">
        <v>7429</v>
      </c>
      <c r="N3497" t="s">
        <v>14</v>
      </c>
    </row>
    <row r="3498" x14ac:dyDescent="0.25">
      <c r="A3498" t="n">
        <v>25</v>
      </c>
      <c r="B3498" t="s">
        <v>14</v>
      </c>
      <c r="C3498" t="s">
        <v>51</v>
      </c>
      <c r="D3498" s="2" t="s">
        <f>=HYPERLINK("https://main.knesset.gov.il/APPS/legislation/main/bills/2198133", "הצעת חוק לתיקון פקודת התעבורה (תיקון - תשלום דמי חניה), התשפ""ג-2022")</f>
        <v>7431</v>
      </c>
      <c r="E3498" t="s">
        <v>7431</v>
      </c>
      <c r="F3498" t="s">
        <v>7432</v>
      </c>
      <c r="G3498" t="s">
        <v>14</v>
      </c>
      <c r="H3498">
             </c>
      <c r="I3498" t="s">
        <v>14</v>
      </c>
      <c r="J3498" t="s">
        <v>183</v>
      </c>
      <c r="K3498" t="s">
        <v>84</v>
      </c>
      <c r="L3498" t="s">
        <v>20</v>
      </c>
      <c r="M3498" t="s">
        <v>7429</v>
      </c>
      <c r="N3498" t="s">
        <v>14</v>
      </c>
    </row>
    <row r="3499" x14ac:dyDescent="0.25">
      <c r="A3499" t="n">
        <v>25</v>
      </c>
      <c r="B3499" t="s">
        <v>14</v>
      </c>
      <c r="C3499" t="s">
        <v>15</v>
      </c>
      <c r="D3499" s="2" t="s">
        <f>=HYPERLINK("https://main.knesset.gov.il/APPS/legislation/main/bills/2206507", "הצעת חוק בתי דין רבניים (סדרי דין בעת מצב חירום מיוחד), התשפ""ג-2023")</f>
        <v>7433</v>
      </c>
      <c r="E3499" t="s">
        <v>7433</v>
      </c>
      <c r="F3499" t="s">
        <v>14</v>
      </c>
      <c r="G3499" t="s">
        <v>7434</v>
      </c>
      <c r="H3499">
             </c>
      <c r="I3499" t="s">
        <v>14</v>
      </c>
      <c r="J3499" t="s">
        <v>38</v>
      </c>
      <c r="K3499" t="s">
        <v>27</v>
      </c>
      <c r="L3499" t="s">
        <v>20</v>
      </c>
      <c r="M3499" t="s">
        <v>7429</v>
      </c>
      <c r="N3499" t="s">
        <v>14</v>
      </c>
    </row>
    <row r="3500" x14ac:dyDescent="0.25">
      <c r="A3500" t="n">
        <v>25</v>
      </c>
      <c r="B3500" t="s">
        <v>14</v>
      </c>
      <c r="C3500" t="s">
        <v>51</v>
      </c>
      <c r="D3500" s="2" t="s">
        <f>=HYPERLINK("https://main.knesset.gov.il/APPS/legislation/main/bills/2214295", "הצעת חוק סיוע למשפחות משרתי כוחות ביטחון ומשרתי מילואים בשעת חירום (תיקוני חקיקה), התשפ""ד-2024")</f>
        <v>7435</v>
      </c>
      <c r="E3500" t="s">
        <v>7435</v>
      </c>
      <c r="F3500" t="s">
        <v>7436</v>
      </c>
      <c r="G3500" t="s">
        <v>14</v>
      </c>
      <c r="H3500">
             </c>
      <c r="I3500" t="s">
        <v>14</v>
      </c>
      <c r="J3500" t="s">
        <v>242</v>
      </c>
      <c r="K3500" t="s">
        <v>14</v>
      </c>
      <c r="L3500" t="s">
        <v>20</v>
      </c>
      <c r="M3500" t="s">
        <v>7429</v>
      </c>
      <c r="N3500" t="s">
        <v>14</v>
      </c>
    </row>
    <row r="3501" x14ac:dyDescent="0.25">
      <c r="A3501" t="n">
        <v>25</v>
      </c>
      <c r="B3501" t="s">
        <v>14</v>
      </c>
      <c r="C3501" t="s">
        <v>51</v>
      </c>
      <c r="D3501" s="2" t="s">
        <f>=HYPERLINK("https://main.knesset.gov.il/APPS/legislation/main/bills/2212827", "הצעת חוק סגירת ערוץ אלג'זירה, התשפ""ד-2024")</f>
        <v>7437</v>
      </c>
      <c r="E3501" t="s">
        <v>7437</v>
      </c>
      <c r="F3501" t="s">
        <v>7438</v>
      </c>
      <c r="G3501" t="s">
        <v>14</v>
      </c>
      <c r="H3501">
             </c>
      <c r="I3501" t="s">
        <v>14</v>
      </c>
      <c r="J3501" t="s">
        <v>242</v>
      </c>
      <c r="K3501" t="s">
        <v>14</v>
      </c>
      <c r="L3501" t="s">
        <v>20</v>
      </c>
      <c r="M3501" t="s">
        <v>7429</v>
      </c>
      <c r="N3501" t="s">
        <v>14</v>
      </c>
    </row>
    <row r="3502" x14ac:dyDescent="0.25">
      <c r="A3502" t="n">
        <v>25</v>
      </c>
      <c r="B3502" t="s">
        <v>14</v>
      </c>
      <c r="C3502" t="s">
        <v>51</v>
      </c>
      <c r="D3502" s="2" t="s">
        <f>=HYPERLINK("https://main.knesset.gov.il/APPS/legislation/main/bills/2214286", "הצעת חוק סיוע למשפחות משרתי כוחות ביטחון ומשרתי מילואים בשעת חירום (תיקוני חקיקה), התשפ""ד-2024")</f>
        <v>7435</v>
      </c>
      <c r="E3502" t="s">
        <v>7435</v>
      </c>
      <c r="F3502" t="s">
        <v>7439</v>
      </c>
      <c r="G3502" t="s">
        <v>14</v>
      </c>
      <c r="H3502">
             </c>
      <c r="I3502" t="s">
        <v>14</v>
      </c>
      <c r="J3502" t="s">
        <v>242</v>
      </c>
      <c r="K3502" t="s">
        <v>14</v>
      </c>
      <c r="L3502" t="s">
        <v>20</v>
      </c>
      <c r="M3502" t="s">
        <v>7429</v>
      </c>
      <c r="N3502" t="s">
        <v>14</v>
      </c>
    </row>
    <row r="3503" x14ac:dyDescent="0.25">
      <c r="A3503" t="n">
        <v>25</v>
      </c>
      <c r="B3503" t="s">
        <v>14</v>
      </c>
      <c r="C3503" t="s">
        <v>51</v>
      </c>
      <c r="D3503" s="2" t="s">
        <f>=HYPERLINK("https://main.knesset.gov.il/APPS/legislation/main/bills/2207655", "הצעת חוק הפיקוח על שירותים פיננסיים (ביטוח) (תיקון - איסור סירוב התקשרות של גוף מוסדי עם סוכן ביטוח), התשפ""ד-2024")</f>
        <v>7440</v>
      </c>
      <c r="E3503" t="s">
        <v>7440</v>
      </c>
      <c r="F3503" t="s">
        <v>7441</v>
      </c>
      <c r="G3503" t="s">
        <v>14</v>
      </c>
      <c r="H3503">
             </c>
      <c r="I3503" t="s">
        <v>14</v>
      </c>
      <c r="J3503" t="s">
        <v>202</v>
      </c>
      <c r="K3503" t="s">
        <v>14</v>
      </c>
      <c r="L3503" t="s">
        <v>20</v>
      </c>
      <c r="M3503" t="s">
        <v>7429</v>
      </c>
      <c r="N3503" t="s">
        <v>14</v>
      </c>
    </row>
    <row r="3504" x14ac:dyDescent="0.25">
      <c r="A3504" t="n">
        <v>25</v>
      </c>
      <c r="B3504" t="s">
        <v>14</v>
      </c>
      <c r="C3504" t="s">
        <v>51</v>
      </c>
      <c r="D3504" s="2" t="s">
        <f>=HYPERLINK("https://main.knesset.gov.il/APPS/legislation/main/bills/2213729", "הצעת חוק שיקום שכונות דרום תל-אביב ותמריצים לפיזור גאוגרפי של מסתננים (הוראת שעה), התשפ""ד-2024")</f>
        <v>7442</v>
      </c>
      <c r="E3504" t="s">
        <v>7442</v>
      </c>
      <c r="F3504" t="s">
        <v>7443</v>
      </c>
      <c r="G3504" t="s">
        <v>14</v>
      </c>
      <c r="H3504">
             </c>
      <c r="I3504" t="s">
        <v>14</v>
      </c>
      <c r="J3504" t="s">
        <v>242</v>
      </c>
      <c r="K3504" t="s">
        <v>14</v>
      </c>
      <c r="L3504" t="s">
        <v>20</v>
      </c>
      <c r="M3504" t="s">
        <v>7429</v>
      </c>
      <c r="N3504" t="s">
        <v>14</v>
      </c>
    </row>
    <row r="3505" x14ac:dyDescent="0.25">
      <c r="A3505" t="n">
        <v>25</v>
      </c>
      <c r="B3505" t="s">
        <v>14</v>
      </c>
      <c r="C3505" t="s">
        <v>51</v>
      </c>
      <c r="D3505" s="2" t="s">
        <f>=HYPERLINK("https://main.knesset.gov.il/APPS/legislation/main/bills/2213822", "הצעת חוק גנים לאומיים, שמורות טבע, אתרים לאומיים ואתרי הנצחה (תיקון - העצמת הפיקוח הפרלמנטרי), התשפ""ד-2024")</f>
        <v>7444</v>
      </c>
      <c r="E3505" t="s">
        <v>7444</v>
      </c>
      <c r="F3505" t="s">
        <v>7445</v>
      </c>
      <c r="G3505" t="s">
        <v>14</v>
      </c>
      <c r="H3505">
             </c>
      <c r="I3505" t="s">
        <v>14</v>
      </c>
      <c r="J3505" t="s">
        <v>242</v>
      </c>
      <c r="K3505" t="s">
        <v>14</v>
      </c>
      <c r="L3505" t="s">
        <v>20</v>
      </c>
      <c r="M3505" t="s">
        <v>7429</v>
      </c>
      <c r="N3505" t="s">
        <v>14</v>
      </c>
    </row>
    <row r="3506" x14ac:dyDescent="0.25">
      <c r="A3506" t="n">
        <v>25</v>
      </c>
      <c r="B3506" t="s">
        <v>14</v>
      </c>
      <c r="C3506" t="s">
        <v>51</v>
      </c>
      <c r="D3506" s="2" t="s">
        <f>=HYPERLINK("https://main.knesset.gov.il/APPS/legislation/main/bills/2213622", "הצעת חוק להסדר ההימורים בספורט (תיקון - העברת יתרת ההכנסות למדינה), התשפ""ד-2024")</f>
        <v>7446</v>
      </c>
      <c r="E3506" t="s">
        <v>7446</v>
      </c>
      <c r="F3506" t="s">
        <v>7447</v>
      </c>
      <c r="G3506" t="s">
        <v>14</v>
      </c>
      <c r="H3506">
             </c>
      <c r="I3506" t="s">
        <v>14</v>
      </c>
      <c r="J3506" t="s">
        <v>242</v>
      </c>
      <c r="K3506" t="s">
        <v>14</v>
      </c>
      <c r="L3506" t="s">
        <v>20</v>
      </c>
      <c r="M3506" t="s">
        <v>7429</v>
      </c>
      <c r="N3506" t="s">
        <v>14</v>
      </c>
    </row>
    <row r="3507" x14ac:dyDescent="0.25">
      <c r="A3507" t="n">
        <v>25</v>
      </c>
      <c r="B3507" t="s">
        <v>14</v>
      </c>
      <c r="C3507" t="s">
        <v>51</v>
      </c>
      <c r="D3507" s="2" t="s">
        <f>=HYPERLINK("https://main.knesset.gov.il/APPS/legislation/main/bills/2213403", "הצעת חוק הפיקוח על מעונות יום לפעוטות (תיקון - חובת מרחב מוגן), התשפ""ד-2024")</f>
        <v>7448</v>
      </c>
      <c r="E3507" t="s">
        <v>7448</v>
      </c>
      <c r="F3507" t="s">
        <v>7449</v>
      </c>
      <c r="G3507" t="s">
        <v>14</v>
      </c>
      <c r="H3507">
             </c>
      <c r="I3507" t="s">
        <v>14</v>
      </c>
      <c r="J3507" t="s">
        <v>242</v>
      </c>
      <c r="K3507" t="s">
        <v>14</v>
      </c>
      <c r="L3507" t="s">
        <v>20</v>
      </c>
      <c r="M3507" t="s">
        <v>7429</v>
      </c>
      <c r="N3507" t="s">
        <v>14</v>
      </c>
    </row>
    <row r="3508" x14ac:dyDescent="0.25">
      <c r="A3508" t="n">
        <v>25</v>
      </c>
      <c r="B3508" t="s">
        <v>14</v>
      </c>
      <c r="C3508" t="s">
        <v>51</v>
      </c>
      <c r="D3508" s="2" t="s">
        <f>=HYPERLINK("https://main.knesset.gov.il/APPS/legislation/main/bills/2212921", "הצעת חוק מס קנייה (טובין ושירותים) (תיקון - שיעור המס על רכב חשמלי), התשפ""ד-2024")</f>
        <v>7147</v>
      </c>
      <c r="E3508" t="s">
        <v>7147</v>
      </c>
      <c r="F3508" t="s">
        <v>7450</v>
      </c>
      <c r="G3508" t="s">
        <v>14</v>
      </c>
      <c r="H3508">
             </c>
      <c r="I3508" t="s">
        <v>14</v>
      </c>
      <c r="J3508" t="s">
        <v>242</v>
      </c>
      <c r="K3508" t="s">
        <v>14</v>
      </c>
      <c r="L3508" t="s">
        <v>20</v>
      </c>
      <c r="M3508" t="s">
        <v>7429</v>
      </c>
      <c r="N3508" t="s">
        <v>14</v>
      </c>
    </row>
    <row r="3509" x14ac:dyDescent="0.25">
      <c r="A3509" t="n">
        <v>25</v>
      </c>
      <c r="B3509" t="s">
        <v>14</v>
      </c>
      <c r="C3509" t="s">
        <v>51</v>
      </c>
      <c r="D3509" s="2" t="s">
        <f>=HYPERLINK("https://main.knesset.gov.il/APPS/legislation/main/bills/2214093", "הצעת חוק טוס כחול לבן, התשפ""ד-2024")</f>
        <v>7451</v>
      </c>
      <c r="E3509" t="s">
        <v>7451</v>
      </c>
      <c r="F3509" t="s">
        <v>7452</v>
      </c>
      <c r="G3509" t="s">
        <v>14</v>
      </c>
      <c r="H3509">
             </c>
      <c r="I3509" t="s">
        <v>14</v>
      </c>
      <c r="J3509" t="s">
        <v>242</v>
      </c>
      <c r="K3509" t="s">
        <v>14</v>
      </c>
      <c r="L3509" t="s">
        <v>20</v>
      </c>
      <c r="M3509" t="s">
        <v>7429</v>
      </c>
      <c r="N3509" t="s">
        <v>14</v>
      </c>
    </row>
    <row r="3510" x14ac:dyDescent="0.25">
      <c r="A3510" t="n">
        <v>25</v>
      </c>
      <c r="B3510" t="s">
        <v>14</v>
      </c>
      <c r="C3510" t="s">
        <v>51</v>
      </c>
      <c r="D3510" s="2" t="s">
        <f>=HYPERLINK("https://main.knesset.gov.il/APPS/legislation/main/bills/2213734", "הצעת חוק הרשות הלאומית למניעת התאבדויות, התשפ""ד-2024")</f>
        <v>7453</v>
      </c>
      <c r="E3510" t="s">
        <v>7453</v>
      </c>
      <c r="F3510" t="s">
        <v>7454</v>
      </c>
      <c r="G3510" t="s">
        <v>14</v>
      </c>
      <c r="H3510">
             </c>
      <c r="I3510" t="s">
        <v>14</v>
      </c>
      <c r="J3510" t="s">
        <v>242</v>
      </c>
      <c r="K3510" t="s">
        <v>14</v>
      </c>
      <c r="L3510" t="s">
        <v>20</v>
      </c>
      <c r="M3510" t="s">
        <v>7429</v>
      </c>
      <c r="N3510" t="s">
        <v>14</v>
      </c>
    </row>
    <row r="3511" x14ac:dyDescent="0.25">
      <c r="A3511" t="n">
        <v>25</v>
      </c>
      <c r="B3511" t="s">
        <v>14</v>
      </c>
      <c r="C3511" t="s">
        <v>51</v>
      </c>
      <c r="D3511" s="2" t="s">
        <f>=HYPERLINK("https://main.knesset.gov.il/APPS/legislation/main/bills/2213739", "הצעת חוק מס ערך מוסף (תיקון - מס בשיעור אפס על מתן שירותי בנייה לצורך הוספת מרחבים מוגנים ביישובים סמוכי גבול), התשפ""ד-2024")</f>
        <v>7455</v>
      </c>
      <c r="E3511" t="s">
        <v>7455</v>
      </c>
      <c r="F3511" t="s">
        <v>7456</v>
      </c>
      <c r="G3511" t="s">
        <v>14</v>
      </c>
      <c r="H3511">
             </c>
      <c r="I3511" t="s">
        <v>14</v>
      </c>
      <c r="J3511" t="s">
        <v>242</v>
      </c>
      <c r="K3511" t="s">
        <v>14</v>
      </c>
      <c r="L3511" t="s">
        <v>20</v>
      </c>
      <c r="M3511" t="s">
        <v>7429</v>
      </c>
      <c r="N3511" t="s">
        <v>14</v>
      </c>
    </row>
    <row r="3512" x14ac:dyDescent="0.25">
      <c r="A3512" t="n">
        <v>25</v>
      </c>
      <c r="B3512" t="s">
        <v>14</v>
      </c>
      <c r="C3512" t="s">
        <v>51</v>
      </c>
      <c r="D3512" s="2" t="s">
        <f>=HYPERLINK("https://main.knesset.gov.il/APPS/legislation/main/bills/2213877", "הצעת חוק זכאות למענק להוספת מרחב מוגן דירתי ומרחב מוגן קומתי ביישובים סמוכים לגבול (הוראת שעה), התשפ""ד-2024")</f>
        <v>7457</v>
      </c>
      <c r="E3512" t="s">
        <v>7457</v>
      </c>
      <c r="F3512" t="s">
        <v>7458</v>
      </c>
      <c r="G3512" t="s">
        <v>14</v>
      </c>
      <c r="H3512">
             </c>
      <c r="I3512" t="s">
        <v>14</v>
      </c>
      <c r="J3512" t="s">
        <v>242</v>
      </c>
      <c r="K3512" t="s">
        <v>14</v>
      </c>
      <c r="L3512" t="s">
        <v>20</v>
      </c>
      <c r="M3512" t="s">
        <v>7429</v>
      </c>
      <c r="N3512" t="s">
        <v>14</v>
      </c>
    </row>
    <row r="3513" x14ac:dyDescent="0.25">
      <c r="A3513" t="n">
        <v>25</v>
      </c>
      <c r="B3513" t="s">
        <v>14</v>
      </c>
      <c r="C3513" t="s">
        <v>51</v>
      </c>
      <c r="D3513" s="2" t="s">
        <f>=HYPERLINK("https://main.knesset.gov.il/APPS/legislation/main/bills/2213988", "הצעת חוק הבנקאות (רישוי) (תיקון - הפרדה בין בנקים), התשפ""ד-2024")</f>
        <v>7459</v>
      </c>
      <c r="E3513" t="s">
        <v>7459</v>
      </c>
      <c r="F3513" t="s">
        <v>7460</v>
      </c>
      <c r="G3513" t="s">
        <v>14</v>
      </c>
      <c r="H3513">
             </c>
      <c r="I3513" t="s">
        <v>14</v>
      </c>
      <c r="J3513" t="s">
        <v>242</v>
      </c>
      <c r="K3513" t="s">
        <v>14</v>
      </c>
      <c r="L3513" t="s">
        <v>20</v>
      </c>
      <c r="M3513" t="s">
        <v>7429</v>
      </c>
      <c r="N3513" t="s">
        <v>14</v>
      </c>
    </row>
    <row r="3514" x14ac:dyDescent="0.25">
      <c r="A3514" t="n">
        <v>25</v>
      </c>
      <c r="B3514" t="s">
        <v>14</v>
      </c>
      <c r="C3514" t="s">
        <v>51</v>
      </c>
      <c r="D3514" s="2" t="s">
        <f>=HYPERLINK("https://main.knesset.gov.il/APPS/legislation/main/bills/2200573", "חוק הבנקאות (שירות ללקוח) (תיקון מס' 37), התשפ""ד–2024")</f>
        <v>7461</v>
      </c>
      <c r="E3514" t="s">
        <v>7461</v>
      </c>
      <c r="F3514" t="s">
        <v>7462</v>
      </c>
      <c r="G3514" t="s">
        <v>7463</v>
      </c>
      <c r="H3514" t="n">
        <v>3152</v>
      </c>
      <c r="I3514" t="s">
        <v>14</v>
      </c>
      <c r="J3514" t="s">
        <v>18</v>
      </c>
      <c r="K3514" t="s">
        <v>75</v>
      </c>
      <c r="L3514" t="s">
        <v>20</v>
      </c>
      <c r="M3514" t="s">
        <v>7464</v>
      </c>
      <c r="N3514" t="s">
        <v>7465</v>
      </c>
    </row>
    <row r="3515" x14ac:dyDescent="0.25">
      <c r="A3515" t="n">
        <v>25</v>
      </c>
      <c r="B3515" t="s">
        <v>14</v>
      </c>
      <c r="C3515" t="s">
        <v>15</v>
      </c>
      <c r="D3515" s="2" t="s">
        <f>=HYPERLINK("https://main.knesset.gov.il/APPS/legislation/main/bills/2213408", "חוק ההתיישנות (תיקון מס' 8 – חרבות ברזל), התשפ""ד–2024")</f>
        <v>7466</v>
      </c>
      <c r="E3515" t="s">
        <v>7466</v>
      </c>
      <c r="F3515" t="s">
        <v>14</v>
      </c>
      <c r="G3515" t="s">
        <v>7467</v>
      </c>
      <c r="H3515" t="n">
        <v>3151</v>
      </c>
      <c r="I3515" t="s">
        <v>14</v>
      </c>
      <c r="J3515" t="s">
        <v>18</v>
      </c>
      <c r="K3515" t="s">
        <v>27</v>
      </c>
      <c r="L3515" t="s">
        <v>20</v>
      </c>
      <c r="M3515" t="s">
        <v>7464</v>
      </c>
      <c r="N3515" t="s">
        <v>7468</v>
      </c>
    </row>
    <row r="3516" x14ac:dyDescent="0.25">
      <c r="A3516" t="n">
        <v>25</v>
      </c>
      <c r="B3516" t="s">
        <v>14</v>
      </c>
      <c r="C3516" t="s">
        <v>51</v>
      </c>
      <c r="D3516" s="2" t="s">
        <f>=HYPERLINK("https://main.knesset.gov.il/APPS/legislation/main/bills/2202464", "הצעת חוק הביטוח הלאומי (תיקון - תשלום גמלת ילד נכה לאומן בעד ילד הנמצא אצלו באומנה), התשפ""ג-2023")</f>
        <v>7469</v>
      </c>
      <c r="E3516" t="s">
        <v>7469</v>
      </c>
      <c r="F3516" t="s">
        <v>7470</v>
      </c>
      <c r="G3516" t="s">
        <v>14</v>
      </c>
      <c r="H3516">
             </c>
      <c r="I3516" t="s">
        <v>14</v>
      </c>
      <c r="J3516" t="s">
        <v>183</v>
      </c>
      <c r="K3516" t="s">
        <v>46</v>
      </c>
      <c r="L3516" t="s">
        <v>20</v>
      </c>
      <c r="M3516" t="s">
        <v>7471</v>
      </c>
      <c r="N3516" t="s">
        <v>14</v>
      </c>
    </row>
    <row r="3517" x14ac:dyDescent="0.25">
      <c r="A3517" t="n">
        <v>25</v>
      </c>
      <c r="B3517" t="s">
        <v>14</v>
      </c>
      <c r="C3517" t="s">
        <v>51</v>
      </c>
      <c r="D3517" s="2" t="s">
        <f>=HYPERLINK("https://main.knesset.gov.il/APPS/legislation/main/bills/2202280", "הצעת חוק הביטוח הלאומי (תיקון - תשלום גמלת ילד נכה לאומן בעד ילד הנמצא אצלו באומנה), התשפ""ג-2023")</f>
        <v>7469</v>
      </c>
      <c r="E3517" t="s">
        <v>7469</v>
      </c>
      <c r="F3517" t="s">
        <v>7472</v>
      </c>
      <c r="G3517" t="s">
        <v>14</v>
      </c>
      <c r="H3517">
             </c>
      <c r="I3517" t="s">
        <v>14</v>
      </c>
      <c r="J3517" t="s">
        <v>183</v>
      </c>
      <c r="K3517" t="s">
        <v>46</v>
      </c>
      <c r="L3517" t="s">
        <v>20</v>
      </c>
      <c r="M3517" t="s">
        <v>7471</v>
      </c>
      <c r="N3517" t="s">
        <v>14</v>
      </c>
    </row>
    <row r="3518" x14ac:dyDescent="0.25">
      <c r="A3518" t="n">
        <v>25</v>
      </c>
      <c r="B3518" t="s">
        <v>14</v>
      </c>
      <c r="C3518" t="s">
        <v>51</v>
      </c>
      <c r="D3518" s="2" t="s">
        <f>=HYPERLINK("https://main.knesset.gov.il/APPS/legislation/main/bills/2198977", "הצעת חוק הסדרת העיסוק במקצועות הבריאות (תיקון - הסדרת העיסוק בפודולוגיה), התשפ""ג-2023")</f>
        <v>7473</v>
      </c>
      <c r="E3518" t="s">
        <v>7473</v>
      </c>
      <c r="F3518" t="s">
        <v>7474</v>
      </c>
      <c r="G3518" t="s">
        <v>14</v>
      </c>
      <c r="H3518">
             </c>
      <c r="I3518" t="s">
        <v>14</v>
      </c>
      <c r="J3518" t="s">
        <v>183</v>
      </c>
      <c r="K3518" t="s">
        <v>361</v>
      </c>
      <c r="L3518" t="s">
        <v>20</v>
      </c>
      <c r="M3518" t="s">
        <v>7471</v>
      </c>
      <c r="N3518" t="s">
        <v>14</v>
      </c>
    </row>
    <row r="3519" x14ac:dyDescent="0.25">
      <c r="A3519" t="n">
        <v>25</v>
      </c>
      <c r="B3519" t="s">
        <v>14</v>
      </c>
      <c r="C3519" t="s">
        <v>51</v>
      </c>
      <c r="D3519" s="2" t="s">
        <f>=HYPERLINK("https://main.knesset.gov.il/APPS/legislation/main/bills/2213788", "הצעת חוק הביטוח הלאומי (תיקון - מענק חד-פעמי לנפגעים ממתקפת הטרור שהביאה למלחמת חרבות ברזל), התשפ""ד-2024")</f>
        <v>7475</v>
      </c>
      <c r="E3519" t="s">
        <v>7475</v>
      </c>
      <c r="F3519" t="s">
        <v>7476</v>
      </c>
      <c r="G3519" t="s">
        <v>14</v>
      </c>
      <c r="H3519">
             </c>
      <c r="I3519" t="s">
        <v>14</v>
      </c>
      <c r="J3519" t="s">
        <v>242</v>
      </c>
      <c r="K3519" t="s">
        <v>14</v>
      </c>
      <c r="L3519" t="s">
        <v>20</v>
      </c>
      <c r="M3519" t="s">
        <v>7471</v>
      </c>
      <c r="N3519" t="s">
        <v>14</v>
      </c>
    </row>
    <row r="3520" x14ac:dyDescent="0.25">
      <c r="A3520" t="n">
        <v>25</v>
      </c>
      <c r="B3520" t="s">
        <v>14</v>
      </c>
      <c r="C3520" t="s">
        <v>51</v>
      </c>
      <c r="D3520" s="2" t="s">
        <f>=HYPERLINK("https://main.knesset.gov.il/APPS/legislation/main/bills/2213558", "הצעת חוק הנכים (תגמולים ושיקום) (תיקון - פצועים בשירות סדיר), התשפ""ד-2024")</f>
        <v>6019</v>
      </c>
      <c r="E3520" t="s">
        <v>6019</v>
      </c>
      <c r="F3520" t="s">
        <v>7477</v>
      </c>
      <c r="G3520" t="s">
        <v>14</v>
      </c>
      <c r="H3520">
             </c>
      <c r="I3520" t="s">
        <v>14</v>
      </c>
      <c r="J3520" t="s">
        <v>242</v>
      </c>
      <c r="K3520" t="s">
        <v>14</v>
      </c>
      <c r="L3520" t="s">
        <v>20</v>
      </c>
      <c r="M3520" t="s">
        <v>7471</v>
      </c>
      <c r="N3520" t="s">
        <v>14</v>
      </c>
    </row>
    <row r="3521" x14ac:dyDescent="0.25">
      <c r="A3521" t="n">
        <v>25</v>
      </c>
      <c r="B3521" t="s">
        <v>14</v>
      </c>
      <c r="C3521" t="s">
        <v>51</v>
      </c>
      <c r="D3521" s="2" t="s">
        <f>=HYPERLINK("https://main.knesset.gov.il/APPS/legislation/main/bills/2213138", "הצעת חוק החיילים המשוחררים (החזרה לעבודה) (תיקון - הארכת תקופת ההגנה מפיטורים למשרתי מילואים), התשפ""ד-2024")</f>
        <v>7371</v>
      </c>
      <c r="E3521" t="s">
        <v>7371</v>
      </c>
      <c r="F3521" t="s">
        <v>7478</v>
      </c>
      <c r="G3521" t="s">
        <v>14</v>
      </c>
      <c r="H3521">
             </c>
      <c r="I3521" t="s">
        <v>14</v>
      </c>
      <c r="J3521" t="s">
        <v>242</v>
      </c>
      <c r="K3521" t="s">
        <v>14</v>
      </c>
      <c r="L3521" t="s">
        <v>20</v>
      </c>
      <c r="M3521" t="s">
        <v>7471</v>
      </c>
      <c r="N3521" t="s">
        <v>14</v>
      </c>
    </row>
    <row r="3522" x14ac:dyDescent="0.25">
      <c r="A3522" t="n">
        <v>25</v>
      </c>
      <c r="B3522" t="s">
        <v>14</v>
      </c>
      <c r="C3522" t="s">
        <v>51</v>
      </c>
      <c r="D3522" s="2" t="s">
        <f>=HYPERLINK("https://main.knesset.gov.il/APPS/legislation/main/bills/2212240", "הצעת חוק החקלאות, התשפ""ד-2024")</f>
        <v>7479</v>
      </c>
      <c r="E3522" t="s">
        <v>7479</v>
      </c>
      <c r="F3522" t="s">
        <v>7480</v>
      </c>
      <c r="G3522" t="s">
        <v>14</v>
      </c>
      <c r="H3522">
             </c>
      <c r="I3522" t="s">
        <v>14</v>
      </c>
      <c r="J3522" t="s">
        <v>242</v>
      </c>
      <c r="K3522" t="s">
        <v>14</v>
      </c>
      <c r="L3522" t="s">
        <v>20</v>
      </c>
      <c r="M3522" t="s">
        <v>7471</v>
      </c>
      <c r="N3522" t="s">
        <v>14</v>
      </c>
    </row>
    <row r="3523" x14ac:dyDescent="0.25">
      <c r="A3523" t="n">
        <v>25</v>
      </c>
      <c r="B3523" t="s">
        <v>14</v>
      </c>
      <c r="C3523" t="s">
        <v>51</v>
      </c>
      <c r="D3523" s="2" t="s">
        <f>=HYPERLINK("https://main.knesset.gov.il/APPS/legislation/main/bills/2213440", "הצעת חוק הסכמים לנשיאת עוברים (אישור הסכם ומעמד היילוד) (תיקון - הבאת ביציות מופרות מחוץ לישראל), התשפ""ד-2024")</f>
        <v>7481</v>
      </c>
      <c r="E3523" t="s">
        <v>7481</v>
      </c>
      <c r="F3523" t="s">
        <v>7482</v>
      </c>
      <c r="G3523" t="s">
        <v>14</v>
      </c>
      <c r="H3523">
             </c>
      <c r="I3523" t="s">
        <v>14</v>
      </c>
      <c r="J3523" t="s">
        <v>202</v>
      </c>
      <c r="K3523" t="s">
        <v>14</v>
      </c>
      <c r="L3523" t="s">
        <v>20</v>
      </c>
      <c r="M3523" t="s">
        <v>7471</v>
      </c>
      <c r="N3523" t="s">
        <v>14</v>
      </c>
    </row>
    <row r="3524" x14ac:dyDescent="0.25">
      <c r="A3524" t="n">
        <v>25</v>
      </c>
      <c r="B3524" t="s">
        <v>14</v>
      </c>
      <c r="C3524" t="s">
        <v>51</v>
      </c>
      <c r="D3524" s="2" t="s">
        <f>=HYPERLINK("https://main.knesset.gov.il/APPS/legislation/main/bills/2213134", "הצעת חוק החיילים המשוחררים (החזרה לעבודה) (תיקון - צבירת חופשה למשרתים במילואים), התשפ""ד-2024")</f>
        <v>6038</v>
      </c>
      <c r="E3524" t="s">
        <v>6038</v>
      </c>
      <c r="F3524" t="s">
        <v>7483</v>
      </c>
      <c r="G3524" t="s">
        <v>14</v>
      </c>
      <c r="H3524">
             </c>
      <c r="I3524" t="s">
        <v>14</v>
      </c>
      <c r="J3524" t="s">
        <v>242</v>
      </c>
      <c r="K3524" t="s">
        <v>14</v>
      </c>
      <c r="L3524" t="s">
        <v>20</v>
      </c>
      <c r="M3524" t="s">
        <v>7471</v>
      </c>
      <c r="N3524" t="s">
        <v>14</v>
      </c>
    </row>
    <row r="3525" x14ac:dyDescent="0.25">
      <c r="A3525" t="n">
        <v>25</v>
      </c>
      <c r="B3525" t="s">
        <v>14</v>
      </c>
      <c r="C3525" t="s">
        <v>51</v>
      </c>
      <c r="D3525" s="2" t="s">
        <f>=HYPERLINK("https://main.knesset.gov.il/APPS/legislation/main/bills/2213127", "הצעת חוק איסור סיום התקשרות עם משתתף חופשי המשרת במילואים, התשפ""ד-2024 ")</f>
        <v>7484</v>
      </c>
      <c r="E3525" t="s">
        <v>7484</v>
      </c>
      <c r="F3525" t="s">
        <v>7485</v>
      </c>
      <c r="G3525" t="s">
        <v>14</v>
      </c>
      <c r="H3525">
             </c>
      <c r="I3525" t="s">
        <v>14</v>
      </c>
      <c r="J3525" t="s">
        <v>242</v>
      </c>
      <c r="K3525" t="s">
        <v>14</v>
      </c>
      <c r="L3525" t="s">
        <v>20</v>
      </c>
      <c r="M3525" t="s">
        <v>7471</v>
      </c>
      <c r="N3525" t="s">
        <v>14</v>
      </c>
    </row>
    <row r="3526" x14ac:dyDescent="0.25">
      <c r="A3526" t="n">
        <v>25</v>
      </c>
      <c r="B3526" t="s">
        <v>14</v>
      </c>
      <c r="C3526" t="s">
        <v>51</v>
      </c>
      <c r="D3526" s="2" t="s">
        <f>=HYPERLINK("https://main.knesset.gov.il/APPS/legislation/main/bills/2213439", "הצעת חוק תרומת ביציות (תיקון - תרומת ביציות בין בנות זוג), התשפ""ד-2024")</f>
        <v>7486</v>
      </c>
      <c r="E3526" t="s">
        <v>7486</v>
      </c>
      <c r="F3526" t="s">
        <v>7487</v>
      </c>
      <c r="G3526" t="s">
        <v>14</v>
      </c>
      <c r="H3526">
             </c>
      <c r="I3526" t="s">
        <v>14</v>
      </c>
      <c r="J3526" t="s">
        <v>242</v>
      </c>
      <c r="K3526" t="s">
        <v>14</v>
      </c>
      <c r="L3526" t="s">
        <v>20</v>
      </c>
      <c r="M3526" t="s">
        <v>7471</v>
      </c>
      <c r="N3526" t="s">
        <v>14</v>
      </c>
    </row>
    <row r="3527" x14ac:dyDescent="0.25">
      <c r="A3527" t="n">
        <v>25</v>
      </c>
      <c r="B3527" t="s">
        <v>14</v>
      </c>
      <c r="C3527" t="s">
        <v>51</v>
      </c>
      <c r="D3527" s="2" t="s">
        <f>=HYPERLINK("https://main.knesset.gov.il/APPS/legislation/main/bills/2209556", "הצעת חוק לימוד חובה (תיקון - משקל ילקוט תקין לתלמידים), התשפ""ד-2024")</f>
        <v>7488</v>
      </c>
      <c r="E3527" t="s">
        <v>7488</v>
      </c>
      <c r="F3527" t="s">
        <v>7489</v>
      </c>
      <c r="G3527" t="s">
        <v>14</v>
      </c>
      <c r="H3527">
             </c>
      <c r="I3527" t="s">
        <v>14</v>
      </c>
      <c r="J3527" t="s">
        <v>242</v>
      </c>
      <c r="K3527" t="s">
        <v>14</v>
      </c>
      <c r="L3527" t="s">
        <v>20</v>
      </c>
      <c r="M3527" t="s">
        <v>7471</v>
      </c>
      <c r="N3527" t="s">
        <v>14</v>
      </c>
    </row>
    <row r="3528" x14ac:dyDescent="0.25">
      <c r="A3528" t="n">
        <v>25</v>
      </c>
      <c r="B3528" t="s">
        <v>14</v>
      </c>
      <c r="C3528" t="s">
        <v>51</v>
      </c>
      <c r="D3528" s="2" t="s">
        <f>=HYPERLINK("https://main.knesset.gov.il/APPS/legislation/main/bills/2213716", "הצעת חוק שוויון ההזדמנויות בעבודה (תיקון - איסור הפליה בשל דרישות כשרות), התשפ""ד-2024")</f>
        <v>7490</v>
      </c>
      <c r="E3528" t="s">
        <v>7490</v>
      </c>
      <c r="F3528" t="s">
        <v>7491</v>
      </c>
      <c r="G3528" t="s">
        <v>14</v>
      </c>
      <c r="H3528">
             </c>
      <c r="I3528" t="s">
        <v>14</v>
      </c>
      <c r="J3528" t="s">
        <v>242</v>
      </c>
      <c r="K3528" t="s">
        <v>14</v>
      </c>
      <c r="L3528" t="s">
        <v>20</v>
      </c>
      <c r="M3528" t="s">
        <v>7471</v>
      </c>
      <c r="N3528" t="s">
        <v>14</v>
      </c>
    </row>
    <row r="3529" x14ac:dyDescent="0.25">
      <c r="A3529" t="n">
        <v>25</v>
      </c>
      <c r="B3529" t="s">
        <v>14</v>
      </c>
      <c r="C3529" t="s">
        <v>51</v>
      </c>
      <c r="D3529" s="2" t="s">
        <f>=HYPERLINK("https://main.knesset.gov.il/APPS/legislation/main/bills/2208735", "הצעת חוק זכרון השואה והגבורה - יד ושם (תיקון - חיזוק הבקרה והפיקוח הפרלמנטרי), התשפ""ד-2024")</f>
        <v>7492</v>
      </c>
      <c r="E3529" t="s">
        <v>7492</v>
      </c>
      <c r="F3529" t="s">
        <v>7493</v>
      </c>
      <c r="G3529" t="s">
        <v>14</v>
      </c>
      <c r="H3529">
             </c>
      <c r="I3529" t="s">
        <v>14</v>
      </c>
      <c r="J3529" t="s">
        <v>242</v>
      </c>
      <c r="K3529" t="s">
        <v>14</v>
      </c>
      <c r="L3529" t="s">
        <v>20</v>
      </c>
      <c r="M3529" t="s">
        <v>7471</v>
      </c>
      <c r="N3529" t="s">
        <v>14</v>
      </c>
    </row>
    <row r="3530" x14ac:dyDescent="0.25">
      <c r="A3530" t="n">
        <v>25</v>
      </c>
      <c r="B3530" t="s">
        <v>14</v>
      </c>
      <c r="C3530" t="s">
        <v>51</v>
      </c>
      <c r="D3530" s="2" t="s">
        <f>=HYPERLINK("https://main.knesset.gov.il/APPS/legislation/main/bills/2213736", "הצעת חוק שיווי זכויות האישה (תיקון - ייצוג לנשים בוועדות איתור), התשפ""ד-2024")</f>
        <v>7494</v>
      </c>
      <c r="E3530" t="s">
        <v>7494</v>
      </c>
      <c r="F3530" t="s">
        <v>7495</v>
      </c>
      <c r="G3530" t="s">
        <v>14</v>
      </c>
      <c r="H3530">
             </c>
      <c r="I3530" t="s">
        <v>14</v>
      </c>
      <c r="J3530" t="s">
        <v>242</v>
      </c>
      <c r="K3530" t="s">
        <v>14</v>
      </c>
      <c r="L3530" t="s">
        <v>20</v>
      </c>
      <c r="M3530" t="s">
        <v>7471</v>
      </c>
      <c r="N3530" t="s">
        <v>14</v>
      </c>
    </row>
    <row r="3531" x14ac:dyDescent="0.25">
      <c r="A3531" t="n">
        <v>25</v>
      </c>
      <c r="B3531" t="s">
        <v>14</v>
      </c>
      <c r="C3531" t="s">
        <v>51</v>
      </c>
      <c r="D3531" s="2" t="s">
        <f>=HYPERLINK("https://main.knesset.gov.il/APPS/legislation/main/bills/2213471", "הצעת חוק אסדרת שוק הקנאביס לצריכה עצמית, התשפ""ד-2024")</f>
        <v>6448</v>
      </c>
      <c r="E3531" t="s">
        <v>6448</v>
      </c>
      <c r="F3531" t="s">
        <v>7496</v>
      </c>
      <c r="G3531" t="s">
        <v>14</v>
      </c>
      <c r="H3531">
             </c>
      <c r="I3531" t="s">
        <v>14</v>
      </c>
      <c r="J3531" t="s">
        <v>242</v>
      </c>
      <c r="K3531" t="s">
        <v>14</v>
      </c>
      <c r="L3531" t="s">
        <v>20</v>
      </c>
      <c r="M3531" t="s">
        <v>7471</v>
      </c>
      <c r="N3531" t="s">
        <v>14</v>
      </c>
    </row>
    <row r="3532" x14ac:dyDescent="0.25">
      <c r="A3532" t="n">
        <v>25</v>
      </c>
      <c r="B3532" t="s">
        <v>14</v>
      </c>
      <c r="C3532" t="s">
        <v>51</v>
      </c>
      <c r="D3532" s="2" t="s">
        <f>=HYPERLINK("https://main.knesset.gov.il/APPS/legislation/main/bills/2210440", "הצעת חוק ההסדרים במשק המדינה (תיקוני חקיקה להשגת יעדי התקציב) (תיקון - הנחה בארנונה לנכים), התשפ""ד-2024")</f>
        <v>7497</v>
      </c>
      <c r="E3532" t="s">
        <v>7497</v>
      </c>
      <c r="F3532" t="s">
        <v>7498</v>
      </c>
      <c r="G3532" t="s">
        <v>14</v>
      </c>
      <c r="H3532">
             </c>
      <c r="I3532" t="s">
        <v>14</v>
      </c>
      <c r="J3532" t="s">
        <v>242</v>
      </c>
      <c r="K3532" t="s">
        <v>14</v>
      </c>
      <c r="L3532" t="s">
        <v>20</v>
      </c>
      <c r="M3532" t="s">
        <v>7471</v>
      </c>
      <c r="N3532" t="s">
        <v>14</v>
      </c>
    </row>
    <row r="3533" x14ac:dyDescent="0.25">
      <c r="A3533" t="n">
        <v>25</v>
      </c>
      <c r="B3533" t="s">
        <v>14</v>
      </c>
      <c r="C3533" t="s">
        <v>51</v>
      </c>
      <c r="D3533" s="2" t="s">
        <f>=HYPERLINK("https://main.knesset.gov.il/APPS/legislation/main/bills/2212311", "הצעת חוק הודעה מוקדמת לפיטורים ולהתפטרות (תיקון - עובד שהורשע או נאשם בעבירה של גילוי הזדהות עם ארגון טרור והסתה לטרור), התשפ""ד-2024")</f>
        <v>7499</v>
      </c>
      <c r="E3533" t="s">
        <v>7499</v>
      </c>
      <c r="F3533" t="s">
        <v>7500</v>
      </c>
      <c r="G3533" t="s">
        <v>14</v>
      </c>
      <c r="H3533">
             </c>
      <c r="I3533" t="s">
        <v>14</v>
      </c>
      <c r="J3533" t="s">
        <v>242</v>
      </c>
      <c r="K3533" t="s">
        <v>14</v>
      </c>
      <c r="L3533" t="s">
        <v>20</v>
      </c>
      <c r="M3533" t="s">
        <v>7471</v>
      </c>
      <c r="N3533" t="s">
        <v>14</v>
      </c>
    </row>
    <row r="3534" x14ac:dyDescent="0.25">
      <c r="A3534" t="n">
        <v>25</v>
      </c>
      <c r="B3534" t="s">
        <v>14</v>
      </c>
      <c r="C3534" t="s">
        <v>51</v>
      </c>
      <c r="D3534" s="2" t="s">
        <f>=HYPERLINK("https://main.knesset.gov.il/APPS/legislation/main/bills/2213712", "הצעת חוק הבחירות לכנסת (תיקון - הצבעה בקלפיות של בעלי מוגבלויות), התשפ""ד-2024")</f>
        <v>7501</v>
      </c>
      <c r="E3534" t="s">
        <v>7501</v>
      </c>
      <c r="F3534" t="s">
        <v>7502</v>
      </c>
      <c r="G3534" t="s">
        <v>14</v>
      </c>
      <c r="H3534">
             </c>
      <c r="I3534" t="s">
        <v>14</v>
      </c>
      <c r="J3534" t="s">
        <v>242</v>
      </c>
      <c r="K3534" t="s">
        <v>14</v>
      </c>
      <c r="L3534" t="s">
        <v>20</v>
      </c>
      <c r="M3534" t="s">
        <v>7471</v>
      </c>
      <c r="N3534" t="s">
        <v>14</v>
      </c>
    </row>
    <row r="3535" x14ac:dyDescent="0.25">
      <c r="A3535" t="n">
        <v>25</v>
      </c>
      <c r="B3535" t="s">
        <v>14</v>
      </c>
      <c r="C3535" t="s">
        <v>51</v>
      </c>
      <c r="D3535" s="2" t="s">
        <f>=HYPERLINK("https://main.knesset.gov.il/APPS/legislation/main/bills/2213683", "הצעת חוק הממשלה (תיקון - ביצוע בדיקת פוליגרף לחברי ועדת השרים לענייני ביטחון לאומי), התשפ""ד-2024")</f>
        <v>5215</v>
      </c>
      <c r="E3535" t="s">
        <v>5215</v>
      </c>
      <c r="F3535" t="s">
        <v>7503</v>
      </c>
      <c r="G3535" t="s">
        <v>14</v>
      </c>
      <c r="H3535">
             </c>
      <c r="I3535" t="s">
        <v>14</v>
      </c>
      <c r="J3535" t="s">
        <v>242</v>
      </c>
      <c r="K3535" t="s">
        <v>14</v>
      </c>
      <c r="L3535" t="s">
        <v>20</v>
      </c>
      <c r="M3535" t="s">
        <v>7471</v>
      </c>
      <c r="N3535" t="s">
        <v>14</v>
      </c>
    </row>
    <row r="3536" x14ac:dyDescent="0.25">
      <c r="A3536" t="n">
        <v>25</v>
      </c>
      <c r="B3536" t="s">
        <v>14</v>
      </c>
      <c r="C3536" t="s">
        <v>51</v>
      </c>
      <c r="D3536" s="2" t="s">
        <f>=HYPERLINK("https://main.knesset.gov.il/APPS/legislation/main/bills/2212582", "הצעת חוק מס קנייה (טובין ושירותים) (תיקון – שיעור המס על רכב חשמלי), התשפ""ד–2024")</f>
        <v>7504</v>
      </c>
      <c r="E3536" t="s">
        <v>7504</v>
      </c>
      <c r="F3536" t="s">
        <v>7505</v>
      </c>
      <c r="G3536" t="s">
        <v>14</v>
      </c>
      <c r="H3536">
             </c>
      <c r="I3536" t="s">
        <v>14</v>
      </c>
      <c r="J3536" t="s">
        <v>242</v>
      </c>
      <c r="K3536" t="s">
        <v>14</v>
      </c>
      <c r="L3536" t="s">
        <v>20</v>
      </c>
      <c r="M3536" t="s">
        <v>7471</v>
      </c>
      <c r="N3536" t="s">
        <v>14</v>
      </c>
    </row>
    <row r="3537" x14ac:dyDescent="0.25">
      <c r="A3537" t="n">
        <v>25</v>
      </c>
      <c r="B3537" t="s">
        <v>14</v>
      </c>
      <c r="C3537" t="s">
        <v>51</v>
      </c>
      <c r="D3537" s="2" t="s">
        <f>=HYPERLINK("https://main.knesset.gov.il/APPS/legislation/main/bills/2212491", "הצעת חוק מס קנייה (טובין ושירותים) (תיקון - שיעור המס על רכב חשמלי), התשפ""ד-2024")</f>
        <v>7147</v>
      </c>
      <c r="E3537" t="s">
        <v>7147</v>
      </c>
      <c r="F3537" t="s">
        <v>7506</v>
      </c>
      <c r="G3537" t="s">
        <v>14</v>
      </c>
      <c r="H3537">
             </c>
      <c r="I3537" t="s">
        <v>14</v>
      </c>
      <c r="J3537" t="s">
        <v>242</v>
      </c>
      <c r="K3537" t="s">
        <v>14</v>
      </c>
      <c r="L3537" t="s">
        <v>20</v>
      </c>
      <c r="M3537" t="s">
        <v>7471</v>
      </c>
      <c r="N3537" t="s">
        <v>14</v>
      </c>
    </row>
    <row r="3538" x14ac:dyDescent="0.25">
      <c r="A3538" t="n">
        <v>25</v>
      </c>
      <c r="B3538" t="s">
        <v>14</v>
      </c>
      <c r="C3538" t="s">
        <v>51</v>
      </c>
      <c r="D3538" s="2" t="s">
        <f>=HYPERLINK("https://main.knesset.gov.il/APPS/legislation/main/bills/2213289", "הצעת חוק תרומת זרע, התשפ""ד-2024")</f>
        <v>7507</v>
      </c>
      <c r="E3538" t="s">
        <v>7507</v>
      </c>
      <c r="F3538" t="s">
        <v>7508</v>
      </c>
      <c r="G3538" t="s">
        <v>14</v>
      </c>
      <c r="H3538">
             </c>
      <c r="I3538" t="s">
        <v>14</v>
      </c>
      <c r="J3538" t="s">
        <v>242</v>
      </c>
      <c r="K3538" t="s">
        <v>14</v>
      </c>
      <c r="L3538" t="s">
        <v>20</v>
      </c>
      <c r="M3538" t="s">
        <v>7471</v>
      </c>
      <c r="N3538" t="s">
        <v>14</v>
      </c>
    </row>
    <row r="3539" x14ac:dyDescent="0.25">
      <c r="A3539" t="n">
        <v>25</v>
      </c>
      <c r="B3539" t="s">
        <v>14</v>
      </c>
      <c r="C3539" t="s">
        <v>15</v>
      </c>
      <c r="D3539" s="2" t="s">
        <f>=HYPERLINK("https://main.knesset.gov.il/APPS/legislation/main/bills/2213744", "חוק לתיקון פקודת בתי הסוהר (מס' 64 – הוראת שעה – חרבות ברזל) (מצב חירום כליאתי) (תיקון), התשפ""ד-2024")</f>
        <v>7509</v>
      </c>
      <c r="E3539" t="s">
        <v>7509</v>
      </c>
      <c r="F3539" t="s">
        <v>14</v>
      </c>
      <c r="G3539" t="s">
        <v>7510</v>
      </c>
      <c r="H3539" t="n">
        <v>3150</v>
      </c>
      <c r="I3539" t="s">
        <v>14</v>
      </c>
      <c r="J3539" t="s">
        <v>18</v>
      </c>
      <c r="K3539" t="s">
        <v>19</v>
      </c>
      <c r="L3539" t="s">
        <v>20</v>
      </c>
      <c r="M3539" t="s">
        <v>7511</v>
      </c>
      <c r="N3539" t="s">
        <v>7512</v>
      </c>
    </row>
    <row r="3540" x14ac:dyDescent="0.25">
      <c r="A3540" t="n">
        <v>25</v>
      </c>
      <c r="B3540" t="s">
        <v>14</v>
      </c>
      <c r="C3540" t="s">
        <v>51</v>
      </c>
      <c r="D3540" s="2" t="s">
        <f>=HYPERLINK("https://main.knesset.gov.il/APPS/legislation/main/bills/2211024", "הצעת חוק הרשות הארצית לכבאות והצלה (נכים ונספים), התשפ""ד-2023")</f>
        <v>7513</v>
      </c>
      <c r="E3540" t="s">
        <v>7513</v>
      </c>
      <c r="F3540" t="s">
        <v>7514</v>
      </c>
      <c r="G3540" t="s">
        <v>14</v>
      </c>
      <c r="H3540">
             </c>
      <c r="I3540" t="s">
        <v>14</v>
      </c>
      <c r="J3540" t="s">
        <v>152</v>
      </c>
      <c r="K3540" t="s">
        <v>19</v>
      </c>
      <c r="L3540" t="s">
        <v>20</v>
      </c>
      <c r="M3540" t="s">
        <v>7511</v>
      </c>
      <c r="N3540" t="s">
        <v>14</v>
      </c>
    </row>
    <row r="3541" x14ac:dyDescent="0.25">
      <c r="A3541" t="n">
        <v>25</v>
      </c>
      <c r="B3541" t="s">
        <v>14</v>
      </c>
      <c r="C3541" t="s">
        <v>51</v>
      </c>
      <c r="D3541" s="2" t="s">
        <f>=HYPERLINK("https://main.knesset.gov.il/APPS/legislation/main/bills/2210146", "הצעת חוק הרשות הארצית לכבאות והצלה (נכים ונספים), התשפ""ד-2023")</f>
        <v>7513</v>
      </c>
      <c r="E3541" t="s">
        <v>7513</v>
      </c>
      <c r="F3541" t="s">
        <v>7515</v>
      </c>
      <c r="G3541" t="s">
        <v>14</v>
      </c>
      <c r="H3541">
             </c>
      <c r="I3541" t="s">
        <v>14</v>
      </c>
      <c r="J3541" t="s">
        <v>152</v>
      </c>
      <c r="K3541" t="s">
        <v>19</v>
      </c>
      <c r="L3541" t="s">
        <v>20</v>
      </c>
      <c r="M3541" t="s">
        <v>7511</v>
      </c>
      <c r="N3541" t="s">
        <v>14</v>
      </c>
    </row>
    <row r="3542" x14ac:dyDescent="0.25">
      <c r="A3542" t="n">
        <v>25</v>
      </c>
      <c r="B3542" t="s">
        <v>14</v>
      </c>
      <c r="C3542" t="s">
        <v>51</v>
      </c>
      <c r="D3542" s="2" t="s">
        <f>=HYPERLINK("https://main.knesset.gov.il/APPS/legislation/main/bills/2210066", "הצעת חוק הרשות הארצית לכבאות והצלה (נכים ונספים), התשפ""ד-2023")</f>
        <v>7513</v>
      </c>
      <c r="E3542" t="s">
        <v>7513</v>
      </c>
      <c r="F3542" t="s">
        <v>7516</v>
      </c>
      <c r="G3542" t="s">
        <v>14</v>
      </c>
      <c r="H3542">
             </c>
      <c r="I3542" t="s">
        <v>14</v>
      </c>
      <c r="J3542" t="s">
        <v>152</v>
      </c>
      <c r="K3542" t="s">
        <v>19</v>
      </c>
      <c r="L3542" t="s">
        <v>20</v>
      </c>
      <c r="M3542" t="s">
        <v>7511</v>
      </c>
      <c r="N3542" t="s">
        <v>14</v>
      </c>
    </row>
    <row r="3543" x14ac:dyDescent="0.25">
      <c r="A3543" t="n">
        <v>25</v>
      </c>
      <c r="B3543" t="s">
        <v>14</v>
      </c>
      <c r="C3543" t="s">
        <v>51</v>
      </c>
      <c r="D3543" s="2" t="s">
        <f>=HYPERLINK("https://main.knesset.gov.il/APPS/legislation/main/bills/2209727", "הצעת חוק שירות המילואים (תיקון - הפחתת שיעור המס שחל על תגמולים למשרתי מילואים), התשפ""ד-2023")</f>
        <v>7517</v>
      </c>
      <c r="E3543" t="s">
        <v>7517</v>
      </c>
      <c r="F3543" t="s">
        <v>7518</v>
      </c>
      <c r="G3543" t="s">
        <v>14</v>
      </c>
      <c r="H3543">
             </c>
      <c r="I3543" t="s">
        <v>14</v>
      </c>
      <c r="J3543" t="s">
        <v>193</v>
      </c>
      <c r="K3543" t="s">
        <v>14</v>
      </c>
      <c r="L3543" t="s">
        <v>20</v>
      </c>
      <c r="M3543" t="s">
        <v>7511</v>
      </c>
      <c r="N3543" t="s">
        <v>14</v>
      </c>
    </row>
    <row r="3544" x14ac:dyDescent="0.25">
      <c r="A3544" t="n">
        <v>25</v>
      </c>
      <c r="B3544" t="s">
        <v>14</v>
      </c>
      <c r="C3544" t="s">
        <v>51</v>
      </c>
      <c r="D3544" s="2" t="s">
        <f>=HYPERLINK("https://main.knesset.gov.il/APPS/legislation/main/bills/2208287", "הצעת חוק לימוד חובה (תיקון - עובד סוציאלי או פסיכולוג חינוכי במוסד חינוכי ביישוב סמוך גבול), התשפ""ג-2023")</f>
        <v>5466</v>
      </c>
      <c r="E3544" t="s">
        <v>5466</v>
      </c>
      <c r="F3544" t="s">
        <v>7519</v>
      </c>
      <c r="G3544" t="s">
        <v>14</v>
      </c>
      <c r="H3544">
             </c>
      <c r="I3544" t="s">
        <v>14</v>
      </c>
      <c r="J3544" t="s">
        <v>202</v>
      </c>
      <c r="K3544" t="s">
        <v>14</v>
      </c>
      <c r="L3544" t="s">
        <v>20</v>
      </c>
      <c r="M3544" t="s">
        <v>7511</v>
      </c>
      <c r="N3544" t="s">
        <v>14</v>
      </c>
    </row>
    <row r="3545" x14ac:dyDescent="0.25">
      <c r="A3545" t="n">
        <v>25</v>
      </c>
      <c r="B3545" t="s">
        <v>14</v>
      </c>
      <c r="C3545" t="s">
        <v>51</v>
      </c>
      <c r="D3545" s="2" t="s">
        <f>=HYPERLINK("https://main.knesset.gov.il/APPS/legislation/main/bills/2204566", "הצעת חוק האזרחים הוותיקים (תיקון - הקצאת מקומות חניה במקום ציבורי לאזרח ותיק), התשפ""ג-2023")</f>
        <v>6955</v>
      </c>
      <c r="E3545" t="s">
        <v>6955</v>
      </c>
      <c r="F3545" t="s">
        <v>7520</v>
      </c>
      <c r="G3545" t="s">
        <v>14</v>
      </c>
      <c r="H3545">
             </c>
      <c r="I3545" t="s">
        <v>14</v>
      </c>
      <c r="J3545" t="s">
        <v>202</v>
      </c>
      <c r="K3545" t="s">
        <v>14</v>
      </c>
      <c r="L3545" t="s">
        <v>20</v>
      </c>
      <c r="M3545" t="s">
        <v>7511</v>
      </c>
      <c r="N3545" t="s">
        <v>14</v>
      </c>
    </row>
    <row r="3546" x14ac:dyDescent="0.25">
      <c r="A3546" t="n">
        <v>25</v>
      </c>
      <c r="B3546" t="s">
        <v>14</v>
      </c>
      <c r="C3546" t="s">
        <v>15</v>
      </c>
      <c r="D3546" s="2" t="s">
        <f>=HYPERLINK("https://main.knesset.gov.il/APPS/legislation/main/bills/2212299", "חוק זכויות החולה (תיקון מס' 16), התשפ""ד-2024")</f>
        <v>7521</v>
      </c>
      <c r="E3546" t="s">
        <v>7521</v>
      </c>
      <c r="F3546" t="s">
        <v>14</v>
      </c>
      <c r="G3546" t="s">
        <v>7522</v>
      </c>
      <c r="H3546" t="n">
        <v>3149</v>
      </c>
      <c r="I3546" t="s">
        <v>14</v>
      </c>
      <c r="J3546" t="s">
        <v>18</v>
      </c>
      <c r="K3546" t="s">
        <v>361</v>
      </c>
      <c r="L3546" t="s">
        <v>20</v>
      </c>
      <c r="M3546" t="s">
        <v>7523</v>
      </c>
      <c r="N3546" t="s">
        <v>7524</v>
      </c>
    </row>
    <row r="3547" x14ac:dyDescent="0.25">
      <c r="A3547" t="n">
        <v>25</v>
      </c>
      <c r="B3547" t="s">
        <v>14</v>
      </c>
      <c r="C3547" t="s">
        <v>15</v>
      </c>
      <c r="D3547" s="2" t="s">
        <f>=HYPERLINK("https://main.knesset.gov.il/APPS/legislation/main/bills/2209401", "חוק לתיקון פקודת היבוא והיצוא (מס' 6), התשפ""ד-2024")</f>
        <v>7525</v>
      </c>
      <c r="E3547" t="s">
        <v>7525</v>
      </c>
      <c r="F3547" t="s">
        <v>14</v>
      </c>
      <c r="G3547" t="s">
        <v>7526</v>
      </c>
      <c r="H3547" t="n">
        <v>3148</v>
      </c>
      <c r="I3547" t="s">
        <v>14</v>
      </c>
      <c r="J3547" t="s">
        <v>18</v>
      </c>
      <c r="K3547" t="s">
        <v>84</v>
      </c>
      <c r="L3547" t="s">
        <v>20</v>
      </c>
      <c r="M3547" t="s">
        <v>7523</v>
      </c>
      <c r="N3547" t="s">
        <v>7527</v>
      </c>
    </row>
    <row r="3548" x14ac:dyDescent="0.25">
      <c r="A3548" t="n">
        <v>25</v>
      </c>
      <c r="B3548" t="s">
        <v>14</v>
      </c>
      <c r="C3548" t="s">
        <v>15</v>
      </c>
      <c r="D3548" s="2" t="s">
        <f>=HYPERLINK("https://main.knesset.gov.il/APPS/legislation/main/bills/2213410", "חוק לתיקון פקודת התעבורה (מס' 132 - הוראת שעה – חרבות ברזל), התשפ""ד-2024")</f>
        <v>7528</v>
      </c>
      <c r="E3548" t="s">
        <v>7528</v>
      </c>
      <c r="F3548" t="s">
        <v>14</v>
      </c>
      <c r="G3548" t="s">
        <v>7529</v>
      </c>
      <c r="H3548" t="n">
        <v>3147</v>
      </c>
      <c r="I3548" t="s">
        <v>14</v>
      </c>
      <c r="J3548" t="s">
        <v>18</v>
      </c>
      <c r="K3548" t="s">
        <v>84</v>
      </c>
      <c r="L3548" t="s">
        <v>20</v>
      </c>
      <c r="M3548" t="s">
        <v>7523</v>
      </c>
      <c r="N3548" t="s">
        <v>7530</v>
      </c>
    </row>
    <row r="3549" x14ac:dyDescent="0.25">
      <c r="A3549" t="n">
        <v>25</v>
      </c>
      <c r="B3549" t="s">
        <v>14</v>
      </c>
      <c r="C3549" t="s">
        <v>15</v>
      </c>
      <c r="D3549" s="2" t="s">
        <f>=HYPERLINK("https://main.knesset.gov.il/APPS/legislation/main/bills/2213409", "חוק לתיקון ולהארכת תוקפן של תקנות שעת חירום (חרבות ברזל) (פגישה עם עורך דין של עצור בעבירת ביטחון), התשפ""ד-2024")</f>
        <v>7531</v>
      </c>
      <c r="E3549" t="s">
        <v>7531</v>
      </c>
      <c r="F3549" t="s">
        <v>14</v>
      </c>
      <c r="G3549" t="s">
        <v>7532</v>
      </c>
      <c r="H3549" t="n">
        <v>3146</v>
      </c>
      <c r="I3549" t="s">
        <v>14</v>
      </c>
      <c r="J3549" t="s">
        <v>18</v>
      </c>
      <c r="K3549" t="s">
        <v>27</v>
      </c>
      <c r="L3549" t="s">
        <v>20</v>
      </c>
      <c r="M3549" t="s">
        <v>7523</v>
      </c>
      <c r="N3549" t="s">
        <v>7533</v>
      </c>
    </row>
    <row r="3550" x14ac:dyDescent="0.25">
      <c r="A3550" t="n">
        <v>25</v>
      </c>
      <c r="B3550" t="s">
        <v>14</v>
      </c>
      <c r="C3550" t="s">
        <v>51</v>
      </c>
      <c r="D3550" s="2" t="s">
        <f>=HYPERLINK("https://main.knesset.gov.il/APPS/legislation/main/bills/2213071", "הצעת חוק לדחיית הבחירות הכלליות לרשויות המקומיות (תיקון - מועד הבחירות), התשפ""ד-2024")</f>
        <v>7534</v>
      </c>
      <c r="E3550" t="s">
        <v>7534</v>
      </c>
      <c r="F3550" t="s">
        <v>7535</v>
      </c>
      <c r="G3550" t="s">
        <v>14</v>
      </c>
      <c r="H3550">
             </c>
      <c r="I3550" t="s">
        <v>14</v>
      </c>
      <c r="J3550" t="s">
        <v>242</v>
      </c>
      <c r="K3550" t="s">
        <v>14</v>
      </c>
      <c r="L3550" t="s">
        <v>20</v>
      </c>
      <c r="M3550" t="s">
        <v>7523</v>
      </c>
      <c r="N3550" t="s">
        <v>14</v>
      </c>
    </row>
    <row r="3551" x14ac:dyDescent="0.25">
      <c r="A3551" t="n">
        <v>25</v>
      </c>
      <c r="B3551" t="s">
        <v>14</v>
      </c>
      <c r="C3551" t="s">
        <v>51</v>
      </c>
      <c r="D3551" s="2" t="s">
        <f>=HYPERLINK("https://main.knesset.gov.il/APPS/legislation/main/bills/2213030", "הצעת חוק מס רכוש וקרן פיצויים (תיקון - הוראת שעה - חרבות ברזל), התשפ""ד-2024")</f>
        <v>7536</v>
      </c>
      <c r="E3551" t="s">
        <v>7536</v>
      </c>
      <c r="F3551" t="s">
        <v>7537</v>
      </c>
      <c r="G3551" t="s">
        <v>14</v>
      </c>
      <c r="H3551">
             </c>
      <c r="I3551" t="s">
        <v>14</v>
      </c>
      <c r="J3551" t="s">
        <v>242</v>
      </c>
      <c r="K3551" t="s">
        <v>14</v>
      </c>
      <c r="L3551" t="s">
        <v>20</v>
      </c>
      <c r="M3551" t="s">
        <v>7523</v>
      </c>
      <c r="N3551" t="s">
        <v>14</v>
      </c>
    </row>
    <row r="3552" x14ac:dyDescent="0.25">
      <c r="A3552" t="n">
        <v>25</v>
      </c>
      <c r="B3552" t="s">
        <v>14</v>
      </c>
      <c r="C3552" t="s">
        <v>51</v>
      </c>
      <c r="D3552" s="2" t="s">
        <f>=HYPERLINK("https://main.knesset.gov.il/APPS/legislation/main/bills/2212790", "הצעת חוק טוס כחול לבן, התשפ""ד-2024")</f>
        <v>7451</v>
      </c>
      <c r="E3552" t="s">
        <v>7451</v>
      </c>
      <c r="F3552" t="s">
        <v>7538</v>
      </c>
      <c r="G3552" t="s">
        <v>14</v>
      </c>
      <c r="H3552">
             </c>
      <c r="I3552" t="s">
        <v>14</v>
      </c>
      <c r="J3552" t="s">
        <v>242</v>
      </c>
      <c r="K3552" t="s">
        <v>14</v>
      </c>
      <c r="L3552" t="s">
        <v>20</v>
      </c>
      <c r="M3552" t="s">
        <v>7523</v>
      </c>
      <c r="N3552" t="s">
        <v>14</v>
      </c>
    </row>
    <row r="3553" x14ac:dyDescent="0.25">
      <c r="A3553" t="n">
        <v>25</v>
      </c>
      <c r="B3553" t="s">
        <v>14</v>
      </c>
      <c r="C3553" t="s">
        <v>51</v>
      </c>
      <c r="D3553" s="2" t="s">
        <f>=HYPERLINK("https://main.knesset.gov.il/APPS/legislation/main/bills/2213628", "הצעת חוק הרשות הארצית לכבאות והצלה (נספים), התשפ""ד-2024")</f>
        <v>7539</v>
      </c>
      <c r="E3553" t="s">
        <v>7539</v>
      </c>
      <c r="F3553" t="s">
        <v>7540</v>
      </c>
      <c r="G3553" t="s">
        <v>14</v>
      </c>
      <c r="H3553">
             </c>
      <c r="I3553" t="s">
        <v>14</v>
      </c>
      <c r="J3553" t="s">
        <v>242</v>
      </c>
      <c r="K3553" t="s">
        <v>14</v>
      </c>
      <c r="L3553" t="s">
        <v>20</v>
      </c>
      <c r="M3553" t="s">
        <v>7523</v>
      </c>
      <c r="N3553" t="s">
        <v>14</v>
      </c>
    </row>
    <row r="3554" x14ac:dyDescent="0.25">
      <c r="A3554" t="n">
        <v>25</v>
      </c>
      <c r="B3554" t="s">
        <v>14</v>
      </c>
      <c r="C3554" t="s">
        <v>51</v>
      </c>
      <c r="D3554" s="2" t="s">
        <f>=HYPERLINK("https://main.knesset.gov.il/APPS/legislation/main/bills/2213310", "הצעת חוק הרשות הארצית לכבאות והצלה (נכים ונספים), התשפ""ד-2024")</f>
        <v>7390</v>
      </c>
      <c r="E3554" t="s">
        <v>7390</v>
      </c>
      <c r="F3554" t="s">
        <v>7541</v>
      </c>
      <c r="G3554" t="s">
        <v>14</v>
      </c>
      <c r="H3554">
             </c>
      <c r="I3554" t="s">
        <v>14</v>
      </c>
      <c r="J3554" t="s">
        <v>242</v>
      </c>
      <c r="K3554" t="s">
        <v>14</v>
      </c>
      <c r="L3554" t="s">
        <v>20</v>
      </c>
      <c r="M3554" t="s">
        <v>7523</v>
      </c>
      <c r="N3554" t="s">
        <v>14</v>
      </c>
    </row>
    <row r="3555" x14ac:dyDescent="0.25">
      <c r="A3555" t="n">
        <v>25</v>
      </c>
      <c r="B3555" t="s">
        <v>14</v>
      </c>
      <c r="C3555" t="s">
        <v>51</v>
      </c>
      <c r="D3555" s="2" t="s">
        <f>=HYPERLINK("https://main.knesset.gov.il/APPS/legislation/main/bills/2209735", "הצעת חוק לתיקון פקודת מס הכנסה (דחיית מימוש נקודות זיכוי לחייל משוחרר עצמאי), התשפ""ד-2024")</f>
        <v>7542</v>
      </c>
      <c r="E3555" t="s">
        <v>7542</v>
      </c>
      <c r="F3555" t="s">
        <v>7543</v>
      </c>
      <c r="G3555" t="s">
        <v>14</v>
      </c>
      <c r="H3555">
             </c>
      <c r="I3555" t="s">
        <v>14</v>
      </c>
      <c r="J3555" t="s">
        <v>242</v>
      </c>
      <c r="K3555" t="s">
        <v>14</v>
      </c>
      <c r="L3555" t="s">
        <v>20</v>
      </c>
      <c r="M3555" t="s">
        <v>7523</v>
      </c>
      <c r="N3555" t="s">
        <v>14</v>
      </c>
    </row>
    <row r="3556" x14ac:dyDescent="0.25">
      <c r="A3556" t="n">
        <v>25</v>
      </c>
      <c r="B3556" t="s">
        <v>14</v>
      </c>
      <c r="C3556" t="s">
        <v>51</v>
      </c>
      <c r="D3556" s="2" t="s">
        <f>=HYPERLINK("https://main.knesset.gov.il/APPS/legislation/main/bills/2209846", "הצעת חוק שמאי ביטוח, התשפ""ד-2024")</f>
        <v>7544</v>
      </c>
      <c r="E3556" t="s">
        <v>7544</v>
      </c>
      <c r="F3556" t="s">
        <v>7545</v>
      </c>
      <c r="G3556" t="s">
        <v>14</v>
      </c>
      <c r="H3556">
             </c>
      <c r="I3556" t="s">
        <v>14</v>
      </c>
      <c r="J3556" t="s">
        <v>242</v>
      </c>
      <c r="K3556" t="s">
        <v>14</v>
      </c>
      <c r="L3556" t="s">
        <v>20</v>
      </c>
      <c r="M3556" t="s">
        <v>7523</v>
      </c>
      <c r="N3556" t="s">
        <v>14</v>
      </c>
    </row>
    <row r="3557" x14ac:dyDescent="0.25">
      <c r="A3557" t="n">
        <v>25</v>
      </c>
      <c r="B3557" t="s">
        <v>14</v>
      </c>
      <c r="C3557" t="s">
        <v>51</v>
      </c>
      <c r="D3557" s="2" t="s">
        <f>=HYPERLINK("https://main.knesset.gov.il/APPS/legislation/main/bills/2211684", "הצעת חוק מס ערך מוסף (תיקון - מס בשיעור אפס על דירה ראשונה ללוחם משוחרר), התשפ""ד-2024")</f>
        <v>7546</v>
      </c>
      <c r="E3557" t="s">
        <v>7546</v>
      </c>
      <c r="F3557" t="s">
        <v>7547</v>
      </c>
      <c r="G3557" t="s">
        <v>14</v>
      </c>
      <c r="H3557">
             </c>
      <c r="I3557" t="s">
        <v>14</v>
      </c>
      <c r="J3557" t="s">
        <v>242</v>
      </c>
      <c r="K3557" t="s">
        <v>14</v>
      </c>
      <c r="L3557" t="s">
        <v>20</v>
      </c>
      <c r="M3557" t="s">
        <v>7523</v>
      </c>
      <c r="N3557" t="s">
        <v>14</v>
      </c>
    </row>
    <row r="3558" x14ac:dyDescent="0.25">
      <c r="A3558" t="n">
        <v>25</v>
      </c>
      <c r="B3558" t="s">
        <v>14</v>
      </c>
      <c r="C3558" t="s">
        <v>51</v>
      </c>
      <c r="D3558" s="2" t="s">
        <f>=HYPERLINK("https://main.knesset.gov.il/APPS/legislation/main/bills/2212422", "הצעת חוק ההתגוננות האזרחית (תיקון - מנגנון נעילת דלת מרחב מוגן דירתי), התשפ""ד-2024")</f>
        <v>7548</v>
      </c>
      <c r="E3558" t="s">
        <v>7548</v>
      </c>
      <c r="F3558" t="s">
        <v>7549</v>
      </c>
      <c r="G3558" t="s">
        <v>14</v>
      </c>
      <c r="H3558">
             </c>
      <c r="I3558" t="s">
        <v>14</v>
      </c>
      <c r="J3558" t="s">
        <v>242</v>
      </c>
      <c r="K3558" t="s">
        <v>14</v>
      </c>
      <c r="L3558" t="s">
        <v>20</v>
      </c>
      <c r="M3558" t="s">
        <v>7523</v>
      </c>
      <c r="N3558" t="s">
        <v>14</v>
      </c>
    </row>
    <row r="3559" x14ac:dyDescent="0.25">
      <c r="A3559" t="n">
        <v>25</v>
      </c>
      <c r="B3559" t="s">
        <v>14</v>
      </c>
      <c r="C3559" t="s">
        <v>51</v>
      </c>
      <c r="D3559" s="2" t="s">
        <f>=HYPERLINK("https://main.knesset.gov.il/APPS/legislation/main/bills/2209234", "הצעת חוק המפלגות (תיקון - חובת הקמת גוף פנימי בוחר), התשפ""ד-2024")</f>
        <v>7550</v>
      </c>
      <c r="E3559" t="s">
        <v>7550</v>
      </c>
      <c r="F3559" t="s">
        <v>7551</v>
      </c>
      <c r="G3559" t="s">
        <v>14</v>
      </c>
      <c r="H3559">
             </c>
      <c r="I3559" t="s">
        <v>14</v>
      </c>
      <c r="J3559" t="s">
        <v>242</v>
      </c>
      <c r="K3559" t="s">
        <v>14</v>
      </c>
      <c r="L3559" t="s">
        <v>20</v>
      </c>
      <c r="M3559" t="s">
        <v>7523</v>
      </c>
      <c r="N3559" t="s">
        <v>14</v>
      </c>
    </row>
    <row r="3560" x14ac:dyDescent="0.25">
      <c r="A3560" t="n">
        <v>25</v>
      </c>
      <c r="B3560" t="s">
        <v>14</v>
      </c>
      <c r="C3560" t="s">
        <v>51</v>
      </c>
      <c r="D3560" s="2" t="s">
        <f>=HYPERLINK("https://main.knesset.gov.il/APPS/legislation/main/bills/2212666", "הצעת חוק משפחות חיילים שנספו במערכה (תגמולים ושיקום) (תיקון - המונח יתום), התשפ""ד-2024")</f>
        <v>7552</v>
      </c>
      <c r="E3560" t="s">
        <v>7552</v>
      </c>
      <c r="F3560" t="s">
        <v>7553</v>
      </c>
      <c r="G3560" t="s">
        <v>14</v>
      </c>
      <c r="H3560">
             </c>
      <c r="I3560" t="s">
        <v>14</v>
      </c>
      <c r="J3560" t="s">
        <v>202</v>
      </c>
      <c r="K3560" t="s">
        <v>14</v>
      </c>
      <c r="L3560" t="s">
        <v>20</v>
      </c>
      <c r="M3560" t="s">
        <v>7554</v>
      </c>
      <c r="N3560" t="s">
        <v>14</v>
      </c>
    </row>
    <row r="3561" x14ac:dyDescent="0.25">
      <c r="A3561" t="n">
        <v>25</v>
      </c>
      <c r="B3561" t="s">
        <v>14</v>
      </c>
      <c r="C3561" t="s">
        <v>51</v>
      </c>
      <c r="D3561" s="2" t="s">
        <f>=HYPERLINK("https://main.knesset.gov.il/APPS/legislation/main/bills/2207038", "הצעת חוק הרשות לפיתוח הנגב (תיקון - קידום הקמתם של יישובים חקלאיים חדשים בנגב), התשפ""ד-2024")</f>
        <v>7555</v>
      </c>
      <c r="E3561" t="s">
        <v>7555</v>
      </c>
      <c r="F3561" t="s">
        <v>7556</v>
      </c>
      <c r="G3561" t="s">
        <v>14</v>
      </c>
      <c r="H3561">
             </c>
      <c r="I3561" t="s">
        <v>14</v>
      </c>
      <c r="J3561" t="s">
        <v>242</v>
      </c>
      <c r="K3561" t="s">
        <v>14</v>
      </c>
      <c r="L3561" t="s">
        <v>20</v>
      </c>
      <c r="M3561" t="s">
        <v>7554</v>
      </c>
      <c r="N3561" t="s">
        <v>14</v>
      </c>
    </row>
    <row r="3562" x14ac:dyDescent="0.25">
      <c r="A3562" t="n">
        <v>25</v>
      </c>
      <c r="B3562" t="s">
        <v>14</v>
      </c>
      <c r="C3562" t="s">
        <v>51</v>
      </c>
      <c r="D3562" s="2" t="s">
        <f>=HYPERLINK("https://main.knesset.gov.il/APPS/legislation/main/bills/2212538", "הצעת חוק שירות המילואים (תיקון - הרחבת מתווה התגמולים לחיילי מילואים שאינם מפקדים), התשפ""ד-2024")</f>
        <v>7557</v>
      </c>
      <c r="E3562" t="s">
        <v>7557</v>
      </c>
      <c r="F3562" t="s">
        <v>7558</v>
      </c>
      <c r="G3562" t="s">
        <v>14</v>
      </c>
      <c r="H3562">
             </c>
      <c r="I3562" t="s">
        <v>14</v>
      </c>
      <c r="J3562" t="s">
        <v>242</v>
      </c>
      <c r="K3562" t="s">
        <v>14</v>
      </c>
      <c r="L3562" t="s">
        <v>20</v>
      </c>
      <c r="M3562" t="s">
        <v>7554</v>
      </c>
      <c r="N3562" t="s">
        <v>14</v>
      </c>
    </row>
    <row r="3563" x14ac:dyDescent="0.25">
      <c r="A3563" t="n">
        <v>25</v>
      </c>
      <c r="B3563" t="s">
        <v>14</v>
      </c>
      <c r="C3563" t="s">
        <v>51</v>
      </c>
      <c r="D3563" s="2" t="s">
        <f>=HYPERLINK("https://main.knesset.gov.il/APPS/legislation/main/bills/2213059", "הצעת חוק הקאדים (תיקון - חברי הוועדה לבחירת קאדים), התשפ""ד-2024")</f>
        <v>7559</v>
      </c>
      <c r="E3563" t="s">
        <v>7559</v>
      </c>
      <c r="F3563" t="s">
        <v>7560</v>
      </c>
      <c r="G3563" t="s">
        <v>14</v>
      </c>
      <c r="H3563">
             </c>
      <c r="I3563" t="s">
        <v>14</v>
      </c>
      <c r="J3563" t="s">
        <v>242</v>
      </c>
      <c r="K3563" t="s">
        <v>14</v>
      </c>
      <c r="L3563" t="s">
        <v>20</v>
      </c>
      <c r="M3563" t="s">
        <v>7554</v>
      </c>
      <c r="N3563" t="s">
        <v>14</v>
      </c>
    </row>
    <row r="3564" x14ac:dyDescent="0.25">
      <c r="A3564" t="n">
        <v>25</v>
      </c>
      <c r="B3564" t="s">
        <v>14</v>
      </c>
      <c r="C3564" t="s">
        <v>51</v>
      </c>
      <c r="D3564" s="2" t="s">
        <f>=HYPERLINK("https://main.knesset.gov.il/APPS/legislation/main/bills/2211937", "הצעת חוק נתוני אשראי (תיקון - אי-הכללת מידע במצב מיוחד בעורף), התשפ""ד-2024")</f>
        <v>7561</v>
      </c>
      <c r="E3564" t="s">
        <v>7561</v>
      </c>
      <c r="F3564" t="s">
        <v>7562</v>
      </c>
      <c r="G3564" t="s">
        <v>14</v>
      </c>
      <c r="H3564">
             </c>
      <c r="I3564" t="s">
        <v>14</v>
      </c>
      <c r="J3564" t="s">
        <v>242</v>
      </c>
      <c r="K3564" t="s">
        <v>14</v>
      </c>
      <c r="L3564" t="s">
        <v>20</v>
      </c>
      <c r="M3564" t="s">
        <v>7554</v>
      </c>
      <c r="N3564" t="s">
        <v>14</v>
      </c>
    </row>
    <row r="3565" x14ac:dyDescent="0.25">
      <c r="A3565" t="n">
        <v>25</v>
      </c>
      <c r="B3565" t="s">
        <v>14</v>
      </c>
      <c r="C3565" t="s">
        <v>51</v>
      </c>
      <c r="D3565" s="2" t="s">
        <f>=HYPERLINK("https://main.knesset.gov.il/APPS/legislation/main/bills/2212667", "הצעת חוק השלכות חלוקתיות בחקיקה, התשפ""ד-2024")</f>
        <v>7563</v>
      </c>
      <c r="E3565" t="s">
        <v>7563</v>
      </c>
      <c r="F3565" t="s">
        <v>7564</v>
      </c>
      <c r="G3565" t="s">
        <v>14</v>
      </c>
      <c r="H3565">
             </c>
      <c r="I3565" t="s">
        <v>14</v>
      </c>
      <c r="J3565" t="s">
        <v>242</v>
      </c>
      <c r="K3565" t="s">
        <v>14</v>
      </c>
      <c r="L3565" t="s">
        <v>20</v>
      </c>
      <c r="M3565" t="s">
        <v>7554</v>
      </c>
      <c r="N3565" t="s">
        <v>14</v>
      </c>
    </row>
    <row r="3566" x14ac:dyDescent="0.25">
      <c r="A3566" t="n">
        <v>25</v>
      </c>
      <c r="B3566" t="s">
        <v>14</v>
      </c>
      <c r="C3566" t="s">
        <v>51</v>
      </c>
      <c r="D3566" s="2" t="s">
        <f>=HYPERLINK("https://main.knesset.gov.il/APPS/legislation/main/bills/2212210", "הצעת חוק משפחות חיילים שנספו במערכה (תגמולים ושיקום) (תיקון - ביטול מגבלת גיל להכרה ביתומי צה""ל וכוחות הביטחון), התשפ""ד-2024")</f>
        <v>7565</v>
      </c>
      <c r="E3566" t="s">
        <v>7565</v>
      </c>
      <c r="F3566" t="s">
        <v>7566</v>
      </c>
      <c r="G3566" t="s">
        <v>14</v>
      </c>
      <c r="H3566">
             </c>
      <c r="I3566" t="s">
        <v>14</v>
      </c>
      <c r="J3566" t="s">
        <v>242</v>
      </c>
      <c r="K3566" t="s">
        <v>14</v>
      </c>
      <c r="L3566" t="s">
        <v>20</v>
      </c>
      <c r="M3566" t="s">
        <v>7554</v>
      </c>
      <c r="N3566" t="s">
        <v>14</v>
      </c>
    </row>
    <row r="3567" x14ac:dyDescent="0.25">
      <c r="A3567" t="n">
        <v>25</v>
      </c>
      <c r="B3567" t="s">
        <v>14</v>
      </c>
      <c r="C3567" t="s">
        <v>51</v>
      </c>
      <c r="D3567" s="2" t="s">
        <f>=HYPERLINK("https://main.knesset.gov.il/APPS/legislation/main/bills/2212951", "הצעת חוק מניעת ביצוע עבירות באמצעות פרסום באינטרנט (הסרת תוכן), התשפ""ד-2024")</f>
        <v>7567</v>
      </c>
      <c r="E3567" t="s">
        <v>7567</v>
      </c>
      <c r="F3567" t="s">
        <v>7568</v>
      </c>
      <c r="G3567" t="s">
        <v>14</v>
      </c>
      <c r="H3567">
             </c>
      <c r="I3567" t="s">
        <v>14</v>
      </c>
      <c r="J3567" t="s">
        <v>242</v>
      </c>
      <c r="K3567" t="s">
        <v>14</v>
      </c>
      <c r="L3567" t="s">
        <v>20</v>
      </c>
      <c r="M3567" t="s">
        <v>7554</v>
      </c>
      <c r="N3567" t="s">
        <v>14</v>
      </c>
    </row>
    <row r="3568" x14ac:dyDescent="0.25">
      <c r="A3568" t="n">
        <v>25</v>
      </c>
      <c r="B3568" t="s">
        <v>14</v>
      </c>
      <c r="C3568" t="s">
        <v>51</v>
      </c>
      <c r="D3568" s="2" t="s">
        <f>=HYPERLINK("https://main.knesset.gov.il/APPS/legislation/main/bills/2212510", "הצעת חוק עבודת נשים (תיקון - הרחבת ההקלות לבני ולבנות זוגם של משרתים במילואים), התשפ""ד-2024 ")</f>
        <v>7569</v>
      </c>
      <c r="E3568" t="s">
        <v>7569</v>
      </c>
      <c r="F3568" t="s">
        <v>7570</v>
      </c>
      <c r="G3568" t="s">
        <v>14</v>
      </c>
      <c r="H3568">
             </c>
      <c r="I3568" t="s">
        <v>14</v>
      </c>
      <c r="J3568" t="s">
        <v>242</v>
      </c>
      <c r="K3568" t="s">
        <v>14</v>
      </c>
      <c r="L3568" t="s">
        <v>20</v>
      </c>
      <c r="M3568" t="s">
        <v>7554</v>
      </c>
      <c r="N3568" t="s">
        <v>14</v>
      </c>
    </row>
    <row r="3569" x14ac:dyDescent="0.25">
      <c r="A3569" t="n">
        <v>25</v>
      </c>
      <c r="B3569" t="s">
        <v>14</v>
      </c>
      <c r="C3569" t="s">
        <v>51</v>
      </c>
      <c r="D3569" s="2" t="s">
        <f>=HYPERLINK("https://main.knesset.gov.il/APPS/legislation/main/bills/2212936", "הצעת חוק חינוך ממלכתי (תיקון - איסור תמיכה בטרור), התשפ""ד-2024")</f>
        <v>7571</v>
      </c>
      <c r="E3569" t="s">
        <v>7571</v>
      </c>
      <c r="F3569" t="s">
        <v>7572</v>
      </c>
      <c r="G3569" t="s">
        <v>14</v>
      </c>
      <c r="H3569">
             </c>
      <c r="I3569" t="s">
        <v>14</v>
      </c>
      <c r="J3569" t="s">
        <v>242</v>
      </c>
      <c r="K3569" t="s">
        <v>14</v>
      </c>
      <c r="L3569" t="s">
        <v>20</v>
      </c>
      <c r="M3569" t="s">
        <v>7554</v>
      </c>
      <c r="N3569" t="s">
        <v>14</v>
      </c>
    </row>
    <row r="3570" x14ac:dyDescent="0.25">
      <c r="A3570" t="n">
        <v>25</v>
      </c>
      <c r="B3570" t="s">
        <v>14</v>
      </c>
      <c r="C3570" t="s">
        <v>51</v>
      </c>
      <c r="D3570" s="2" t="s">
        <f>=HYPERLINK("https://main.knesset.gov.il/APPS/legislation/main/bills/2198023", "הצעת חוק ביטוח סיעודי ממלכתי (תיקוני חקיקה), התשפ""ד-2024")</f>
        <v>5876</v>
      </c>
      <c r="E3570" t="s">
        <v>5876</v>
      </c>
      <c r="F3570" t="s">
        <v>7573</v>
      </c>
      <c r="G3570" t="s">
        <v>14</v>
      </c>
      <c r="H3570">
             </c>
      <c r="I3570" t="s">
        <v>14</v>
      </c>
      <c r="J3570" t="s">
        <v>242</v>
      </c>
      <c r="K3570" t="s">
        <v>14</v>
      </c>
      <c r="L3570" t="s">
        <v>20</v>
      </c>
      <c r="M3570" t="s">
        <v>7554</v>
      </c>
      <c r="N3570" t="s">
        <v>14</v>
      </c>
    </row>
    <row r="3571" x14ac:dyDescent="0.25">
      <c r="A3571" t="n">
        <v>25</v>
      </c>
      <c r="B3571" t="s">
        <v>14</v>
      </c>
      <c r="C3571" t="s">
        <v>15</v>
      </c>
      <c r="D3571" s="2" t="s">
        <f>=HYPERLINK("https://main.knesset.gov.il/APPS/legislation/main/bills/2202408", "חוק לתיקון פקודת המשטרה (מס' 40), התשפ""ד-2024")</f>
        <v>7574</v>
      </c>
      <c r="E3571" t="s">
        <v>7574</v>
      </c>
      <c r="F3571" t="s">
        <v>14</v>
      </c>
      <c r="G3571" t="s">
        <v>7575</v>
      </c>
      <c r="H3571" t="n">
        <v>3145</v>
      </c>
      <c r="I3571" t="s">
        <v>14</v>
      </c>
      <c r="J3571" t="s">
        <v>18</v>
      </c>
      <c r="K3571" t="s">
        <v>19</v>
      </c>
      <c r="L3571" t="s">
        <v>20</v>
      </c>
      <c r="M3571" t="s">
        <v>7576</v>
      </c>
      <c r="N3571" t="s">
        <v>7577</v>
      </c>
    </row>
    <row r="3572" x14ac:dyDescent="0.25">
      <c r="A3572" t="n">
        <v>25</v>
      </c>
      <c r="B3572" t="s">
        <v>14</v>
      </c>
      <c r="C3572" t="s">
        <v>15</v>
      </c>
      <c r="D3572" s="2" t="s">
        <f>=HYPERLINK("https://main.knesset.gov.il/APPS/legislation/main/bills/2209058", "חוק שירות המדינה (מינויים) (תיקון מס' 20), התשפ""ד–2024")</f>
        <v>7578</v>
      </c>
      <c r="E3572" t="s">
        <v>7578</v>
      </c>
      <c r="F3572" t="s">
        <v>14</v>
      </c>
      <c r="G3572" t="s">
        <v>7579</v>
      </c>
      <c r="H3572" t="n">
        <v>3144</v>
      </c>
      <c r="I3572" t="s">
        <v>14</v>
      </c>
      <c r="J3572" t="s">
        <v>18</v>
      </c>
      <c r="K3572" t="s">
        <v>27</v>
      </c>
      <c r="L3572" t="s">
        <v>20</v>
      </c>
      <c r="M3572" t="s">
        <v>7576</v>
      </c>
      <c r="N3572" t="s">
        <v>7580</v>
      </c>
    </row>
    <row r="3573" x14ac:dyDescent="0.25">
      <c r="A3573" t="n">
        <v>25</v>
      </c>
      <c r="B3573" t="s">
        <v>14</v>
      </c>
      <c r="C3573" t="s">
        <v>15</v>
      </c>
      <c r="D3573" s="2" t="s">
        <f>=HYPERLINK("https://main.knesset.gov.il/APPS/legislation/main/bills/2203069", "חוק רשות התעופה האזרחית (תיקון מס' 3), התשפ""ד-2024")</f>
        <v>7581</v>
      </c>
      <c r="E3573" t="s">
        <v>7581</v>
      </c>
      <c r="F3573" t="s">
        <v>14</v>
      </c>
      <c r="G3573" t="s">
        <v>7582</v>
      </c>
      <c r="H3573" t="n">
        <v>3143</v>
      </c>
      <c r="I3573" t="s">
        <v>14</v>
      </c>
      <c r="J3573" t="s">
        <v>18</v>
      </c>
      <c r="K3573" t="s">
        <v>84</v>
      </c>
      <c r="L3573" t="s">
        <v>20</v>
      </c>
      <c r="M3573" t="s">
        <v>7576</v>
      </c>
      <c r="N3573" t="s">
        <v>7583</v>
      </c>
    </row>
    <row r="3574" x14ac:dyDescent="0.25">
      <c r="A3574" t="n">
        <v>25</v>
      </c>
      <c r="B3574" t="s">
        <v>14</v>
      </c>
      <c r="C3574" t="s">
        <v>15</v>
      </c>
      <c r="D3574" s="2" t="s">
        <f>=HYPERLINK("https://main.knesset.gov.il/APPS/legislation/main/bills/2165539", "חוק הטיס (תיקון מס' 4), התשפ""ד-2024")</f>
        <v>7584</v>
      </c>
      <c r="E3574" t="s">
        <v>7584</v>
      </c>
      <c r="F3574" t="s">
        <v>14</v>
      </c>
      <c r="G3574" t="s">
        <v>7585</v>
      </c>
      <c r="H3574" t="n">
        <v>3142</v>
      </c>
      <c r="I3574" t="s">
        <v>14</v>
      </c>
      <c r="J3574" t="s">
        <v>18</v>
      </c>
      <c r="K3574" t="s">
        <v>84</v>
      </c>
      <c r="L3574" t="s">
        <v>20</v>
      </c>
      <c r="M3574" t="s">
        <v>7586</v>
      </c>
      <c r="N3574" t="s">
        <v>7587</v>
      </c>
    </row>
    <row r="3575" x14ac:dyDescent="0.25">
      <c r="A3575" t="n">
        <v>25</v>
      </c>
      <c r="B3575" t="s">
        <v>14</v>
      </c>
      <c r="C3575" t="s">
        <v>51</v>
      </c>
      <c r="D3575" s="2" t="s">
        <f>=HYPERLINK("https://main.knesset.gov.il/APPS/legislation/main/bills/2207318", "הצעת חוק העונשין (תיקון - החמרת ענישה בעבירות ממניע גזעני), התשפ""ד-2024")</f>
        <v>7588</v>
      </c>
      <c r="E3575" t="s">
        <v>7588</v>
      </c>
      <c r="F3575" t="s">
        <v>7589</v>
      </c>
      <c r="G3575" t="s">
        <v>14</v>
      </c>
      <c r="H3575">
             </c>
      <c r="I3575" t="s">
        <v>14</v>
      </c>
      <c r="J3575" t="s">
        <v>242</v>
      </c>
      <c r="K3575" t="s">
        <v>14</v>
      </c>
      <c r="L3575" t="s">
        <v>20</v>
      </c>
      <c r="M3575" t="s">
        <v>7586</v>
      </c>
      <c r="N3575" t="s">
        <v>14</v>
      </c>
    </row>
    <row r="3576" x14ac:dyDescent="0.25">
      <c r="A3576" t="n">
        <v>25</v>
      </c>
      <c r="B3576" t="s">
        <v>14</v>
      </c>
      <c r="C3576" t="s">
        <v>51</v>
      </c>
      <c r="D3576" s="2" t="s">
        <f>=HYPERLINK("https://main.knesset.gov.il/APPS/legislation/main/bills/2212621", "הצעת חוק-יסוד: ברית החיים")</f>
        <v>7590</v>
      </c>
      <c r="E3576" t="s">
        <v>7590</v>
      </c>
      <c r="F3576" t="s">
        <v>7591</v>
      </c>
      <c r="G3576" t="s">
        <v>14</v>
      </c>
      <c r="H3576">
             </c>
      <c r="I3576" t="s">
        <v>14</v>
      </c>
      <c r="J3576" t="s">
        <v>242</v>
      </c>
      <c r="K3576" t="s">
        <v>14</v>
      </c>
      <c r="L3576" t="s">
        <v>20</v>
      </c>
      <c r="M3576" t="s">
        <v>7586</v>
      </c>
      <c r="N3576" t="s">
        <v>14</v>
      </c>
    </row>
    <row r="3577" x14ac:dyDescent="0.25">
      <c r="A3577" t="n">
        <v>25</v>
      </c>
      <c r="B3577" t="s">
        <v>14</v>
      </c>
      <c r="C3577" t="s">
        <v>51</v>
      </c>
      <c r="D3577" s="2" t="s">
        <f>=HYPERLINK("https://main.knesset.gov.il/APPS/legislation/main/bills/2212336", "הצעת חוק כלי הירייה (תיקון - פיקוח פרלמנטרי), התשפ""ד-2024")</f>
        <v>7592</v>
      </c>
      <c r="E3577" t="s">
        <v>7592</v>
      </c>
      <c r="F3577" t="s">
        <v>7593</v>
      </c>
      <c r="G3577" t="s">
        <v>14</v>
      </c>
      <c r="H3577">
             </c>
      <c r="I3577" t="s">
        <v>14</v>
      </c>
      <c r="J3577" t="s">
        <v>242</v>
      </c>
      <c r="K3577" t="s">
        <v>14</v>
      </c>
      <c r="L3577" t="s">
        <v>20</v>
      </c>
      <c r="M3577" t="s">
        <v>7586</v>
      </c>
      <c r="N3577" t="s">
        <v>14</v>
      </c>
    </row>
    <row r="3578" x14ac:dyDescent="0.25">
      <c r="A3578" t="n">
        <v>25</v>
      </c>
      <c r="B3578" t="s">
        <v>14</v>
      </c>
      <c r="C3578" t="s">
        <v>51</v>
      </c>
      <c r="D3578" s="2" t="s">
        <f>=HYPERLINK("https://main.knesset.gov.il/APPS/legislation/main/bills/2195730", "הצעת חוק צוותי התערבות במשבר נפשי, התשפ""ג-2023")</f>
        <v>7594</v>
      </c>
      <c r="E3578" t="s">
        <v>7594</v>
      </c>
      <c r="F3578" t="s">
        <v>7595</v>
      </c>
      <c r="G3578" t="s">
        <v>7596</v>
      </c>
      <c r="H3578">
             </c>
      <c r="I3578" t="s">
        <v>14</v>
      </c>
      <c r="J3578" t="s">
        <v>38</v>
      </c>
      <c r="K3578" t="s">
        <v>361</v>
      </c>
      <c r="L3578" t="s">
        <v>20</v>
      </c>
      <c r="M3578" t="s">
        <v>7586</v>
      </c>
      <c r="N3578" t="s">
        <v>14</v>
      </c>
    </row>
    <row r="3579" x14ac:dyDescent="0.25">
      <c r="A3579" t="n">
        <v>25</v>
      </c>
      <c r="B3579" t="s">
        <v>14</v>
      </c>
      <c r="C3579" t="s">
        <v>15</v>
      </c>
      <c r="D3579" s="2" t="s">
        <f>=HYPERLINK("https://main.knesset.gov.il/APPS/legislation/main/bills/2212958", "חוק דחיית מועדים (הוראת שעה – חרבות ברזל) (חוזה, פסק דין או תשלום לרשות) (תיקון) (דחיית מועדים בתקופה הקובעת השנייה), התשפ""ד-2023")</f>
        <v>7597</v>
      </c>
      <c r="E3579" t="s">
        <v>7597</v>
      </c>
      <c r="F3579" t="s">
        <v>14</v>
      </c>
      <c r="G3579" t="s">
        <v>7598</v>
      </c>
      <c r="H3579" t="n">
        <v>3141</v>
      </c>
      <c r="I3579" t="s">
        <v>14</v>
      </c>
      <c r="J3579" t="s">
        <v>18</v>
      </c>
      <c r="K3579" t="s">
        <v>39</v>
      </c>
      <c r="L3579" t="s">
        <v>20</v>
      </c>
      <c r="M3579" t="s">
        <v>7599</v>
      </c>
      <c r="N3579" t="s">
        <v>7600</v>
      </c>
    </row>
    <row r="3580" x14ac:dyDescent="0.25">
      <c r="A3580" t="n">
        <v>25</v>
      </c>
      <c r="B3580" t="s">
        <v>14</v>
      </c>
      <c r="C3580" t="s">
        <v>15</v>
      </c>
      <c r="D3580" s="2" t="s">
        <f>=HYPERLINK("https://main.knesset.gov.il/APPS/legislation/main/bills/2212387", "חוק שירות ביטחון (תיקון מס' 25 – הוראת שעה – חרבות ברזל) (העלאת גיל הפטור משירות מילואים), התשפ""ד-2023")</f>
        <v>7601</v>
      </c>
      <c r="E3580" t="s">
        <v>7601</v>
      </c>
      <c r="F3580" t="s">
        <v>14</v>
      </c>
      <c r="G3580" t="s">
        <v>7602</v>
      </c>
      <c r="H3580" t="n">
        <v>3136</v>
      </c>
      <c r="I3580" t="s">
        <v>14</v>
      </c>
      <c r="J3580" t="s">
        <v>18</v>
      </c>
      <c r="K3580" t="s">
        <v>39</v>
      </c>
      <c r="L3580" t="s">
        <v>20</v>
      </c>
      <c r="M3580" t="s">
        <v>7599</v>
      </c>
      <c r="N3580" t="s">
        <v>7603</v>
      </c>
    </row>
    <row r="3581" x14ac:dyDescent="0.25">
      <c r="A3581" t="n">
        <v>25</v>
      </c>
      <c r="B3581" t="s">
        <v>14</v>
      </c>
      <c r="C3581" t="s">
        <v>15</v>
      </c>
      <c r="D3581" s="2" t="s">
        <f>=HYPERLINK("https://main.knesset.gov.il/APPS/legislation/main/bills/2212776", "חוק לייעול האכיפה והפיקוח העירוניים ברשויות המקומיות (הוראת שעה) (תיקון מס' 11), התשפ""ד-2023")</f>
        <v>7604</v>
      </c>
      <c r="E3581" t="s">
        <v>7604</v>
      </c>
      <c r="F3581" t="s">
        <v>14</v>
      </c>
      <c r="G3581" t="s">
        <v>7605</v>
      </c>
      <c r="H3581" t="n">
        <v>3139</v>
      </c>
      <c r="I3581" t="s">
        <v>14</v>
      </c>
      <c r="J3581" t="s">
        <v>18</v>
      </c>
      <c r="K3581" t="s">
        <v>19</v>
      </c>
      <c r="L3581" t="s">
        <v>20</v>
      </c>
      <c r="M3581" t="s">
        <v>7599</v>
      </c>
      <c r="N3581" t="s">
        <v>7606</v>
      </c>
    </row>
    <row r="3582" x14ac:dyDescent="0.25">
      <c r="A3582" t="n">
        <v>25</v>
      </c>
      <c r="B3582" t="s">
        <v>14</v>
      </c>
      <c r="C3582" t="s">
        <v>15</v>
      </c>
      <c r="D3582" s="2" t="s">
        <f>=HYPERLINK("https://main.knesset.gov.il/APPS/legislation/main/bills/2212492", "חוק הסדרים במשק המדינה (תיקוני חקיקה) (תיקון מס' 19), התשפ""ד-2023")</f>
        <v>7607</v>
      </c>
      <c r="E3582" t="s">
        <v>7607</v>
      </c>
      <c r="F3582" t="s">
        <v>14</v>
      </c>
      <c r="G3582" t="s">
        <v>7608</v>
      </c>
      <c r="H3582" t="n">
        <v>3140</v>
      </c>
      <c r="I3582" t="s">
        <v>14</v>
      </c>
      <c r="J3582" t="s">
        <v>18</v>
      </c>
      <c r="K3582" t="s">
        <v>84</v>
      </c>
      <c r="L3582" t="s">
        <v>20</v>
      </c>
      <c r="M3582" t="s">
        <v>7599</v>
      </c>
      <c r="N3582" t="s">
        <v>7609</v>
      </c>
    </row>
    <row r="3583" x14ac:dyDescent="0.25">
      <c r="A3583" t="n">
        <v>25</v>
      </c>
      <c r="B3583" t="s">
        <v>14</v>
      </c>
      <c r="C3583" t="s">
        <v>15</v>
      </c>
      <c r="D3583" s="2" t="s">
        <f>=HYPERLINK("https://main.knesset.gov.il/APPS/legislation/main/bills/2212495", "חוק גיל פרישה (הורה שילדו נפטר) (הוראת שעה) (תיקון מס' 2), התשפ""ד-2023")</f>
        <v>7610</v>
      </c>
      <c r="E3583" t="s">
        <v>7610</v>
      </c>
      <c r="F3583" t="s">
        <v>14</v>
      </c>
      <c r="G3583" t="s">
        <v>7611</v>
      </c>
      <c r="H3583" t="n">
        <v>3138</v>
      </c>
      <c r="I3583" t="s">
        <v>14</v>
      </c>
      <c r="J3583" t="s">
        <v>18</v>
      </c>
      <c r="K3583" t="s">
        <v>46</v>
      </c>
      <c r="L3583" t="s">
        <v>20</v>
      </c>
      <c r="M3583" t="s">
        <v>7599</v>
      </c>
      <c r="N3583" t="s">
        <v>7612</v>
      </c>
    </row>
    <row r="3584" x14ac:dyDescent="0.25">
      <c r="A3584" t="n">
        <v>25</v>
      </c>
      <c r="B3584" t="s">
        <v>14</v>
      </c>
      <c r="C3584" t="s">
        <v>15</v>
      </c>
      <c r="D3584" s="2" t="s">
        <f>=HYPERLINK("https://main.knesset.gov.il/APPS/legislation/main/bills/2204250", "חוק משק הגז הטבעי (תיקון מס' 13), התשפ""ד-2023 ")</f>
        <v>7613</v>
      </c>
      <c r="E3584" t="s">
        <v>7613</v>
      </c>
      <c r="F3584" t="s">
        <v>14</v>
      </c>
      <c r="G3584" t="s">
        <v>81</v>
      </c>
      <c r="H3584" t="n">
        <v>3137</v>
      </c>
      <c r="I3584" t="s">
        <v>14</v>
      </c>
      <c r="J3584" t="s">
        <v>18</v>
      </c>
      <c r="K3584" t="s">
        <v>84</v>
      </c>
      <c r="L3584" t="s">
        <v>20</v>
      </c>
      <c r="M3584" t="s">
        <v>7599</v>
      </c>
      <c r="N3584" t="s">
        <v>7614</v>
      </c>
    </row>
    <row r="3585" x14ac:dyDescent="0.25">
      <c r="A3585" t="n">
        <v>25</v>
      </c>
      <c r="B3585" t="s">
        <v>14</v>
      </c>
      <c r="C3585" t="s">
        <v>51</v>
      </c>
      <c r="D3585" s="2" t="s">
        <f>=HYPERLINK("https://main.knesset.gov.il/APPS/legislation/main/bills/2208148", "הצעת חוק הקמת חדרי מיון קדמיים, התשפ""ג-2023")</f>
        <v>7615</v>
      </c>
      <c r="E3585" t="s">
        <v>7615</v>
      </c>
      <c r="F3585" t="s">
        <v>7616</v>
      </c>
      <c r="G3585" t="s">
        <v>14</v>
      </c>
      <c r="H3585">
             </c>
      <c r="I3585" t="s">
        <v>14</v>
      </c>
      <c r="J3585" t="s">
        <v>432</v>
      </c>
      <c r="K3585" t="s">
        <v>14</v>
      </c>
      <c r="L3585" t="s">
        <v>20</v>
      </c>
      <c r="M3585" t="s">
        <v>7599</v>
      </c>
      <c r="N3585" t="s">
        <v>14</v>
      </c>
    </row>
    <row r="3586" x14ac:dyDescent="0.25">
      <c r="A3586" t="n">
        <v>25</v>
      </c>
      <c r="B3586" t="s">
        <v>14</v>
      </c>
      <c r="C3586" t="s">
        <v>51</v>
      </c>
      <c r="D3586" s="2" t="s">
        <f>=HYPERLINK("https://main.knesset.gov.il/APPS/legislation/main/bills/2201421", "הצעת חוק חינוך ממלכתי (תיקון - איסור תמיכה בטרור), התשפ""ג-2023")</f>
        <v>7617</v>
      </c>
      <c r="E3586" t="s">
        <v>7617</v>
      </c>
      <c r="F3586" t="s">
        <v>7618</v>
      </c>
      <c r="G3586" t="s">
        <v>14</v>
      </c>
      <c r="H3586">
             </c>
      <c r="I3586" t="s">
        <v>14</v>
      </c>
      <c r="J3586" t="s">
        <v>193</v>
      </c>
      <c r="K3586" t="s">
        <v>14</v>
      </c>
      <c r="L3586" t="s">
        <v>20</v>
      </c>
      <c r="M3586" t="s">
        <v>7599</v>
      </c>
      <c r="N3586" t="s">
        <v>14</v>
      </c>
    </row>
    <row r="3587" x14ac:dyDescent="0.25">
      <c r="A3587" t="n">
        <v>25</v>
      </c>
      <c r="B3587" t="s">
        <v>14</v>
      </c>
      <c r="C3587" t="s">
        <v>15</v>
      </c>
      <c r="D3587" s="2" t="s">
        <f>=HYPERLINK("https://main.knesset.gov.il/APPS/legislation/main/bills/2212217", "חוק התמודדות עם תקיפות סייבר חמורות במגזר השירותים הדיגיטליים ושירותי האחסון (הוראת שעה - חרבות ברזל), התשפ""ד-2023")</f>
        <v>7619</v>
      </c>
      <c r="E3587" t="s">
        <v>7619</v>
      </c>
      <c r="F3587" t="s">
        <v>14</v>
      </c>
      <c r="G3587" t="s">
        <v>7620</v>
      </c>
      <c r="H3587" t="n">
        <v>3135</v>
      </c>
      <c r="I3587" t="s">
        <v>14</v>
      </c>
      <c r="J3587" t="s">
        <v>18</v>
      </c>
      <c r="K3587" t="s">
        <v>39</v>
      </c>
      <c r="L3587" t="s">
        <v>20</v>
      </c>
      <c r="M3587" t="s">
        <v>7621</v>
      </c>
      <c r="N3587" t="s">
        <v>7622</v>
      </c>
    </row>
    <row r="3588" x14ac:dyDescent="0.25">
      <c r="A3588" t="n">
        <v>25</v>
      </c>
      <c r="B3588" t="s">
        <v>14</v>
      </c>
      <c r="C3588" t="s">
        <v>15</v>
      </c>
      <c r="D3588" s="2" t="s">
        <f>=HYPERLINK("https://main.knesset.gov.il/APPS/legislation/main/bills/2203827", "חוק ההתייעלות הכלכלית (תיקוני חקיקה להשגת יעדי התקציב לשנות התקציב 2023 ו-2024), התשפ""ג-2023")</f>
        <v>7623</v>
      </c>
      <c r="E3588" t="s">
        <v>7623</v>
      </c>
      <c r="F3588" t="s">
        <v>14</v>
      </c>
      <c r="G3588" t="s">
        <v>81</v>
      </c>
      <c r="H3588" t="n">
        <v>3045</v>
      </c>
      <c r="I3588" t="s">
        <v>14</v>
      </c>
      <c r="J3588" t="s">
        <v>18</v>
      </c>
      <c r="K3588" t="s">
        <v>24</v>
      </c>
      <c r="L3588" t="s">
        <v>20</v>
      </c>
      <c r="M3588" t="s">
        <v>7621</v>
      </c>
      <c r="N3588" t="s">
        <v>7624</v>
      </c>
    </row>
    <row r="3589" x14ac:dyDescent="0.25">
      <c r="A3589" t="n">
        <v>25</v>
      </c>
      <c r="B3589" t="s">
        <v>14</v>
      </c>
      <c r="C3589" t="s">
        <v>51</v>
      </c>
      <c r="D3589" s="2" t="s">
        <f>=HYPERLINK("https://main.knesset.gov.il/APPS/legislation/main/bills/2212660", "הצעת חוק לדחיית הבחירות הכלליות לרשויות המקומיות (תיקון - מועד הבחירות), התשפ""ד-2023 ")</f>
        <v>7625</v>
      </c>
      <c r="E3589" t="s">
        <v>7625</v>
      </c>
      <c r="F3589" t="s">
        <v>7626</v>
      </c>
      <c r="G3589" t="s">
        <v>14</v>
      </c>
      <c r="H3589">
             </c>
      <c r="I3589" t="s">
        <v>14</v>
      </c>
      <c r="J3589" t="s">
        <v>242</v>
      </c>
      <c r="K3589" t="s">
        <v>14</v>
      </c>
      <c r="L3589" t="s">
        <v>20</v>
      </c>
      <c r="M3589" t="s">
        <v>7621</v>
      </c>
      <c r="N3589" t="s">
        <v>14</v>
      </c>
    </row>
    <row r="3590" x14ac:dyDescent="0.25">
      <c r="A3590" t="n">
        <v>25</v>
      </c>
      <c r="B3590" t="s">
        <v>14</v>
      </c>
      <c r="C3590" t="s">
        <v>51</v>
      </c>
      <c r="D3590" s="2" t="s">
        <f>=HYPERLINK("https://main.knesset.gov.il/APPS/legislation/main/bills/2209345", "הצעת חוק דמי מחלה עבור מלווה בן משפחה לבדיקה רפואית (תיקוני חקיקה), התשפ""ד-2023")</f>
        <v>7627</v>
      </c>
      <c r="E3590" t="s">
        <v>7627</v>
      </c>
      <c r="F3590" t="s">
        <v>7628</v>
      </c>
      <c r="G3590" t="s">
        <v>14</v>
      </c>
      <c r="H3590">
             </c>
      <c r="I3590" t="s">
        <v>14</v>
      </c>
      <c r="J3590" t="s">
        <v>242</v>
      </c>
      <c r="K3590" t="s">
        <v>14</v>
      </c>
      <c r="L3590" t="s">
        <v>20</v>
      </c>
      <c r="M3590" t="s">
        <v>7621</v>
      </c>
      <c r="N3590" t="s">
        <v>14</v>
      </c>
    </row>
    <row r="3591" x14ac:dyDescent="0.25">
      <c r="A3591" t="n">
        <v>25</v>
      </c>
      <c r="B3591" t="s">
        <v>14</v>
      </c>
      <c r="C3591" t="s">
        <v>51</v>
      </c>
      <c r="D3591" s="2" t="s">
        <f>=HYPERLINK("https://main.knesset.gov.il/APPS/legislation/main/bills/2209175", "הצעת חוק ההוצאה לפועל (תיקון - השהיית הליך ואי-נקיטתו כלפי אסירים משוחררים), התשפ""ד-2023")</f>
        <v>7629</v>
      </c>
      <c r="E3591" t="s">
        <v>7629</v>
      </c>
      <c r="F3591" t="s">
        <v>7630</v>
      </c>
      <c r="G3591" t="s">
        <v>14</v>
      </c>
      <c r="H3591">
             </c>
      <c r="I3591" t="s">
        <v>14</v>
      </c>
      <c r="J3591" t="s">
        <v>202</v>
      </c>
      <c r="K3591" t="s">
        <v>14</v>
      </c>
      <c r="L3591" t="s">
        <v>20</v>
      </c>
      <c r="M3591" t="s">
        <v>7621</v>
      </c>
      <c r="N3591" t="s">
        <v>14</v>
      </c>
    </row>
    <row r="3592" x14ac:dyDescent="0.25">
      <c r="A3592" t="n">
        <v>25</v>
      </c>
      <c r="B3592" t="s">
        <v>14</v>
      </c>
      <c r="C3592" t="s">
        <v>51</v>
      </c>
      <c r="D3592" s="2" t="s">
        <f>=HYPERLINK("https://main.knesset.gov.il/APPS/legislation/main/bills/2212250", "הצעת חוק שיקום נכי נפש בקהילה (תיקון - שינוי מונחים בתחום הדיור), התשפ""ד-2023")</f>
        <v>7631</v>
      </c>
      <c r="E3592" t="s">
        <v>7631</v>
      </c>
      <c r="F3592" t="s">
        <v>7632</v>
      </c>
      <c r="G3592" t="s">
        <v>14</v>
      </c>
      <c r="H3592">
             </c>
      <c r="I3592" t="s">
        <v>14</v>
      </c>
      <c r="J3592" t="s">
        <v>242</v>
      </c>
      <c r="K3592" t="s">
        <v>14</v>
      </c>
      <c r="L3592" t="s">
        <v>20</v>
      </c>
      <c r="M3592" t="s">
        <v>7621</v>
      </c>
      <c r="N3592" t="s">
        <v>14</v>
      </c>
    </row>
    <row r="3593" x14ac:dyDescent="0.25">
      <c r="A3593" t="n">
        <v>25</v>
      </c>
      <c r="B3593" t="s">
        <v>14</v>
      </c>
      <c r="C3593" t="s">
        <v>51</v>
      </c>
      <c r="D3593" s="2" t="s">
        <f>=HYPERLINK("https://main.knesset.gov.il/APPS/legislation/main/bills/2212627", "הצעת חוק כביש אגרה (כביש ארצי לישראל) (תיקון - פטור מאגרה בשל האטה ממהירות הנסיעה המותרת), התשפ""ד-2023")</f>
        <v>7633</v>
      </c>
      <c r="E3593" t="s">
        <v>7633</v>
      </c>
      <c r="F3593" t="s">
        <v>7634</v>
      </c>
      <c r="G3593" t="s">
        <v>14</v>
      </c>
      <c r="H3593">
             </c>
      <c r="I3593" t="s">
        <v>14</v>
      </c>
      <c r="J3593" t="s">
        <v>242</v>
      </c>
      <c r="K3593" t="s">
        <v>14</v>
      </c>
      <c r="L3593" t="s">
        <v>20</v>
      </c>
      <c r="M3593" t="s">
        <v>7621</v>
      </c>
      <c r="N3593" t="s">
        <v>14</v>
      </c>
    </row>
    <row r="3594" x14ac:dyDescent="0.25">
      <c r="A3594" t="n">
        <v>25</v>
      </c>
      <c r="B3594" t="s">
        <v>14</v>
      </c>
      <c r="C3594" t="s">
        <v>51</v>
      </c>
      <c r="D3594" s="2" t="s">
        <f>=HYPERLINK("https://main.knesset.gov.il/APPS/legislation/main/bills/2212665", "הצעת חוק פיקוח על מחירים, שיווק וסבסוד של מזון ללא גלוטן, התשפ""ד-2023")</f>
        <v>7635</v>
      </c>
      <c r="E3594" t="s">
        <v>7635</v>
      </c>
      <c r="F3594" t="s">
        <v>7636</v>
      </c>
      <c r="G3594" t="s">
        <v>14</v>
      </c>
      <c r="H3594">
             </c>
      <c r="I3594" t="s">
        <v>14</v>
      </c>
      <c r="J3594" t="s">
        <v>242</v>
      </c>
      <c r="K3594" t="s">
        <v>14</v>
      </c>
      <c r="L3594" t="s">
        <v>20</v>
      </c>
      <c r="M3594" t="s">
        <v>7621</v>
      </c>
      <c r="N3594" t="s">
        <v>14</v>
      </c>
    </row>
    <row r="3595" x14ac:dyDescent="0.25">
      <c r="A3595" t="n">
        <v>25</v>
      </c>
      <c r="B3595" t="s">
        <v>14</v>
      </c>
      <c r="C3595" t="s">
        <v>51</v>
      </c>
      <c r="D3595" s="2" t="s">
        <f>=HYPERLINK("https://main.knesset.gov.il/APPS/legislation/main/bills/2212038", "הצעת חוק הביטוח הלאומי (תיקון - מענק שעת חירום לעובד עצמאי), התשפ""ד-2023")</f>
        <v>7637</v>
      </c>
      <c r="E3595" t="s">
        <v>7637</v>
      </c>
      <c r="F3595" t="s">
        <v>7638</v>
      </c>
      <c r="G3595" t="s">
        <v>14</v>
      </c>
      <c r="H3595">
             </c>
      <c r="I3595" t="s">
        <v>14</v>
      </c>
      <c r="J3595" t="s">
        <v>242</v>
      </c>
      <c r="K3595" t="s">
        <v>14</v>
      </c>
      <c r="L3595" t="s">
        <v>20</v>
      </c>
      <c r="M3595" t="s">
        <v>7621</v>
      </c>
      <c r="N3595" t="s">
        <v>14</v>
      </c>
    </row>
    <row r="3596" x14ac:dyDescent="0.25">
      <c r="A3596" t="n">
        <v>25</v>
      </c>
      <c r="B3596" t="s">
        <v>14</v>
      </c>
      <c r="C3596" t="s">
        <v>51</v>
      </c>
      <c r="D3596" s="2" t="s">
        <f>=HYPERLINK("https://main.knesset.gov.il/APPS/legislation/main/bills/2210055", "הצעת חוק לשכת עורכי הדין (תיקון - קיצור תקופת ההתמחות), התשפ""ד-2023")</f>
        <v>7639</v>
      </c>
      <c r="E3596" t="s">
        <v>7639</v>
      </c>
      <c r="F3596" t="s">
        <v>7640</v>
      </c>
      <c r="G3596" t="s">
        <v>14</v>
      </c>
      <c r="H3596">
             </c>
      <c r="I3596" t="s">
        <v>14</v>
      </c>
      <c r="J3596" t="s">
        <v>242</v>
      </c>
      <c r="K3596" t="s">
        <v>14</v>
      </c>
      <c r="L3596" t="s">
        <v>20</v>
      </c>
      <c r="M3596" t="s">
        <v>7621</v>
      </c>
      <c r="N3596" t="s">
        <v>14</v>
      </c>
    </row>
    <row r="3597" x14ac:dyDescent="0.25">
      <c r="A3597" t="n">
        <v>25</v>
      </c>
      <c r="B3597" t="s">
        <v>14</v>
      </c>
      <c r="C3597" t="s">
        <v>51</v>
      </c>
      <c r="D3597" s="2" t="s">
        <f>=HYPERLINK("https://main.knesset.gov.il/APPS/legislation/main/bills/2212371", "הצעת חוק הביטוח הלאומי (תיקון - שיפוי המעסיק על הפרשות פנסיוניות בעד עובדו המשרת במילואים בנסיבות חירום) (הוראת שעה - חרבות ברזל), התשפ""ד- 2023")</f>
        <v>7641</v>
      </c>
      <c r="E3597" t="s">
        <v>7641</v>
      </c>
      <c r="F3597" t="s">
        <v>7642</v>
      </c>
      <c r="G3597" t="s">
        <v>14</v>
      </c>
      <c r="H3597">
             </c>
      <c r="I3597" t="s">
        <v>14</v>
      </c>
      <c r="J3597" t="s">
        <v>242</v>
      </c>
      <c r="K3597" t="s">
        <v>14</v>
      </c>
      <c r="L3597" t="s">
        <v>20</v>
      </c>
      <c r="M3597" t="s">
        <v>7621</v>
      </c>
      <c r="N3597" t="s">
        <v>14</v>
      </c>
    </row>
    <row r="3598" x14ac:dyDescent="0.25">
      <c r="A3598" t="n">
        <v>25</v>
      </c>
      <c r="B3598" t="s">
        <v>14</v>
      </c>
      <c r="C3598" t="s">
        <v>51</v>
      </c>
      <c r="D3598" s="2" t="s">
        <f>=HYPERLINK("https://main.knesset.gov.il/APPS/legislation/main/bills/2212317", "הצעת חוק הביטוח הלאומי (תיקון - שיפוי המעסיק על הפרשות פנסיוניות בעד עובדו המשרת במילואים בנסיבות חירום) (הוראת שעה - חרבות ברזל), התשפ""ד-2023")</f>
        <v>7643</v>
      </c>
      <c r="E3598" t="s">
        <v>7643</v>
      </c>
      <c r="F3598" t="s">
        <v>7644</v>
      </c>
      <c r="G3598" t="s">
        <v>14</v>
      </c>
      <c r="H3598">
             </c>
      <c r="I3598" t="s">
        <v>14</v>
      </c>
      <c r="J3598" t="s">
        <v>242</v>
      </c>
      <c r="K3598" t="s">
        <v>14</v>
      </c>
      <c r="L3598" t="s">
        <v>20</v>
      </c>
      <c r="M3598" t="s">
        <v>7621</v>
      </c>
      <c r="N3598" t="s">
        <v>14</v>
      </c>
    </row>
    <row r="3599" x14ac:dyDescent="0.25">
      <c r="A3599" t="n">
        <v>25</v>
      </c>
      <c r="B3599" t="s">
        <v>14</v>
      </c>
      <c r="C3599" t="s">
        <v>51</v>
      </c>
      <c r="D3599" s="2" t="s">
        <f>=HYPERLINK("https://main.knesset.gov.il/APPS/legislation/main/bills/2195688", "חוק קליטת חיילים משוחררים (תיקון מס' 25), התשפ""ד–2023")</f>
        <v>7645</v>
      </c>
      <c r="E3599" t="s">
        <v>7645</v>
      </c>
      <c r="F3599" t="s">
        <v>7646</v>
      </c>
      <c r="G3599" t="s">
        <v>7647</v>
      </c>
      <c r="H3599" t="n">
        <v>3134</v>
      </c>
      <c r="I3599" t="s">
        <v>14</v>
      </c>
      <c r="J3599" t="s">
        <v>18</v>
      </c>
      <c r="K3599" t="s">
        <v>39</v>
      </c>
      <c r="L3599" t="s">
        <v>20</v>
      </c>
      <c r="M3599" t="s">
        <v>7648</v>
      </c>
      <c r="N3599" t="s">
        <v>7649</v>
      </c>
    </row>
    <row r="3600" x14ac:dyDescent="0.25">
      <c r="A3600" t="n">
        <v>25</v>
      </c>
      <c r="B3600" t="s">
        <v>14</v>
      </c>
      <c r="C3600" t="s">
        <v>51</v>
      </c>
      <c r="D3600" s="2" t="s">
        <f>=HYPERLINK("https://main.knesset.gov.il/APPS/legislation/main/bills/2198983", "הצעת חוק מגבלות על חזרתו של עבריין טרור לסביבת נפגע עבירה, התשפ""ג-2023")</f>
        <v>7650</v>
      </c>
      <c r="E3600" t="s">
        <v>7650</v>
      </c>
      <c r="F3600" t="s">
        <v>7651</v>
      </c>
      <c r="G3600" t="s">
        <v>14</v>
      </c>
      <c r="H3600">
             </c>
      <c r="I3600" t="s">
        <v>14</v>
      </c>
      <c r="J3600" t="s">
        <v>193</v>
      </c>
      <c r="K3600" t="s">
        <v>14</v>
      </c>
      <c r="L3600" t="s">
        <v>20</v>
      </c>
      <c r="M3600" t="s">
        <v>7648</v>
      </c>
      <c r="N3600" t="s">
        <v>14</v>
      </c>
    </row>
    <row r="3601" x14ac:dyDescent="0.25">
      <c r="A3601" t="n">
        <v>25</v>
      </c>
      <c r="B3601" t="s">
        <v>14</v>
      </c>
      <c r="C3601" t="s">
        <v>51</v>
      </c>
      <c r="D3601" s="2" t="s">
        <f>=HYPERLINK("https://main.knesset.gov.il/APPS/legislation/main/bills/2198929", "הצעת חוק הדחת נציג ציבור התומך במאבק מזוין נגד מדינת ישראל (תיקוני חקיקה), התשפ""ג-2023")</f>
        <v>7652</v>
      </c>
      <c r="E3601" t="s">
        <v>7652</v>
      </c>
      <c r="F3601" t="s">
        <v>7653</v>
      </c>
      <c r="G3601" t="s">
        <v>14</v>
      </c>
      <c r="H3601">
             </c>
      <c r="I3601" t="s">
        <v>14</v>
      </c>
      <c r="J3601" t="s">
        <v>193</v>
      </c>
      <c r="K3601" t="s">
        <v>14</v>
      </c>
      <c r="L3601" t="s">
        <v>20</v>
      </c>
      <c r="M3601" t="s">
        <v>7648</v>
      </c>
      <c r="N3601" t="s">
        <v>14</v>
      </c>
    </row>
    <row r="3602" x14ac:dyDescent="0.25">
      <c r="A3602" t="n">
        <v>25</v>
      </c>
      <c r="B3602" t="s">
        <v>14</v>
      </c>
      <c r="C3602" t="s">
        <v>51</v>
      </c>
      <c r="D3602" s="2" t="s">
        <f>=HYPERLINK("https://main.knesset.gov.il/APPS/legislation/main/bills/2195801", "הצעת חוק הביטוח הלאומי (תיקון - ביטול מבחני התלות לקבלת גמלת סיעוד לאזרח שמלאו לו 80 שנים), התשפ""ג-2022")</f>
        <v>7654</v>
      </c>
      <c r="E3602" t="s">
        <v>7654</v>
      </c>
      <c r="F3602" t="s">
        <v>7655</v>
      </c>
      <c r="G3602" t="s">
        <v>14</v>
      </c>
      <c r="H3602">
             </c>
      <c r="I3602" t="s">
        <v>14</v>
      </c>
      <c r="J3602" t="s">
        <v>202</v>
      </c>
      <c r="K3602" t="s">
        <v>14</v>
      </c>
      <c r="L3602" t="s">
        <v>20</v>
      </c>
      <c r="M3602" t="s">
        <v>7648</v>
      </c>
      <c r="N3602" t="s">
        <v>14</v>
      </c>
    </row>
    <row r="3603" x14ac:dyDescent="0.25">
      <c r="A3603" t="n">
        <v>25</v>
      </c>
      <c r="B3603" t="s">
        <v>14</v>
      </c>
      <c r="C3603" t="s">
        <v>15</v>
      </c>
      <c r="D3603" s="2" t="s">
        <f>=HYPERLINK("https://main.knesset.gov.il/APPS/legislation/main/bills/2212298", "חוק כליאתם של לוחמים בלתי חוקיים (תיקון מס' 4 והוראת שעה – חרבות ברזל), התשפ""ד-2023")</f>
        <v>7656</v>
      </c>
      <c r="E3603" t="s">
        <v>7656</v>
      </c>
      <c r="F3603" t="s">
        <v>14</v>
      </c>
      <c r="G3603" t="s">
        <v>7657</v>
      </c>
      <c r="H3603" t="n">
        <v>3130</v>
      </c>
      <c r="I3603" t="s">
        <v>14</v>
      </c>
      <c r="J3603" t="s">
        <v>18</v>
      </c>
      <c r="K3603" t="s">
        <v>39</v>
      </c>
      <c r="L3603" t="s">
        <v>20</v>
      </c>
      <c r="M3603" t="s">
        <v>7658</v>
      </c>
      <c r="N3603" t="s">
        <v>7659</v>
      </c>
    </row>
    <row r="3604" x14ac:dyDescent="0.25">
      <c r="A3604" t="n">
        <v>25</v>
      </c>
      <c r="B3604" t="s">
        <v>14</v>
      </c>
      <c r="C3604" t="s">
        <v>15</v>
      </c>
      <c r="D3604" s="2" t="s">
        <f>=HYPERLINK("https://main.knesset.gov.il/APPS/legislation/main/bills/2211578", "חוק קיום דיונים בהיוועדות חזותית בהשתתפות עצורים, אסירים וכלואים (הוראת שעה – חרבות ברזל), התשפ""ד-2023")</f>
        <v>7660</v>
      </c>
      <c r="E3604" t="s">
        <v>7660</v>
      </c>
      <c r="F3604" t="s">
        <v>14</v>
      </c>
      <c r="G3604" t="s">
        <v>7661</v>
      </c>
      <c r="H3604" t="n">
        <v>3129</v>
      </c>
      <c r="I3604" t="s">
        <v>14</v>
      </c>
      <c r="J3604" t="s">
        <v>18</v>
      </c>
      <c r="K3604" t="s">
        <v>27</v>
      </c>
      <c r="L3604" t="s">
        <v>20</v>
      </c>
      <c r="M3604" t="s">
        <v>7658</v>
      </c>
      <c r="N3604" t="s">
        <v>7662</v>
      </c>
    </row>
    <row r="3605" x14ac:dyDescent="0.25">
      <c r="A3605" t="n">
        <v>25</v>
      </c>
      <c r="B3605" t="s">
        <v>14</v>
      </c>
      <c r="C3605" t="s">
        <v>15</v>
      </c>
      <c r="D3605" s="2" t="s">
        <f>=HYPERLINK("https://main.knesset.gov.il/APPS/legislation/main/bills/2211878", "חוק הגז (בטיחות ורישוי) (תיקון מס' 9), התשפ""ד–2023")</f>
        <v>7663</v>
      </c>
      <c r="E3605" t="s">
        <v>7663</v>
      </c>
      <c r="F3605" t="s">
        <v>14</v>
      </c>
      <c r="G3605" t="s">
        <v>7664</v>
      </c>
      <c r="H3605" t="n">
        <v>3132</v>
      </c>
      <c r="I3605" t="s">
        <v>14</v>
      </c>
      <c r="J3605" t="s">
        <v>18</v>
      </c>
      <c r="K3605" t="s">
        <v>84</v>
      </c>
      <c r="L3605" t="s">
        <v>20</v>
      </c>
      <c r="M3605" t="s">
        <v>7658</v>
      </c>
      <c r="N3605" t="s">
        <v>7665</v>
      </c>
    </row>
    <row r="3606" x14ac:dyDescent="0.25">
      <c r="A3606" t="n">
        <v>25</v>
      </c>
      <c r="B3606" t="s">
        <v>14</v>
      </c>
      <c r="C3606" t="s">
        <v>15</v>
      </c>
      <c r="D3606" s="2" t="s">
        <f>=HYPERLINK("https://main.knesset.gov.il/APPS/legislation/main/bills/2212126", "חוק זכויות החולה (תיקון מס' 15), התשפ""ד-2023")</f>
        <v>7666</v>
      </c>
      <c r="E3606" t="s">
        <v>7666</v>
      </c>
      <c r="F3606" t="s">
        <v>14</v>
      </c>
      <c r="G3606" t="s">
        <v>7667</v>
      </c>
      <c r="H3606" t="n">
        <v>3131</v>
      </c>
      <c r="I3606" t="s">
        <v>14</v>
      </c>
      <c r="J3606" t="s">
        <v>18</v>
      </c>
      <c r="K3606" t="s">
        <v>361</v>
      </c>
      <c r="L3606" t="s">
        <v>20</v>
      </c>
      <c r="M3606" t="s">
        <v>7658</v>
      </c>
      <c r="N3606" t="s">
        <v>7668</v>
      </c>
    </row>
    <row r="3607" x14ac:dyDescent="0.25">
      <c r="A3607" t="n">
        <v>25</v>
      </c>
      <c r="B3607" t="s">
        <v>14</v>
      </c>
      <c r="C3607" t="s">
        <v>51</v>
      </c>
      <c r="D3607" s="2" t="s">
        <f>=HYPERLINK("https://main.knesset.gov.il/APPS/legislation/main/bills/2212244", "הצעת חוק פיתוח והתחדשות של יישובים באזור חבל תקומה (תיקוני חקיקה, פיצויים, הטבות, הנצחה והוראת שעה), התשפ""ד-2023")</f>
        <v>7669</v>
      </c>
      <c r="E3607" t="s">
        <v>7669</v>
      </c>
      <c r="F3607" t="s">
        <v>7670</v>
      </c>
      <c r="G3607" t="s">
        <v>14</v>
      </c>
      <c r="H3607">
             </c>
      <c r="I3607" t="s">
        <v>14</v>
      </c>
      <c r="J3607" t="s">
        <v>202</v>
      </c>
      <c r="K3607" t="s">
        <v>14</v>
      </c>
      <c r="L3607" t="s">
        <v>20</v>
      </c>
      <c r="M3607" t="s">
        <v>7658</v>
      </c>
      <c r="N3607" t="s">
        <v>14</v>
      </c>
    </row>
    <row r="3608" x14ac:dyDescent="0.25">
      <c r="A3608" t="n">
        <v>25</v>
      </c>
      <c r="B3608" t="s">
        <v>14</v>
      </c>
      <c r="C3608" t="s">
        <v>51</v>
      </c>
      <c r="D3608" s="2" t="s">
        <f>=HYPERLINK("https://main.knesset.gov.il/APPS/legislation/main/bills/2211854", "הצעת חוק לתיקון פקודת מס הכנסה (הוראת שעה - חרבות ברזל) (פטור ממס במשיכת תשלומי מעביד מקרן השתלמות), התשפ""ד-2023")</f>
        <v>7671</v>
      </c>
      <c r="E3608" t="s">
        <v>7671</v>
      </c>
      <c r="F3608" t="s">
        <v>7672</v>
      </c>
      <c r="G3608" t="s">
        <v>14</v>
      </c>
      <c r="H3608">
             </c>
      <c r="I3608" t="s">
        <v>14</v>
      </c>
      <c r="J3608" t="s">
        <v>242</v>
      </c>
      <c r="K3608" t="s">
        <v>14</v>
      </c>
      <c r="L3608" t="s">
        <v>20</v>
      </c>
      <c r="M3608" t="s">
        <v>7658</v>
      </c>
      <c r="N3608" t="s">
        <v>14</v>
      </c>
    </row>
    <row r="3609" x14ac:dyDescent="0.25">
      <c r="A3609" t="n">
        <v>25</v>
      </c>
      <c r="B3609" t="s">
        <v>14</v>
      </c>
      <c r="C3609" t="s">
        <v>51</v>
      </c>
      <c r="D3609" s="2" t="s">
        <f>=HYPERLINK("https://main.knesset.gov.il/APPS/legislation/main/bills/2212010", "הצעת חוק כלי הירייה (תיקון - חובת שקיפות במינוי פקידי רישוי), התשפ""ד-2023")</f>
        <v>7673</v>
      </c>
      <c r="E3609" t="s">
        <v>7673</v>
      </c>
      <c r="F3609" t="s">
        <v>7674</v>
      </c>
      <c r="G3609" t="s">
        <v>14</v>
      </c>
      <c r="H3609">
             </c>
      <c r="I3609" t="s">
        <v>14</v>
      </c>
      <c r="J3609" t="s">
        <v>242</v>
      </c>
      <c r="K3609" t="s">
        <v>14</v>
      </c>
      <c r="L3609" t="s">
        <v>20</v>
      </c>
      <c r="M3609" t="s">
        <v>7658</v>
      </c>
      <c r="N3609" t="s">
        <v>14</v>
      </c>
    </row>
    <row r="3610" x14ac:dyDescent="0.25">
      <c r="A3610" t="n">
        <v>25</v>
      </c>
      <c r="B3610" t="s">
        <v>14</v>
      </c>
      <c r="C3610" t="s">
        <v>51</v>
      </c>
      <c r="D3610" s="2" t="s">
        <f>=HYPERLINK("https://main.knesset.gov.il/APPS/legislation/main/bills/2212039", "הצעת חוק קליטת חיילים משוחררים (תיקון - מימון שכר לימוד מלא ללוחמים), התשפ""ד-2023")</f>
        <v>7675</v>
      </c>
      <c r="E3610" t="s">
        <v>7675</v>
      </c>
      <c r="F3610" t="s">
        <v>7676</v>
      </c>
      <c r="G3610" t="s">
        <v>14</v>
      </c>
      <c r="H3610">
             </c>
      <c r="I3610" t="s">
        <v>14</v>
      </c>
      <c r="J3610" t="s">
        <v>242</v>
      </c>
      <c r="K3610" t="s">
        <v>14</v>
      </c>
      <c r="L3610" t="s">
        <v>20</v>
      </c>
      <c r="M3610" t="s">
        <v>7658</v>
      </c>
      <c r="N3610" t="s">
        <v>14</v>
      </c>
    </row>
    <row r="3611" x14ac:dyDescent="0.25">
      <c r="A3611" t="n">
        <v>25</v>
      </c>
      <c r="B3611" t="s">
        <v>14</v>
      </c>
      <c r="C3611" t="s">
        <v>51</v>
      </c>
      <c r="D3611" s="2" t="s">
        <f>=HYPERLINK("https://main.knesset.gov.il/APPS/legislation/main/bills/2211647", "הצעת חוק הכניסה לישראל (תיקון - חובת הפקדת ערובה בהגשת ערר לבית הדין לעררים), התשפ""ד-2023")</f>
        <v>7677</v>
      </c>
      <c r="E3611" t="s">
        <v>7677</v>
      </c>
      <c r="F3611" t="s">
        <v>7678</v>
      </c>
      <c r="G3611" t="s">
        <v>14</v>
      </c>
      <c r="H3611">
             </c>
      <c r="I3611" t="s">
        <v>14</v>
      </c>
      <c r="J3611" t="s">
        <v>242</v>
      </c>
      <c r="K3611" t="s">
        <v>14</v>
      </c>
      <c r="L3611" t="s">
        <v>20</v>
      </c>
      <c r="M3611" t="s">
        <v>7658</v>
      </c>
      <c r="N3611" t="s">
        <v>14</v>
      </c>
    </row>
    <row r="3612" x14ac:dyDescent="0.25">
      <c r="A3612" t="n">
        <v>25</v>
      </c>
      <c r="B3612" t="s">
        <v>14</v>
      </c>
      <c r="C3612" t="s">
        <v>51</v>
      </c>
      <c r="D3612" s="2" t="s">
        <f>=HYPERLINK("https://main.knesset.gov.il/APPS/legislation/main/bills/2209469", "הצעת חוק ההוצאה לפועל (תיקון - סייג להגבלה על יציאה מהארץ), התשפ""ד-2023")</f>
        <v>7679</v>
      </c>
      <c r="E3612" t="s">
        <v>7679</v>
      </c>
      <c r="F3612" t="s">
        <v>7680</v>
      </c>
      <c r="G3612" t="s">
        <v>14</v>
      </c>
      <c r="H3612">
             </c>
      <c r="I3612" t="s">
        <v>14</v>
      </c>
      <c r="J3612" t="s">
        <v>202</v>
      </c>
      <c r="K3612" t="s">
        <v>14</v>
      </c>
      <c r="L3612" t="s">
        <v>20</v>
      </c>
      <c r="M3612" t="s">
        <v>7658</v>
      </c>
      <c r="N3612" t="s">
        <v>14</v>
      </c>
    </row>
    <row r="3613" x14ac:dyDescent="0.25">
      <c r="A3613" t="n">
        <v>25</v>
      </c>
      <c r="B3613" t="s">
        <v>14</v>
      </c>
      <c r="C3613" t="s">
        <v>15</v>
      </c>
      <c r="D3613" s="2" t="s">
        <f>=HYPERLINK("https://main.knesset.gov.il/APPS/legislation/main/bills/2212164", "חוק תקציב נוסף לשנת הכספים 2023, התשפ""ד-2023")</f>
        <v>7681</v>
      </c>
      <c r="E3613" t="s">
        <v>7681</v>
      </c>
      <c r="F3613" t="s">
        <v>14</v>
      </c>
      <c r="G3613" t="s">
        <v>7682</v>
      </c>
      <c r="H3613" t="n">
        <v>3133</v>
      </c>
      <c r="I3613" t="s">
        <v>14</v>
      </c>
      <c r="J3613" t="s">
        <v>18</v>
      </c>
      <c r="K3613" t="s">
        <v>24</v>
      </c>
      <c r="L3613" t="s">
        <v>20</v>
      </c>
      <c r="M3613" t="s">
        <v>7683</v>
      </c>
      <c r="N3613" t="s">
        <v>7684</v>
      </c>
    </row>
    <row r="3614" x14ac:dyDescent="0.25">
      <c r="A3614" t="n">
        <v>25</v>
      </c>
      <c r="B3614" t="s">
        <v>14</v>
      </c>
      <c r="C3614" t="s">
        <v>15</v>
      </c>
      <c r="D3614" s="2" t="s">
        <f>=HYPERLINK("https://main.knesset.gov.il/APPS/legislation/main/bills/2212121", "חוק הפחתת הגירעון והגבלת ההוצאה התקציבית (תיקון מס' 24), התשפ""ד-2023")</f>
        <v>7685</v>
      </c>
      <c r="E3614" t="s">
        <v>7685</v>
      </c>
      <c r="F3614" t="s">
        <v>14</v>
      </c>
      <c r="G3614" t="s">
        <v>7686</v>
      </c>
      <c r="H3614" t="n">
        <v>3128</v>
      </c>
      <c r="I3614" t="s">
        <v>14</v>
      </c>
      <c r="J3614" t="s">
        <v>18</v>
      </c>
      <c r="K3614" t="s">
        <v>24</v>
      </c>
      <c r="L3614" t="s">
        <v>20</v>
      </c>
      <c r="M3614" t="s">
        <v>7683</v>
      </c>
      <c r="N3614" t="s">
        <v>7687</v>
      </c>
    </row>
    <row r="3615" x14ac:dyDescent="0.25">
      <c r="A3615" t="n">
        <v>25</v>
      </c>
      <c r="B3615" t="s">
        <v>14</v>
      </c>
      <c r="C3615" t="s">
        <v>15</v>
      </c>
      <c r="D3615" s="2" t="s">
        <f>=HYPERLINK("https://main.knesset.gov.il/APPS/legislation/main/bills/2210751", "חוק-יסוד: משק המדינה (תיקון מס' 14)")</f>
        <v>7688</v>
      </c>
      <c r="E3615" t="s">
        <v>7688</v>
      </c>
      <c r="F3615" t="s">
        <v>14</v>
      </c>
      <c r="G3615" t="s">
        <v>7689</v>
      </c>
      <c r="H3615" t="n">
        <v>3127</v>
      </c>
      <c r="I3615" t="s">
        <v>14</v>
      </c>
      <c r="J3615" t="s">
        <v>18</v>
      </c>
      <c r="K3615" t="s">
        <v>24</v>
      </c>
      <c r="L3615" t="s">
        <v>20</v>
      </c>
      <c r="M3615" t="s">
        <v>7683</v>
      </c>
      <c r="N3615" t="s">
        <v>7690</v>
      </c>
    </row>
    <row r="3616" x14ac:dyDescent="0.25">
      <c r="A3616" t="n">
        <v>25</v>
      </c>
      <c r="B3616" t="s">
        <v>14</v>
      </c>
      <c r="C3616" t="s">
        <v>51</v>
      </c>
      <c r="D3616" s="2" t="s">
        <f>=HYPERLINK("https://main.knesset.gov.il/APPS/legislation/main/bills/2211596", "הצעת חוק המועצה להשכלה גבוהה (תיקון - שלילת זכאות לתואר אקדמי בשל תמיכה בטרור), התשפ""ד-2023")</f>
        <v>7691</v>
      </c>
      <c r="E3616" t="s">
        <v>7691</v>
      </c>
      <c r="F3616" t="s">
        <v>7692</v>
      </c>
      <c r="G3616" t="s">
        <v>14</v>
      </c>
      <c r="H3616">
             </c>
      <c r="I3616" t="s">
        <v>14</v>
      </c>
      <c r="J3616" t="s">
        <v>242</v>
      </c>
      <c r="K3616" t="s">
        <v>14</v>
      </c>
      <c r="L3616" t="s">
        <v>20</v>
      </c>
      <c r="M3616" t="s">
        <v>7693</v>
      </c>
      <c r="N3616" t="s">
        <v>14</v>
      </c>
    </row>
    <row r="3617" x14ac:dyDescent="0.25">
      <c r="A3617" t="n">
        <v>25</v>
      </c>
      <c r="B3617" t="s">
        <v>14</v>
      </c>
      <c r="C3617" t="s">
        <v>51</v>
      </c>
      <c r="D3617" s="2" t="s">
        <f>=HYPERLINK("https://main.knesset.gov.il/APPS/legislation/main/bills/2210040", "הצעת חוק חינוך ממלכתי (תיקון - חובת לימוד עברית וערבית), התשפ""ד-2023")</f>
        <v>7694</v>
      </c>
      <c r="E3617" t="s">
        <v>7694</v>
      </c>
      <c r="F3617" t="s">
        <v>7695</v>
      </c>
      <c r="G3617" t="s">
        <v>14</v>
      </c>
      <c r="H3617">
             </c>
      <c r="I3617" t="s">
        <v>14</v>
      </c>
      <c r="J3617" t="s">
        <v>242</v>
      </c>
      <c r="K3617" t="s">
        <v>14</v>
      </c>
      <c r="L3617" t="s">
        <v>20</v>
      </c>
      <c r="M3617" t="s">
        <v>7693</v>
      </c>
      <c r="N3617" t="s">
        <v>14</v>
      </c>
    </row>
    <row r="3618" x14ac:dyDescent="0.25">
      <c r="A3618" t="n">
        <v>25</v>
      </c>
      <c r="B3618" t="s">
        <v>14</v>
      </c>
      <c r="C3618" t="s">
        <v>51</v>
      </c>
      <c r="D3618" s="2" t="s">
        <f>=HYPERLINK("https://main.knesset.gov.il/APPS/legislation/main/bills/2211915", "הצעת חוק הנוער (טיפול והשגחה) (תיקון - ביטול הגנת קטין מפני פרסומים מזיקים במקרה של טיפול ואשפוז פסיכיאטריים), התשפ""ד-2023")</f>
        <v>7696</v>
      </c>
      <c r="E3618" t="s">
        <v>7696</v>
      </c>
      <c r="F3618" t="s">
        <v>7697</v>
      </c>
      <c r="G3618" t="s">
        <v>14</v>
      </c>
      <c r="H3618">
             </c>
      <c r="I3618" t="s">
        <v>14</v>
      </c>
      <c r="J3618" t="s">
        <v>202</v>
      </c>
      <c r="K3618" t="s">
        <v>14</v>
      </c>
      <c r="L3618" t="s">
        <v>20</v>
      </c>
      <c r="M3618" t="s">
        <v>7693</v>
      </c>
      <c r="N3618" t="s">
        <v>14</v>
      </c>
    </row>
    <row r="3619" x14ac:dyDescent="0.25">
      <c r="A3619" t="n">
        <v>25</v>
      </c>
      <c r="B3619" t="s">
        <v>14</v>
      </c>
      <c r="C3619" t="s">
        <v>51</v>
      </c>
      <c r="D3619" s="2" t="s">
        <f>=HYPERLINK("https://main.knesset.gov.il/APPS/legislation/main/bills/2211819", "הצעת חוק שירות המילואים (תיקון - התנדבות למילואים במג""ב), התשפ""ד-2023")</f>
        <v>7698</v>
      </c>
      <c r="E3619" t="s">
        <v>7698</v>
      </c>
      <c r="F3619" t="s">
        <v>7699</v>
      </c>
      <c r="G3619" t="s">
        <v>14</v>
      </c>
      <c r="H3619">
             </c>
      <c r="I3619" t="s">
        <v>14</v>
      </c>
      <c r="J3619" t="s">
        <v>242</v>
      </c>
      <c r="K3619" t="s">
        <v>14</v>
      </c>
      <c r="L3619" t="s">
        <v>20</v>
      </c>
      <c r="M3619" t="s">
        <v>7693</v>
      </c>
      <c r="N3619" t="s">
        <v>14</v>
      </c>
    </row>
    <row r="3620" x14ac:dyDescent="0.25">
      <c r="A3620" t="n">
        <v>25</v>
      </c>
      <c r="B3620" t="s">
        <v>14</v>
      </c>
      <c r="C3620" t="s">
        <v>51</v>
      </c>
      <c r="D3620" s="2" t="s">
        <f>=HYPERLINK("https://main.knesset.gov.il/APPS/legislation/main/bills/2211729", "הצעת חוק הכנסת (תיקון - שעת שאלות לראש הממשלה), התשפ""ד-2023")</f>
        <v>7700</v>
      </c>
      <c r="E3620" t="s">
        <v>7700</v>
      </c>
      <c r="F3620" t="s">
        <v>7701</v>
      </c>
      <c r="G3620" t="s">
        <v>14</v>
      </c>
      <c r="H3620">
             </c>
      <c r="I3620" t="s">
        <v>14</v>
      </c>
      <c r="J3620" t="s">
        <v>242</v>
      </c>
      <c r="K3620" t="s">
        <v>14</v>
      </c>
      <c r="L3620" t="s">
        <v>20</v>
      </c>
      <c r="M3620" t="s">
        <v>7693</v>
      </c>
      <c r="N3620" t="s">
        <v>14</v>
      </c>
    </row>
    <row r="3621" x14ac:dyDescent="0.25">
      <c r="A3621" t="n">
        <v>25</v>
      </c>
      <c r="B3621" t="s">
        <v>14</v>
      </c>
      <c r="C3621" t="s">
        <v>51</v>
      </c>
      <c r="D3621" s="2" t="s">
        <f>=HYPERLINK("https://main.knesset.gov.il/APPS/legislation/main/bills/2211901", "הצעת חוק הרשות הארצית לכבאות והצלה (נספים), התשפ""ד-2023")</f>
        <v>7702</v>
      </c>
      <c r="E3621" t="s">
        <v>7702</v>
      </c>
      <c r="F3621" t="s">
        <v>7703</v>
      </c>
      <c r="G3621" t="s">
        <v>14</v>
      </c>
      <c r="H3621">
             </c>
      <c r="I3621" t="s">
        <v>14</v>
      </c>
      <c r="J3621" t="s">
        <v>242</v>
      </c>
      <c r="K3621" t="s">
        <v>14</v>
      </c>
      <c r="L3621" t="s">
        <v>20</v>
      </c>
      <c r="M3621" t="s">
        <v>7693</v>
      </c>
      <c r="N3621" t="s">
        <v>14</v>
      </c>
    </row>
    <row r="3622" x14ac:dyDescent="0.25">
      <c r="A3622" t="n">
        <v>25</v>
      </c>
      <c r="B3622" t="s">
        <v>14</v>
      </c>
      <c r="C3622" t="s">
        <v>15</v>
      </c>
      <c r="D3622" s="2" t="s">
        <f>=HYPERLINK("https://main.knesset.gov.il/APPS/legislation/main/bills/2212015", "חוק התכנון והבנייה (תיקון מס' 150 והוראת שעה - חרבות ברזל), התשפ""ד-2023")</f>
        <v>7704</v>
      </c>
      <c r="E3622" t="s">
        <v>7704</v>
      </c>
      <c r="F3622" t="s">
        <v>14</v>
      </c>
      <c r="G3622" t="s">
        <v>7705</v>
      </c>
      <c r="H3622" t="n">
        <v>3126</v>
      </c>
      <c r="I3622" t="s">
        <v>14</v>
      </c>
      <c r="J3622" t="s">
        <v>18</v>
      </c>
      <c r="K3622" t="s">
        <v>30</v>
      </c>
      <c r="L3622" t="s">
        <v>20</v>
      </c>
      <c r="M3622" t="s">
        <v>7706</v>
      </c>
      <c r="N3622" t="s">
        <v>7707</v>
      </c>
    </row>
    <row r="3623" x14ac:dyDescent="0.25">
      <c r="A3623" t="n">
        <v>25</v>
      </c>
      <c r="B3623" t="s">
        <v>14</v>
      </c>
      <c r="C3623" t="s">
        <v>15</v>
      </c>
      <c r="D3623" s="2" t="s">
        <f>=HYPERLINK("https://main.knesset.gov.il/APPS/legislation/main/bills/2211682", "חוק הסמכת צבא הגנה לישראל ושירות הביטחון הכללי לביצוע חדירה לחומר מחשב המשמש להפעלת מצלמה נייחת ופעולה בו (הוראת שעה – חרבות ברזל), התשפ""ד-2023")</f>
        <v>7708</v>
      </c>
      <c r="E3623" t="s">
        <v>7708</v>
      </c>
      <c r="F3623" t="s">
        <v>14</v>
      </c>
      <c r="G3623" t="s">
        <v>7709</v>
      </c>
      <c r="H3623" t="n">
        <v>3125</v>
      </c>
      <c r="I3623" t="s">
        <v>14</v>
      </c>
      <c r="J3623" t="s">
        <v>18</v>
      </c>
      <c r="K3623" t="s">
        <v>39</v>
      </c>
      <c r="L3623" t="s">
        <v>20</v>
      </c>
      <c r="M3623" t="s">
        <v>7706</v>
      </c>
      <c r="N3623" t="s">
        <v>7710</v>
      </c>
    </row>
    <row r="3624" x14ac:dyDescent="0.25">
      <c r="A3624" t="n">
        <v>25</v>
      </c>
      <c r="B3624" t="s">
        <v>14</v>
      </c>
      <c r="C3624" t="s">
        <v>15</v>
      </c>
      <c r="D3624" s="2" t="s">
        <f>=HYPERLINK("https://main.knesset.gov.il/APPS/legislation/main/bills/2211939", "חוק לתיקון דיני הראיות (הגנת ילדים) (תיקון מס' 19 - הוראת שעה - חרבות ברזל), התשפ""ד-2023")</f>
        <v>7711</v>
      </c>
      <c r="E3624" t="s">
        <v>7711</v>
      </c>
      <c r="F3624" t="s">
        <v>14</v>
      </c>
      <c r="G3624" t="s">
        <v>7712</v>
      </c>
      <c r="H3624" t="n">
        <v>3124</v>
      </c>
      <c r="I3624" t="s">
        <v>14</v>
      </c>
      <c r="J3624" t="s">
        <v>18</v>
      </c>
      <c r="K3624" t="s">
        <v>27</v>
      </c>
      <c r="L3624" t="s">
        <v>20</v>
      </c>
      <c r="M3624" t="s">
        <v>7713</v>
      </c>
      <c r="N3624" t="s">
        <v>7714</v>
      </c>
    </row>
    <row r="3625" x14ac:dyDescent="0.25">
      <c r="A3625" t="n">
        <v>25</v>
      </c>
      <c r="B3625" t="s">
        <v>14</v>
      </c>
      <c r="C3625" t="s">
        <v>51</v>
      </c>
      <c r="D3625" s="2" t="s">
        <f>=HYPERLINK("https://main.knesset.gov.il/APPS/legislation/main/bills/2211496", "הצעת חוק הסכם לקליטת תושבים מרצועת עזה, התשפ""ד-2023")</f>
        <v>7715</v>
      </c>
      <c r="E3625" t="s">
        <v>7715</v>
      </c>
      <c r="F3625" t="s">
        <v>7716</v>
      </c>
      <c r="G3625" t="s">
        <v>14</v>
      </c>
      <c r="H3625">
             </c>
      <c r="I3625" t="s">
        <v>14</v>
      </c>
      <c r="J3625" t="s">
        <v>242</v>
      </c>
      <c r="K3625" t="s">
        <v>14</v>
      </c>
      <c r="L3625" t="s">
        <v>20</v>
      </c>
      <c r="M3625" t="s">
        <v>7713</v>
      </c>
      <c r="N3625" t="s">
        <v>14</v>
      </c>
    </row>
    <row r="3626" x14ac:dyDescent="0.25">
      <c r="A3626" t="n">
        <v>25</v>
      </c>
      <c r="B3626" t="s">
        <v>14</v>
      </c>
      <c r="C3626" t="s">
        <v>51</v>
      </c>
      <c r="D3626" s="2" t="s">
        <f>=HYPERLINK("https://main.knesset.gov.il/APPS/legislation/main/bills/2211571", "הצעת חוק להקפאת כספים ששילמה הרשות הפלסטינית בזיקה לטרור מהכספים המועברים אליה מממשלת ישראל (תיקון - הקמת קרן ייעודית לטובת נפגעי פעולות טרור), התשפ""ד-2023")</f>
        <v>7717</v>
      </c>
      <c r="E3626" t="s">
        <v>7717</v>
      </c>
      <c r="F3626" t="s">
        <v>7718</v>
      </c>
      <c r="G3626" t="s">
        <v>14</v>
      </c>
      <c r="H3626">
             </c>
      <c r="I3626" t="s">
        <v>14</v>
      </c>
      <c r="J3626" t="s">
        <v>242</v>
      </c>
      <c r="K3626" t="s">
        <v>14</v>
      </c>
      <c r="L3626" t="s">
        <v>20</v>
      </c>
      <c r="M3626" t="s">
        <v>7713</v>
      </c>
      <c r="N3626" t="s">
        <v>14</v>
      </c>
    </row>
    <row r="3627" x14ac:dyDescent="0.25">
      <c r="A3627" t="n">
        <v>25</v>
      </c>
      <c r="B3627" t="s">
        <v>14</v>
      </c>
      <c r="C3627" t="s">
        <v>51</v>
      </c>
      <c r="D3627" s="2" t="s">
        <f>=HYPERLINK("https://main.knesset.gov.il/APPS/legislation/main/bills/2209498", "הצעת חוק הקמת קרן למלחמה בעישון ולצמצום והטבת נזקי הטבק ומוצריו, התשפ""ד-2023")</f>
        <v>7719</v>
      </c>
      <c r="E3627" t="s">
        <v>7719</v>
      </c>
      <c r="F3627" t="s">
        <v>7720</v>
      </c>
      <c r="G3627" t="s">
        <v>14</v>
      </c>
      <c r="H3627">
             </c>
      <c r="I3627" t="s">
        <v>14</v>
      </c>
      <c r="J3627" t="s">
        <v>242</v>
      </c>
      <c r="K3627" t="s">
        <v>14</v>
      </c>
      <c r="L3627" t="s">
        <v>20</v>
      </c>
      <c r="M3627" t="s">
        <v>7713</v>
      </c>
      <c r="N3627" t="s">
        <v>14</v>
      </c>
    </row>
    <row r="3628" x14ac:dyDescent="0.25">
      <c r="A3628" t="n">
        <v>25</v>
      </c>
      <c r="B3628" t="s">
        <v>14</v>
      </c>
      <c r="C3628" t="s">
        <v>51</v>
      </c>
      <c r="D3628" s="2" t="s">
        <f>=HYPERLINK("https://main.knesset.gov.il/APPS/legislation/main/bills/2211413", "הצעת חוק רכש טובין ושירותים מתוצרת הארץ או מעוסק ישראלי (חרבות ברזל - הוראת שעה), התשפ""ד-2023")</f>
        <v>7721</v>
      </c>
      <c r="E3628" t="s">
        <v>7721</v>
      </c>
      <c r="F3628" t="s">
        <v>7722</v>
      </c>
      <c r="G3628" t="s">
        <v>14</v>
      </c>
      <c r="H3628">
             </c>
      <c r="I3628" t="s">
        <v>14</v>
      </c>
      <c r="J3628" t="s">
        <v>242</v>
      </c>
      <c r="K3628" t="s">
        <v>14</v>
      </c>
      <c r="L3628" t="s">
        <v>20</v>
      </c>
      <c r="M3628" t="s">
        <v>7713</v>
      </c>
      <c r="N3628" t="s">
        <v>14</v>
      </c>
    </row>
    <row r="3629" x14ac:dyDescent="0.25">
      <c r="A3629" t="n">
        <v>25</v>
      </c>
      <c r="B3629" t="s">
        <v>14</v>
      </c>
      <c r="C3629" t="s">
        <v>51</v>
      </c>
      <c r="D3629" s="2" t="s">
        <f>=HYPERLINK("https://main.knesset.gov.il/APPS/legislation/main/bills/2211559", "הצעת חוק הגנה על עובדים בשעת חירום (תיקון - אובדן ימי עבודה בשל מצב מיוחד בעורף), התשפ""ד-2023")</f>
        <v>7723</v>
      </c>
      <c r="E3629" t="s">
        <v>7723</v>
      </c>
      <c r="F3629" t="s">
        <v>7724</v>
      </c>
      <c r="G3629" t="s">
        <v>14</v>
      </c>
      <c r="H3629">
             </c>
      <c r="I3629" t="s">
        <v>14</v>
      </c>
      <c r="J3629" t="s">
        <v>242</v>
      </c>
      <c r="K3629" t="s">
        <v>14</v>
      </c>
      <c r="L3629" t="s">
        <v>20</v>
      </c>
      <c r="M3629" t="s">
        <v>7713</v>
      </c>
      <c r="N3629" t="s">
        <v>14</v>
      </c>
    </row>
    <row r="3630" x14ac:dyDescent="0.25">
      <c r="A3630" t="n">
        <v>25</v>
      </c>
      <c r="B3630" t="s">
        <v>14</v>
      </c>
      <c r="C3630" t="s">
        <v>15</v>
      </c>
      <c r="D3630" s="2" t="s">
        <f>=HYPERLINK("https://main.knesset.gov.il/APPS/legislation/main/bills/2211683", "חוק התכנון והבנייה (תיקון מס' 149 והוראת שעה), התשפ""ד-2023")</f>
        <v>7725</v>
      </c>
      <c r="E3630" t="s">
        <v>7725</v>
      </c>
      <c r="F3630" t="s">
        <v>14</v>
      </c>
      <c r="G3630" t="s">
        <v>7705</v>
      </c>
      <c r="H3630" t="n">
        <v>3123</v>
      </c>
      <c r="I3630" t="s">
        <v>14</v>
      </c>
      <c r="J3630" t="s">
        <v>18</v>
      </c>
      <c r="K3630" t="s">
        <v>30</v>
      </c>
      <c r="L3630" t="s">
        <v>20</v>
      </c>
      <c r="M3630" t="s">
        <v>7726</v>
      </c>
      <c r="N3630" t="s">
        <v>7727</v>
      </c>
    </row>
    <row r="3631" x14ac:dyDescent="0.25">
      <c r="A3631" t="n">
        <v>25</v>
      </c>
      <c r="B3631" t="s">
        <v>14</v>
      </c>
      <c r="C3631" t="s">
        <v>15</v>
      </c>
      <c r="D3631" s="2" t="s">
        <f>=HYPERLINK("https://main.knesset.gov.il/APPS/legislation/main/bills/2211196", "חוק הגנה על עובדים בשעת חירום (תיקון מס' 5 והוראת שעה – חרבות ברזל), התשפ""ד-2023")</f>
        <v>7728</v>
      </c>
      <c r="E3631" t="s">
        <v>7728</v>
      </c>
      <c r="F3631" t="s">
        <v>14</v>
      </c>
      <c r="G3631" t="s">
        <v>7729</v>
      </c>
      <c r="H3631" t="n">
        <v>3122</v>
      </c>
      <c r="I3631" t="s">
        <v>14</v>
      </c>
      <c r="J3631" t="s">
        <v>18</v>
      </c>
      <c r="K3631" t="s">
        <v>46</v>
      </c>
      <c r="L3631" t="s">
        <v>20</v>
      </c>
      <c r="M3631" t="s">
        <v>7730</v>
      </c>
      <c r="N3631" t="s">
        <v>7731</v>
      </c>
    </row>
    <row r="3632" x14ac:dyDescent="0.25">
      <c r="A3632" t="n">
        <v>25</v>
      </c>
      <c r="B3632" t="s">
        <v>14</v>
      </c>
      <c r="C3632" t="s">
        <v>51</v>
      </c>
      <c r="D3632" s="2" t="s">
        <f>=HYPERLINK("https://main.knesset.gov.il/APPS/legislation/main/bills/2198804", "הצעת חוק קליטת חיילים משוחררים (תיקון - מימון מלא לתוכנית ""ממדים ללימודים""), התשפ""ג-2023")</f>
        <v>7732</v>
      </c>
      <c r="E3632" t="s">
        <v>7732</v>
      </c>
      <c r="F3632" t="s">
        <v>7733</v>
      </c>
      <c r="G3632" t="s">
        <v>14</v>
      </c>
      <c r="H3632">
             </c>
      <c r="I3632" t="s">
        <v>14</v>
      </c>
      <c r="J3632" t="s">
        <v>183</v>
      </c>
      <c r="K3632" t="s">
        <v>39</v>
      </c>
      <c r="L3632" t="s">
        <v>20</v>
      </c>
      <c r="M3632" t="s">
        <v>7730</v>
      </c>
      <c r="N3632" t="s">
        <v>14</v>
      </c>
    </row>
    <row r="3633" x14ac:dyDescent="0.25">
      <c r="A3633" t="n">
        <v>25</v>
      </c>
      <c r="B3633" t="s">
        <v>14</v>
      </c>
      <c r="C3633" t="s">
        <v>51</v>
      </c>
      <c r="D3633" s="2" t="s">
        <f>=HYPERLINK("https://main.knesset.gov.il/APPS/legislation/main/bills/2198650", "הצעת חוק קליטת חיילים משוחררים (תיקון - מימון שכר לימוד מלא ללוחמים), התשפ""ג-2023")</f>
        <v>7734</v>
      </c>
      <c r="E3633" t="s">
        <v>7734</v>
      </c>
      <c r="F3633" t="s">
        <v>7735</v>
      </c>
      <c r="G3633" t="s">
        <v>14</v>
      </c>
      <c r="H3633">
             </c>
      <c r="I3633" t="s">
        <v>14</v>
      </c>
      <c r="J3633" t="s">
        <v>183</v>
      </c>
      <c r="K3633" t="s">
        <v>39</v>
      </c>
      <c r="L3633" t="s">
        <v>20</v>
      </c>
      <c r="M3633" t="s">
        <v>7730</v>
      </c>
      <c r="N3633" t="s">
        <v>14</v>
      </c>
    </row>
    <row r="3634" x14ac:dyDescent="0.25">
      <c r="A3634" t="n">
        <v>25</v>
      </c>
      <c r="B3634" t="s">
        <v>14</v>
      </c>
      <c r="C3634" t="s">
        <v>51</v>
      </c>
      <c r="D3634" s="2" t="s">
        <f>=HYPERLINK("https://main.knesset.gov.il/APPS/legislation/main/bills/2198323", "הצעת חוק קליטת חיילים משוחררים (תיקון - מימון שכר לימוד מלא ללוחמים), התשפ""ג-2023")</f>
        <v>7734</v>
      </c>
      <c r="E3634" t="s">
        <v>7734</v>
      </c>
      <c r="F3634" t="s">
        <v>7736</v>
      </c>
      <c r="G3634" t="s">
        <v>14</v>
      </c>
      <c r="H3634">
             </c>
      <c r="I3634" t="s">
        <v>14</v>
      </c>
      <c r="J3634" t="s">
        <v>183</v>
      </c>
      <c r="K3634" t="s">
        <v>39</v>
      </c>
      <c r="L3634" t="s">
        <v>20</v>
      </c>
      <c r="M3634" t="s">
        <v>7730</v>
      </c>
      <c r="N3634" t="s">
        <v>14</v>
      </c>
    </row>
    <row r="3635" x14ac:dyDescent="0.25">
      <c r="A3635" t="n">
        <v>25</v>
      </c>
      <c r="B3635" t="s">
        <v>14</v>
      </c>
      <c r="C3635" t="s">
        <v>15</v>
      </c>
      <c r="D3635" s="2" t="s">
        <f>=HYPERLINK("https://main.knesset.gov.il/APPS/legislation/main/bills/2211470", "חוק הארכת תקופות ודחיית מועדים (הוראת שעה – חרבות ברזל) (הליכי מס ומענקי סיוע), התשפ""ד-2023 ")</f>
        <v>7737</v>
      </c>
      <c r="E3635" t="s">
        <v>7737</v>
      </c>
      <c r="F3635" t="s">
        <v>14</v>
      </c>
      <c r="G3635" t="s">
        <v>7738</v>
      </c>
      <c r="H3635" t="n">
        <v>3121</v>
      </c>
      <c r="I3635" t="s">
        <v>14</v>
      </c>
      <c r="J3635" t="s">
        <v>18</v>
      </c>
      <c r="K3635" t="s">
        <v>24</v>
      </c>
      <c r="L3635" t="s">
        <v>20</v>
      </c>
      <c r="M3635" t="s">
        <v>7730</v>
      </c>
      <c r="N3635" t="s">
        <v>7739</v>
      </c>
    </row>
    <row r="3636" x14ac:dyDescent="0.25">
      <c r="A3636" t="n">
        <v>25</v>
      </c>
      <c r="B3636" t="s">
        <v>14</v>
      </c>
      <c r="C3636" t="s">
        <v>51</v>
      </c>
      <c r="D3636" s="2" t="s">
        <f>=HYPERLINK("https://main.knesset.gov.il/APPS/legislation/main/bills/2211734", "הצעת חוק-יסוד: מדינת ישראל")</f>
        <v>7740</v>
      </c>
      <c r="E3636" t="s">
        <v>7740</v>
      </c>
      <c r="F3636" t="s">
        <v>7741</v>
      </c>
      <c r="G3636" t="s">
        <v>14</v>
      </c>
      <c r="H3636">
             </c>
      <c r="I3636" t="s">
        <v>14</v>
      </c>
      <c r="J3636" t="s">
        <v>242</v>
      </c>
      <c r="K3636" t="s">
        <v>14</v>
      </c>
      <c r="L3636" t="s">
        <v>20</v>
      </c>
      <c r="M3636" t="s">
        <v>7730</v>
      </c>
      <c r="N3636" t="s">
        <v>14</v>
      </c>
    </row>
    <row r="3637" x14ac:dyDescent="0.25">
      <c r="A3637" t="n">
        <v>25</v>
      </c>
      <c r="B3637" t="s">
        <v>14</v>
      </c>
      <c r="C3637" t="s">
        <v>51</v>
      </c>
      <c r="D3637" s="2" t="s">
        <f>=HYPERLINK("https://main.knesset.gov.il/APPS/legislation/main/bills/2211705", "הצעת חוק-יסוד: ישראל - מדינת הלאום של העם היהודי (תיקון - שוויון זכויות לעדה הדרוזית)")</f>
        <v>7742</v>
      </c>
      <c r="E3637" t="s">
        <v>7742</v>
      </c>
      <c r="F3637" t="s">
        <v>7743</v>
      </c>
      <c r="G3637" t="s">
        <v>14</v>
      </c>
      <c r="H3637">
             </c>
      <c r="I3637" t="s">
        <v>14</v>
      </c>
      <c r="J3637" t="s">
        <v>242</v>
      </c>
      <c r="K3637" t="s">
        <v>14</v>
      </c>
      <c r="L3637" t="s">
        <v>20</v>
      </c>
      <c r="M3637" t="s">
        <v>7730</v>
      </c>
      <c r="N3637" t="s">
        <v>14</v>
      </c>
    </row>
    <row r="3638" x14ac:dyDescent="0.25">
      <c r="A3638" t="n">
        <v>25</v>
      </c>
      <c r="B3638" t="s">
        <v>14</v>
      </c>
      <c r="C3638" t="s">
        <v>51</v>
      </c>
      <c r="D3638" s="2" t="s">
        <f>=HYPERLINK("https://main.knesset.gov.il/APPS/legislation/main/bills/2211727", "הצעת חוק-יסוד: עיגון מעמדה של העדה הדרוזית כשוות זכויות אזרחיות במדינת ישראל")</f>
        <v>7744</v>
      </c>
      <c r="E3638" t="s">
        <v>7744</v>
      </c>
      <c r="F3638" t="s">
        <v>7745</v>
      </c>
      <c r="G3638" t="s">
        <v>14</v>
      </c>
      <c r="H3638">
             </c>
      <c r="I3638" t="s">
        <v>14</v>
      </c>
      <c r="J3638" t="s">
        <v>242</v>
      </c>
      <c r="K3638" t="s">
        <v>14</v>
      </c>
      <c r="L3638" t="s">
        <v>20</v>
      </c>
      <c r="M3638" t="s">
        <v>7730</v>
      </c>
      <c r="N3638" t="s">
        <v>14</v>
      </c>
    </row>
    <row r="3639" x14ac:dyDescent="0.25">
      <c r="A3639" t="n">
        <v>25</v>
      </c>
      <c r="B3639" t="s">
        <v>14</v>
      </c>
      <c r="C3639" t="s">
        <v>51</v>
      </c>
      <c r="D3639" s="2" t="s">
        <f>=HYPERLINK("https://main.knesset.gov.il/APPS/legislation/main/bills/2211604", "הצעת חוק-יסוד: ישראל - מדינת הלאום של העם היהודי (תיקון - שוויון, שפה והתיישבות)")</f>
        <v>7746</v>
      </c>
      <c r="E3639" t="s">
        <v>7746</v>
      </c>
      <c r="F3639" t="s">
        <v>7747</v>
      </c>
      <c r="G3639" t="s">
        <v>14</v>
      </c>
      <c r="H3639">
             </c>
      <c r="I3639" t="s">
        <v>14</v>
      </c>
      <c r="J3639" t="s">
        <v>242</v>
      </c>
      <c r="K3639" t="s">
        <v>14</v>
      </c>
      <c r="L3639" t="s">
        <v>20</v>
      </c>
      <c r="M3639" t="s">
        <v>7730</v>
      </c>
      <c r="N3639" t="s">
        <v>14</v>
      </c>
    </row>
    <row r="3640" x14ac:dyDescent="0.25">
      <c r="A3640" t="n">
        <v>25</v>
      </c>
      <c r="B3640" t="s">
        <v>14</v>
      </c>
      <c r="C3640" t="s">
        <v>51</v>
      </c>
      <c r="D3640" s="2" t="s">
        <f>=HYPERLINK("https://main.knesset.gov.il/APPS/legislation/main/bills/2210999", "הצעת חוק זכויות נפגעי עבירה (תיקון - מתן קדימות בהליכים פליליים לנפגעי עבירה קטינים בגין עבירת מין או אלימות חמורה), התשפ""ד-2023")</f>
        <v>7748</v>
      </c>
      <c r="E3640" t="s">
        <v>7748</v>
      </c>
      <c r="F3640" t="s">
        <v>7749</v>
      </c>
      <c r="G3640" t="s">
        <v>14</v>
      </c>
      <c r="H3640">
             </c>
      <c r="I3640" t="s">
        <v>14</v>
      </c>
      <c r="J3640" t="s">
        <v>242</v>
      </c>
      <c r="K3640" t="s">
        <v>14</v>
      </c>
      <c r="L3640" t="s">
        <v>20</v>
      </c>
      <c r="M3640" t="s">
        <v>7730</v>
      </c>
      <c r="N3640" t="s">
        <v>14</v>
      </c>
    </row>
    <row r="3641" x14ac:dyDescent="0.25">
      <c r="A3641" t="n">
        <v>25</v>
      </c>
      <c r="B3641" t="s">
        <v>14</v>
      </c>
      <c r="C3641" t="s">
        <v>51</v>
      </c>
      <c r="D3641" s="2" t="s">
        <f>=HYPERLINK("https://main.knesset.gov.il/APPS/legislation/main/bills/2211047", "הצעת חוק העונשין (תיקון - החמרת ענישה בעבירות ביזה) (הוראת שעה), התשפ""ד-2023")</f>
        <v>7104</v>
      </c>
      <c r="E3641" t="s">
        <v>7104</v>
      </c>
      <c r="F3641" t="s">
        <v>7750</v>
      </c>
      <c r="G3641" t="s">
        <v>14</v>
      </c>
      <c r="H3641">
             </c>
      <c r="I3641" t="s">
        <v>14</v>
      </c>
      <c r="J3641" t="s">
        <v>242</v>
      </c>
      <c r="K3641" t="s">
        <v>14</v>
      </c>
      <c r="L3641" t="s">
        <v>20</v>
      </c>
      <c r="M3641" t="s">
        <v>7730</v>
      </c>
      <c r="N3641" t="s">
        <v>14</v>
      </c>
    </row>
    <row r="3642" x14ac:dyDescent="0.25">
      <c r="A3642" t="n">
        <v>25</v>
      </c>
      <c r="B3642" t="s">
        <v>14</v>
      </c>
      <c r="C3642" t="s">
        <v>51</v>
      </c>
      <c r="D3642" s="2" t="s">
        <f>=HYPERLINK("https://main.knesset.gov.il/APPS/legislation/main/bills/2209772", "הצעת חוק ההתיישנות (תיקון - הרחבת הזכות לתביעה בגין עבירות שהוגש בהם כתב אישום), התשפ""ד-2023")</f>
        <v>7751</v>
      </c>
      <c r="E3642" t="s">
        <v>7751</v>
      </c>
      <c r="F3642" t="s">
        <v>7752</v>
      </c>
      <c r="G3642" t="s">
        <v>14</v>
      </c>
      <c r="H3642">
             </c>
      <c r="I3642" t="s">
        <v>14</v>
      </c>
      <c r="J3642" t="s">
        <v>242</v>
      </c>
      <c r="K3642" t="s">
        <v>14</v>
      </c>
      <c r="L3642" t="s">
        <v>20</v>
      </c>
      <c r="M3642" t="s">
        <v>7730</v>
      </c>
      <c r="N3642" t="s">
        <v>14</v>
      </c>
    </row>
    <row r="3643" x14ac:dyDescent="0.25">
      <c r="A3643" t="n">
        <v>25</v>
      </c>
      <c r="B3643" t="s">
        <v>14</v>
      </c>
      <c r="C3643" t="s">
        <v>51</v>
      </c>
      <c r="D3643" s="2" t="s">
        <f>=HYPERLINK("https://main.knesset.gov.il/APPS/legislation/main/bills/2211485", "הצעת חוק החמרת ענישה ושלילת אזרחות (תיקוני חקיקה), התשפ""ד-2023")</f>
        <v>7753</v>
      </c>
      <c r="E3643" t="s">
        <v>7753</v>
      </c>
      <c r="F3643" t="s">
        <v>7754</v>
      </c>
      <c r="G3643" t="s">
        <v>14</v>
      </c>
      <c r="H3643">
             </c>
      <c r="I3643" t="s">
        <v>14</v>
      </c>
      <c r="J3643" t="s">
        <v>242</v>
      </c>
      <c r="K3643" t="s">
        <v>14</v>
      </c>
      <c r="L3643" t="s">
        <v>20</v>
      </c>
      <c r="M3643" t="s">
        <v>7730</v>
      </c>
      <c r="N3643" t="s">
        <v>14</v>
      </c>
    </row>
    <row r="3644" x14ac:dyDescent="0.25">
      <c r="A3644" t="n">
        <v>25</v>
      </c>
      <c r="B3644" t="s">
        <v>14</v>
      </c>
      <c r="C3644" t="s">
        <v>51</v>
      </c>
      <c r="D3644" s="2" t="s">
        <f>=HYPERLINK("https://main.knesset.gov.il/APPS/legislation/main/bills/2211136", "הצעת חוק הקפאה של העברת כספים לרשות הפלסטינית בזמן מלחמה, בעת ביצוע פעולות צבאיות משמעותיות ובתקופת מצב מיוחד בעורף (תיקוני חקיקה), התשפ""ד-2023 ")</f>
        <v>7755</v>
      </c>
      <c r="E3644" t="s">
        <v>7755</v>
      </c>
      <c r="F3644" t="s">
        <v>7756</v>
      </c>
      <c r="G3644" t="s">
        <v>14</v>
      </c>
      <c r="H3644">
             </c>
      <c r="I3644" t="s">
        <v>14</v>
      </c>
      <c r="J3644" t="s">
        <v>242</v>
      </c>
      <c r="K3644" t="s">
        <v>14</v>
      </c>
      <c r="L3644" t="s">
        <v>20</v>
      </c>
      <c r="M3644" t="s">
        <v>7730</v>
      </c>
      <c r="N3644" t="s">
        <v>14</v>
      </c>
    </row>
    <row r="3645" x14ac:dyDescent="0.25">
      <c r="A3645" t="n">
        <v>25</v>
      </c>
      <c r="B3645" t="s">
        <v>14</v>
      </c>
      <c r="C3645" t="s">
        <v>51</v>
      </c>
      <c r="D3645" s="2" t="s">
        <f>=HYPERLINK("https://main.knesset.gov.il/APPS/legislation/main/bills/2211217", "הצעת חוק חיילים משוחררים (החזרה לעבודה) (תיקון - הגנה לבני ובנות זוג של משרתי מילואים מפני פיטורים), התשפ""ד-2023")</f>
        <v>7757</v>
      </c>
      <c r="E3645" t="s">
        <v>7757</v>
      </c>
      <c r="F3645" t="s">
        <v>7758</v>
      </c>
      <c r="G3645" t="s">
        <v>14</v>
      </c>
      <c r="H3645">
             </c>
      <c r="I3645" t="s">
        <v>14</v>
      </c>
      <c r="J3645" t="s">
        <v>202</v>
      </c>
      <c r="K3645" t="s">
        <v>14</v>
      </c>
      <c r="L3645" t="s">
        <v>20</v>
      </c>
      <c r="M3645" t="s">
        <v>7730</v>
      </c>
      <c r="N3645" t="s">
        <v>14</v>
      </c>
    </row>
    <row r="3646" x14ac:dyDescent="0.25">
      <c r="A3646" t="n">
        <v>25</v>
      </c>
      <c r="B3646" t="s">
        <v>14</v>
      </c>
      <c r="C3646" t="s">
        <v>51</v>
      </c>
      <c r="D3646" s="2" t="s">
        <f>=HYPERLINK("https://main.knesset.gov.il/APPS/legislation/main/bills/2211239", "הצעת חוק הנצחת זכרם וגבורתם של נופלי ושורדי מלחמת עוטף ישראל, התשפ""ד-2023")</f>
        <v>7759</v>
      </c>
      <c r="E3646" t="s">
        <v>7759</v>
      </c>
      <c r="F3646" t="s">
        <v>7760</v>
      </c>
      <c r="G3646" t="s">
        <v>14</v>
      </c>
      <c r="H3646">
             </c>
      <c r="I3646" t="s">
        <v>14</v>
      </c>
      <c r="J3646" t="s">
        <v>242</v>
      </c>
      <c r="K3646" t="s">
        <v>14</v>
      </c>
      <c r="L3646" t="s">
        <v>20</v>
      </c>
      <c r="M3646" t="s">
        <v>7730</v>
      </c>
      <c r="N3646" t="s">
        <v>14</v>
      </c>
    </row>
    <row r="3647" x14ac:dyDescent="0.25">
      <c r="A3647" t="n">
        <v>25</v>
      </c>
      <c r="B3647" t="s">
        <v>14</v>
      </c>
      <c r="C3647" t="s">
        <v>51</v>
      </c>
      <c r="D3647" s="2" t="s">
        <f>=HYPERLINK("https://main.knesset.gov.il/APPS/legislation/main/bills/2211009", "הצעת חוק יום הזיכרון למתקפה על ישראל בשמחת תורה ולעוז הרוח, התשפ""ד-2023")</f>
        <v>7761</v>
      </c>
      <c r="E3647" t="s">
        <v>7761</v>
      </c>
      <c r="F3647" t="s">
        <v>7762</v>
      </c>
      <c r="G3647" t="s">
        <v>14</v>
      </c>
      <c r="H3647">
             </c>
      <c r="I3647" t="s">
        <v>14</v>
      </c>
      <c r="J3647" t="s">
        <v>242</v>
      </c>
      <c r="K3647" t="s">
        <v>14</v>
      </c>
      <c r="L3647" t="s">
        <v>20</v>
      </c>
      <c r="M3647" t="s">
        <v>7730</v>
      </c>
      <c r="N3647" t="s">
        <v>14</v>
      </c>
    </row>
    <row r="3648" x14ac:dyDescent="0.25">
      <c r="A3648" t="n">
        <v>25</v>
      </c>
      <c r="B3648" t="s">
        <v>14</v>
      </c>
      <c r="C3648" t="s">
        <v>51</v>
      </c>
      <c r="D3648" s="2" t="s">
        <f>=HYPERLINK("https://main.knesset.gov.il/APPS/legislation/main/bills/2208950", "הצעת חוק הדגל, הסמל והמנון המדינה (תיקון - הצבת דגל המדינה בכיתות במוסדות חינוך מוכרים ובמוסדות להשכלה גבוהה), התשפ""ד-2023")</f>
        <v>7763</v>
      </c>
      <c r="E3648" t="s">
        <v>7763</v>
      </c>
      <c r="F3648" t="s">
        <v>7764</v>
      </c>
      <c r="G3648" t="s">
        <v>14</v>
      </c>
      <c r="H3648">
             </c>
      <c r="I3648" t="s">
        <v>14</v>
      </c>
      <c r="J3648" t="s">
        <v>242</v>
      </c>
      <c r="K3648" t="s">
        <v>14</v>
      </c>
      <c r="L3648" t="s">
        <v>20</v>
      </c>
      <c r="M3648" t="s">
        <v>7730</v>
      </c>
      <c r="N3648" t="s">
        <v>14</v>
      </c>
    </row>
    <row r="3649" x14ac:dyDescent="0.25">
      <c r="A3649" t="n">
        <v>25</v>
      </c>
      <c r="B3649" t="s">
        <v>14</v>
      </c>
      <c r="C3649" t="s">
        <v>15</v>
      </c>
      <c r="D3649" s="2" t="s">
        <f>=HYPERLINK("https://main.knesset.gov.il/APPS/legislation/main/bills/2211197", "חוק הארכת תקופות ודחיית מועדים (הוראת שעה – חרבות ברזל) (סדרי מינהל, תקופות כהונה ותאגידים), התשפ""ד-2023")</f>
        <v>7765</v>
      </c>
      <c r="E3649" t="s">
        <v>7765</v>
      </c>
      <c r="F3649" t="s">
        <v>14</v>
      </c>
      <c r="G3649" t="s">
        <v>7766</v>
      </c>
      <c r="H3649" t="n">
        <v>3120</v>
      </c>
      <c r="I3649" t="s">
        <v>14</v>
      </c>
      <c r="J3649" t="s">
        <v>18</v>
      </c>
      <c r="K3649" t="s">
        <v>27</v>
      </c>
      <c r="L3649" t="s">
        <v>20</v>
      </c>
      <c r="M3649" t="s">
        <v>7767</v>
      </c>
      <c r="N3649" t="s">
        <v>7768</v>
      </c>
    </row>
    <row r="3650" x14ac:dyDescent="0.25">
      <c r="A3650" t="n">
        <v>25</v>
      </c>
      <c r="B3650" t="s">
        <v>14</v>
      </c>
      <c r="C3650" t="s">
        <v>15</v>
      </c>
      <c r="D3650" s="2" t="s">
        <f>=HYPERLINK("https://main.knesset.gov.il/APPS/legislation/main/bills/2211526", "חוק התגמולים לנפגעי פעולות איבה (תיקון מס' 41 - הוראת שעה – חרבות ברזל) (מינוי רופא מוסמך), התשפ""ד-2023")</f>
        <v>7769</v>
      </c>
      <c r="E3650" t="s">
        <v>7769</v>
      </c>
      <c r="F3650" t="s">
        <v>14</v>
      </c>
      <c r="G3650" t="s">
        <v>7770</v>
      </c>
      <c r="H3650" t="n">
        <v>3118</v>
      </c>
      <c r="I3650" t="s">
        <v>14</v>
      </c>
      <c r="J3650" t="s">
        <v>18</v>
      </c>
      <c r="K3650" t="s">
        <v>46</v>
      </c>
      <c r="L3650" t="s">
        <v>20</v>
      </c>
      <c r="M3650" t="s">
        <v>7771</v>
      </c>
      <c r="N3650" t="s">
        <v>7772</v>
      </c>
    </row>
    <row r="3651" x14ac:dyDescent="0.25">
      <c r="A3651" t="n">
        <v>25</v>
      </c>
      <c r="B3651" t="s">
        <v>14</v>
      </c>
      <c r="C3651" t="s">
        <v>51</v>
      </c>
      <c r="D3651" s="2" t="s">
        <f>=HYPERLINK("https://main.knesset.gov.il/APPS/legislation/main/bills/2196828", "הצעת חוק לתיקון פקודת בתי הסוהר (שלילת זכאות למימון שירותי בריאות משפרי איכות חיים לאסיר ביטחוני), התשפ""ג-2022")</f>
        <v>7773</v>
      </c>
      <c r="E3651" t="s">
        <v>7773</v>
      </c>
      <c r="F3651" t="s">
        <v>7774</v>
      </c>
      <c r="G3651" t="s">
        <v>14</v>
      </c>
      <c r="H3651">
             </c>
      <c r="I3651" t="s">
        <v>14</v>
      </c>
      <c r="J3651" t="s">
        <v>152</v>
      </c>
      <c r="K3651" t="s">
        <v>19</v>
      </c>
      <c r="L3651" t="s">
        <v>20</v>
      </c>
      <c r="M3651" t="s">
        <v>7771</v>
      </c>
      <c r="N3651" t="s">
        <v>14</v>
      </c>
    </row>
    <row r="3652" x14ac:dyDescent="0.25">
      <c r="A3652" t="n">
        <v>25</v>
      </c>
      <c r="B3652" t="s">
        <v>14</v>
      </c>
      <c r="C3652" t="s">
        <v>51</v>
      </c>
      <c r="D3652" s="2" t="s">
        <f>=HYPERLINK("https://main.knesset.gov.il/APPS/legislation/main/bills/2196049", "הצעת חוק לתיקון פקודת בתי הסוהר (שלילת זכאות למימון שירותי בריאות משפרי איכות חיים לאסיר ביטחוני), התשפ""ג-2022")</f>
        <v>7773</v>
      </c>
      <c r="E3652" t="s">
        <v>7773</v>
      </c>
      <c r="F3652" t="s">
        <v>7775</v>
      </c>
      <c r="G3652" t="s">
        <v>14</v>
      </c>
      <c r="H3652">
             </c>
      <c r="I3652" t="s">
        <v>14</v>
      </c>
      <c r="J3652" t="s">
        <v>152</v>
      </c>
      <c r="K3652" t="s">
        <v>19</v>
      </c>
      <c r="L3652" t="s">
        <v>20</v>
      </c>
      <c r="M3652" t="s">
        <v>7771</v>
      </c>
      <c r="N3652" t="s">
        <v>14</v>
      </c>
    </row>
    <row r="3653" x14ac:dyDescent="0.25">
      <c r="A3653" t="n">
        <v>25</v>
      </c>
      <c r="B3653" t="s">
        <v>14</v>
      </c>
      <c r="C3653" t="s">
        <v>15</v>
      </c>
      <c r="D3653" s="2" t="s">
        <f>=HYPERLINK("https://main.knesset.gov.il/APPS/legislation/main/bills/2204663", "חוק ארגון הפיקוח על העבודה (תיקון מס' 12), התשפ""ד-2023")</f>
        <v>7776</v>
      </c>
      <c r="E3653" t="s">
        <v>7776</v>
      </c>
      <c r="F3653" t="s">
        <v>14</v>
      </c>
      <c r="G3653" t="s">
        <v>7777</v>
      </c>
      <c r="H3653" t="n">
        <v>3119</v>
      </c>
      <c r="I3653" t="s">
        <v>14</v>
      </c>
      <c r="J3653" t="s">
        <v>18</v>
      </c>
      <c r="K3653" t="s">
        <v>46</v>
      </c>
      <c r="L3653" t="s">
        <v>20</v>
      </c>
      <c r="M3653" t="s">
        <v>7771</v>
      </c>
      <c r="N3653" t="s">
        <v>7778</v>
      </c>
    </row>
    <row r="3654" x14ac:dyDescent="0.25">
      <c r="A3654" t="n">
        <v>25</v>
      </c>
      <c r="B3654" t="s">
        <v>14</v>
      </c>
      <c r="C3654" t="s">
        <v>51</v>
      </c>
      <c r="D3654" s="2" t="s">
        <f>=HYPERLINK("https://main.knesset.gov.il/APPS/legislation/main/bills/2211075", "הצעת חוק ההתנתקות והפיצויים לנפגעיה (תיקון - נוכחות וחופש תנועה לישראלים בחבל עזה), התשפ""ד-2023 ")</f>
        <v>7779</v>
      </c>
      <c r="E3654" t="s">
        <v>7779</v>
      </c>
      <c r="F3654" t="s">
        <v>7780</v>
      </c>
      <c r="G3654" t="s">
        <v>14</v>
      </c>
      <c r="H3654">
             </c>
      <c r="I3654" t="s">
        <v>14</v>
      </c>
      <c r="J3654" t="s">
        <v>242</v>
      </c>
      <c r="K3654" t="s">
        <v>14</v>
      </c>
      <c r="L3654" t="s">
        <v>20</v>
      </c>
      <c r="M3654" t="s">
        <v>7771</v>
      </c>
      <c r="N3654" t="s">
        <v>14</v>
      </c>
    </row>
    <row r="3655" x14ac:dyDescent="0.25">
      <c r="A3655" t="n">
        <v>25</v>
      </c>
      <c r="B3655" t="s">
        <v>14</v>
      </c>
      <c r="C3655" t="s">
        <v>51</v>
      </c>
      <c r="D3655" s="2" t="s">
        <f>=HYPERLINK("https://main.knesset.gov.il/APPS/legislation/main/bills/2211334", "הצעת חוק העונשין (תיקון - פריצה למיתקן ביטחוני), התשפ""ד-2023")</f>
        <v>7781</v>
      </c>
      <c r="E3655" t="s">
        <v>7781</v>
      </c>
      <c r="F3655" t="s">
        <v>7782</v>
      </c>
      <c r="G3655" t="s">
        <v>14</v>
      </c>
      <c r="H3655">
             </c>
      <c r="I3655" t="s">
        <v>14</v>
      </c>
      <c r="J3655" t="s">
        <v>242</v>
      </c>
      <c r="K3655" t="s">
        <v>14</v>
      </c>
      <c r="L3655" t="s">
        <v>20</v>
      </c>
      <c r="M3655" t="s">
        <v>7771</v>
      </c>
      <c r="N3655" t="s">
        <v>14</v>
      </c>
    </row>
    <row r="3656" x14ac:dyDescent="0.25">
      <c r="A3656" t="n">
        <v>25</v>
      </c>
      <c r="B3656" t="s">
        <v>14</v>
      </c>
      <c r="C3656" t="s">
        <v>51</v>
      </c>
      <c r="D3656" s="2" t="s">
        <f>=HYPERLINK("https://main.knesset.gov.il/APPS/legislation/main/bills/2211488", "הצעת חוק איסור כספים קואליציוניים, התשפ""ד-2023")</f>
        <v>7783</v>
      </c>
      <c r="E3656" t="s">
        <v>7783</v>
      </c>
      <c r="F3656" t="s">
        <v>7784</v>
      </c>
      <c r="G3656" t="s">
        <v>14</v>
      </c>
      <c r="H3656">
             </c>
      <c r="I3656" t="s">
        <v>14</v>
      </c>
      <c r="J3656" t="s">
        <v>242</v>
      </c>
      <c r="K3656" t="s">
        <v>14</v>
      </c>
      <c r="L3656" t="s">
        <v>20</v>
      </c>
      <c r="M3656" t="s">
        <v>7771</v>
      </c>
      <c r="N3656" t="s">
        <v>14</v>
      </c>
    </row>
    <row r="3657" x14ac:dyDescent="0.25">
      <c r="A3657" t="n">
        <v>25</v>
      </c>
      <c r="B3657" t="s">
        <v>14</v>
      </c>
      <c r="C3657" t="s">
        <v>51</v>
      </c>
      <c r="D3657" s="2" t="s">
        <f>=HYPERLINK("https://main.knesset.gov.il/APPS/legislation/main/bills/2211483", "הצעת חוק משפחות חיילים שנספו במערכה (תגמולים ושיקום) (תיקון - הרחבת הזכאות ליתומים שמלאו להם 21 שנים), התשפ""ד-2023")</f>
        <v>7785</v>
      </c>
      <c r="E3657" t="s">
        <v>7785</v>
      </c>
      <c r="F3657" t="s">
        <v>7786</v>
      </c>
      <c r="G3657" t="s">
        <v>14</v>
      </c>
      <c r="H3657">
             </c>
      <c r="I3657" t="s">
        <v>14</v>
      </c>
      <c r="J3657" t="s">
        <v>242</v>
      </c>
      <c r="K3657" t="s">
        <v>14</v>
      </c>
      <c r="L3657" t="s">
        <v>20</v>
      </c>
      <c r="M3657" t="s">
        <v>7771</v>
      </c>
      <c r="N3657" t="s">
        <v>14</v>
      </c>
    </row>
    <row r="3658" x14ac:dyDescent="0.25">
      <c r="A3658" t="n">
        <v>25</v>
      </c>
      <c r="B3658" t="s">
        <v>14</v>
      </c>
      <c r="C3658" t="s">
        <v>51</v>
      </c>
      <c r="D3658" s="2" t="s">
        <f>=HYPERLINK("https://main.knesset.gov.il/APPS/legislation/main/bills/2211482", "הצעת חוק תשלום קצבאות לחיילי מילואים ולבני משפחותיהם (תיקון - השוואת תנאי אלמנות חללי המילואים), התשפ""ד-2023 ")</f>
        <v>7787</v>
      </c>
      <c r="E3658" t="s">
        <v>7787</v>
      </c>
      <c r="F3658" t="s">
        <v>7788</v>
      </c>
      <c r="G3658" t="s">
        <v>14</v>
      </c>
      <c r="H3658">
             </c>
      <c r="I3658" t="s">
        <v>14</v>
      </c>
      <c r="J3658" t="s">
        <v>242</v>
      </c>
      <c r="K3658" t="s">
        <v>14</v>
      </c>
      <c r="L3658" t="s">
        <v>20</v>
      </c>
      <c r="M3658" t="s">
        <v>7771</v>
      </c>
      <c r="N3658" t="s">
        <v>14</v>
      </c>
    </row>
    <row r="3659" x14ac:dyDescent="0.25">
      <c r="A3659" t="n">
        <v>25</v>
      </c>
      <c r="B3659" t="s">
        <v>14</v>
      </c>
      <c r="C3659" t="s">
        <v>51</v>
      </c>
      <c r="D3659" s="2" t="s">
        <f>=HYPERLINK("https://main.knesset.gov.il/APPS/legislation/main/bills/2207656", "הצעת חוק למניעת חרם חברתי בבתי ספר, התשפ""ד-2023")</f>
        <v>7789</v>
      </c>
      <c r="E3659" t="s">
        <v>7789</v>
      </c>
      <c r="F3659" t="s">
        <v>7790</v>
      </c>
      <c r="G3659" t="s">
        <v>14</v>
      </c>
      <c r="H3659">
             </c>
      <c r="I3659" t="s">
        <v>14</v>
      </c>
      <c r="J3659" t="s">
        <v>242</v>
      </c>
      <c r="K3659" t="s">
        <v>14</v>
      </c>
      <c r="L3659" t="s">
        <v>20</v>
      </c>
      <c r="M3659" t="s">
        <v>7771</v>
      </c>
      <c r="N3659" t="s">
        <v>14</v>
      </c>
    </row>
    <row r="3660" x14ac:dyDescent="0.25">
      <c r="A3660" t="n">
        <v>25</v>
      </c>
      <c r="B3660" t="s">
        <v>14</v>
      </c>
      <c r="C3660" t="s">
        <v>51</v>
      </c>
      <c r="D3660" s="2" t="s">
        <f>=HYPERLINK("https://main.knesset.gov.il/APPS/legislation/main/bills/2210349", "הצעת חוק התכנון והבנייה (תיקון - פיצול דירות) (הוראת שעה), התשפ""ד-2023")</f>
        <v>7791</v>
      </c>
      <c r="E3660" t="s">
        <v>7791</v>
      </c>
      <c r="F3660" t="s">
        <v>7792</v>
      </c>
      <c r="G3660" t="s">
        <v>14</v>
      </c>
      <c r="H3660">
             </c>
      <c r="I3660" t="s">
        <v>14</v>
      </c>
      <c r="J3660" t="s">
        <v>242</v>
      </c>
      <c r="K3660" t="s">
        <v>14</v>
      </c>
      <c r="L3660" t="s">
        <v>20</v>
      </c>
      <c r="M3660" t="s">
        <v>7771</v>
      </c>
      <c r="N3660" t="s">
        <v>14</v>
      </c>
    </row>
    <row r="3661" x14ac:dyDescent="0.25">
      <c r="A3661" t="n">
        <v>25</v>
      </c>
      <c r="B3661" t="s">
        <v>14</v>
      </c>
      <c r="C3661" t="s">
        <v>51</v>
      </c>
      <c r="D3661" s="2" t="s">
        <f>=HYPERLINK("https://main.knesset.gov.il/APPS/legislation/main/bills/2210489", "הצעת חוק העונשין (תיקון - עונש מינימום וקנס על החזקת נשק בלתי חוקי), התשפ""ד-2023")</f>
        <v>7793</v>
      </c>
      <c r="E3661" t="s">
        <v>7793</v>
      </c>
      <c r="F3661" t="s">
        <v>7794</v>
      </c>
      <c r="G3661" t="s">
        <v>14</v>
      </c>
      <c r="H3661">
             </c>
      <c r="I3661" t="s">
        <v>14</v>
      </c>
      <c r="J3661" t="s">
        <v>242</v>
      </c>
      <c r="K3661" t="s">
        <v>14</v>
      </c>
      <c r="L3661" t="s">
        <v>20</v>
      </c>
      <c r="M3661" t="s">
        <v>7771</v>
      </c>
      <c r="N3661" t="s">
        <v>14</v>
      </c>
    </row>
    <row r="3662" x14ac:dyDescent="0.25">
      <c r="A3662" t="n">
        <v>25</v>
      </c>
      <c r="B3662" t="s">
        <v>14</v>
      </c>
      <c r="C3662" t="s">
        <v>51</v>
      </c>
      <c r="D3662" s="2" t="s">
        <f>=HYPERLINK("https://main.knesset.gov.il/APPS/legislation/main/bills/2210644", "הצעת חוק מס ערך מוסף (תיקון - מכירת טובין למלכ""ר המיועדים לתרומה לכוחות הביטחון וההצלה), התשפ""ד-2023")</f>
        <v>7795</v>
      </c>
      <c r="E3662" t="s">
        <v>7795</v>
      </c>
      <c r="F3662" t="s">
        <v>7796</v>
      </c>
      <c r="G3662" t="s">
        <v>14</v>
      </c>
      <c r="H3662">
             </c>
      <c r="I3662" t="s">
        <v>14</v>
      </c>
      <c r="J3662" t="s">
        <v>242</v>
      </c>
      <c r="K3662" t="s">
        <v>14</v>
      </c>
      <c r="L3662" t="s">
        <v>20</v>
      </c>
      <c r="M3662" t="s">
        <v>7771</v>
      </c>
      <c r="N3662" t="s">
        <v>14</v>
      </c>
    </row>
    <row r="3663" x14ac:dyDescent="0.25">
      <c r="A3663" t="n">
        <v>25</v>
      </c>
      <c r="B3663" t="s">
        <v>14</v>
      </c>
      <c r="C3663" t="s">
        <v>51</v>
      </c>
      <c r="D3663" s="2" t="s">
        <f>=HYPERLINK("https://main.knesset.gov.il/APPS/legislation/main/bills/2211249", "הצעת חוק הסדרים במשק המדינה (תיקוני חקיקה להשגת יעדי התקציב) (תיקון - פטור מארנונה לנכס שפונה בעת מצב הלחימה - חרבות ברזל), התשפ""ד-2023")</f>
        <v>7797</v>
      </c>
      <c r="E3663" t="s">
        <v>7797</v>
      </c>
      <c r="F3663" t="s">
        <v>7798</v>
      </c>
      <c r="G3663" t="s">
        <v>14</v>
      </c>
      <c r="H3663">
             </c>
      <c r="I3663" t="s">
        <v>14</v>
      </c>
      <c r="J3663" t="s">
        <v>242</v>
      </c>
      <c r="K3663" t="s">
        <v>14</v>
      </c>
      <c r="L3663" t="s">
        <v>20</v>
      </c>
      <c r="M3663" t="s">
        <v>7771</v>
      </c>
      <c r="N3663" t="s">
        <v>14</v>
      </c>
    </row>
    <row r="3664" x14ac:dyDescent="0.25">
      <c r="A3664" t="n">
        <v>25</v>
      </c>
      <c r="B3664" t="s">
        <v>14</v>
      </c>
      <c r="C3664" t="s">
        <v>51</v>
      </c>
      <c r="D3664" s="2" t="s">
        <f>=HYPERLINK("https://main.knesset.gov.il/APPS/legislation/main/bills/2210965", "הצעת חוק התגמולים לנפגעי פעולות איבה (תיקון - נכי ארגוני הצלה במלחמת חרבות ברזל), התשפ""ד-2023 ")</f>
        <v>7799</v>
      </c>
      <c r="E3664" t="s">
        <v>7799</v>
      </c>
      <c r="F3664" t="s">
        <v>7800</v>
      </c>
      <c r="G3664" t="s">
        <v>14</v>
      </c>
      <c r="H3664">
             </c>
      <c r="I3664" t="s">
        <v>14</v>
      </c>
      <c r="J3664" t="s">
        <v>242</v>
      </c>
      <c r="K3664" t="s">
        <v>14</v>
      </c>
      <c r="L3664" t="s">
        <v>20</v>
      </c>
      <c r="M3664" t="s">
        <v>7771</v>
      </c>
      <c r="N3664" t="s">
        <v>14</v>
      </c>
    </row>
    <row r="3665" x14ac:dyDescent="0.25">
      <c r="A3665" t="n">
        <v>25</v>
      </c>
      <c r="B3665" t="s">
        <v>14</v>
      </c>
      <c r="C3665" t="s">
        <v>51</v>
      </c>
      <c r="D3665" s="2" t="s">
        <f>=HYPERLINK("https://main.knesset.gov.il/APPS/legislation/main/bills/2209931", "הצעת חוק לתיקון פקודת מס הכנסה (פטור ממס על משיכה הונית מקופת גמל), התשפ""ד-2023")</f>
        <v>7801</v>
      </c>
      <c r="E3665" t="s">
        <v>7801</v>
      </c>
      <c r="F3665" t="s">
        <v>7802</v>
      </c>
      <c r="G3665" t="s">
        <v>14</v>
      </c>
      <c r="H3665">
             </c>
      <c r="I3665" t="s">
        <v>14</v>
      </c>
      <c r="J3665" t="s">
        <v>242</v>
      </c>
      <c r="K3665" t="s">
        <v>14</v>
      </c>
      <c r="L3665" t="s">
        <v>20</v>
      </c>
      <c r="M3665" t="s">
        <v>7771</v>
      </c>
      <c r="N3665" t="s">
        <v>14</v>
      </c>
    </row>
    <row r="3666" x14ac:dyDescent="0.25">
      <c r="A3666" t="n">
        <v>25</v>
      </c>
      <c r="B3666" t="s">
        <v>14</v>
      </c>
      <c r="C3666" t="s">
        <v>51</v>
      </c>
      <c r="D3666" s="2" t="s">
        <f>=HYPERLINK("https://main.knesset.gov.il/APPS/legislation/main/bills/2209904", "הצעת חוק למניעת הוצאה של כספים מישראל על ידי מסתנן או נתין זר או עבורו, התשפ""ד-2023")</f>
        <v>7803</v>
      </c>
      <c r="E3666" t="s">
        <v>7803</v>
      </c>
      <c r="F3666" t="s">
        <v>7804</v>
      </c>
      <c r="G3666" t="s">
        <v>14</v>
      </c>
      <c r="H3666">
             </c>
      <c r="I3666" t="s">
        <v>14</v>
      </c>
      <c r="J3666" t="s">
        <v>242</v>
      </c>
      <c r="K3666" t="s">
        <v>14</v>
      </c>
      <c r="L3666" t="s">
        <v>20</v>
      </c>
      <c r="M3666" t="s">
        <v>7771</v>
      </c>
      <c r="N3666" t="s">
        <v>14</v>
      </c>
    </row>
    <row r="3667" x14ac:dyDescent="0.25">
      <c r="A3667" t="n">
        <v>25</v>
      </c>
      <c r="B3667" t="s">
        <v>14</v>
      </c>
      <c r="C3667" t="s">
        <v>51</v>
      </c>
      <c r="D3667" s="2" t="s">
        <f>=HYPERLINK("https://main.knesset.gov.il/APPS/legislation/main/bills/2210650", "הצעת חוק העונשין (תיקון - ניקוי ישראל מנשק לא חוקי), התשפ""ד-2023 ")</f>
        <v>7805</v>
      </c>
      <c r="E3667" t="s">
        <v>7805</v>
      </c>
      <c r="F3667" t="s">
        <v>7806</v>
      </c>
      <c r="G3667" t="s">
        <v>14</v>
      </c>
      <c r="H3667">
             </c>
      <c r="I3667" t="s">
        <v>14</v>
      </c>
      <c r="J3667" t="s">
        <v>242</v>
      </c>
      <c r="K3667" t="s">
        <v>14</v>
      </c>
      <c r="L3667" t="s">
        <v>20</v>
      </c>
      <c r="M3667" t="s">
        <v>7771</v>
      </c>
      <c r="N3667" t="s">
        <v>14</v>
      </c>
    </row>
    <row r="3668" x14ac:dyDescent="0.25">
      <c r="A3668" t="n">
        <v>25</v>
      </c>
      <c r="B3668" t="s">
        <v>14</v>
      </c>
      <c r="C3668" t="s">
        <v>51</v>
      </c>
      <c r="D3668" s="2" t="s">
        <f>=HYPERLINK("https://main.knesset.gov.il/APPS/legislation/main/bills/2210311", "הצעת חוק הנגשה לשונית והתאמה תרבותית, התשפ""ד-2023")</f>
        <v>7807</v>
      </c>
      <c r="E3668" t="s">
        <v>7807</v>
      </c>
      <c r="F3668" t="s">
        <v>7808</v>
      </c>
      <c r="G3668" t="s">
        <v>14</v>
      </c>
      <c r="H3668">
             </c>
      <c r="I3668" t="s">
        <v>14</v>
      </c>
      <c r="J3668" t="s">
        <v>242</v>
      </c>
      <c r="K3668" t="s">
        <v>14</v>
      </c>
      <c r="L3668" t="s">
        <v>20</v>
      </c>
      <c r="M3668" t="s">
        <v>7771</v>
      </c>
      <c r="N3668" t="s">
        <v>14</v>
      </c>
    </row>
    <row r="3669" x14ac:dyDescent="0.25">
      <c r="A3669" t="n">
        <v>25</v>
      </c>
      <c r="B3669" t="s">
        <v>14</v>
      </c>
      <c r="C3669" t="s">
        <v>51</v>
      </c>
      <c r="D3669" s="2" t="s">
        <f>=HYPERLINK("https://main.knesset.gov.il/APPS/legislation/main/bills/2210643", "הצעת חוק החומרים המסוכנים (תיקון - פרטי התקשרות למרכז רעלים), התשפ""ד-2023")</f>
        <v>7809</v>
      </c>
      <c r="E3669" t="s">
        <v>7809</v>
      </c>
      <c r="F3669" t="s">
        <v>7810</v>
      </c>
      <c r="G3669" t="s">
        <v>14</v>
      </c>
      <c r="H3669">
             </c>
      <c r="I3669" t="s">
        <v>14</v>
      </c>
      <c r="J3669" t="s">
        <v>242</v>
      </c>
      <c r="K3669" t="s">
        <v>14</v>
      </c>
      <c r="L3669" t="s">
        <v>20</v>
      </c>
      <c r="M3669" t="s">
        <v>7771</v>
      </c>
      <c r="N3669" t="s">
        <v>14</v>
      </c>
    </row>
    <row r="3670" x14ac:dyDescent="0.25">
      <c r="A3670" t="n">
        <v>25</v>
      </c>
      <c r="B3670" t="s">
        <v>14</v>
      </c>
      <c r="C3670" t="s">
        <v>15</v>
      </c>
      <c r="D3670" s="2" t="s">
        <f>=HYPERLINK("https://main.knesset.gov.il/APPS/legislation/main/bills/2211247", "חוק הארכת תקופות ודחיית מועדים (הוראת שעה – חרבות ברזל) (תכנון ובנייה ומקרקעי ציבור), התשפ""ד-2023")</f>
        <v>7811</v>
      </c>
      <c r="E3670" t="s">
        <v>7811</v>
      </c>
      <c r="F3670" t="s">
        <v>14</v>
      </c>
      <c r="G3670" t="s">
        <v>7766</v>
      </c>
      <c r="H3670" t="n">
        <v>3116</v>
      </c>
      <c r="I3670" t="s">
        <v>14</v>
      </c>
      <c r="J3670" t="s">
        <v>18</v>
      </c>
      <c r="K3670" t="s">
        <v>30</v>
      </c>
      <c r="L3670" t="s">
        <v>20</v>
      </c>
      <c r="M3670" t="s">
        <v>7812</v>
      </c>
      <c r="N3670" t="s">
        <v>7813</v>
      </c>
    </row>
    <row r="3671" x14ac:dyDescent="0.25">
      <c r="A3671" t="n">
        <v>25</v>
      </c>
      <c r="B3671" t="s">
        <v>14</v>
      </c>
      <c r="C3671" t="s">
        <v>15</v>
      </c>
      <c r="D3671" s="2" t="s">
        <f>=HYPERLINK("https://main.knesset.gov.il/APPS/legislation/main/bills/2211198", "חוק קיום דיונים בהיוועדות חזותית בהשתתפות עצורים ואסירים (הוראת שעה – חרבות ברזל), התשפ""ד-2023")</f>
        <v>7814</v>
      </c>
      <c r="E3671" t="s">
        <v>7814</v>
      </c>
      <c r="F3671" t="s">
        <v>14</v>
      </c>
      <c r="G3671" t="s">
        <v>7661</v>
      </c>
      <c r="H3671" t="n">
        <v>3114</v>
      </c>
      <c r="I3671" t="s">
        <v>14</v>
      </c>
      <c r="J3671" t="s">
        <v>18</v>
      </c>
      <c r="K3671" t="s">
        <v>27</v>
      </c>
      <c r="L3671" t="s">
        <v>20</v>
      </c>
      <c r="M3671" t="s">
        <v>7812</v>
      </c>
      <c r="N3671" t="s">
        <v>7815</v>
      </c>
    </row>
    <row r="3672" x14ac:dyDescent="0.25">
      <c r="A3672" t="n">
        <v>25</v>
      </c>
      <c r="B3672" t="s">
        <v>14</v>
      </c>
      <c r="C3672" t="s">
        <v>15</v>
      </c>
      <c r="D3672" s="2" t="s">
        <f>=HYPERLINK("https://main.knesset.gov.il/APPS/legislation/main/bills/2211471", "חוק הענקת אזרחות כבוד לחללי מערכות ישראל, התשפ""ד-2023")</f>
        <v>7816</v>
      </c>
      <c r="E3672" t="s">
        <v>7816</v>
      </c>
      <c r="F3672" t="s">
        <v>14</v>
      </c>
      <c r="G3672" t="s">
        <v>7817</v>
      </c>
      <c r="H3672" t="n">
        <v>3115</v>
      </c>
      <c r="I3672" t="s">
        <v>14</v>
      </c>
      <c r="J3672" t="s">
        <v>18</v>
      </c>
      <c r="K3672" t="s">
        <v>30</v>
      </c>
      <c r="L3672" t="s">
        <v>20</v>
      </c>
      <c r="M3672" t="s">
        <v>7812</v>
      </c>
      <c r="N3672" t="s">
        <v>7818</v>
      </c>
    </row>
    <row r="3673" x14ac:dyDescent="0.25">
      <c r="A3673" t="n">
        <v>25</v>
      </c>
      <c r="B3673" t="s">
        <v>14</v>
      </c>
      <c r="C3673" t="s">
        <v>15</v>
      </c>
      <c r="D3673" s="2" t="s">
        <f>=HYPERLINK("https://main.knesset.gov.il/APPS/legislation/main/bills/2211246", "חוק הארכת תקופות (הוראת שעה – חרבות ברזל) (אומנה לילדים), התשפ""ד-2023 ")</f>
        <v>7819</v>
      </c>
      <c r="E3673" t="s">
        <v>7819</v>
      </c>
      <c r="F3673" t="s">
        <v>14</v>
      </c>
      <c r="G3673" t="s">
        <v>7766</v>
      </c>
      <c r="H3673" t="n">
        <v>3111</v>
      </c>
      <c r="I3673" t="s">
        <v>14</v>
      </c>
      <c r="J3673" t="s">
        <v>18</v>
      </c>
      <c r="K3673" t="s">
        <v>46</v>
      </c>
      <c r="L3673" t="s">
        <v>20</v>
      </c>
      <c r="M3673" t="s">
        <v>7820</v>
      </c>
      <c r="N3673" t="s">
        <v>7821</v>
      </c>
    </row>
    <row r="3674" x14ac:dyDescent="0.25">
      <c r="A3674" t="n">
        <v>25</v>
      </c>
      <c r="B3674" t="s">
        <v>14</v>
      </c>
      <c r="C3674" t="s">
        <v>15</v>
      </c>
      <c r="D3674" s="2" t="s">
        <f>=HYPERLINK("https://main.knesset.gov.il/APPS/legislation/main/bills/2211195", "חוק חינוך מיוחד (הוראת שעה – חרבות ברזל) (הארכת זכאות), התשפ""ד-2023 ")</f>
        <v>7822</v>
      </c>
      <c r="E3674" t="s">
        <v>7822</v>
      </c>
      <c r="F3674" t="s">
        <v>14</v>
      </c>
      <c r="G3674" t="s">
        <v>7823</v>
      </c>
      <c r="H3674" t="n">
        <v>3112</v>
      </c>
      <c r="I3674" t="s">
        <v>14</v>
      </c>
      <c r="J3674" t="s">
        <v>18</v>
      </c>
      <c r="K3674" t="s">
        <v>79</v>
      </c>
      <c r="L3674" t="s">
        <v>20</v>
      </c>
      <c r="M3674" t="s">
        <v>7820</v>
      </c>
      <c r="N3674" t="s">
        <v>7824</v>
      </c>
    </row>
    <row r="3675" x14ac:dyDescent="0.25">
      <c r="A3675" t="n">
        <v>25</v>
      </c>
      <c r="B3675" t="s">
        <v>14</v>
      </c>
      <c r="C3675" t="s">
        <v>15</v>
      </c>
      <c r="D3675" s="2" t="s">
        <f>=HYPERLINK("https://main.knesset.gov.il/APPS/legislation/main/bills/2192648", "חוק פסיקת ריבית והצמדה (תיקון מס' 9), התשפ""ד-2023 ")</f>
        <v>7825</v>
      </c>
      <c r="E3675" t="s">
        <v>7825</v>
      </c>
      <c r="F3675" t="s">
        <v>14</v>
      </c>
      <c r="G3675" t="s">
        <v>7826</v>
      </c>
      <c r="H3675" t="n">
        <v>3117</v>
      </c>
      <c r="I3675" t="s">
        <v>14</v>
      </c>
      <c r="J3675" t="s">
        <v>18</v>
      </c>
      <c r="K3675" t="s">
        <v>27</v>
      </c>
      <c r="L3675" t="s">
        <v>20</v>
      </c>
      <c r="M3675" t="s">
        <v>7820</v>
      </c>
      <c r="N3675" t="s">
        <v>7827</v>
      </c>
    </row>
    <row r="3676" x14ac:dyDescent="0.25">
      <c r="A3676" t="n">
        <v>25</v>
      </c>
      <c r="B3676" t="s">
        <v>14</v>
      </c>
      <c r="C3676" t="s">
        <v>15</v>
      </c>
      <c r="D3676" s="2" t="s">
        <f>=HYPERLINK("https://main.knesset.gov.il/APPS/legislation/main/bills/2210981", "חוק המאבק בטרור (תיקון מס' 10), התשפ""ד-2023")</f>
        <v>7828</v>
      </c>
      <c r="E3676" t="s">
        <v>7828</v>
      </c>
      <c r="F3676" t="s">
        <v>14</v>
      </c>
      <c r="G3676" t="s">
        <v>7829</v>
      </c>
      <c r="H3676" t="n">
        <v>3113</v>
      </c>
      <c r="I3676" t="s">
        <v>14</v>
      </c>
      <c r="J3676" t="s">
        <v>18</v>
      </c>
      <c r="K3676" t="s">
        <v>39</v>
      </c>
      <c r="L3676" t="s">
        <v>20</v>
      </c>
      <c r="M3676" t="s">
        <v>7820</v>
      </c>
      <c r="N3676" t="s">
        <v>7830</v>
      </c>
    </row>
    <row r="3677" x14ac:dyDescent="0.25">
      <c r="A3677" t="n">
        <v>25</v>
      </c>
      <c r="B3677" t="s">
        <v>14</v>
      </c>
      <c r="C3677" t="s">
        <v>51</v>
      </c>
      <c r="D3677" s="2" t="s">
        <f>=HYPERLINK("https://main.knesset.gov.il/APPS/legislation/main/bills/2211082", "הצעת חוק משפחות חיילים שנספו במערכה (תגמולים ושיקום) (תיקון - הכרה בארוסות חיילים שנספו במערכה), התשפ""ד-2023")</f>
        <v>7831</v>
      </c>
      <c r="E3677" t="s">
        <v>7831</v>
      </c>
      <c r="F3677" t="s">
        <v>7832</v>
      </c>
      <c r="G3677" t="s">
        <v>14</v>
      </c>
      <c r="H3677">
             </c>
      <c r="I3677" t="s">
        <v>14</v>
      </c>
      <c r="J3677" t="s">
        <v>242</v>
      </c>
      <c r="K3677" t="s">
        <v>14</v>
      </c>
      <c r="L3677" t="s">
        <v>20</v>
      </c>
      <c r="M3677" t="s">
        <v>7820</v>
      </c>
      <c r="N3677" t="s">
        <v>14</v>
      </c>
    </row>
    <row r="3678" x14ac:dyDescent="0.25">
      <c r="A3678" t="n">
        <v>25</v>
      </c>
      <c r="B3678" t="s">
        <v>14</v>
      </c>
      <c r="C3678" t="s">
        <v>51</v>
      </c>
      <c r="D3678" s="2" t="s">
        <f>=HYPERLINK("https://main.knesset.gov.il/APPS/legislation/main/bills/2210493", "הצעת חוק להקפאת כספים ששילמה הרשות הפלסטינית בזיקה לטרור מהכספים המועברים אליה מממשלת ישראל (תיקון - עלות החזקת אסיר או עצור שהוא פעיל טרור פלסטיני), התשפ""ד-2023 ")</f>
        <v>7833</v>
      </c>
      <c r="E3678" t="s">
        <v>7833</v>
      </c>
      <c r="F3678" t="s">
        <v>7834</v>
      </c>
      <c r="G3678" t="s">
        <v>14</v>
      </c>
      <c r="H3678">
             </c>
      <c r="I3678" t="s">
        <v>14</v>
      </c>
      <c r="J3678" t="s">
        <v>242</v>
      </c>
      <c r="K3678" t="s">
        <v>14</v>
      </c>
      <c r="L3678" t="s">
        <v>20</v>
      </c>
      <c r="M3678" t="s">
        <v>7820</v>
      </c>
      <c r="N3678" t="s">
        <v>14</v>
      </c>
    </row>
    <row r="3679" x14ac:dyDescent="0.25">
      <c r="A3679" t="n">
        <v>25</v>
      </c>
      <c r="B3679" t="s">
        <v>14</v>
      </c>
      <c r="C3679" t="s">
        <v>51</v>
      </c>
      <c r="D3679" s="2" t="s">
        <f>=HYPERLINK("https://main.knesset.gov.il/APPS/legislation/main/bills/2210613", "הצעת חוק יום הזיכרון לטבח שמחת תורה בעוטף עזה, התשפ""ד-2023")</f>
        <v>7835</v>
      </c>
      <c r="E3679" t="s">
        <v>7835</v>
      </c>
      <c r="F3679" t="s">
        <v>7836</v>
      </c>
      <c r="G3679" t="s">
        <v>14</v>
      </c>
      <c r="H3679">
             </c>
      <c r="I3679" t="s">
        <v>14</v>
      </c>
      <c r="J3679" t="s">
        <v>242</v>
      </c>
      <c r="K3679" t="s">
        <v>14</v>
      </c>
      <c r="L3679" t="s">
        <v>20</v>
      </c>
      <c r="M3679" t="s">
        <v>7820</v>
      </c>
      <c r="N3679" t="s">
        <v>14</v>
      </c>
    </row>
    <row r="3680" x14ac:dyDescent="0.25">
      <c r="A3680" t="n">
        <v>25</v>
      </c>
      <c r="B3680" t="s">
        <v>14</v>
      </c>
      <c r="C3680" t="s">
        <v>51</v>
      </c>
      <c r="D3680" s="2" t="s">
        <f>=HYPERLINK("https://main.knesset.gov.il/APPS/legislation/main/bills/2210487", "הצעת חוק העונשין (תיקון - קנס בעבירת גניבת נשק), התשפ""ד-2023")</f>
        <v>7837</v>
      </c>
      <c r="E3680" t="s">
        <v>7837</v>
      </c>
      <c r="F3680" t="s">
        <v>7838</v>
      </c>
      <c r="G3680" t="s">
        <v>14</v>
      </c>
      <c r="H3680">
             </c>
      <c r="I3680" t="s">
        <v>14</v>
      </c>
      <c r="J3680" t="s">
        <v>242</v>
      </c>
      <c r="K3680" t="s">
        <v>14</v>
      </c>
      <c r="L3680" t="s">
        <v>20</v>
      </c>
      <c r="M3680" t="s">
        <v>7820</v>
      </c>
      <c r="N3680" t="s">
        <v>14</v>
      </c>
    </row>
    <row r="3681" x14ac:dyDescent="0.25">
      <c r="A3681" t="n">
        <v>25</v>
      </c>
      <c r="B3681" t="s">
        <v>14</v>
      </c>
      <c r="C3681" t="s">
        <v>51</v>
      </c>
      <c r="D3681" s="2" t="s">
        <f>=HYPERLINK("https://main.knesset.gov.il/APPS/legislation/main/bills/2210517", "הצעת חוק פדיון הבית, התשע""ד-2023")</f>
        <v>7839</v>
      </c>
      <c r="E3681" t="s">
        <v>7839</v>
      </c>
      <c r="F3681" t="s">
        <v>7840</v>
      </c>
      <c r="G3681" t="s">
        <v>14</v>
      </c>
      <c r="H3681">
             </c>
      <c r="I3681" t="s">
        <v>14</v>
      </c>
      <c r="J3681" t="s">
        <v>242</v>
      </c>
      <c r="K3681" t="s">
        <v>14</v>
      </c>
      <c r="L3681" t="s">
        <v>20</v>
      </c>
      <c r="M3681" t="s">
        <v>7820</v>
      </c>
      <c r="N3681" t="s">
        <v>14</v>
      </c>
    </row>
    <row r="3682" x14ac:dyDescent="0.25">
      <c r="A3682" t="n">
        <v>25</v>
      </c>
      <c r="B3682" t="s">
        <v>14</v>
      </c>
      <c r="C3682" t="s">
        <v>51</v>
      </c>
      <c r="D3682" s="2" t="s">
        <f>=HYPERLINK("https://main.knesset.gov.il/APPS/legislation/main/bills/2210798", "הצעת חוק המאבק בטרור (תיקון - מניעת הזדהות עם ארגון טרור), התשפ""ד-2023")</f>
        <v>7841</v>
      </c>
      <c r="E3682" t="s">
        <v>7841</v>
      </c>
      <c r="F3682" t="s">
        <v>7842</v>
      </c>
      <c r="G3682" t="s">
        <v>14</v>
      </c>
      <c r="H3682">
             </c>
      <c r="I3682" t="s">
        <v>14</v>
      </c>
      <c r="J3682" t="s">
        <v>242</v>
      </c>
      <c r="K3682" t="s">
        <v>14</v>
      </c>
      <c r="L3682" t="s">
        <v>20</v>
      </c>
      <c r="M3682" t="s">
        <v>7820</v>
      </c>
      <c r="N3682" t="s">
        <v>14</v>
      </c>
    </row>
    <row r="3683" x14ac:dyDescent="0.25">
      <c r="A3683" t="n">
        <v>25</v>
      </c>
      <c r="B3683" t="s">
        <v>14</v>
      </c>
      <c r="C3683" t="s">
        <v>51</v>
      </c>
      <c r="D3683" s="2" t="s">
        <f>=HYPERLINK("https://main.knesset.gov.il/APPS/legislation/main/bills/2210801", "הצעת חוק המאבק בטרור (תיקון - החמרת ענישה), התשפ""ד-2023 ")</f>
        <v>7843</v>
      </c>
      <c r="E3683" t="s">
        <v>7843</v>
      </c>
      <c r="F3683" t="s">
        <v>7844</v>
      </c>
      <c r="G3683" t="s">
        <v>14</v>
      </c>
      <c r="H3683">
             </c>
      <c r="I3683" t="s">
        <v>14</v>
      </c>
      <c r="J3683" t="s">
        <v>242</v>
      </c>
      <c r="K3683" t="s">
        <v>14</v>
      </c>
      <c r="L3683" t="s">
        <v>20</v>
      </c>
      <c r="M3683" t="s">
        <v>7820</v>
      </c>
      <c r="N3683" t="s">
        <v>14</v>
      </c>
    </row>
    <row r="3684" x14ac:dyDescent="0.25">
      <c r="A3684" t="n">
        <v>25</v>
      </c>
      <c r="B3684" t="s">
        <v>14</v>
      </c>
      <c r="C3684" t="s">
        <v>51</v>
      </c>
      <c r="D3684" s="2" t="s">
        <f>=HYPERLINK("https://main.knesset.gov.il/APPS/legislation/main/bills/2210603", "הצעת חוק איסור אספקת חשמל, מים, תקשורת ודלק לישות הנשלטת על ידי חמאס, התשפ""ד-2023")</f>
        <v>7845</v>
      </c>
      <c r="E3684" t="s">
        <v>7845</v>
      </c>
      <c r="F3684" t="s">
        <v>7846</v>
      </c>
      <c r="G3684" t="s">
        <v>14</v>
      </c>
      <c r="H3684">
             </c>
      <c r="I3684" t="s">
        <v>14</v>
      </c>
      <c r="J3684" t="s">
        <v>242</v>
      </c>
      <c r="K3684" t="s">
        <v>14</v>
      </c>
      <c r="L3684" t="s">
        <v>20</v>
      </c>
      <c r="M3684" t="s">
        <v>7820</v>
      </c>
      <c r="N3684" t="s">
        <v>14</v>
      </c>
    </row>
    <row r="3685" x14ac:dyDescent="0.25">
      <c r="A3685" t="n">
        <v>25</v>
      </c>
      <c r="B3685" t="s">
        <v>14</v>
      </c>
      <c r="C3685" t="s">
        <v>51</v>
      </c>
      <c r="D3685" s="2" t="s">
        <f>=HYPERLINK("https://main.knesset.gov.il/APPS/legislation/main/bills/2208363", "הצעת חוק איסור לשון הרע (תיקון - הגנה על דיווחים לרשויות החוק), התשפ""ד-2023")</f>
        <v>7847</v>
      </c>
      <c r="E3685" t="s">
        <v>7847</v>
      </c>
      <c r="F3685" t="s">
        <v>7848</v>
      </c>
      <c r="G3685" t="s">
        <v>14</v>
      </c>
      <c r="H3685">
             </c>
      <c r="I3685" t="s">
        <v>14</v>
      </c>
      <c r="J3685" t="s">
        <v>242</v>
      </c>
      <c r="K3685" t="s">
        <v>14</v>
      </c>
      <c r="L3685" t="s">
        <v>20</v>
      </c>
      <c r="M3685" t="s">
        <v>7820</v>
      </c>
      <c r="N3685" t="s">
        <v>14</v>
      </c>
    </row>
    <row r="3686" x14ac:dyDescent="0.25">
      <c r="A3686" t="n">
        <v>25</v>
      </c>
      <c r="B3686" t="s">
        <v>14</v>
      </c>
      <c r="C3686" t="s">
        <v>51</v>
      </c>
      <c r="D3686" s="2" t="s">
        <f>=HYPERLINK("https://main.knesset.gov.il/APPS/legislation/main/bills/2210521", "הצעת חוק שירות ביטחון (תיקון - פטור מטעמי הכרה דתית), התשפ""ד-2023")</f>
        <v>7849</v>
      </c>
      <c r="E3686" t="s">
        <v>7849</v>
      </c>
      <c r="F3686" t="s">
        <v>7850</v>
      </c>
      <c r="G3686" t="s">
        <v>14</v>
      </c>
      <c r="H3686">
             </c>
      <c r="I3686" t="s">
        <v>14</v>
      </c>
      <c r="J3686" t="s">
        <v>242</v>
      </c>
      <c r="K3686" t="s">
        <v>14</v>
      </c>
      <c r="L3686" t="s">
        <v>20</v>
      </c>
      <c r="M3686" t="s">
        <v>7820</v>
      </c>
      <c r="N3686" t="s">
        <v>14</v>
      </c>
    </row>
    <row r="3687" x14ac:dyDescent="0.25">
      <c r="A3687" t="n">
        <v>25</v>
      </c>
      <c r="B3687" t="s">
        <v>14</v>
      </c>
      <c r="C3687" t="s">
        <v>51</v>
      </c>
      <c r="D3687" s="2" t="s">
        <f>=HYPERLINK("https://main.knesset.gov.il/APPS/legislation/main/bills/2210780", "הצעת חוק יום אבל לאומי לזכרם של נרצחי אירועי ה-7 באוקטובר, התשפ""ד-2023")</f>
        <v>7851</v>
      </c>
      <c r="E3687" t="s">
        <v>7851</v>
      </c>
      <c r="F3687" t="s">
        <v>7852</v>
      </c>
      <c r="G3687" t="s">
        <v>14</v>
      </c>
      <c r="H3687">
             </c>
      <c r="I3687" t="s">
        <v>14</v>
      </c>
      <c r="J3687" t="s">
        <v>242</v>
      </c>
      <c r="K3687" t="s">
        <v>14</v>
      </c>
      <c r="L3687" t="s">
        <v>20</v>
      </c>
      <c r="M3687" t="s">
        <v>7820</v>
      </c>
      <c r="N3687" t="s">
        <v>14</v>
      </c>
    </row>
    <row r="3688" x14ac:dyDescent="0.25">
      <c r="A3688" t="n">
        <v>25</v>
      </c>
      <c r="B3688" t="s">
        <v>14</v>
      </c>
      <c r="C3688" t="s">
        <v>15</v>
      </c>
      <c r="D3688" s="2" t="s">
        <f>=HYPERLINK("https://main.knesset.gov.il/APPS/legislation/main/bills/2211293", "חוק הביטוח הלאומי (תיקון מס' 238 - הוראת שעה – חרבות ברזל) (תגמולים למשרתים במילואים), התשפ""ד-2023")</f>
        <v>7853</v>
      </c>
      <c r="E3688" t="s">
        <v>7853</v>
      </c>
      <c r="F3688" t="s">
        <v>14</v>
      </c>
      <c r="G3688" t="s">
        <v>7854</v>
      </c>
      <c r="H3688" t="n">
        <v>3108</v>
      </c>
      <c r="I3688" t="s">
        <v>14</v>
      </c>
      <c r="J3688" t="s">
        <v>18</v>
      </c>
      <c r="K3688" t="s">
        <v>46</v>
      </c>
      <c r="L3688" t="s">
        <v>20</v>
      </c>
      <c r="M3688" t="s">
        <v>7855</v>
      </c>
      <c r="N3688" t="s">
        <v>7856</v>
      </c>
    </row>
    <row r="3689" x14ac:dyDescent="0.25">
      <c r="A3689" t="n">
        <v>25</v>
      </c>
      <c r="B3689" t="s">
        <v>14</v>
      </c>
      <c r="C3689" t="s">
        <v>15</v>
      </c>
      <c r="D3689" s="2" t="s">
        <f>=HYPERLINK("https://main.knesset.gov.il/APPS/legislation/main/bills/2211110", "חוק התוכנית לסיוע כלכלי (הוראת שעה – חרבות ברזל), התשפ""ד-2023")</f>
        <v>7857</v>
      </c>
      <c r="E3689" t="s">
        <v>7857</v>
      </c>
      <c r="F3689" t="s">
        <v>14</v>
      </c>
      <c r="G3689" t="s">
        <v>7858</v>
      </c>
      <c r="H3689" t="n">
        <v>3109</v>
      </c>
      <c r="I3689" t="s">
        <v>14</v>
      </c>
      <c r="J3689" t="s">
        <v>18</v>
      </c>
      <c r="K3689" t="s">
        <v>24</v>
      </c>
      <c r="L3689" t="s">
        <v>20</v>
      </c>
      <c r="M3689" t="s">
        <v>7859</v>
      </c>
      <c r="N3689" t="s">
        <v>7860</v>
      </c>
    </row>
    <row r="3690" x14ac:dyDescent="0.25">
      <c r="A3690" t="n">
        <v>25</v>
      </c>
      <c r="B3690" t="s">
        <v>14</v>
      </c>
      <c r="C3690" t="s">
        <v>15</v>
      </c>
      <c r="D3690" s="2" t="s">
        <f>=HYPERLINK("https://main.knesset.gov.il/APPS/legislation/main/bills/2210817", "חוק המאבק בטרור (תיקון מס' 9 והוראת שעה), התשפ""ד-2023")</f>
        <v>7861</v>
      </c>
      <c r="E3690" t="s">
        <v>7861</v>
      </c>
      <c r="F3690" t="s">
        <v>14</v>
      </c>
      <c r="G3690" t="s">
        <v>7862</v>
      </c>
      <c r="H3690" t="n">
        <v>3110</v>
      </c>
      <c r="I3690" t="s">
        <v>14</v>
      </c>
      <c r="J3690" t="s">
        <v>18</v>
      </c>
      <c r="K3690" t="s">
        <v>27</v>
      </c>
      <c r="L3690" t="s">
        <v>20</v>
      </c>
      <c r="M3690" t="s">
        <v>7859</v>
      </c>
      <c r="N3690" t="s">
        <v>7863</v>
      </c>
    </row>
    <row r="3691" x14ac:dyDescent="0.25">
      <c r="A3691" t="n">
        <v>25</v>
      </c>
      <c r="B3691" t="s">
        <v>14</v>
      </c>
      <c r="C3691" t="s">
        <v>15</v>
      </c>
      <c r="D3691" s="2" t="s">
        <f>=HYPERLINK("https://main.knesset.gov.il/APPS/legislation/main/bills/2210979", "חוק איסור הלבנת הון (תיקון מס' 33), התשפ""ד-2023")</f>
        <v>7864</v>
      </c>
      <c r="E3691" t="s">
        <v>7864</v>
      </c>
      <c r="F3691" t="s">
        <v>14</v>
      </c>
      <c r="G3691" t="s">
        <v>7865</v>
      </c>
      <c r="H3691" t="n">
        <v>3107</v>
      </c>
      <c r="I3691" t="s">
        <v>14</v>
      </c>
      <c r="J3691" t="s">
        <v>18</v>
      </c>
      <c r="K3691" t="s">
        <v>27</v>
      </c>
      <c r="L3691" t="s">
        <v>20</v>
      </c>
      <c r="M3691" t="s">
        <v>7859</v>
      </c>
      <c r="N3691" t="s">
        <v>7866</v>
      </c>
    </row>
    <row r="3692" x14ac:dyDescent="0.25">
      <c r="A3692" t="n">
        <v>25</v>
      </c>
      <c r="B3692" t="s">
        <v>14</v>
      </c>
      <c r="C3692" t="s">
        <v>15</v>
      </c>
      <c r="D3692" s="2" t="s">
        <f>=HYPERLINK("https://main.knesset.gov.il/APPS/legislation/main/bills/2211218", "חוק העברת מידע לצורך זיהוי או אימות זהות של אדם לרבות גופה, ואיתור נעדר או שבוי, הנדרשים בשל פעולות האיבה או פעולות המלחמה (הוראות שעה – חרבות ברזל), התשפ""ד-2023")</f>
        <v>7867</v>
      </c>
      <c r="E3692" t="s">
        <v>7867</v>
      </c>
      <c r="F3692" t="s">
        <v>14</v>
      </c>
      <c r="G3692" t="s">
        <v>7868</v>
      </c>
      <c r="H3692" t="n">
        <v>3106</v>
      </c>
      <c r="I3692" t="s">
        <v>14</v>
      </c>
      <c r="J3692" t="s">
        <v>18</v>
      </c>
      <c r="K3692" t="s">
        <v>14</v>
      </c>
      <c r="L3692" t="s">
        <v>20</v>
      </c>
      <c r="M3692" t="s">
        <v>7859</v>
      </c>
      <c r="N3692" t="s">
        <v>7869</v>
      </c>
    </row>
    <row r="3693" x14ac:dyDescent="0.25">
      <c r="A3693" t="n">
        <v>25</v>
      </c>
      <c r="B3693" t="s">
        <v>14</v>
      </c>
      <c r="C3693" t="s">
        <v>15</v>
      </c>
      <c r="D3693" s="2" t="s">
        <f>=HYPERLINK("https://main.knesset.gov.il/APPS/legislation/main/bills/2211015", "חוק נציב תלונות הציבור על שופטים (תיקון מס' 5 - הוראת שעה), התשפ""ד-2023")</f>
        <v>7870</v>
      </c>
      <c r="E3693" t="s">
        <v>7870</v>
      </c>
      <c r="F3693" t="s">
        <v>14</v>
      </c>
      <c r="G3693" t="s">
        <v>7871</v>
      </c>
      <c r="H3693" t="n">
        <v>3101</v>
      </c>
      <c r="I3693" t="s">
        <v>14</v>
      </c>
      <c r="J3693" t="s">
        <v>18</v>
      </c>
      <c r="K3693" t="s">
        <v>27</v>
      </c>
      <c r="L3693" t="s">
        <v>20</v>
      </c>
      <c r="M3693" t="s">
        <v>7872</v>
      </c>
      <c r="N3693" t="s">
        <v>7873</v>
      </c>
    </row>
    <row r="3694" x14ac:dyDescent="0.25">
      <c r="A3694" t="n">
        <v>25</v>
      </c>
      <c r="B3694" t="s">
        <v>14</v>
      </c>
      <c r="C3694" t="s">
        <v>51</v>
      </c>
      <c r="D3694" s="2" t="s">
        <f>=HYPERLINK("https://main.knesset.gov.il/APPS/legislation/main/bills/2210669", "חוק תגמולים לבני משפחה של חטופים ונעדרים בפעולת איבה, התשפ""ד–2023")</f>
        <v>7874</v>
      </c>
      <c r="E3694" t="s">
        <v>7874</v>
      </c>
      <c r="F3694" t="s">
        <v>7875</v>
      </c>
      <c r="G3694" t="s">
        <v>7876</v>
      </c>
      <c r="H3694" t="n">
        <v>3105</v>
      </c>
      <c r="I3694" t="s">
        <v>14</v>
      </c>
      <c r="J3694" t="s">
        <v>18</v>
      </c>
      <c r="K3694" t="s">
        <v>46</v>
      </c>
      <c r="L3694" t="s">
        <v>20</v>
      </c>
      <c r="M3694" t="s">
        <v>7872</v>
      </c>
      <c r="N3694" t="s">
        <v>7877</v>
      </c>
    </row>
    <row r="3695" x14ac:dyDescent="0.25">
      <c r="A3695" t="n">
        <v>25</v>
      </c>
      <c r="B3695" t="s">
        <v>14</v>
      </c>
      <c r="C3695" t="s">
        <v>15</v>
      </c>
      <c r="D3695" s="2" t="s">
        <f>=HYPERLINK("https://main.knesset.gov.il/APPS/legislation/main/bills/2210980", "חוק הירושה (תיקון מס' 19), התשפ""ד-2023")</f>
        <v>7878</v>
      </c>
      <c r="E3695" t="s">
        <v>7878</v>
      </c>
      <c r="F3695" t="s">
        <v>14</v>
      </c>
      <c r="G3695" t="s">
        <v>7879</v>
      </c>
      <c r="H3695" t="n">
        <v>3102</v>
      </c>
      <c r="I3695" t="s">
        <v>14</v>
      </c>
      <c r="J3695" t="s">
        <v>18</v>
      </c>
      <c r="K3695" t="s">
        <v>27</v>
      </c>
      <c r="L3695" t="s">
        <v>20</v>
      </c>
      <c r="M3695" t="s">
        <v>7872</v>
      </c>
      <c r="N3695" t="s">
        <v>7880</v>
      </c>
    </row>
    <row r="3696" x14ac:dyDescent="0.25">
      <c r="A3696" t="n">
        <v>25</v>
      </c>
      <c r="B3696" t="s">
        <v>14</v>
      </c>
      <c r="C3696" t="s">
        <v>15</v>
      </c>
      <c r="D3696" s="2" t="s">
        <f>=HYPERLINK("https://main.knesset.gov.il/APPS/legislation/main/bills/2163229", "חוק הרשות הלאומית לביטחון קהילתי (תיקון מס' 2), התשפ""ד-2023")</f>
        <v>7881</v>
      </c>
      <c r="E3696" t="s">
        <v>7881</v>
      </c>
      <c r="F3696" t="s">
        <v>14</v>
      </c>
      <c r="G3696" t="s">
        <v>7882</v>
      </c>
      <c r="H3696" t="n">
        <v>3104</v>
      </c>
      <c r="I3696" t="s">
        <v>14</v>
      </c>
      <c r="J3696" t="s">
        <v>18</v>
      </c>
      <c r="K3696" t="s">
        <v>19</v>
      </c>
      <c r="L3696" t="s">
        <v>20</v>
      </c>
      <c r="M3696" t="s">
        <v>7872</v>
      </c>
      <c r="N3696" t="s">
        <v>7883</v>
      </c>
    </row>
    <row r="3697" x14ac:dyDescent="0.25">
      <c r="A3697" t="n">
        <v>25</v>
      </c>
      <c r="B3697" t="s">
        <v>14</v>
      </c>
      <c r="C3697" t="s">
        <v>51</v>
      </c>
      <c r="D3697" s="2" t="s">
        <f>=HYPERLINK("https://main.knesset.gov.il/APPS/legislation/main/bills/2196461", "חוק התכנון והבנייה (תיקון מס' 146), התשפ""ד-2023")</f>
        <v>7884</v>
      </c>
      <c r="E3697" t="s">
        <v>7884</v>
      </c>
      <c r="F3697" t="s">
        <v>7885</v>
      </c>
      <c r="G3697" t="s">
        <v>7886</v>
      </c>
      <c r="H3697" t="n">
        <v>3103</v>
      </c>
      <c r="I3697" t="s">
        <v>14</v>
      </c>
      <c r="J3697" t="s">
        <v>18</v>
      </c>
      <c r="K3697" t="s">
        <v>30</v>
      </c>
      <c r="L3697" t="s">
        <v>20</v>
      </c>
      <c r="M3697" t="s">
        <v>7872</v>
      </c>
      <c r="N3697" t="s">
        <v>7887</v>
      </c>
    </row>
    <row r="3698" x14ac:dyDescent="0.25">
      <c r="A3698" t="n">
        <v>25</v>
      </c>
      <c r="B3698" t="s">
        <v>14</v>
      </c>
      <c r="C3698" t="s">
        <v>51</v>
      </c>
      <c r="D3698" s="2" t="s">
        <f>=HYPERLINK("https://main.knesset.gov.il/APPS/legislation/main/bills/2210624", "הצעת חוק הגנת הצרכן (תיקון - הצגת מחיר בשעת חירום), התשפ""ד-2023")</f>
        <v>7888</v>
      </c>
      <c r="E3698" t="s">
        <v>7888</v>
      </c>
      <c r="F3698" t="s">
        <v>7889</v>
      </c>
      <c r="G3698" t="s">
        <v>14</v>
      </c>
      <c r="H3698">
             </c>
      <c r="I3698" t="s">
        <v>14</v>
      </c>
      <c r="J3698" t="s">
        <v>242</v>
      </c>
      <c r="K3698" t="s">
        <v>14</v>
      </c>
      <c r="L3698" t="s">
        <v>20</v>
      </c>
      <c r="M3698" t="s">
        <v>7872</v>
      </c>
      <c r="N3698" t="s">
        <v>14</v>
      </c>
    </row>
    <row r="3699" x14ac:dyDescent="0.25">
      <c r="A3699" t="n">
        <v>25</v>
      </c>
      <c r="B3699" t="s">
        <v>14</v>
      </c>
      <c r="C3699" t="s">
        <v>51</v>
      </c>
      <c r="D3699" s="2" t="s">
        <f>=HYPERLINK("https://main.knesset.gov.il/APPS/legislation/main/bills/2209452", "הצעת חוק קליטת חיילים משוחררים (תיקון - הכנסת מקצועות הסיעוד לקרן ממדים ללימודים), התשפ""ד-2023")</f>
        <v>7890</v>
      </c>
      <c r="E3699" t="s">
        <v>7890</v>
      </c>
      <c r="F3699" t="s">
        <v>7891</v>
      </c>
      <c r="G3699" t="s">
        <v>14</v>
      </c>
      <c r="H3699">
             </c>
      <c r="I3699" t="s">
        <v>14</v>
      </c>
      <c r="J3699" t="s">
        <v>242</v>
      </c>
      <c r="K3699" t="s">
        <v>14</v>
      </c>
      <c r="L3699" t="s">
        <v>20</v>
      </c>
      <c r="M3699" t="s">
        <v>7872</v>
      </c>
      <c r="N3699" t="s">
        <v>14</v>
      </c>
    </row>
    <row r="3700" x14ac:dyDescent="0.25">
      <c r="A3700" t="n">
        <v>25</v>
      </c>
      <c r="B3700" t="s">
        <v>14</v>
      </c>
      <c r="C3700" t="s">
        <v>51</v>
      </c>
      <c r="D3700" s="2" t="s">
        <f>=HYPERLINK("https://main.knesset.gov.il/APPS/legislation/main/bills/2210558", "הצעת חוק זכויות החולה (תיקון - אדם הנזקק לטיפול רפואי בשל מעשה טרור), התשפ""ד-2023 ")</f>
        <v>7892</v>
      </c>
      <c r="E3700" t="s">
        <v>7892</v>
      </c>
      <c r="F3700" t="s">
        <v>7893</v>
      </c>
      <c r="G3700" t="s">
        <v>14</v>
      </c>
      <c r="H3700">
             </c>
      <c r="I3700" t="s">
        <v>14</v>
      </c>
      <c r="J3700" t="s">
        <v>242</v>
      </c>
      <c r="K3700" t="s">
        <v>14</v>
      </c>
      <c r="L3700" t="s">
        <v>20</v>
      </c>
      <c r="M3700" t="s">
        <v>7872</v>
      </c>
      <c r="N3700" t="s">
        <v>14</v>
      </c>
    </row>
    <row r="3701" x14ac:dyDescent="0.25">
      <c r="A3701" t="n">
        <v>25</v>
      </c>
      <c r="B3701" t="s">
        <v>14</v>
      </c>
      <c r="C3701" t="s">
        <v>51</v>
      </c>
      <c r="D3701" s="2" t="s">
        <f>=HYPERLINK("https://main.knesset.gov.il/APPS/legislation/main/bills/2209716", "הצעת חוק הבטחת הכנסה (תיקון - מימון תרופות שאינן בסל שירותי הבריאות לילדים שהוריהם מקבלים גמלת הבטחת הכנסה), התשפ""ד-2023")</f>
        <v>7894</v>
      </c>
      <c r="E3701" t="s">
        <v>7894</v>
      </c>
      <c r="F3701" t="s">
        <v>7895</v>
      </c>
      <c r="G3701" t="s">
        <v>14</v>
      </c>
      <c r="H3701">
             </c>
      <c r="I3701" t="s">
        <v>14</v>
      </c>
      <c r="J3701" t="s">
        <v>242</v>
      </c>
      <c r="K3701" t="s">
        <v>14</v>
      </c>
      <c r="L3701" t="s">
        <v>20</v>
      </c>
      <c r="M3701" t="s">
        <v>7872</v>
      </c>
      <c r="N3701" t="s">
        <v>14</v>
      </c>
    </row>
    <row r="3702" x14ac:dyDescent="0.25">
      <c r="A3702" t="n">
        <v>25</v>
      </c>
      <c r="B3702" t="s">
        <v>14</v>
      </c>
      <c r="C3702" t="s">
        <v>51</v>
      </c>
      <c r="D3702" s="2" t="s">
        <f>=HYPERLINK("https://main.knesset.gov.il/APPS/legislation/main/bills/2209292", "הצעת חוק צער בעלי חיים (הגנה על בעלי חיים) (תיקון - איסור משלוחים ימיים של צאן חי לשחיטה), התשפ""ד-2023")</f>
        <v>7896</v>
      </c>
      <c r="E3702" t="s">
        <v>7896</v>
      </c>
      <c r="F3702" t="s">
        <v>7897</v>
      </c>
      <c r="G3702" t="s">
        <v>14</v>
      </c>
      <c r="H3702">
             </c>
      <c r="I3702" t="s">
        <v>14</v>
      </c>
      <c r="J3702" t="s">
        <v>242</v>
      </c>
      <c r="K3702" t="s">
        <v>14</v>
      </c>
      <c r="L3702" t="s">
        <v>20</v>
      </c>
      <c r="M3702" t="s">
        <v>7872</v>
      </c>
      <c r="N3702" t="s">
        <v>14</v>
      </c>
    </row>
    <row r="3703" x14ac:dyDescent="0.25">
      <c r="A3703" t="n">
        <v>25</v>
      </c>
      <c r="B3703" t="s">
        <v>14</v>
      </c>
      <c r="C3703" t="s">
        <v>51</v>
      </c>
      <c r="D3703" s="2" t="s">
        <f>=HYPERLINK("https://main.knesset.gov.il/APPS/legislation/main/bills/2210903", "הצעת חוק מס ערך מוסף (תיקון - מס בשיעור אפס על מרחבים מוגנים), התשפ""ד-2023")</f>
        <v>7898</v>
      </c>
      <c r="E3703" t="s">
        <v>7898</v>
      </c>
      <c r="F3703" t="s">
        <v>7899</v>
      </c>
      <c r="G3703" t="s">
        <v>14</v>
      </c>
      <c r="H3703">
             </c>
      <c r="I3703" t="s">
        <v>14</v>
      </c>
      <c r="J3703" t="s">
        <v>242</v>
      </c>
      <c r="K3703" t="s">
        <v>14</v>
      </c>
      <c r="L3703" t="s">
        <v>20</v>
      </c>
      <c r="M3703" t="s">
        <v>7872</v>
      </c>
      <c r="N3703" t="s">
        <v>14</v>
      </c>
    </row>
    <row r="3704" x14ac:dyDescent="0.25">
      <c r="A3704" t="n">
        <v>25</v>
      </c>
      <c r="B3704" t="s">
        <v>14</v>
      </c>
      <c r="C3704" t="s">
        <v>15</v>
      </c>
      <c r="D3704" s="2" t="s">
        <f>=HYPERLINK("https://main.knesset.gov.il/APPS/legislation/main/bills/2210818", "חוק הגנה על מענקים מיוחדים (חרבות ברזל), התשפ""ד-2023")</f>
        <v>7900</v>
      </c>
      <c r="E3704" t="s">
        <v>7900</v>
      </c>
      <c r="F3704" t="s">
        <v>14</v>
      </c>
      <c r="G3704" t="s">
        <v>7901</v>
      </c>
      <c r="H3704" t="n">
        <v>3100</v>
      </c>
      <c r="I3704" t="s">
        <v>14</v>
      </c>
      <c r="J3704" t="s">
        <v>18</v>
      </c>
      <c r="K3704" t="s">
        <v>24</v>
      </c>
      <c r="L3704" t="s">
        <v>20</v>
      </c>
      <c r="M3704" t="s">
        <v>7902</v>
      </c>
      <c r="N3704" t="s">
        <v>7903</v>
      </c>
    </row>
    <row r="3705" x14ac:dyDescent="0.25">
      <c r="A3705" t="n">
        <v>25</v>
      </c>
      <c r="B3705" t="s">
        <v>14</v>
      </c>
      <c r="C3705" t="s">
        <v>15</v>
      </c>
      <c r="D3705" s="2" t="s">
        <f>=HYPERLINK("https://main.knesset.gov.il/APPS/legislation/main/bills/2210781", "חוק לדחיית הבחירות הכלליות לרשויות המקומיות (תיקון), התשפ""ד-2023")</f>
        <v>7904</v>
      </c>
      <c r="E3705" t="s">
        <v>7904</v>
      </c>
      <c r="F3705" t="s">
        <v>14</v>
      </c>
      <c r="G3705" t="s">
        <v>7905</v>
      </c>
      <c r="H3705" t="n">
        <v>3099</v>
      </c>
      <c r="I3705" t="s">
        <v>14</v>
      </c>
      <c r="J3705" t="s">
        <v>18</v>
      </c>
      <c r="K3705" t="s">
        <v>30</v>
      </c>
      <c r="L3705" t="s">
        <v>20</v>
      </c>
      <c r="M3705" t="s">
        <v>7902</v>
      </c>
      <c r="N3705" t="s">
        <v>7906</v>
      </c>
    </row>
    <row r="3706" x14ac:dyDescent="0.25">
      <c r="A3706" t="n">
        <v>25</v>
      </c>
      <c r="B3706" t="s">
        <v>14</v>
      </c>
      <c r="C3706" t="s">
        <v>15</v>
      </c>
      <c r="D3706" s="2" t="s">
        <f>=HYPERLINK("https://main.knesset.gov.il/APPS/legislation/main/bills/2210753", "חוק המקרקעין (תיקון מס' 37), התשפ""ד-2023")</f>
        <v>7907</v>
      </c>
      <c r="E3706" t="s">
        <v>7907</v>
      </c>
      <c r="F3706" t="s">
        <v>14</v>
      </c>
      <c r="G3706" t="s">
        <v>7908</v>
      </c>
      <c r="H3706" t="n">
        <v>3098</v>
      </c>
      <c r="I3706" t="s">
        <v>14</v>
      </c>
      <c r="J3706" t="s">
        <v>18</v>
      </c>
      <c r="K3706" t="s">
        <v>30</v>
      </c>
      <c r="L3706" t="s">
        <v>20</v>
      </c>
      <c r="M3706" t="s">
        <v>7909</v>
      </c>
      <c r="N3706" t="s">
        <v>7910</v>
      </c>
    </row>
    <row r="3707" x14ac:dyDescent="0.25">
      <c r="A3707" t="n">
        <v>25</v>
      </c>
      <c r="B3707" t="s">
        <v>14</v>
      </c>
      <c r="C3707" t="s">
        <v>51</v>
      </c>
      <c r="D3707" s="2" t="s">
        <f>=HYPERLINK("https://main.knesset.gov.il/APPS/legislation/main/bills/2210799", "הצעת חוק משפחות חיילים שנספו במערכה (תגמולים ושיקום) (תיקון - הגדרת אלמן ושכול), התשפ""ד-2023")</f>
        <v>7911</v>
      </c>
      <c r="E3707" t="s">
        <v>7911</v>
      </c>
      <c r="F3707" t="s">
        <v>7912</v>
      </c>
      <c r="G3707" t="s">
        <v>14</v>
      </c>
      <c r="H3707">
             </c>
      <c r="I3707" t="s">
        <v>14</v>
      </c>
      <c r="J3707" t="s">
        <v>242</v>
      </c>
      <c r="K3707" t="s">
        <v>14</v>
      </c>
      <c r="L3707" t="s">
        <v>20</v>
      </c>
      <c r="M3707" t="s">
        <v>7909</v>
      </c>
      <c r="N3707" t="s">
        <v>14</v>
      </c>
    </row>
    <row r="3708" x14ac:dyDescent="0.25">
      <c r="A3708" t="n">
        <v>25</v>
      </c>
      <c r="B3708" t="s">
        <v>14</v>
      </c>
      <c r="C3708" t="s">
        <v>51</v>
      </c>
      <c r="D3708" s="2" t="s">
        <f>=HYPERLINK("https://main.knesset.gov.il/APPS/legislation/main/bills/2209801", "הצעת חוק החמרת ענישה בעבירות מין על רקע לאומני (תיקוני חקיקה) (תיקון - ביטול החוק), התשפ""ד-2023 ")</f>
        <v>7913</v>
      </c>
      <c r="E3708" t="s">
        <v>7913</v>
      </c>
      <c r="F3708" t="s">
        <v>7914</v>
      </c>
      <c r="G3708" t="s">
        <v>14</v>
      </c>
      <c r="H3708">
             </c>
      <c r="I3708" t="s">
        <v>14</v>
      </c>
      <c r="J3708" t="s">
        <v>242</v>
      </c>
      <c r="K3708" t="s">
        <v>14</v>
      </c>
      <c r="L3708" t="s">
        <v>20</v>
      </c>
      <c r="M3708" t="s">
        <v>7909</v>
      </c>
      <c r="N3708" t="s">
        <v>14</v>
      </c>
    </row>
    <row r="3709" x14ac:dyDescent="0.25">
      <c r="A3709" t="n">
        <v>25</v>
      </c>
      <c r="B3709" t="s">
        <v>14</v>
      </c>
      <c r="C3709" t="s">
        <v>51</v>
      </c>
      <c r="D3709" s="2" t="s">
        <f>=HYPERLINK("https://main.knesset.gov.il/APPS/legislation/main/bills/2209946", "הצעת חוק קליטת חיילים משוחררים (תיקון - שימוש בפיקדון לטיפול נפשי), התשפ""ד-2023")</f>
        <v>7915</v>
      </c>
      <c r="E3709" t="s">
        <v>7915</v>
      </c>
      <c r="F3709" t="s">
        <v>7916</v>
      </c>
      <c r="G3709" t="s">
        <v>14</v>
      </c>
      <c r="H3709">
             </c>
      <c r="I3709" t="s">
        <v>14</v>
      </c>
      <c r="J3709" t="s">
        <v>202</v>
      </c>
      <c r="K3709" t="s">
        <v>14</v>
      </c>
      <c r="L3709" t="s">
        <v>20</v>
      </c>
      <c r="M3709" t="s">
        <v>7909</v>
      </c>
      <c r="N3709" t="s">
        <v>14</v>
      </c>
    </row>
    <row r="3710" x14ac:dyDescent="0.25">
      <c r="A3710" t="n">
        <v>25</v>
      </c>
      <c r="B3710" t="s">
        <v>14</v>
      </c>
      <c r="C3710" t="s">
        <v>51</v>
      </c>
      <c r="D3710" s="2" t="s">
        <f>=HYPERLINK("https://main.knesset.gov.il/APPS/legislation/main/bills/2209303", "הצעת חוק צער בעלי חיים (הגנה על בעלי חיים) (תיקון - איסור משלוחים ימיים של צאן חי לשחיטה), התשפ""ד-2023")</f>
        <v>7896</v>
      </c>
      <c r="E3710" t="s">
        <v>7896</v>
      </c>
      <c r="F3710" t="s">
        <v>7917</v>
      </c>
      <c r="G3710" t="s">
        <v>14</v>
      </c>
      <c r="H3710">
             </c>
      <c r="I3710" t="s">
        <v>14</v>
      </c>
      <c r="J3710" t="s">
        <v>242</v>
      </c>
      <c r="K3710" t="s">
        <v>14</v>
      </c>
      <c r="L3710" t="s">
        <v>20</v>
      </c>
      <c r="M3710" t="s">
        <v>7909</v>
      </c>
      <c r="N3710" t="s">
        <v>14</v>
      </c>
    </row>
    <row r="3711" x14ac:dyDescent="0.25">
      <c r="A3711" t="n">
        <v>25</v>
      </c>
      <c r="B3711" t="s">
        <v>14</v>
      </c>
      <c r="C3711" t="s">
        <v>51</v>
      </c>
      <c r="D3711" s="2" t="s">
        <f>=HYPERLINK("https://main.knesset.gov.il/APPS/legislation/main/bills/2209749", "הצעת חוק השיפוט הצבאי (תיקון - משך תחולת החוק על מי שחדל מהיות חייל ועבר עבירת מין), התשפ""ד-2023")</f>
        <v>7918</v>
      </c>
      <c r="E3711" t="s">
        <v>7918</v>
      </c>
      <c r="F3711" t="s">
        <v>7919</v>
      </c>
      <c r="G3711" t="s">
        <v>14</v>
      </c>
      <c r="H3711">
             </c>
      <c r="I3711" t="s">
        <v>14</v>
      </c>
      <c r="J3711" t="s">
        <v>242</v>
      </c>
      <c r="K3711" t="s">
        <v>14</v>
      </c>
      <c r="L3711" t="s">
        <v>20</v>
      </c>
      <c r="M3711" t="s">
        <v>7909</v>
      </c>
      <c r="N3711" t="s">
        <v>14</v>
      </c>
    </row>
    <row r="3712" x14ac:dyDescent="0.25">
      <c r="A3712" t="n">
        <v>25</v>
      </c>
      <c r="B3712" t="s">
        <v>14</v>
      </c>
      <c r="C3712" t="s">
        <v>51</v>
      </c>
      <c r="D3712" s="2" t="s">
        <f>=HYPERLINK("https://main.knesset.gov.il/APPS/legislation/main/bills/2209874", "הצעת חוק השיפוט הצבאי (תיקון - הגבלה על פרסום של פרטי חייל, צילום פניו או כל פרט מזהה אחר בעת מילוי תפקידו), התשפ""ד-2023 ")</f>
        <v>7920</v>
      </c>
      <c r="E3712" t="s">
        <v>7920</v>
      </c>
      <c r="F3712" t="s">
        <v>7921</v>
      </c>
      <c r="G3712" t="s">
        <v>14</v>
      </c>
      <c r="H3712">
             </c>
      <c r="I3712" t="s">
        <v>14</v>
      </c>
      <c r="J3712" t="s">
        <v>242</v>
      </c>
      <c r="K3712" t="s">
        <v>14</v>
      </c>
      <c r="L3712" t="s">
        <v>20</v>
      </c>
      <c r="M3712" t="s">
        <v>7909</v>
      </c>
      <c r="N3712" t="s">
        <v>14</v>
      </c>
    </row>
    <row r="3713" x14ac:dyDescent="0.25">
      <c r="A3713" t="n">
        <v>25</v>
      </c>
      <c r="B3713" t="s">
        <v>14</v>
      </c>
      <c r="C3713" t="s">
        <v>15</v>
      </c>
      <c r="D3713" s="2" t="s">
        <f>=HYPERLINK("https://main.knesset.gov.il/APPS/legislation/main/bills/2210752", "חוק הארכת תקופות ודחיית מועדים (הוראת שעה – חרבות ברזל) (אישורים רגולטוריים, עיצומים כספיים ובדיקות מיתקני גז), התשפ""ד-2023")</f>
        <v>7922</v>
      </c>
      <c r="E3713" t="s">
        <v>7922</v>
      </c>
      <c r="F3713" t="s">
        <v>14</v>
      </c>
      <c r="G3713" t="s">
        <v>7923</v>
      </c>
      <c r="H3713" t="n">
        <v>3097</v>
      </c>
      <c r="I3713" t="s">
        <v>14</v>
      </c>
      <c r="J3713" t="s">
        <v>18</v>
      </c>
      <c r="K3713" t="s">
        <v>27</v>
      </c>
      <c r="L3713" t="s">
        <v>20</v>
      </c>
      <c r="M3713" t="s">
        <v>7924</v>
      </c>
      <c r="N3713" t="s">
        <v>7925</v>
      </c>
    </row>
    <row r="3714" x14ac:dyDescent="0.25">
      <c r="A3714" t="n">
        <v>25</v>
      </c>
      <c r="B3714" t="s">
        <v>14</v>
      </c>
      <c r="C3714" t="s">
        <v>15</v>
      </c>
      <c r="D3714" s="2" t="s">
        <f>=HYPERLINK("https://main.knesset.gov.il/APPS/legislation/main/bills/2210584", "חוק לדחיית הבחירות הכלליות לרשויות המקומיות, התשפ""ד-2023")</f>
        <v>7926</v>
      </c>
      <c r="E3714" t="s">
        <v>7926</v>
      </c>
      <c r="F3714" t="s">
        <v>14</v>
      </c>
      <c r="G3714" t="s">
        <v>7905</v>
      </c>
      <c r="H3714" t="n">
        <v>3095</v>
      </c>
      <c r="I3714" t="s">
        <v>14</v>
      </c>
      <c r="J3714" t="s">
        <v>18</v>
      </c>
      <c r="K3714" t="s">
        <v>30</v>
      </c>
      <c r="L3714" t="s">
        <v>20</v>
      </c>
      <c r="M3714" t="s">
        <v>7927</v>
      </c>
      <c r="N3714" t="s">
        <v>7928</v>
      </c>
    </row>
    <row r="3715" x14ac:dyDescent="0.25">
      <c r="A3715" t="n">
        <v>25</v>
      </c>
      <c r="B3715" t="s">
        <v>14</v>
      </c>
      <c r="C3715" t="s">
        <v>15</v>
      </c>
      <c r="D3715" s="2" t="s">
        <f>=HYPERLINK("https://main.knesset.gov.il/APPS/legislation/main/bills/2208656", "חוק אמנת הבנק האסייני לפיתוח, התשפ""ד-2023")</f>
        <v>7929</v>
      </c>
      <c r="E3715" t="s">
        <v>7929</v>
      </c>
      <c r="F3715" t="s">
        <v>14</v>
      </c>
      <c r="G3715" t="s">
        <v>7930</v>
      </c>
      <c r="H3715" t="n">
        <v>3096</v>
      </c>
      <c r="I3715" t="s">
        <v>14</v>
      </c>
      <c r="J3715" t="s">
        <v>18</v>
      </c>
      <c r="K3715" t="s">
        <v>24</v>
      </c>
      <c r="L3715" t="s">
        <v>20</v>
      </c>
      <c r="M3715" t="s">
        <v>7927</v>
      </c>
      <c r="N3715" t="s">
        <v>7931</v>
      </c>
    </row>
    <row r="3716" x14ac:dyDescent="0.25">
      <c r="A3716" t="n">
        <v>25</v>
      </c>
      <c r="B3716" t="s">
        <v>14</v>
      </c>
      <c r="C3716" t="s">
        <v>51</v>
      </c>
      <c r="D3716" s="2" t="s">
        <f>=HYPERLINK("https://main.knesset.gov.il/APPS/legislation/main/bills/2209806", "הצעת חוק הרשויות המקומיות (בחירות) (תיקון מס' 53) (תיקון - ביטול החוק), התשפ""ד-2023")</f>
        <v>7932</v>
      </c>
      <c r="E3716" t="s">
        <v>7932</v>
      </c>
      <c r="F3716" t="s">
        <v>7933</v>
      </c>
      <c r="G3716" t="s">
        <v>14</v>
      </c>
      <c r="H3716">
             </c>
      <c r="I3716" t="s">
        <v>14</v>
      </c>
      <c r="J3716" t="s">
        <v>242</v>
      </c>
      <c r="K3716" t="s">
        <v>14</v>
      </c>
      <c r="L3716" t="s">
        <v>20</v>
      </c>
      <c r="M3716" t="s">
        <v>7927</v>
      </c>
      <c r="N3716" t="s">
        <v>14</v>
      </c>
    </row>
    <row r="3717" x14ac:dyDescent="0.25">
      <c r="A3717" t="n">
        <v>25</v>
      </c>
      <c r="B3717" t="s">
        <v>14</v>
      </c>
      <c r="C3717" t="s">
        <v>51</v>
      </c>
      <c r="D3717" s="2" t="s">
        <f>=HYPERLINK("https://main.knesset.gov.il/APPS/legislation/main/bills/2210699", "הצעת חוק פיצויי פיטורים (תיקון - התפטרות בזמן מלחמת חרבות ברזל) (הוראת שעה), התשפ""ד-2023")</f>
        <v>7934</v>
      </c>
      <c r="E3717" t="s">
        <v>7934</v>
      </c>
      <c r="F3717" t="s">
        <v>7935</v>
      </c>
      <c r="G3717" t="s">
        <v>14</v>
      </c>
      <c r="H3717">
             </c>
      <c r="I3717" t="s">
        <v>14</v>
      </c>
      <c r="J3717" t="s">
        <v>242</v>
      </c>
      <c r="K3717" t="s">
        <v>14</v>
      </c>
      <c r="L3717" t="s">
        <v>20</v>
      </c>
      <c r="M3717" t="s">
        <v>7927</v>
      </c>
      <c r="N3717" t="s">
        <v>14</v>
      </c>
    </row>
    <row r="3718" x14ac:dyDescent="0.25">
      <c r="A3718" t="n">
        <v>25</v>
      </c>
      <c r="B3718" t="s">
        <v>14</v>
      </c>
      <c r="C3718" t="s">
        <v>51</v>
      </c>
      <c r="D3718" s="2" t="s">
        <f>=HYPERLINK("https://main.knesset.gov.il/APPS/legislation/main/bills/2209194", "הצעת חוק דמי הבראה, התשפ""ד-2023")</f>
        <v>7936</v>
      </c>
      <c r="E3718" t="s">
        <v>7936</v>
      </c>
      <c r="F3718" t="s">
        <v>7937</v>
      </c>
      <c r="G3718" t="s">
        <v>14</v>
      </c>
      <c r="H3718">
             </c>
      <c r="I3718" t="s">
        <v>14</v>
      </c>
      <c r="J3718" t="s">
        <v>242</v>
      </c>
      <c r="K3718" t="s">
        <v>14</v>
      </c>
      <c r="L3718" t="s">
        <v>20</v>
      </c>
      <c r="M3718" t="s">
        <v>7927</v>
      </c>
      <c r="N3718" t="s">
        <v>14</v>
      </c>
    </row>
    <row r="3719" x14ac:dyDescent="0.25">
      <c r="A3719" t="n">
        <v>25</v>
      </c>
      <c r="B3719" t="s">
        <v>14</v>
      </c>
      <c r="C3719" t="s">
        <v>51</v>
      </c>
      <c r="D3719" s="2" t="s">
        <f>=HYPERLINK("https://main.knesset.gov.il/APPS/legislation/main/bills/2208031", "הצעת חוק הרשויות המקומיות (יועצת לקידום מעמד האישה) (תיקון - תפקיד וסמכויות), התשפ""ד-2023")</f>
        <v>7938</v>
      </c>
      <c r="E3719" t="s">
        <v>7938</v>
      </c>
      <c r="F3719" t="s">
        <v>7939</v>
      </c>
      <c r="G3719" t="s">
        <v>14</v>
      </c>
      <c r="H3719">
             </c>
      <c r="I3719" t="s">
        <v>14</v>
      </c>
      <c r="J3719" t="s">
        <v>242</v>
      </c>
      <c r="K3719" t="s">
        <v>14</v>
      </c>
      <c r="L3719" t="s">
        <v>20</v>
      </c>
      <c r="M3719" t="s">
        <v>7927</v>
      </c>
      <c r="N3719" t="s">
        <v>14</v>
      </c>
    </row>
    <row r="3720" x14ac:dyDescent="0.25">
      <c r="A3720" t="n">
        <v>25</v>
      </c>
      <c r="B3720" t="s">
        <v>14</v>
      </c>
      <c r="C3720" t="s">
        <v>51</v>
      </c>
      <c r="D3720" s="2" t="s">
        <f>=HYPERLINK("https://main.knesset.gov.il/APPS/legislation/main/bills/2210438", "הצעת חוק האזרחים הוותיקים (תיקון - חניה חינם לאזרח ותיק שמלאו לו 75 שנים), התשפ""ד-2023")</f>
        <v>7940</v>
      </c>
      <c r="E3720" t="s">
        <v>7940</v>
      </c>
      <c r="F3720" t="s">
        <v>7941</v>
      </c>
      <c r="G3720" t="s">
        <v>14</v>
      </c>
      <c r="H3720">
             </c>
      <c r="I3720" t="s">
        <v>14</v>
      </c>
      <c r="J3720" t="s">
        <v>242</v>
      </c>
      <c r="K3720" t="s">
        <v>14</v>
      </c>
      <c r="L3720" t="s">
        <v>20</v>
      </c>
      <c r="M3720" t="s">
        <v>7927</v>
      </c>
      <c r="N3720" t="s">
        <v>14</v>
      </c>
    </row>
    <row r="3721" x14ac:dyDescent="0.25">
      <c r="A3721" t="n">
        <v>25</v>
      </c>
      <c r="B3721" t="s">
        <v>14</v>
      </c>
      <c r="C3721" t="s">
        <v>51</v>
      </c>
      <c r="D3721" s="2" t="s">
        <f>=HYPERLINK("https://main.knesset.gov.il/APPS/legislation/main/bills/2210439", "הצעת חוק דמי מחלה עבור מלווה בן משפחה לבדיקה רפואית (תיקוני חקיקה), התשפ""ד-2023")</f>
        <v>7627</v>
      </c>
      <c r="E3721" t="s">
        <v>7627</v>
      </c>
      <c r="F3721" t="s">
        <v>7942</v>
      </c>
      <c r="G3721" t="s">
        <v>14</v>
      </c>
      <c r="H3721">
             </c>
      <c r="I3721" t="s">
        <v>14</v>
      </c>
      <c r="J3721" t="s">
        <v>242</v>
      </c>
      <c r="K3721" t="s">
        <v>14</v>
      </c>
      <c r="L3721" t="s">
        <v>20</v>
      </c>
      <c r="M3721" t="s">
        <v>7927</v>
      </c>
      <c r="N3721" t="s">
        <v>14</v>
      </c>
    </row>
    <row r="3722" x14ac:dyDescent="0.25">
      <c r="A3722" t="n">
        <v>25</v>
      </c>
      <c r="B3722" t="s">
        <v>14</v>
      </c>
      <c r="C3722" t="s">
        <v>51</v>
      </c>
      <c r="D3722" s="2" t="s">
        <f>=HYPERLINK("https://main.knesset.gov.il/APPS/legislation/main/bills/2210391", "הצעת חוק הגנת השכר (תיקון - פטור מדמי טיפול מקצועי-ארגוני), התשפ""ד-2023")</f>
        <v>7943</v>
      </c>
      <c r="E3722" t="s">
        <v>7943</v>
      </c>
      <c r="F3722" t="s">
        <v>7944</v>
      </c>
      <c r="G3722" t="s">
        <v>14</v>
      </c>
      <c r="H3722">
             </c>
      <c r="I3722" t="s">
        <v>14</v>
      </c>
      <c r="J3722" t="s">
        <v>242</v>
      </c>
      <c r="K3722" t="s">
        <v>14</v>
      </c>
      <c r="L3722" t="s">
        <v>20</v>
      </c>
      <c r="M3722" t="s">
        <v>7927</v>
      </c>
      <c r="N3722" t="s">
        <v>14</v>
      </c>
    </row>
    <row r="3723" x14ac:dyDescent="0.25">
      <c r="A3723" t="n">
        <v>25</v>
      </c>
      <c r="B3723" t="s">
        <v>14</v>
      </c>
      <c r="C3723" t="s">
        <v>51</v>
      </c>
      <c r="D3723" s="2" t="s">
        <f>=HYPERLINK("https://main.knesset.gov.il/APPS/legislation/main/bills/2210364", "הצעת חוק הרשות הלאומית לתרבות ולשפה המרוקאית יהודית, התשפ""ד-2023")</f>
        <v>7945</v>
      </c>
      <c r="E3723" t="s">
        <v>7945</v>
      </c>
      <c r="F3723" t="s">
        <v>7946</v>
      </c>
      <c r="G3723" t="s">
        <v>14</v>
      </c>
      <c r="H3723">
             </c>
      <c r="I3723" t="s">
        <v>14</v>
      </c>
      <c r="J3723" t="s">
        <v>242</v>
      </c>
      <c r="K3723" t="s">
        <v>14</v>
      </c>
      <c r="L3723" t="s">
        <v>20</v>
      </c>
      <c r="M3723" t="s">
        <v>7927</v>
      </c>
      <c r="N3723" t="s">
        <v>14</v>
      </c>
    </row>
    <row r="3724" x14ac:dyDescent="0.25">
      <c r="A3724" t="n">
        <v>25</v>
      </c>
      <c r="B3724" t="s">
        <v>14</v>
      </c>
      <c r="C3724" t="s">
        <v>51</v>
      </c>
      <c r="D3724" s="2" t="s">
        <f>=HYPERLINK("https://main.knesset.gov.il/APPS/legislation/main/bills/2209647", "הצעת חוק שוויון זכויות לאנשים עם מוגבלות (תיקון - מוקד להנגשת שירותים), התשפ""ד-2023")</f>
        <v>7947</v>
      </c>
      <c r="E3724" t="s">
        <v>7947</v>
      </c>
      <c r="F3724" t="s">
        <v>7948</v>
      </c>
      <c r="G3724" t="s">
        <v>14</v>
      </c>
      <c r="H3724">
             </c>
      <c r="I3724" t="s">
        <v>14</v>
      </c>
      <c r="J3724" t="s">
        <v>242</v>
      </c>
      <c r="K3724" t="s">
        <v>14</v>
      </c>
      <c r="L3724" t="s">
        <v>20</v>
      </c>
      <c r="M3724" t="s">
        <v>7927</v>
      </c>
      <c r="N3724" t="s">
        <v>14</v>
      </c>
    </row>
    <row r="3725" x14ac:dyDescent="0.25">
      <c r="A3725" t="n">
        <v>25</v>
      </c>
      <c r="B3725" t="s">
        <v>14</v>
      </c>
      <c r="C3725" t="s">
        <v>51</v>
      </c>
      <c r="D3725" s="2" t="s">
        <f>=HYPERLINK("https://main.knesset.gov.il/APPS/legislation/main/bills/2207522", "הצעת חוק ביטוח בריאות ממלכתי (תיקון - מנגנון להעברת כספים מקופות החולים למגן דוד אדום), התשפ""ד-2023")</f>
        <v>7949</v>
      </c>
      <c r="E3725" t="s">
        <v>7949</v>
      </c>
      <c r="F3725" t="s">
        <v>7950</v>
      </c>
      <c r="G3725" t="s">
        <v>14</v>
      </c>
      <c r="H3725">
             </c>
      <c r="I3725" t="s">
        <v>14</v>
      </c>
      <c r="J3725" t="s">
        <v>242</v>
      </c>
      <c r="K3725" t="s">
        <v>14</v>
      </c>
      <c r="L3725" t="s">
        <v>20</v>
      </c>
      <c r="M3725" t="s">
        <v>7927</v>
      </c>
      <c r="N3725" t="s">
        <v>14</v>
      </c>
    </row>
    <row r="3726" x14ac:dyDescent="0.25">
      <c r="A3726" t="n">
        <v>25</v>
      </c>
      <c r="B3726" t="s">
        <v>14</v>
      </c>
      <c r="C3726" t="s">
        <v>15</v>
      </c>
      <c r="D3726" s="2" t="s">
        <f>=HYPERLINK("https://main.knesset.gov.il/APPS/legislation/main/bills/2210664", "חוק דחיית מועדים (הוראת שעה – חרבות ברזל) (חוזה, פסק דין או תשלום לרשות), התשפ""ד-2023")</f>
        <v>7951</v>
      </c>
      <c r="E3726" t="s">
        <v>7951</v>
      </c>
      <c r="F3726" t="s">
        <v>14</v>
      </c>
      <c r="G3726" t="s">
        <v>7952</v>
      </c>
      <c r="H3726" t="n">
        <v>3094</v>
      </c>
      <c r="I3726" t="s">
        <v>14</v>
      </c>
      <c r="J3726" t="s">
        <v>18</v>
      </c>
      <c r="K3726" t="s">
        <v>39</v>
      </c>
      <c r="L3726" t="s">
        <v>20</v>
      </c>
      <c r="M3726" t="s">
        <v>7953</v>
      </c>
      <c r="N3726" t="s">
        <v>7954</v>
      </c>
    </row>
    <row r="3727" x14ac:dyDescent="0.25">
      <c r="A3727" t="n">
        <v>25</v>
      </c>
      <c r="B3727" t="s">
        <v>14</v>
      </c>
      <c r="C3727" t="s">
        <v>15</v>
      </c>
      <c r="D3727" s="2" t="s">
        <f>=HYPERLINK("https://main.knesset.gov.il/APPS/legislation/main/bills/2210633", "חוק סדר הדין הפלילי (תיקון מס' 93 - הוראת שעה – חרבות ברזל) (היוועדות חזותית), התשפ""ד-2023")</f>
        <v>7955</v>
      </c>
      <c r="E3727" t="s">
        <v>7955</v>
      </c>
      <c r="F3727" t="s">
        <v>14</v>
      </c>
      <c r="G3727" t="s">
        <v>7956</v>
      </c>
      <c r="H3727" t="n">
        <v>3093</v>
      </c>
      <c r="I3727" t="s">
        <v>14</v>
      </c>
      <c r="J3727" t="s">
        <v>18</v>
      </c>
      <c r="K3727" t="s">
        <v>27</v>
      </c>
      <c r="L3727" t="s">
        <v>20</v>
      </c>
      <c r="M3727" t="s">
        <v>7953</v>
      </c>
      <c r="N3727" t="s">
        <v>7957</v>
      </c>
    </row>
    <row r="3728" x14ac:dyDescent="0.25">
      <c r="A3728" t="n">
        <v>25</v>
      </c>
      <c r="B3728" t="s">
        <v>14</v>
      </c>
      <c r="C3728" t="s">
        <v>15</v>
      </c>
      <c r="D3728" s="2" t="s">
        <f>=HYPERLINK("https://main.knesset.gov.il/APPS/legislation/main/bills/2210585", "חוק לתיקון פקודת בתי הסוהר (מס' 64 – הוראת שעה – חרבות ברזל) (מצב חירום כליאתי), התשפ""ד–2023")</f>
        <v>7958</v>
      </c>
      <c r="E3728" t="s">
        <v>7958</v>
      </c>
      <c r="F3728" t="s">
        <v>14</v>
      </c>
      <c r="G3728" t="s">
        <v>7959</v>
      </c>
      <c r="H3728" t="n">
        <v>3092</v>
      </c>
      <c r="I3728" t="s">
        <v>14</v>
      </c>
      <c r="J3728" t="s">
        <v>18</v>
      </c>
      <c r="K3728" t="s">
        <v>19</v>
      </c>
      <c r="L3728" t="s">
        <v>20</v>
      </c>
      <c r="M3728" t="s">
        <v>7953</v>
      </c>
      <c r="N3728" t="s">
        <v>7960</v>
      </c>
    </row>
    <row r="3729" x14ac:dyDescent="0.25">
      <c r="A3729" t="n">
        <v>25</v>
      </c>
      <c r="B3729" t="s">
        <v>14</v>
      </c>
      <c r="C3729" t="s">
        <v>15</v>
      </c>
      <c r="D3729" s="2" t="s">
        <f>=HYPERLINK("https://main.knesset.gov.il/APPS/legislation/main/bills/2210623", "הצעת חוק שמירת הניקיון (הוראת שעה), התשפ""ג-2023 - החלק שנותר")</f>
        <v>7961</v>
      </c>
      <c r="E3729" t="s">
        <v>7961</v>
      </c>
      <c r="F3729" t="s">
        <v>14</v>
      </c>
      <c r="G3729" t="s">
        <v>7962</v>
      </c>
      <c r="H3729">
             </c>
      <c r="I3729" t="s">
        <v>14</v>
      </c>
      <c r="J3729" t="s">
        <v>38</v>
      </c>
      <c r="K3729" t="s">
        <v>30</v>
      </c>
      <c r="L3729" t="s">
        <v>20</v>
      </c>
      <c r="M3729" t="s">
        <v>7963</v>
      </c>
      <c r="N3729" t="s">
        <v>14</v>
      </c>
    </row>
    <row r="3730" x14ac:dyDescent="0.25">
      <c r="A3730" t="n">
        <v>25</v>
      </c>
      <c r="B3730" t="s">
        <v>14</v>
      </c>
      <c r="C3730" t="s">
        <v>15</v>
      </c>
      <c r="D3730" s="2" t="s">
        <f>=HYPERLINK("https://main.knesset.gov.il/APPS/legislation/main/bills/2209387", "חוק שמירת הניקיון (תיקון מס' 25 והוראת שעה), התשפ""ד-2023")</f>
        <v>7964</v>
      </c>
      <c r="E3730" t="s">
        <v>7964</v>
      </c>
      <c r="F3730" t="s">
        <v>14</v>
      </c>
      <c r="G3730" t="s">
        <v>7962</v>
      </c>
      <c r="H3730" t="n">
        <v>3091</v>
      </c>
      <c r="I3730" t="s">
        <v>14</v>
      </c>
      <c r="J3730" t="s">
        <v>18</v>
      </c>
      <c r="K3730" t="s">
        <v>30</v>
      </c>
      <c r="L3730" t="s">
        <v>20</v>
      </c>
      <c r="M3730" t="s">
        <v>7963</v>
      </c>
      <c r="N3730" t="s">
        <v>7965</v>
      </c>
    </row>
    <row r="3731" x14ac:dyDescent="0.25">
      <c r="A3731" t="n">
        <v>25</v>
      </c>
      <c r="B3731" t="s">
        <v>14</v>
      </c>
      <c r="C3731" t="s">
        <v>51</v>
      </c>
      <c r="D3731" s="2" t="s">
        <f>=HYPERLINK("https://main.knesset.gov.il/APPS/legislation/main/bills/2210530", "הצעת חוק לעשיית דין במחבלי החמאס ובעוזריהם, התשפ""ד-2023")</f>
        <v>7966</v>
      </c>
      <c r="E3731" t="s">
        <v>7966</v>
      </c>
      <c r="F3731" t="s">
        <v>7967</v>
      </c>
      <c r="G3731" t="s">
        <v>14</v>
      </c>
      <c r="H3731">
             </c>
      <c r="I3731" t="s">
        <v>14</v>
      </c>
      <c r="J3731" t="s">
        <v>242</v>
      </c>
      <c r="K3731" t="s">
        <v>14</v>
      </c>
      <c r="L3731" t="s">
        <v>20</v>
      </c>
      <c r="M3731" t="s">
        <v>7963</v>
      </c>
      <c r="N3731" t="s">
        <v>14</v>
      </c>
    </row>
    <row r="3732" x14ac:dyDescent="0.25">
      <c r="A3732" t="n">
        <v>25</v>
      </c>
      <c r="B3732" t="s">
        <v>14</v>
      </c>
      <c r="C3732" t="s">
        <v>51</v>
      </c>
      <c r="D3732" s="2" t="s">
        <f>=HYPERLINK("https://main.knesset.gov.il/APPS/legislation/main/bills/2210555", "הצעת חוק פרעות התשפ""ד, התשפ""ד-2023")</f>
        <v>7968</v>
      </c>
      <c r="E3732" t="s">
        <v>7968</v>
      </c>
      <c r="F3732" t="s">
        <v>7969</v>
      </c>
      <c r="G3732" t="s">
        <v>14</v>
      </c>
      <c r="H3732">
             </c>
      <c r="I3732" t="s">
        <v>14</v>
      </c>
      <c r="J3732" t="s">
        <v>242</v>
      </c>
      <c r="K3732" t="s">
        <v>14</v>
      </c>
      <c r="L3732" t="s">
        <v>20</v>
      </c>
      <c r="M3732" t="s">
        <v>7963</v>
      </c>
      <c r="N3732" t="s">
        <v>14</v>
      </c>
    </row>
    <row r="3733" x14ac:dyDescent="0.25">
      <c r="A3733" t="n">
        <v>25</v>
      </c>
      <c r="B3733" t="s">
        <v>14</v>
      </c>
      <c r="C3733" t="s">
        <v>51</v>
      </c>
      <c r="D3733" s="2" t="s">
        <f>=HYPERLINK("https://main.knesset.gov.il/APPS/legislation/main/bills/2210436", "הצעת חוק חניה לנכים (תיקון - החלטה בבקשה לתג נכה), התשפ""ד-2023")</f>
        <v>7970</v>
      </c>
      <c r="E3733" t="s">
        <v>7970</v>
      </c>
      <c r="F3733" t="s">
        <v>7971</v>
      </c>
      <c r="G3733" t="s">
        <v>14</v>
      </c>
      <c r="H3733">
             </c>
      <c r="I3733" t="s">
        <v>14</v>
      </c>
      <c r="J3733" t="s">
        <v>242</v>
      </c>
      <c r="K3733" t="s">
        <v>14</v>
      </c>
      <c r="L3733" t="s">
        <v>20</v>
      </c>
      <c r="M3733" t="s">
        <v>7963</v>
      </c>
      <c r="N3733" t="s">
        <v>14</v>
      </c>
    </row>
    <row r="3734" x14ac:dyDescent="0.25">
      <c r="A3734" t="n">
        <v>25</v>
      </c>
      <c r="B3734" t="s">
        <v>14</v>
      </c>
      <c r="C3734" t="s">
        <v>51</v>
      </c>
      <c r="D3734" s="2" t="s">
        <f>=HYPERLINK("https://main.knesset.gov.il/APPS/legislation/main/bills/2210405", "הצעת חוק-יסוד: הממשלה (תיקון - מספר סגני שרים)")</f>
        <v>7972</v>
      </c>
      <c r="E3734" t="s">
        <v>7972</v>
      </c>
      <c r="F3734" t="s">
        <v>7973</v>
      </c>
      <c r="G3734" t="s">
        <v>14</v>
      </c>
      <c r="H3734">
             </c>
      <c r="I3734" t="s">
        <v>14</v>
      </c>
      <c r="J3734" t="s">
        <v>242</v>
      </c>
      <c r="K3734" t="s">
        <v>14</v>
      </c>
      <c r="L3734" t="s">
        <v>20</v>
      </c>
      <c r="M3734" t="s">
        <v>7963</v>
      </c>
      <c r="N3734" t="s">
        <v>14</v>
      </c>
    </row>
    <row r="3735" x14ac:dyDescent="0.25">
      <c r="A3735" t="n">
        <v>25</v>
      </c>
      <c r="B3735" t="s">
        <v>14</v>
      </c>
      <c r="C3735" t="s">
        <v>51</v>
      </c>
      <c r="D3735" s="2" t="s">
        <f>=HYPERLINK("https://main.knesset.gov.il/APPS/legislation/main/bills/2210357", "הצעת חוק חג המימונה, התשפ""ד-2023")</f>
        <v>7974</v>
      </c>
      <c r="E3735" t="s">
        <v>7974</v>
      </c>
      <c r="F3735" t="s">
        <v>7975</v>
      </c>
      <c r="G3735" t="s">
        <v>14</v>
      </c>
      <c r="H3735">
             </c>
      <c r="I3735" t="s">
        <v>14</v>
      </c>
      <c r="J3735" t="s">
        <v>242</v>
      </c>
      <c r="K3735" t="s">
        <v>14</v>
      </c>
      <c r="L3735" t="s">
        <v>20</v>
      </c>
      <c r="M3735" t="s">
        <v>7963</v>
      </c>
      <c r="N3735" t="s">
        <v>14</v>
      </c>
    </row>
    <row r="3736" x14ac:dyDescent="0.25">
      <c r="A3736" t="n">
        <v>25</v>
      </c>
      <c r="B3736" t="s">
        <v>14</v>
      </c>
      <c r="C3736" t="s">
        <v>51</v>
      </c>
      <c r="D3736" s="2" t="s">
        <f>=HYPERLINK("https://main.knesset.gov.il/APPS/legislation/main/bills/2209222", "הצעת חוק הביטוח הלאומי (תיקון - פטור מתשלום דמי ביטוח לאומי לנכי צה""ל), התשפ""ד-2023")</f>
        <v>7976</v>
      </c>
      <c r="E3736" t="s">
        <v>7976</v>
      </c>
      <c r="F3736" t="s">
        <v>7977</v>
      </c>
      <c r="G3736" t="s">
        <v>14</v>
      </c>
      <c r="H3736">
             </c>
      <c r="I3736" t="s">
        <v>14</v>
      </c>
      <c r="J3736" t="s">
        <v>242</v>
      </c>
      <c r="K3736" t="s">
        <v>14</v>
      </c>
      <c r="L3736" t="s">
        <v>20</v>
      </c>
      <c r="M3736" t="s">
        <v>7963</v>
      </c>
      <c r="N3736" t="s">
        <v>14</v>
      </c>
    </row>
    <row r="3737" x14ac:dyDescent="0.25">
      <c r="A3737" t="n">
        <v>25</v>
      </c>
      <c r="B3737" t="s">
        <v>14</v>
      </c>
      <c r="C3737" t="s">
        <v>51</v>
      </c>
      <c r="D3737" s="2" t="s">
        <f>=HYPERLINK("https://main.knesset.gov.il/APPS/legislation/main/bills/2210299", "הצעת חוק הבנקאות (שירות ללקוח) (תיקון - חובת הצבת מכשיר אוטומטי למשיכת והפקדת מזומנים ושיקים), התשפ""ד-2023")</f>
        <v>7978</v>
      </c>
      <c r="E3737" t="s">
        <v>7978</v>
      </c>
      <c r="F3737" t="s">
        <v>7979</v>
      </c>
      <c r="G3737" t="s">
        <v>14</v>
      </c>
      <c r="H3737">
             </c>
      <c r="I3737" t="s">
        <v>14</v>
      </c>
      <c r="J3737" t="s">
        <v>242</v>
      </c>
      <c r="K3737" t="s">
        <v>14</v>
      </c>
      <c r="L3737" t="s">
        <v>20</v>
      </c>
      <c r="M3737" t="s">
        <v>7963</v>
      </c>
      <c r="N3737" t="s">
        <v>14</v>
      </c>
    </row>
    <row r="3738" x14ac:dyDescent="0.25">
      <c r="A3738" t="n">
        <v>25</v>
      </c>
      <c r="B3738" t="s">
        <v>14</v>
      </c>
      <c r="C3738" t="s">
        <v>51</v>
      </c>
      <c r="D3738" s="2" t="s">
        <f>=HYPERLINK("https://main.knesset.gov.il/APPS/legislation/main/bills/2208969", "הצעת חוק הסכמים קיבוציים (תיקון - תחרות בין ארגוני עובדים ויציגות ארגון עובדים בשירות המדינה), התשפ""ד-2023")</f>
        <v>7980</v>
      </c>
      <c r="E3738" t="s">
        <v>7980</v>
      </c>
      <c r="F3738" t="s">
        <v>7981</v>
      </c>
      <c r="G3738" t="s">
        <v>14</v>
      </c>
      <c r="H3738">
             </c>
      <c r="I3738" t="s">
        <v>14</v>
      </c>
      <c r="J3738" t="s">
        <v>242</v>
      </c>
      <c r="K3738" t="s">
        <v>14</v>
      </c>
      <c r="L3738" t="s">
        <v>20</v>
      </c>
      <c r="M3738" t="s">
        <v>7963</v>
      </c>
      <c r="N3738" t="s">
        <v>14</v>
      </c>
    </row>
    <row r="3739" x14ac:dyDescent="0.25">
      <c r="A3739" t="n">
        <v>25</v>
      </c>
      <c r="B3739" t="s">
        <v>14</v>
      </c>
      <c r="C3739" t="s">
        <v>51</v>
      </c>
      <c r="D3739" s="2" t="s">
        <f>=HYPERLINK("https://main.knesset.gov.il/APPS/legislation/main/bills/2205561", "הצעת חוק למניעת אלימות במשפחה (תיקון - ממונה על נושא האלימות במשפחה במקומות עבודה גדולים), התשפ""ד-2023")</f>
        <v>7982</v>
      </c>
      <c r="E3739" t="s">
        <v>7982</v>
      </c>
      <c r="F3739" t="s">
        <v>7983</v>
      </c>
      <c r="G3739" t="s">
        <v>14</v>
      </c>
      <c r="H3739">
             </c>
      <c r="I3739" t="s">
        <v>14</v>
      </c>
      <c r="J3739" t="s">
        <v>242</v>
      </c>
      <c r="K3739" t="s">
        <v>14</v>
      </c>
      <c r="L3739" t="s">
        <v>20</v>
      </c>
      <c r="M3739" t="s">
        <v>7963</v>
      </c>
      <c r="N3739" t="s">
        <v>14</v>
      </c>
    </row>
    <row r="3740" x14ac:dyDescent="0.25">
      <c r="A3740" t="n">
        <v>25</v>
      </c>
      <c r="B3740" t="s">
        <v>14</v>
      </c>
      <c r="C3740" t="s">
        <v>51</v>
      </c>
      <c r="D3740" s="2" t="s">
        <f>=HYPERLINK("https://main.knesset.gov.il/APPS/legislation/main/bills/2210284", "הצעת חוק הביטוח הלאומי (תיקון - טיפול בפעוטות במעונות יום כעבודה מועדפת), התשפ""ד-2023")</f>
        <v>7984</v>
      </c>
      <c r="E3740" t="s">
        <v>7984</v>
      </c>
      <c r="F3740" t="s">
        <v>7985</v>
      </c>
      <c r="G3740" t="s">
        <v>14</v>
      </c>
      <c r="H3740">
             </c>
      <c r="I3740" t="s">
        <v>14</v>
      </c>
      <c r="J3740" t="s">
        <v>242</v>
      </c>
      <c r="K3740" t="s">
        <v>14</v>
      </c>
      <c r="L3740" t="s">
        <v>20</v>
      </c>
      <c r="M3740" t="s">
        <v>7963</v>
      </c>
      <c r="N3740" t="s">
        <v>14</v>
      </c>
    </row>
    <row r="3741" x14ac:dyDescent="0.25">
      <c r="A3741" t="n">
        <v>25</v>
      </c>
      <c r="B3741" t="s">
        <v>14</v>
      </c>
      <c r="C3741" t="s">
        <v>51</v>
      </c>
      <c r="D3741" s="2" t="s">
        <f>=HYPERLINK("https://main.knesset.gov.il/APPS/legislation/main/bills/2208140", "הצעת חוק הרשויות המקומיות (ריבית והפרשי הצמדה על תשלומי חובה) (תיקון - הפחתת אחוז הריבית ברשויות המקומיות), התשפ""ד-2023")</f>
        <v>7986</v>
      </c>
      <c r="E3741" t="s">
        <v>7986</v>
      </c>
      <c r="F3741" t="s">
        <v>7987</v>
      </c>
      <c r="G3741" t="s">
        <v>14</v>
      </c>
      <c r="H3741">
             </c>
      <c r="I3741" t="s">
        <v>14</v>
      </c>
      <c r="J3741" t="s">
        <v>242</v>
      </c>
      <c r="K3741" t="s">
        <v>14</v>
      </c>
      <c r="L3741" t="s">
        <v>20</v>
      </c>
      <c r="M3741" t="s">
        <v>7963</v>
      </c>
      <c r="N3741" t="s">
        <v>14</v>
      </c>
    </row>
    <row r="3742" x14ac:dyDescent="0.25">
      <c r="A3742" t="n">
        <v>25</v>
      </c>
      <c r="B3742" t="s">
        <v>14</v>
      </c>
      <c r="C3742" t="s">
        <v>51</v>
      </c>
      <c r="D3742" s="2" t="s">
        <f>=HYPERLINK("https://main.knesset.gov.il/APPS/legislation/main/bills/2209453", "הצעת חוק הרשות הממשלתית להתחדשות עירונית (תיקון - נשיאת הוצאות בבית משותף מחודש), התשפ""ד-2023")</f>
        <v>7988</v>
      </c>
      <c r="E3742" t="s">
        <v>7988</v>
      </c>
      <c r="F3742" t="s">
        <v>7989</v>
      </c>
      <c r="G3742" t="s">
        <v>14</v>
      </c>
      <c r="H3742">
             </c>
      <c r="I3742" t="s">
        <v>14</v>
      </c>
      <c r="J3742" t="s">
        <v>242</v>
      </c>
      <c r="K3742" t="s">
        <v>14</v>
      </c>
      <c r="L3742" t="s">
        <v>20</v>
      </c>
      <c r="M3742" t="s">
        <v>7963</v>
      </c>
      <c r="N3742" t="s">
        <v>14</v>
      </c>
    </row>
    <row r="3743" x14ac:dyDescent="0.25">
      <c r="A3743" t="n">
        <v>25</v>
      </c>
      <c r="B3743" t="s">
        <v>14</v>
      </c>
      <c r="C3743" t="s">
        <v>51</v>
      </c>
      <c r="D3743" s="2" t="s">
        <f>=HYPERLINK("https://main.knesset.gov.il/APPS/legislation/main/bills/2209496", "הצעת חוק לתיקון פקודת העיריות (גמול השתתפות בישיבות והחזר הוצאות לחברי מועצה), התשפ""ד-2023")</f>
        <v>7990</v>
      </c>
      <c r="E3743" t="s">
        <v>7990</v>
      </c>
      <c r="F3743" t="s">
        <v>7991</v>
      </c>
      <c r="G3743" t="s">
        <v>14</v>
      </c>
      <c r="H3743">
             </c>
      <c r="I3743" t="s">
        <v>14</v>
      </c>
      <c r="J3743" t="s">
        <v>202</v>
      </c>
      <c r="K3743" t="s">
        <v>14</v>
      </c>
      <c r="L3743" t="s">
        <v>20</v>
      </c>
      <c r="M3743" t="s">
        <v>7963</v>
      </c>
      <c r="N3743" t="s">
        <v>14</v>
      </c>
    </row>
    <row r="3744" x14ac:dyDescent="0.25">
      <c r="A3744" t="n">
        <v>25</v>
      </c>
      <c r="B3744" t="s">
        <v>14</v>
      </c>
      <c r="C3744" t="s">
        <v>51</v>
      </c>
      <c r="D3744" s="2" t="s">
        <f>=HYPERLINK("https://main.knesset.gov.il/APPS/legislation/main/bills/2209377", "הצעת חוק מניעת ביצוע עבירות באמצעות פרסום באינטרנט וברשתות החברתיות (הסרת תכנים אנטישמיים), התשפ""ד-2023")</f>
        <v>7992</v>
      </c>
      <c r="E3744" t="s">
        <v>7992</v>
      </c>
      <c r="F3744" t="s">
        <v>7993</v>
      </c>
      <c r="G3744" t="s">
        <v>14</v>
      </c>
      <c r="H3744">
             </c>
      <c r="I3744" t="s">
        <v>14</v>
      </c>
      <c r="J3744" t="s">
        <v>242</v>
      </c>
      <c r="K3744" t="s">
        <v>14</v>
      </c>
      <c r="L3744" t="s">
        <v>20</v>
      </c>
      <c r="M3744" t="s">
        <v>7963</v>
      </c>
      <c r="N3744" t="s">
        <v>14</v>
      </c>
    </row>
    <row r="3745" x14ac:dyDescent="0.25">
      <c r="A3745" t="n">
        <v>25</v>
      </c>
      <c r="B3745" t="s">
        <v>14</v>
      </c>
      <c r="C3745" t="s">
        <v>51</v>
      </c>
      <c r="D3745" s="2" t="s">
        <f>=HYPERLINK("https://main.knesset.gov.il/APPS/legislation/main/bills/2210283", "הצעת חוק חובת המכרזים (תיקון - עידוד עסקים קטנים ובינוניים באזור פריפריה במכרז), התשפ""ד-2023")</f>
        <v>7994</v>
      </c>
      <c r="E3745" t="s">
        <v>7994</v>
      </c>
      <c r="F3745" t="s">
        <v>7995</v>
      </c>
      <c r="G3745" t="s">
        <v>14</v>
      </c>
      <c r="H3745">
             </c>
      <c r="I3745" t="s">
        <v>14</v>
      </c>
      <c r="J3745" t="s">
        <v>242</v>
      </c>
      <c r="K3745" t="s">
        <v>14</v>
      </c>
      <c r="L3745" t="s">
        <v>20</v>
      </c>
      <c r="M3745" t="s">
        <v>7963</v>
      </c>
      <c r="N3745" t="s">
        <v>14</v>
      </c>
    </row>
    <row r="3746" x14ac:dyDescent="0.25">
      <c r="A3746" t="n">
        <v>25</v>
      </c>
      <c r="B3746" t="s">
        <v>14</v>
      </c>
      <c r="C3746" t="s">
        <v>51</v>
      </c>
      <c r="D3746" s="2" t="s">
        <f>=HYPERLINK("https://main.knesset.gov.il/APPS/legislation/main/bills/2207987", "הצעת חוק שיפוט בתי דין רבניים (נישואין וגירושין) (תיקון - גירושין אזרחיים), התשפ""ד-2023")</f>
        <v>7996</v>
      </c>
      <c r="E3746" t="s">
        <v>7996</v>
      </c>
      <c r="F3746" t="s">
        <v>7997</v>
      </c>
      <c r="G3746" t="s">
        <v>14</v>
      </c>
      <c r="H3746">
             </c>
      <c r="I3746" t="s">
        <v>14</v>
      </c>
      <c r="J3746" t="s">
        <v>242</v>
      </c>
      <c r="K3746" t="s">
        <v>14</v>
      </c>
      <c r="L3746" t="s">
        <v>20</v>
      </c>
      <c r="M3746" t="s">
        <v>7963</v>
      </c>
      <c r="N3746" t="s">
        <v>14</v>
      </c>
    </row>
    <row r="3747" x14ac:dyDescent="0.25">
      <c r="A3747" t="n">
        <v>25</v>
      </c>
      <c r="B3747" t="s">
        <v>14</v>
      </c>
      <c r="C3747" t="s">
        <v>51</v>
      </c>
      <c r="D3747" s="2" t="s">
        <f>=HYPERLINK("https://main.knesset.gov.il/APPS/legislation/main/bills/2208580", "הצעת חוק הרשויות המקומיות (גמול השתתפות בישיבות והחזר הוצאות לחברי מועצה), התשפ""ד-2023")</f>
        <v>7998</v>
      </c>
      <c r="E3747" t="s">
        <v>7998</v>
      </c>
      <c r="F3747" t="s">
        <v>7999</v>
      </c>
      <c r="G3747" t="s">
        <v>14</v>
      </c>
      <c r="H3747">
             </c>
      <c r="I3747" t="s">
        <v>14</v>
      </c>
      <c r="J3747" t="s">
        <v>242</v>
      </c>
      <c r="K3747" t="s">
        <v>14</v>
      </c>
      <c r="L3747" t="s">
        <v>20</v>
      </c>
      <c r="M3747" t="s">
        <v>7963</v>
      </c>
      <c r="N3747" t="s">
        <v>14</v>
      </c>
    </row>
    <row r="3748" x14ac:dyDescent="0.25">
      <c r="A3748" t="n">
        <v>25</v>
      </c>
      <c r="B3748" t="s">
        <v>14</v>
      </c>
      <c r="C3748" t="s">
        <v>51</v>
      </c>
      <c r="D3748" s="2" t="s">
        <f>=HYPERLINK("https://main.knesset.gov.il/APPS/legislation/main/bills/2209991", "הצעת חוק-יסוד: הממשלה (תיקון - חובת מינוי ממלא מקום ראש הממשלה) ")</f>
        <v>8000</v>
      </c>
      <c r="E3748" t="s">
        <v>8000</v>
      </c>
      <c r="F3748" t="s">
        <v>8001</v>
      </c>
      <c r="G3748" t="s">
        <v>14</v>
      </c>
      <c r="H3748">
             </c>
      <c r="I3748" t="s">
        <v>14</v>
      </c>
      <c r="J3748" t="s">
        <v>242</v>
      </c>
      <c r="K3748" t="s">
        <v>14</v>
      </c>
      <c r="L3748" t="s">
        <v>20</v>
      </c>
      <c r="M3748" t="s">
        <v>7963</v>
      </c>
      <c r="N3748" t="s">
        <v>14</v>
      </c>
    </row>
    <row r="3749" x14ac:dyDescent="0.25">
      <c r="A3749" t="n">
        <v>25</v>
      </c>
      <c r="B3749" t="s">
        <v>14</v>
      </c>
      <c r="C3749" t="s">
        <v>51</v>
      </c>
      <c r="D3749" s="2" t="s">
        <f>=HYPERLINK("https://main.knesset.gov.il/APPS/legislation/main/bills/2210295", "הצעת חוק לתיקון פקודת המכס (איסור השמדת טובין חבי מכס), התשפ""ד-2023")</f>
        <v>8002</v>
      </c>
      <c r="E3749" t="s">
        <v>8002</v>
      </c>
      <c r="F3749" t="s">
        <v>8003</v>
      </c>
      <c r="G3749" t="s">
        <v>14</v>
      </c>
      <c r="H3749">
             </c>
      <c r="I3749" t="s">
        <v>14</v>
      </c>
      <c r="J3749" t="s">
        <v>242</v>
      </c>
      <c r="K3749" t="s">
        <v>14</v>
      </c>
      <c r="L3749" t="s">
        <v>20</v>
      </c>
      <c r="M3749" t="s">
        <v>7963</v>
      </c>
      <c r="N3749" t="s">
        <v>14</v>
      </c>
    </row>
    <row r="3750" x14ac:dyDescent="0.25">
      <c r="A3750" t="n">
        <v>25</v>
      </c>
      <c r="B3750" t="s">
        <v>14</v>
      </c>
      <c r="C3750" t="s">
        <v>51</v>
      </c>
      <c r="D3750" s="2" t="s">
        <f>=HYPERLINK("https://main.knesset.gov.il/APPS/legislation/main/bills/2210328", "הצעת חוק לתיקון פקודת מס הכנסה (הגדלת מספר התושבים ביישוב מוטב), התשפ""ד-2023")</f>
        <v>8004</v>
      </c>
      <c r="E3750" t="s">
        <v>8004</v>
      </c>
      <c r="F3750" t="s">
        <v>8005</v>
      </c>
      <c r="G3750" t="s">
        <v>14</v>
      </c>
      <c r="H3750">
             </c>
      <c r="I3750" t="s">
        <v>14</v>
      </c>
      <c r="J3750" t="s">
        <v>242</v>
      </c>
      <c r="K3750" t="s">
        <v>14</v>
      </c>
      <c r="L3750" t="s">
        <v>20</v>
      </c>
      <c r="M3750" t="s">
        <v>7963</v>
      </c>
      <c r="N3750" t="s">
        <v>14</v>
      </c>
    </row>
    <row r="3751" x14ac:dyDescent="0.25">
      <c r="A3751" t="n">
        <v>25</v>
      </c>
      <c r="B3751" t="s">
        <v>14</v>
      </c>
      <c r="C3751" t="s">
        <v>51</v>
      </c>
      <c r="D3751" s="2" t="s">
        <f>=HYPERLINK("https://main.knesset.gov.il/APPS/legislation/main/bills/2209870", "הצעת חוק שוברים להשלמת לימודי בסיס בחינוך הבלתי פורמלי, התשפ""ד-2023")</f>
        <v>8006</v>
      </c>
      <c r="E3751" t="s">
        <v>8006</v>
      </c>
      <c r="F3751" t="s">
        <v>8007</v>
      </c>
      <c r="G3751" t="s">
        <v>14</v>
      </c>
      <c r="H3751">
             </c>
      <c r="I3751" t="s">
        <v>14</v>
      </c>
      <c r="J3751" t="s">
        <v>242</v>
      </c>
      <c r="K3751" t="s">
        <v>14</v>
      </c>
      <c r="L3751" t="s">
        <v>20</v>
      </c>
      <c r="M3751" t="s">
        <v>7963</v>
      </c>
      <c r="N3751" t="s">
        <v>14</v>
      </c>
    </row>
    <row r="3752" x14ac:dyDescent="0.25">
      <c r="A3752" t="n">
        <v>25</v>
      </c>
      <c r="B3752" t="s">
        <v>14</v>
      </c>
      <c r="C3752" t="s">
        <v>51</v>
      </c>
      <c r="D3752" s="2" t="s">
        <f>=HYPERLINK("https://main.knesset.gov.il/APPS/legislation/main/bills/2210318", "הצעת חוק הסכמים קיבוציים (תיקון - אי-תחולה על עובד זר בענף החקלאות), התשפ""ד-2023")</f>
        <v>8008</v>
      </c>
      <c r="E3752" t="s">
        <v>8008</v>
      </c>
      <c r="F3752" t="s">
        <v>8009</v>
      </c>
      <c r="G3752" t="s">
        <v>14</v>
      </c>
      <c r="H3752">
             </c>
      <c r="I3752" t="s">
        <v>14</v>
      </c>
      <c r="J3752" t="s">
        <v>242</v>
      </c>
      <c r="K3752" t="s">
        <v>14</v>
      </c>
      <c r="L3752" t="s">
        <v>20</v>
      </c>
      <c r="M3752" t="s">
        <v>7963</v>
      </c>
      <c r="N3752" t="s">
        <v>14</v>
      </c>
    </row>
    <row r="3753" x14ac:dyDescent="0.25">
      <c r="A3753" t="n">
        <v>25</v>
      </c>
      <c r="B3753" t="s">
        <v>14</v>
      </c>
      <c r="C3753" t="s">
        <v>51</v>
      </c>
      <c r="D3753" s="2" t="s">
        <f>=HYPERLINK("https://main.knesset.gov.il/APPS/legislation/main/bills/2210316", "הצעת חוק לתיקון פקודת מס הכנסה (הארכת הפטור ממס עבור נכה שנקבעה לו נכות עקב מחלת הסרטן), התשפ""ד-2023")</f>
        <v>8010</v>
      </c>
      <c r="E3753" t="s">
        <v>8010</v>
      </c>
      <c r="F3753" t="s">
        <v>8011</v>
      </c>
      <c r="G3753" t="s">
        <v>14</v>
      </c>
      <c r="H3753">
             </c>
      <c r="I3753" t="s">
        <v>14</v>
      </c>
      <c r="J3753" t="s">
        <v>242</v>
      </c>
      <c r="K3753" t="s">
        <v>14</v>
      </c>
      <c r="L3753" t="s">
        <v>20</v>
      </c>
      <c r="M3753" t="s">
        <v>7963</v>
      </c>
      <c r="N3753" t="s">
        <v>14</v>
      </c>
    </row>
    <row r="3754" x14ac:dyDescent="0.25">
      <c r="A3754" t="n">
        <v>25</v>
      </c>
      <c r="B3754" t="s">
        <v>14</v>
      </c>
      <c r="C3754" t="s">
        <v>51</v>
      </c>
      <c r="D3754" s="2" t="s">
        <f>=HYPERLINK("https://main.knesset.gov.il/APPS/legislation/main/bills/2209688", "הצעת חוק שילוב פעוטות עם צורך במענים ייחודיים במעונות יום, התשפ""ד-2023")</f>
        <v>8012</v>
      </c>
      <c r="E3754" t="s">
        <v>8012</v>
      </c>
      <c r="F3754" t="s">
        <v>8013</v>
      </c>
      <c r="G3754" t="s">
        <v>14</v>
      </c>
      <c r="H3754">
             </c>
      <c r="I3754" t="s">
        <v>14</v>
      </c>
      <c r="J3754" t="s">
        <v>242</v>
      </c>
      <c r="K3754" t="s">
        <v>14</v>
      </c>
      <c r="L3754" t="s">
        <v>20</v>
      </c>
      <c r="M3754" t="s">
        <v>7963</v>
      </c>
      <c r="N3754" t="s">
        <v>14</v>
      </c>
    </row>
    <row r="3755" x14ac:dyDescent="0.25">
      <c r="A3755" t="n">
        <v>25</v>
      </c>
      <c r="B3755" t="s">
        <v>14</v>
      </c>
      <c r="C3755" t="s">
        <v>51</v>
      </c>
      <c r="D3755" s="2" t="s">
        <f>=HYPERLINK("https://main.knesset.gov.il/APPS/legislation/main/bills/2208138", "הצעת חוק קידום התחרות בענף המזון (תיקון - החלת החוק על ענף מוצרי הצריכה), התשפ""ד-2023")</f>
        <v>8014</v>
      </c>
      <c r="E3755" t="s">
        <v>8014</v>
      </c>
      <c r="F3755" t="s">
        <v>8015</v>
      </c>
      <c r="G3755" t="s">
        <v>14</v>
      </c>
      <c r="H3755">
             </c>
      <c r="I3755" t="s">
        <v>14</v>
      </c>
      <c r="J3755" t="s">
        <v>242</v>
      </c>
      <c r="K3755" t="s">
        <v>14</v>
      </c>
      <c r="L3755" t="s">
        <v>20</v>
      </c>
      <c r="M3755" t="s">
        <v>7963</v>
      </c>
      <c r="N3755" t="s">
        <v>14</v>
      </c>
    </row>
    <row r="3756" x14ac:dyDescent="0.25">
      <c r="A3756" t="n">
        <v>25</v>
      </c>
      <c r="B3756" t="s">
        <v>14</v>
      </c>
      <c r="C3756" t="s">
        <v>51</v>
      </c>
      <c r="D3756" s="2" t="s">
        <f>=HYPERLINK("https://main.knesset.gov.il/APPS/legislation/main/bills/2209525", "הצעת חוק מעונות יום שיקומיים (תיקון - פעוטות עם צרכים רפואיים וחלופה ביתית), התשפ""ד-2023")</f>
        <v>8016</v>
      </c>
      <c r="E3756" t="s">
        <v>8016</v>
      </c>
      <c r="F3756" t="s">
        <v>8017</v>
      </c>
      <c r="G3756" t="s">
        <v>14</v>
      </c>
      <c r="H3756">
             </c>
      <c r="I3756" t="s">
        <v>14</v>
      </c>
      <c r="J3756" t="s">
        <v>242</v>
      </c>
      <c r="K3756" t="s">
        <v>14</v>
      </c>
      <c r="L3756" t="s">
        <v>20</v>
      </c>
      <c r="M3756" t="s">
        <v>7963</v>
      </c>
      <c r="N3756" t="s">
        <v>14</v>
      </c>
    </row>
    <row r="3757" x14ac:dyDescent="0.25">
      <c r="A3757" t="n">
        <v>25</v>
      </c>
      <c r="B3757" t="s">
        <v>14</v>
      </c>
      <c r="C3757" t="s">
        <v>51</v>
      </c>
      <c r="D3757" s="2" t="s">
        <f>=HYPERLINK("https://main.knesset.gov.il/APPS/legislation/main/bills/2209526", "הצעת חוק נפגעי תאונות דרכים (סיוע לבני משפחה) (תיקון - הרחבת הסיוע), התשפ""ד-2023")</f>
        <v>8018</v>
      </c>
      <c r="E3757" t="s">
        <v>8018</v>
      </c>
      <c r="F3757" t="s">
        <v>8019</v>
      </c>
      <c r="G3757" t="s">
        <v>14</v>
      </c>
      <c r="H3757">
             </c>
      <c r="I3757" t="s">
        <v>14</v>
      </c>
      <c r="J3757" t="s">
        <v>242</v>
      </c>
      <c r="K3757" t="s">
        <v>14</v>
      </c>
      <c r="L3757" t="s">
        <v>20</v>
      </c>
      <c r="M3757" t="s">
        <v>7963</v>
      </c>
      <c r="N3757" t="s">
        <v>14</v>
      </c>
    </row>
    <row r="3758" x14ac:dyDescent="0.25">
      <c r="A3758" t="n">
        <v>25</v>
      </c>
      <c r="B3758" t="s">
        <v>14</v>
      </c>
      <c r="C3758" t="s">
        <v>51</v>
      </c>
      <c r="D3758" s="2" t="s">
        <f>=HYPERLINK("https://main.knesset.gov.il/APPS/legislation/main/bills/2209510", "הצעת חוק לצמצום רגולציה ושעורי אגרות לעסקים קטנים, התשפ""ד-2023")</f>
        <v>8020</v>
      </c>
      <c r="E3758" t="s">
        <v>8020</v>
      </c>
      <c r="F3758" t="s">
        <v>8021</v>
      </c>
      <c r="G3758" t="s">
        <v>14</v>
      </c>
      <c r="H3758">
             </c>
      <c r="I3758" t="s">
        <v>14</v>
      </c>
      <c r="J3758" t="s">
        <v>242</v>
      </c>
      <c r="K3758" t="s">
        <v>14</v>
      </c>
      <c r="L3758" t="s">
        <v>20</v>
      </c>
      <c r="M3758" t="s">
        <v>7963</v>
      </c>
      <c r="N3758" t="s">
        <v>14</v>
      </c>
    </row>
    <row r="3759" x14ac:dyDescent="0.25">
      <c r="A3759" t="n">
        <v>25</v>
      </c>
      <c r="B3759" t="s">
        <v>14</v>
      </c>
      <c r="C3759" t="s">
        <v>51</v>
      </c>
      <c r="D3759" s="2" t="s">
        <f>=HYPERLINK("https://main.knesset.gov.il/APPS/legislation/main/bills/2209392", "הצעת חוק לתיקון פקודת בריאות העם (העדפות מתן רישיון למכשור רפואי בפריפריה), התשפ""ד-2023")</f>
        <v>8022</v>
      </c>
      <c r="E3759" t="s">
        <v>8022</v>
      </c>
      <c r="F3759" t="s">
        <v>8023</v>
      </c>
      <c r="G3759" t="s">
        <v>14</v>
      </c>
      <c r="H3759">
             </c>
      <c r="I3759" t="s">
        <v>14</v>
      </c>
      <c r="J3759" t="s">
        <v>242</v>
      </c>
      <c r="K3759" t="s">
        <v>14</v>
      </c>
      <c r="L3759" t="s">
        <v>20</v>
      </c>
      <c r="M3759" t="s">
        <v>7963</v>
      </c>
      <c r="N3759" t="s">
        <v>14</v>
      </c>
    </row>
    <row r="3760" x14ac:dyDescent="0.25">
      <c r="A3760" t="n">
        <v>25</v>
      </c>
      <c r="B3760" t="s">
        <v>14</v>
      </c>
      <c r="C3760" t="s">
        <v>51</v>
      </c>
      <c r="D3760" s="2" t="s">
        <f>=HYPERLINK("https://main.knesset.gov.il/APPS/legislation/main/bills/2210075", "הצעת חוק לשכת עורכי הדין (תיקון - קיצור תקופת ההתמחות), התשפ""ד-2023")</f>
        <v>7639</v>
      </c>
      <c r="E3760" t="s">
        <v>7639</v>
      </c>
      <c r="F3760" t="s">
        <v>8024</v>
      </c>
      <c r="G3760" t="s">
        <v>14</v>
      </c>
      <c r="H3760">
             </c>
      <c r="I3760" t="s">
        <v>14</v>
      </c>
      <c r="J3760" t="s">
        <v>242</v>
      </c>
      <c r="K3760" t="s">
        <v>14</v>
      </c>
      <c r="L3760" t="s">
        <v>20</v>
      </c>
      <c r="M3760" t="s">
        <v>7963</v>
      </c>
      <c r="N3760" t="s">
        <v>14</v>
      </c>
    </row>
    <row r="3761" x14ac:dyDescent="0.25">
      <c r="A3761" t="n">
        <v>25</v>
      </c>
      <c r="B3761" t="s">
        <v>14</v>
      </c>
      <c r="C3761" t="s">
        <v>51</v>
      </c>
      <c r="D3761" s="2" t="s">
        <f>=HYPERLINK("https://main.knesset.gov.il/APPS/legislation/main/bills/2209384", "הצעת חוק יום לציון זכרם של חללי ונפגעי יהדות התפוצות על רקע אנטישמי, התשפ""ד-2023")</f>
        <v>8025</v>
      </c>
      <c r="E3761" t="s">
        <v>8025</v>
      </c>
      <c r="F3761" t="s">
        <v>8026</v>
      </c>
      <c r="G3761" t="s">
        <v>14</v>
      </c>
      <c r="H3761">
             </c>
      <c r="I3761" t="s">
        <v>14</v>
      </c>
      <c r="J3761" t="s">
        <v>242</v>
      </c>
      <c r="K3761" t="s">
        <v>14</v>
      </c>
      <c r="L3761" t="s">
        <v>20</v>
      </c>
      <c r="M3761" t="s">
        <v>7963</v>
      </c>
      <c r="N3761" t="s">
        <v>14</v>
      </c>
    </row>
    <row r="3762" x14ac:dyDescent="0.25">
      <c r="A3762" t="n">
        <v>25</v>
      </c>
      <c r="B3762" t="s">
        <v>14</v>
      </c>
      <c r="C3762" t="s">
        <v>51</v>
      </c>
      <c r="D3762" s="2" t="s">
        <f>=HYPERLINK("https://main.knesset.gov.il/APPS/legislation/main/bills/2209274", "הצעת חוק חינוך ממלכתי (תיקון - סמכויות המועצה לחינוך ממלכתי דתי), התשפ""ד-2023")</f>
        <v>8027</v>
      </c>
      <c r="E3762" t="s">
        <v>8027</v>
      </c>
      <c r="F3762" t="s">
        <v>8028</v>
      </c>
      <c r="G3762" t="s">
        <v>14</v>
      </c>
      <c r="H3762">
             </c>
      <c r="I3762" t="s">
        <v>14</v>
      </c>
      <c r="J3762" t="s">
        <v>242</v>
      </c>
      <c r="K3762" t="s">
        <v>14</v>
      </c>
      <c r="L3762" t="s">
        <v>20</v>
      </c>
      <c r="M3762" t="s">
        <v>7963</v>
      </c>
      <c r="N3762" t="s">
        <v>14</v>
      </c>
    </row>
    <row r="3763" x14ac:dyDescent="0.25">
      <c r="A3763" t="n">
        <v>25</v>
      </c>
      <c r="B3763" t="s">
        <v>14</v>
      </c>
      <c r="C3763" t="s">
        <v>51</v>
      </c>
      <c r="D3763" s="2" t="s">
        <f>=HYPERLINK("https://main.knesset.gov.il/APPS/legislation/main/bills/2197940", "הצעת חוק הרשות לוועדות רפואיות, התשפ""ד-2023")</f>
        <v>8029</v>
      </c>
      <c r="E3763" t="s">
        <v>8029</v>
      </c>
      <c r="F3763" t="s">
        <v>8030</v>
      </c>
      <c r="G3763" t="s">
        <v>14</v>
      </c>
      <c r="H3763">
             </c>
      <c r="I3763" t="s">
        <v>14</v>
      </c>
      <c r="J3763" t="s">
        <v>242</v>
      </c>
      <c r="K3763" t="s">
        <v>14</v>
      </c>
      <c r="L3763" t="s">
        <v>20</v>
      </c>
      <c r="M3763" t="s">
        <v>7963</v>
      </c>
      <c r="N3763" t="s">
        <v>14</v>
      </c>
    </row>
    <row r="3764" x14ac:dyDescent="0.25">
      <c r="A3764" t="n">
        <v>25</v>
      </c>
      <c r="B3764" t="s">
        <v>14</v>
      </c>
      <c r="C3764" t="s">
        <v>51</v>
      </c>
      <c r="D3764" s="2" t="s">
        <f>=HYPERLINK("https://main.knesset.gov.il/APPS/legislation/main/bills/2209529", "הצעת חוק העברת מידע בין רשויות, התשפ""ד-2023")</f>
        <v>8031</v>
      </c>
      <c r="E3764" t="s">
        <v>8031</v>
      </c>
      <c r="F3764" t="s">
        <v>8032</v>
      </c>
      <c r="G3764" t="s">
        <v>14</v>
      </c>
      <c r="H3764">
             </c>
      <c r="I3764" t="s">
        <v>14</v>
      </c>
      <c r="J3764" t="s">
        <v>242</v>
      </c>
      <c r="K3764" t="s">
        <v>14</v>
      </c>
      <c r="L3764" t="s">
        <v>20</v>
      </c>
      <c r="M3764" t="s">
        <v>7963</v>
      </c>
      <c r="N3764" t="s">
        <v>14</v>
      </c>
    </row>
    <row r="3765" x14ac:dyDescent="0.25">
      <c r="A3765" t="n">
        <v>25</v>
      </c>
      <c r="B3765" t="s">
        <v>14</v>
      </c>
      <c r="C3765" t="s">
        <v>51</v>
      </c>
      <c r="D3765" s="2" t="s">
        <f>=HYPERLINK("https://main.knesset.gov.il/APPS/legislation/main/bills/2210437", "הצעת חוק הגנת הצרכן (תיקון - מענה אנושי בשירות טלפוני לאזרח ותיק), התשפ""ד-2023")</f>
        <v>8033</v>
      </c>
      <c r="E3765" t="s">
        <v>8033</v>
      </c>
      <c r="F3765" t="s">
        <v>8034</v>
      </c>
      <c r="G3765" t="s">
        <v>14</v>
      </c>
      <c r="H3765">
             </c>
      <c r="I3765" t="s">
        <v>14</v>
      </c>
      <c r="J3765" t="s">
        <v>242</v>
      </c>
      <c r="K3765" t="s">
        <v>14</v>
      </c>
      <c r="L3765" t="s">
        <v>20</v>
      </c>
      <c r="M3765" t="s">
        <v>7963</v>
      </c>
      <c r="N3765" t="s">
        <v>14</v>
      </c>
    </row>
    <row r="3766" x14ac:dyDescent="0.25">
      <c r="A3766" t="n">
        <v>25</v>
      </c>
      <c r="B3766" t="s">
        <v>14</v>
      </c>
      <c r="C3766" t="s">
        <v>51</v>
      </c>
      <c r="D3766" s="2" t="s">
        <f>=HYPERLINK("https://main.knesset.gov.il/APPS/legislation/main/bills/2209533", "הצעת חוק הכניסה לישראל (הוראת שעה), התשפ""ד-2023")</f>
        <v>8035</v>
      </c>
      <c r="E3766" t="s">
        <v>8035</v>
      </c>
      <c r="F3766" t="s">
        <v>8036</v>
      </c>
      <c r="G3766" t="s">
        <v>14</v>
      </c>
      <c r="H3766">
             </c>
      <c r="I3766" t="s">
        <v>14</v>
      </c>
      <c r="J3766" t="s">
        <v>242</v>
      </c>
      <c r="K3766" t="s">
        <v>14</v>
      </c>
      <c r="L3766" t="s">
        <v>20</v>
      </c>
      <c r="M3766" t="s">
        <v>7963</v>
      </c>
      <c r="N3766" t="s">
        <v>14</v>
      </c>
    </row>
    <row r="3767" x14ac:dyDescent="0.25">
      <c r="A3767" t="n">
        <v>25</v>
      </c>
      <c r="B3767" t="s">
        <v>14</v>
      </c>
      <c r="C3767" t="s">
        <v>51</v>
      </c>
      <c r="D3767" s="2" t="s">
        <f>=HYPERLINK("https://main.knesset.gov.il/APPS/legislation/main/bills/2203102", "הצעת חוק הבחירות לכנסת (תיקון - שינוי מבנה פתק ההצבעה), התשפ""ד-2023")</f>
        <v>8037</v>
      </c>
      <c r="E3767" t="s">
        <v>8037</v>
      </c>
      <c r="F3767" t="s">
        <v>8038</v>
      </c>
      <c r="G3767" t="s">
        <v>14</v>
      </c>
      <c r="H3767">
             </c>
      <c r="I3767" t="s">
        <v>14</v>
      </c>
      <c r="J3767" t="s">
        <v>242</v>
      </c>
      <c r="K3767" t="s">
        <v>14</v>
      </c>
      <c r="L3767" t="s">
        <v>20</v>
      </c>
      <c r="M3767" t="s">
        <v>7963</v>
      </c>
      <c r="N3767" t="s">
        <v>14</v>
      </c>
    </row>
    <row r="3768" x14ac:dyDescent="0.25">
      <c r="A3768" t="n">
        <v>25</v>
      </c>
      <c r="B3768" t="s">
        <v>14</v>
      </c>
      <c r="C3768" t="s">
        <v>51</v>
      </c>
      <c r="D3768" s="2" t="s">
        <f>=HYPERLINK("https://main.knesset.gov.il/APPS/legislation/main/bills/2209391", "הצעת חוק ביטוח בריאות ממלכתי (תיקון - הפחתה בדמי ביטוח בריאות לתושבי הפריפריה), התשפ""ד-2023")</f>
        <v>8039</v>
      </c>
      <c r="E3768" t="s">
        <v>8039</v>
      </c>
      <c r="F3768" t="s">
        <v>8040</v>
      </c>
      <c r="G3768" t="s">
        <v>14</v>
      </c>
      <c r="H3768">
             </c>
      <c r="I3768" t="s">
        <v>14</v>
      </c>
      <c r="J3768" t="s">
        <v>242</v>
      </c>
      <c r="K3768" t="s">
        <v>14</v>
      </c>
      <c r="L3768" t="s">
        <v>20</v>
      </c>
      <c r="M3768" t="s">
        <v>7963</v>
      </c>
      <c r="N3768" t="s">
        <v>14</v>
      </c>
    </row>
    <row r="3769" x14ac:dyDescent="0.25">
      <c r="A3769" t="n">
        <v>25</v>
      </c>
      <c r="B3769" t="s">
        <v>14</v>
      </c>
      <c r="C3769" t="s">
        <v>51</v>
      </c>
      <c r="D3769" s="2" t="s">
        <f>=HYPERLINK("https://main.knesset.gov.il/APPS/legislation/main/bills/2209927", "הצעת חוק לתיקון פקודת מס הכנסה (נקודות זיכוי להורי חיילים), התשפ""ד-2023")</f>
        <v>5023</v>
      </c>
      <c r="E3769" t="s">
        <v>5023</v>
      </c>
      <c r="F3769" t="s">
        <v>8041</v>
      </c>
      <c r="G3769" t="s">
        <v>14</v>
      </c>
      <c r="H3769">
             </c>
      <c r="I3769" t="s">
        <v>14</v>
      </c>
      <c r="J3769" t="s">
        <v>242</v>
      </c>
      <c r="K3769" t="s">
        <v>14</v>
      </c>
      <c r="L3769" t="s">
        <v>20</v>
      </c>
      <c r="M3769" t="s">
        <v>7963</v>
      </c>
      <c r="N3769" t="s">
        <v>14</v>
      </c>
    </row>
    <row r="3770" x14ac:dyDescent="0.25">
      <c r="A3770" t="n">
        <v>25</v>
      </c>
      <c r="B3770" t="s">
        <v>14</v>
      </c>
      <c r="C3770" t="s">
        <v>51</v>
      </c>
      <c r="D3770" s="2" t="s">
        <f>=HYPERLINK("https://main.knesset.gov.il/APPS/legislation/main/bills/2209644", "הצעת חוק העונשין (תיקון - איסור הנפת דגל של ישות עוינת), התשפ""ד-2023")</f>
        <v>8042</v>
      </c>
      <c r="E3770" t="s">
        <v>8042</v>
      </c>
      <c r="F3770" t="s">
        <v>8043</v>
      </c>
      <c r="G3770" t="s">
        <v>14</v>
      </c>
      <c r="H3770">
             </c>
      <c r="I3770" t="s">
        <v>14</v>
      </c>
      <c r="J3770" t="s">
        <v>242</v>
      </c>
      <c r="K3770" t="s">
        <v>14</v>
      </c>
      <c r="L3770" t="s">
        <v>20</v>
      </c>
      <c r="M3770" t="s">
        <v>7963</v>
      </c>
      <c r="N3770" t="s">
        <v>14</v>
      </c>
    </row>
    <row r="3771" x14ac:dyDescent="0.25">
      <c r="A3771" t="n">
        <v>25</v>
      </c>
      <c r="B3771" t="s">
        <v>14</v>
      </c>
      <c r="C3771" t="s">
        <v>51</v>
      </c>
      <c r="D3771" s="2" t="s">
        <f>=HYPERLINK("https://main.knesset.gov.il/APPS/legislation/main/bills/2209390", "הצעת חוק למניעת חרם חברתי בבתי ספר, התשפ""ד-2023")</f>
        <v>7789</v>
      </c>
      <c r="E3771" t="s">
        <v>7789</v>
      </c>
      <c r="F3771" t="s">
        <v>8044</v>
      </c>
      <c r="G3771" t="s">
        <v>14</v>
      </c>
      <c r="H3771">
             </c>
      <c r="I3771" t="s">
        <v>14</v>
      </c>
      <c r="J3771" t="s">
        <v>242</v>
      </c>
      <c r="K3771" t="s">
        <v>14</v>
      </c>
      <c r="L3771" t="s">
        <v>20</v>
      </c>
      <c r="M3771" t="s">
        <v>7963</v>
      </c>
      <c r="N3771" t="s">
        <v>14</v>
      </c>
    </row>
    <row r="3772" x14ac:dyDescent="0.25">
      <c r="A3772" t="n">
        <v>25</v>
      </c>
      <c r="B3772" t="s">
        <v>14</v>
      </c>
      <c r="C3772" t="s">
        <v>51</v>
      </c>
      <c r="D3772" s="2" t="s">
        <f>=HYPERLINK("https://main.knesset.gov.il/APPS/legislation/main/bills/2209878", "הצעת חוק לתיקון פקודת הסמים המסוכנים (שימוש עצמי בקנבוס), התשפ""ד-2023")</f>
        <v>8045</v>
      </c>
      <c r="E3772" t="s">
        <v>8045</v>
      </c>
      <c r="F3772" t="s">
        <v>8046</v>
      </c>
      <c r="G3772" t="s">
        <v>14</v>
      </c>
      <c r="H3772">
             </c>
      <c r="I3772" t="s">
        <v>14</v>
      </c>
      <c r="J3772" t="s">
        <v>242</v>
      </c>
      <c r="K3772" t="s">
        <v>14</v>
      </c>
      <c r="L3772" t="s">
        <v>20</v>
      </c>
      <c r="M3772" t="s">
        <v>7963</v>
      </c>
      <c r="N3772" t="s">
        <v>14</v>
      </c>
    </row>
    <row r="3773" x14ac:dyDescent="0.25">
      <c r="A3773" t="n">
        <v>25</v>
      </c>
      <c r="B3773" t="s">
        <v>14</v>
      </c>
      <c r="C3773" t="s">
        <v>51</v>
      </c>
      <c r="D3773" s="2" t="s">
        <f>=HYPERLINK("https://main.knesset.gov.il/APPS/legislation/main/bills/2209872", "הצעת חוק בתי דין רבניים (קיום פסקי דין של גירושין) (תיקון - הגבלת שימוש בכרטיסי אשראי לסרבני גט), התשפ""ד-2023")</f>
        <v>8047</v>
      </c>
      <c r="E3773" t="s">
        <v>8047</v>
      </c>
      <c r="F3773" t="s">
        <v>8048</v>
      </c>
      <c r="G3773" t="s">
        <v>14</v>
      </c>
      <c r="H3773">
             </c>
      <c r="I3773" t="s">
        <v>14</v>
      </c>
      <c r="J3773" t="s">
        <v>242</v>
      </c>
      <c r="K3773" t="s">
        <v>14</v>
      </c>
      <c r="L3773" t="s">
        <v>20</v>
      </c>
      <c r="M3773" t="s">
        <v>7963</v>
      </c>
      <c r="N3773" t="s">
        <v>14</v>
      </c>
    </row>
    <row r="3774" x14ac:dyDescent="0.25">
      <c r="A3774" t="n">
        <v>25</v>
      </c>
      <c r="B3774" t="s">
        <v>14</v>
      </c>
      <c r="C3774" t="s">
        <v>51</v>
      </c>
      <c r="D3774" s="2" t="s">
        <f>=HYPERLINK("https://main.knesset.gov.il/APPS/legislation/main/bills/2209739", "הצעת חוק-יסוד: כבוד האדם וחירותו (תיקון - הוספת סעיף שוויון)")</f>
        <v>2311</v>
      </c>
      <c r="E3774" t="s">
        <v>2311</v>
      </c>
      <c r="F3774" t="s">
        <v>8049</v>
      </c>
      <c r="G3774" t="s">
        <v>14</v>
      </c>
      <c r="H3774">
             </c>
      <c r="I3774" t="s">
        <v>14</v>
      </c>
      <c r="J3774" t="s">
        <v>242</v>
      </c>
      <c r="K3774" t="s">
        <v>14</v>
      </c>
      <c r="L3774" t="s">
        <v>20</v>
      </c>
      <c r="M3774" t="s">
        <v>7963</v>
      </c>
      <c r="N3774" t="s">
        <v>14</v>
      </c>
    </row>
    <row r="3775" x14ac:dyDescent="0.25">
      <c r="A3775" t="n">
        <v>25</v>
      </c>
      <c r="B3775" t="s">
        <v>14</v>
      </c>
      <c r="C3775" t="s">
        <v>51</v>
      </c>
      <c r="D3775" s="2" t="s">
        <f>=HYPERLINK("https://main.knesset.gov.il/APPS/legislation/main/bills/2209751", "הצעת חוק הביטוח הלאומי (תיקון - עבודה במסגרת לאנשים עם מוגבלויות כעבודה מועדפת), התשפ""ד-2023")</f>
        <v>8050</v>
      </c>
      <c r="E3775" t="s">
        <v>8050</v>
      </c>
      <c r="F3775" t="s">
        <v>8051</v>
      </c>
      <c r="G3775" t="s">
        <v>14</v>
      </c>
      <c r="H3775">
             </c>
      <c r="I3775" t="s">
        <v>14</v>
      </c>
      <c r="J3775" t="s">
        <v>242</v>
      </c>
      <c r="K3775" t="s">
        <v>14</v>
      </c>
      <c r="L3775" t="s">
        <v>20</v>
      </c>
      <c r="M3775" t="s">
        <v>7963</v>
      </c>
      <c r="N3775" t="s">
        <v>14</v>
      </c>
    </row>
    <row r="3776" x14ac:dyDescent="0.25">
      <c r="A3776" t="n">
        <v>25</v>
      </c>
      <c r="B3776" t="s">
        <v>14</v>
      </c>
      <c r="C3776" t="s">
        <v>51</v>
      </c>
      <c r="D3776" s="2" t="s">
        <f>=HYPERLINK("https://main.knesset.gov.il/APPS/legislation/main/bills/2210147", "הצעת חוק לתיקון פקודת התעבורה (חובת נשיאת לוחית זיהוי באופניים ממונעים ובקורקינט ממונע), התשפ""ד-2023")</f>
        <v>8052</v>
      </c>
      <c r="E3776" t="s">
        <v>8052</v>
      </c>
      <c r="F3776" t="s">
        <v>8053</v>
      </c>
      <c r="G3776" t="s">
        <v>14</v>
      </c>
      <c r="H3776">
             </c>
      <c r="I3776" t="s">
        <v>14</v>
      </c>
      <c r="J3776" t="s">
        <v>242</v>
      </c>
      <c r="K3776" t="s">
        <v>14</v>
      </c>
      <c r="L3776" t="s">
        <v>20</v>
      </c>
      <c r="M3776" t="s">
        <v>7963</v>
      </c>
      <c r="N3776" t="s">
        <v>14</v>
      </c>
    </row>
    <row r="3777" x14ac:dyDescent="0.25">
      <c r="A3777" t="n">
        <v>25</v>
      </c>
      <c r="B3777" t="s">
        <v>14</v>
      </c>
      <c r="C3777" t="s">
        <v>51</v>
      </c>
      <c r="D3777" s="2" t="s">
        <f>=HYPERLINK("https://main.knesset.gov.il/APPS/legislation/main/bills/2209554", "הצעת חוק הרשויות המקומיות (התאמת תקציב הרווחה), התשפ""ד-2023")</f>
        <v>8054</v>
      </c>
      <c r="E3777" t="s">
        <v>8054</v>
      </c>
      <c r="F3777" t="s">
        <v>8055</v>
      </c>
      <c r="G3777" t="s">
        <v>14</v>
      </c>
      <c r="H3777">
             </c>
      <c r="I3777" t="s">
        <v>14</v>
      </c>
      <c r="J3777" t="s">
        <v>242</v>
      </c>
      <c r="K3777" t="s">
        <v>14</v>
      </c>
      <c r="L3777" t="s">
        <v>20</v>
      </c>
      <c r="M3777" t="s">
        <v>7963</v>
      </c>
      <c r="N3777" t="s">
        <v>14</v>
      </c>
    </row>
    <row r="3778" x14ac:dyDescent="0.25">
      <c r="A3778" t="n">
        <v>25</v>
      </c>
      <c r="B3778" t="s">
        <v>14</v>
      </c>
      <c r="C3778" t="s">
        <v>51</v>
      </c>
      <c r="D3778" s="2" t="s">
        <f>=HYPERLINK("https://main.knesset.gov.il/APPS/legislation/main/bills/2210108", "הצעת חוק העונשין (תיקון - גזענות נגד קבוצה דתית), התשפ""ד-2023")</f>
        <v>8056</v>
      </c>
      <c r="E3778" t="s">
        <v>8056</v>
      </c>
      <c r="F3778" t="s">
        <v>8057</v>
      </c>
      <c r="G3778" t="s">
        <v>14</v>
      </c>
      <c r="H3778">
             </c>
      <c r="I3778" t="s">
        <v>14</v>
      </c>
      <c r="J3778" t="s">
        <v>242</v>
      </c>
      <c r="K3778" t="s">
        <v>14</v>
      </c>
      <c r="L3778" t="s">
        <v>20</v>
      </c>
      <c r="M3778" t="s">
        <v>7963</v>
      </c>
      <c r="N3778" t="s">
        <v>14</v>
      </c>
    </row>
    <row r="3779" x14ac:dyDescent="0.25">
      <c r="A3779" t="n">
        <v>25</v>
      </c>
      <c r="B3779" t="s">
        <v>14</v>
      </c>
      <c r="C3779" t="s">
        <v>51</v>
      </c>
      <c r="D3779" s="2" t="s">
        <f>=HYPERLINK("https://main.knesset.gov.il/APPS/legislation/main/bills/2209508", "הצעת חוק הגנת הצרכן (תיקון - הגבלות על מכירה מיוחדת), התשפ""ד-2023")</f>
        <v>8058</v>
      </c>
      <c r="E3779" t="s">
        <v>8058</v>
      </c>
      <c r="F3779" t="s">
        <v>8059</v>
      </c>
      <c r="G3779" t="s">
        <v>14</v>
      </c>
      <c r="H3779">
             </c>
      <c r="I3779" t="s">
        <v>14</v>
      </c>
      <c r="J3779" t="s">
        <v>242</v>
      </c>
      <c r="K3779" t="s">
        <v>14</v>
      </c>
      <c r="L3779" t="s">
        <v>20</v>
      </c>
      <c r="M3779" t="s">
        <v>7963</v>
      </c>
      <c r="N3779" t="s">
        <v>14</v>
      </c>
    </row>
    <row r="3780" x14ac:dyDescent="0.25">
      <c r="A3780" t="n">
        <v>25</v>
      </c>
      <c r="B3780" t="s">
        <v>14</v>
      </c>
      <c r="C3780" t="s">
        <v>51</v>
      </c>
      <c r="D3780" s="2" t="s">
        <f>=HYPERLINK("https://main.knesset.gov.il/APPS/legislation/main/bills/2209873", "הצעת חוק הביטוח הלאומי (תיקון - מסלול ברירת מחדל בהפקדות לחיסכון ארוך טווח לילד), התשפ""ד-2023")</f>
        <v>8060</v>
      </c>
      <c r="E3780" t="s">
        <v>8060</v>
      </c>
      <c r="F3780" t="s">
        <v>8061</v>
      </c>
      <c r="G3780" t="s">
        <v>14</v>
      </c>
      <c r="H3780">
             </c>
      <c r="I3780" t="s">
        <v>14</v>
      </c>
      <c r="J3780" t="s">
        <v>242</v>
      </c>
      <c r="K3780" t="s">
        <v>14</v>
      </c>
      <c r="L3780" t="s">
        <v>20</v>
      </c>
      <c r="M3780" t="s">
        <v>7963</v>
      </c>
      <c r="N3780" t="s">
        <v>14</v>
      </c>
    </row>
    <row r="3781" x14ac:dyDescent="0.25">
      <c r="A3781" t="n">
        <v>25</v>
      </c>
      <c r="B3781" t="s">
        <v>14</v>
      </c>
      <c r="C3781" t="s">
        <v>51</v>
      </c>
      <c r="D3781" s="2" t="s">
        <f>=HYPERLINK("https://main.knesset.gov.il/APPS/legislation/main/bills/2209875", "הצעת חוק הביטוח הלאומי (תיקון - ביטול דרישה לחתימת הורים כתנאי למשיכת כספי החיסכון), התשפ""ד-2023")</f>
        <v>8062</v>
      </c>
      <c r="E3781" t="s">
        <v>8062</v>
      </c>
      <c r="F3781" t="s">
        <v>8063</v>
      </c>
      <c r="G3781" t="s">
        <v>14</v>
      </c>
      <c r="H3781">
             </c>
      <c r="I3781" t="s">
        <v>14</v>
      </c>
      <c r="J3781" t="s">
        <v>242</v>
      </c>
      <c r="K3781" t="s">
        <v>14</v>
      </c>
      <c r="L3781" t="s">
        <v>20</v>
      </c>
      <c r="M3781" t="s">
        <v>7963</v>
      </c>
      <c r="N3781" t="s">
        <v>14</v>
      </c>
    </row>
    <row r="3782" x14ac:dyDescent="0.25">
      <c r="A3782" t="n">
        <v>25</v>
      </c>
      <c r="B3782" t="s">
        <v>14</v>
      </c>
      <c r="C3782" t="s">
        <v>51</v>
      </c>
      <c r="D3782" s="2" t="s">
        <f>=HYPERLINK("https://main.knesset.gov.il/APPS/legislation/main/bills/2209342", "הצעת חוק רשות מקרקעי ישראל (תיקון - ייצוג הולם לאוכלוסייה החרדית במועצת הרשות), התשפ""ד-2023")</f>
        <v>8064</v>
      </c>
      <c r="E3782" t="s">
        <v>8064</v>
      </c>
      <c r="F3782" t="s">
        <v>8065</v>
      </c>
      <c r="G3782" t="s">
        <v>14</v>
      </c>
      <c r="H3782">
             </c>
      <c r="I3782" t="s">
        <v>14</v>
      </c>
      <c r="J3782" t="s">
        <v>242</v>
      </c>
      <c r="K3782" t="s">
        <v>14</v>
      </c>
      <c r="L3782" t="s">
        <v>20</v>
      </c>
      <c r="M3782" t="s">
        <v>7963</v>
      </c>
      <c r="N3782" t="s">
        <v>14</v>
      </c>
    </row>
    <row r="3783" x14ac:dyDescent="0.25">
      <c r="A3783" t="n">
        <v>25</v>
      </c>
      <c r="B3783" t="s">
        <v>14</v>
      </c>
      <c r="C3783" t="s">
        <v>51</v>
      </c>
      <c r="D3783" s="2" t="s">
        <f>=HYPERLINK("https://main.knesset.gov.il/APPS/legislation/main/bills/2209504", "הצעת חוק בתי המשפט (תיקון - נציגי הכנסת בוועדה לבחירת שופטים), התשפ""ד-2023")</f>
        <v>8066</v>
      </c>
      <c r="E3783" t="s">
        <v>8066</v>
      </c>
      <c r="F3783" t="s">
        <v>8067</v>
      </c>
      <c r="G3783" t="s">
        <v>14</v>
      </c>
      <c r="H3783">
             </c>
      <c r="I3783" t="s">
        <v>14</v>
      </c>
      <c r="J3783" t="s">
        <v>242</v>
      </c>
      <c r="K3783" t="s">
        <v>14</v>
      </c>
      <c r="L3783" t="s">
        <v>20</v>
      </c>
      <c r="M3783" t="s">
        <v>7963</v>
      </c>
      <c r="N3783" t="s">
        <v>14</v>
      </c>
    </row>
    <row r="3784" x14ac:dyDescent="0.25">
      <c r="A3784" t="n">
        <v>25</v>
      </c>
      <c r="B3784" t="s">
        <v>14</v>
      </c>
      <c r="C3784" t="s">
        <v>51</v>
      </c>
      <c r="D3784" s="2" t="s">
        <f>=HYPERLINK("https://main.knesset.gov.il/APPS/legislation/main/bills/2209492", "הצעת חוק לצמצום רגולציה ושיעורי אגרות לעסקים קטנים, התשפ""ד-2023")</f>
        <v>8068</v>
      </c>
      <c r="E3784" t="s">
        <v>8068</v>
      </c>
      <c r="F3784" t="s">
        <v>8069</v>
      </c>
      <c r="G3784" t="s">
        <v>14</v>
      </c>
      <c r="H3784">
             </c>
      <c r="I3784" t="s">
        <v>14</v>
      </c>
      <c r="J3784" t="s">
        <v>242</v>
      </c>
      <c r="K3784" t="s">
        <v>14</v>
      </c>
      <c r="L3784" t="s">
        <v>20</v>
      </c>
      <c r="M3784" t="s">
        <v>7963</v>
      </c>
      <c r="N3784" t="s">
        <v>14</v>
      </c>
    </row>
    <row r="3785" x14ac:dyDescent="0.25">
      <c r="A3785" t="n">
        <v>25</v>
      </c>
      <c r="B3785" t="s">
        <v>14</v>
      </c>
      <c r="C3785" t="s">
        <v>51</v>
      </c>
      <c r="D3785" s="2" t="s">
        <f>=HYPERLINK("https://main.knesset.gov.il/APPS/legislation/main/bills/2205769", "הצעת חוק שילוב פעוטות עם צורך במענים ייחודיים במעונות יום, התשפ""ד-2023")</f>
        <v>8012</v>
      </c>
      <c r="E3785" t="s">
        <v>8012</v>
      </c>
      <c r="F3785" t="s">
        <v>8070</v>
      </c>
      <c r="G3785" t="s">
        <v>14</v>
      </c>
      <c r="H3785">
             </c>
      <c r="I3785" t="s">
        <v>14</v>
      </c>
      <c r="J3785" t="s">
        <v>242</v>
      </c>
      <c r="K3785" t="s">
        <v>14</v>
      </c>
      <c r="L3785" t="s">
        <v>20</v>
      </c>
      <c r="M3785" t="s">
        <v>7963</v>
      </c>
      <c r="N3785" t="s">
        <v>14</v>
      </c>
    </row>
    <row r="3786" x14ac:dyDescent="0.25">
      <c r="A3786" t="n">
        <v>25</v>
      </c>
      <c r="B3786" t="s">
        <v>14</v>
      </c>
      <c r="C3786" t="s">
        <v>51</v>
      </c>
      <c r="D3786" s="2" t="s">
        <f>=HYPERLINK("https://main.knesset.gov.il/APPS/legislation/main/bills/2209725", "הצעת חוק להקמת קרן למוצרי מזון בריא, התשפ''ד-2023")</f>
        <v>8071</v>
      </c>
      <c r="E3786" t="s">
        <v>8071</v>
      </c>
      <c r="F3786" t="s">
        <v>8072</v>
      </c>
      <c r="G3786" t="s">
        <v>14</v>
      </c>
      <c r="H3786">
             </c>
      <c r="I3786" t="s">
        <v>14</v>
      </c>
      <c r="J3786" t="s">
        <v>242</v>
      </c>
      <c r="K3786" t="s">
        <v>14</v>
      </c>
      <c r="L3786" t="s">
        <v>20</v>
      </c>
      <c r="M3786" t="s">
        <v>7963</v>
      </c>
      <c r="N3786" t="s">
        <v>14</v>
      </c>
    </row>
    <row r="3787" x14ac:dyDescent="0.25">
      <c r="A3787" t="n">
        <v>25</v>
      </c>
      <c r="B3787" t="s">
        <v>14</v>
      </c>
      <c r="C3787" t="s">
        <v>51</v>
      </c>
      <c r="D3787" s="2" t="s">
        <f>=HYPERLINK("https://main.knesset.gov.il/APPS/legislation/main/bills/2209858", "הצעת חוק לתיקון פקודת מס הכנסה (שווי השימוש ברכב או ברדיו טלפון נייד), התשפ""ד-2023 ")</f>
        <v>8073</v>
      </c>
      <c r="E3787" t="s">
        <v>8073</v>
      </c>
      <c r="F3787" t="s">
        <v>8074</v>
      </c>
      <c r="G3787" t="s">
        <v>14</v>
      </c>
      <c r="H3787">
             </c>
      <c r="I3787" t="s">
        <v>14</v>
      </c>
      <c r="J3787" t="s">
        <v>242</v>
      </c>
      <c r="K3787" t="s">
        <v>14</v>
      </c>
      <c r="L3787" t="s">
        <v>20</v>
      </c>
      <c r="M3787" t="s">
        <v>7963</v>
      </c>
      <c r="N3787" t="s">
        <v>14</v>
      </c>
    </row>
    <row r="3788" x14ac:dyDescent="0.25">
      <c r="A3788" t="n">
        <v>25</v>
      </c>
      <c r="B3788" t="s">
        <v>14</v>
      </c>
      <c r="C3788" t="s">
        <v>51</v>
      </c>
      <c r="D3788" s="2" t="s">
        <f>=HYPERLINK("https://main.knesset.gov.il/APPS/legislation/main/bills/2209734", "הצעת חוק משק החשמל (תיקון - תשלומי חשמל מופחתים בשל ילד עם מוגבלות), התשפ""ד-2023")</f>
        <v>8075</v>
      </c>
      <c r="E3788" t="s">
        <v>8075</v>
      </c>
      <c r="F3788" t="s">
        <v>8076</v>
      </c>
      <c r="G3788" t="s">
        <v>14</v>
      </c>
      <c r="H3788">
             </c>
      <c r="I3788" t="s">
        <v>14</v>
      </c>
      <c r="J3788" t="s">
        <v>242</v>
      </c>
      <c r="K3788" t="s">
        <v>14</v>
      </c>
      <c r="L3788" t="s">
        <v>20</v>
      </c>
      <c r="M3788" t="s">
        <v>7963</v>
      </c>
      <c r="N3788" t="s">
        <v>14</v>
      </c>
    </row>
    <row r="3789" x14ac:dyDescent="0.25">
      <c r="A3789" t="n">
        <v>25</v>
      </c>
      <c r="B3789" t="s">
        <v>14</v>
      </c>
      <c r="C3789" t="s">
        <v>51</v>
      </c>
      <c r="D3789" s="2" t="s">
        <f>=HYPERLINK("https://main.knesset.gov.il/APPS/legislation/main/bills/2209557", "הצעת חוק הסדרת העיסוק בייצוג על ידי יועצי מס (תיקון - היתר לבעל רישיון פנסיוני לייצג לפני רשות מס), התשפ""ד-2023")</f>
        <v>8077</v>
      </c>
      <c r="E3789" t="s">
        <v>8077</v>
      </c>
      <c r="F3789" t="s">
        <v>8078</v>
      </c>
      <c r="G3789" t="s">
        <v>14</v>
      </c>
      <c r="H3789">
             </c>
      <c r="I3789" t="s">
        <v>14</v>
      </c>
      <c r="J3789" t="s">
        <v>242</v>
      </c>
      <c r="K3789" t="s">
        <v>14</v>
      </c>
      <c r="L3789" t="s">
        <v>20</v>
      </c>
      <c r="M3789" t="s">
        <v>7963</v>
      </c>
      <c r="N3789" t="s">
        <v>14</v>
      </c>
    </row>
    <row r="3790" x14ac:dyDescent="0.25">
      <c r="A3790" t="n">
        <v>25</v>
      </c>
      <c r="B3790" t="s">
        <v>14</v>
      </c>
      <c r="C3790" t="s">
        <v>51</v>
      </c>
      <c r="D3790" s="2" t="s">
        <f>=HYPERLINK("https://main.knesset.gov.il/APPS/legislation/main/bills/2209513", "הצעת חוק-יסוד: כבוד האדם וחירותו (תיקון - הזכות לשוויון)")</f>
        <v>2894</v>
      </c>
      <c r="E3790" t="s">
        <v>2894</v>
      </c>
      <c r="F3790" t="s">
        <v>8079</v>
      </c>
      <c r="G3790" t="s">
        <v>14</v>
      </c>
      <c r="H3790">
             </c>
      <c r="I3790" t="s">
        <v>14</v>
      </c>
      <c r="J3790" t="s">
        <v>242</v>
      </c>
      <c r="K3790" t="s">
        <v>14</v>
      </c>
      <c r="L3790" t="s">
        <v>20</v>
      </c>
      <c r="M3790" t="s">
        <v>7963</v>
      </c>
      <c r="N3790" t="s">
        <v>14</v>
      </c>
    </row>
    <row r="3791" x14ac:dyDescent="0.25">
      <c r="A3791" t="n">
        <v>25</v>
      </c>
      <c r="B3791" t="s">
        <v>14</v>
      </c>
      <c r="C3791" t="s">
        <v>51</v>
      </c>
      <c r="D3791" s="2" t="s">
        <f>=HYPERLINK("https://main.knesset.gov.il/APPS/legislation/main/bills/2209383", "הצעת חוק מאבק בנטילת דמי חסות (אכיפה וענישה) (תיקוני חקיקה והוראת שעה), התשפ""ד-2023")</f>
        <v>8080</v>
      </c>
      <c r="E3791" t="s">
        <v>8080</v>
      </c>
      <c r="F3791" t="s">
        <v>8081</v>
      </c>
      <c r="G3791" t="s">
        <v>14</v>
      </c>
      <c r="H3791">
             </c>
      <c r="I3791" t="s">
        <v>14</v>
      </c>
      <c r="J3791" t="s">
        <v>242</v>
      </c>
      <c r="K3791" t="s">
        <v>14</v>
      </c>
      <c r="L3791" t="s">
        <v>20</v>
      </c>
      <c r="M3791" t="s">
        <v>7963</v>
      </c>
      <c r="N3791" t="s">
        <v>14</v>
      </c>
    </row>
    <row r="3792" x14ac:dyDescent="0.25">
      <c r="A3792" t="n">
        <v>25</v>
      </c>
      <c r="B3792" t="s">
        <v>14</v>
      </c>
      <c r="C3792" t="s">
        <v>51</v>
      </c>
      <c r="D3792" s="2" t="s">
        <f>=HYPERLINK("https://main.knesset.gov.il/APPS/legislation/main/bills/2209490", "הצעת חוק חניה לנכים (תיקון - זכאות תג נכה לצמיתות), התשפ""ד-2023")</f>
        <v>8082</v>
      </c>
      <c r="E3792" t="s">
        <v>8082</v>
      </c>
      <c r="F3792" t="s">
        <v>8083</v>
      </c>
      <c r="G3792" t="s">
        <v>14</v>
      </c>
      <c r="H3792">
             </c>
      <c r="I3792" t="s">
        <v>14</v>
      </c>
      <c r="J3792" t="s">
        <v>202</v>
      </c>
      <c r="K3792" t="s">
        <v>14</v>
      </c>
      <c r="L3792" t="s">
        <v>20</v>
      </c>
      <c r="M3792" t="s">
        <v>7963</v>
      </c>
      <c r="N3792" t="s">
        <v>14</v>
      </c>
    </row>
    <row r="3793" x14ac:dyDescent="0.25">
      <c r="A3793" t="n">
        <v>25</v>
      </c>
      <c r="B3793" t="s">
        <v>14</v>
      </c>
      <c r="C3793" t="s">
        <v>51</v>
      </c>
      <c r="D3793" s="2" t="s">
        <f>=HYPERLINK("https://main.knesset.gov.il/APPS/legislation/main/bills/2209487", "הצעת חוק לתיקון פקודת התעבורה (מחירי חניה ברשויות מקומיות), התשפ""ד-2023")</f>
        <v>8084</v>
      </c>
      <c r="E3793" t="s">
        <v>8084</v>
      </c>
      <c r="F3793" t="s">
        <v>8085</v>
      </c>
      <c r="G3793" t="s">
        <v>14</v>
      </c>
      <c r="H3793">
             </c>
      <c r="I3793" t="s">
        <v>14</v>
      </c>
      <c r="J3793" t="s">
        <v>242</v>
      </c>
      <c r="K3793" t="s">
        <v>14</v>
      </c>
      <c r="L3793" t="s">
        <v>20</v>
      </c>
      <c r="M3793" t="s">
        <v>7963</v>
      </c>
      <c r="N3793" t="s">
        <v>14</v>
      </c>
    </row>
    <row r="3794" x14ac:dyDescent="0.25">
      <c r="A3794" t="n">
        <v>25</v>
      </c>
      <c r="B3794" t="s">
        <v>14</v>
      </c>
      <c r="C3794" t="s">
        <v>51</v>
      </c>
      <c r="D3794" s="2" t="s">
        <f>=HYPERLINK("https://main.knesset.gov.il/APPS/legislation/main/bills/2209736", "הצעת חוק סיוע לצעירים חסרי עורף משפחתי, התשפ""ד-2023")</f>
        <v>8086</v>
      </c>
      <c r="E3794" t="s">
        <v>8086</v>
      </c>
      <c r="F3794" t="s">
        <v>8087</v>
      </c>
      <c r="G3794" t="s">
        <v>14</v>
      </c>
      <c r="H3794">
             </c>
      <c r="I3794" t="s">
        <v>14</v>
      </c>
      <c r="J3794" t="s">
        <v>202</v>
      </c>
      <c r="K3794" t="s">
        <v>14</v>
      </c>
      <c r="L3794" t="s">
        <v>20</v>
      </c>
      <c r="M3794" t="s">
        <v>7963</v>
      </c>
      <c r="N3794" t="s">
        <v>14</v>
      </c>
    </row>
    <row r="3795" x14ac:dyDescent="0.25">
      <c r="A3795" t="n">
        <v>25</v>
      </c>
      <c r="B3795" t="s">
        <v>14</v>
      </c>
      <c r="C3795" t="s">
        <v>51</v>
      </c>
      <c r="D3795" s="2" t="s">
        <f>=HYPERLINK("https://main.knesset.gov.il/APPS/legislation/main/bills/2209242", "הצעת חוק חינוך ממלכתי (תיקון - סמכויות המועצה לחינוך ממלכתי דתי), התשפ""ד-2023")</f>
        <v>8027</v>
      </c>
      <c r="E3795" t="s">
        <v>8027</v>
      </c>
      <c r="F3795" t="s">
        <v>8088</v>
      </c>
      <c r="G3795" t="s">
        <v>14</v>
      </c>
      <c r="H3795">
             </c>
      <c r="I3795" t="s">
        <v>14</v>
      </c>
      <c r="J3795" t="s">
        <v>242</v>
      </c>
      <c r="K3795" t="s">
        <v>14</v>
      </c>
      <c r="L3795" t="s">
        <v>20</v>
      </c>
      <c r="M3795" t="s">
        <v>7963</v>
      </c>
      <c r="N3795" t="s">
        <v>14</v>
      </c>
    </row>
    <row r="3796" x14ac:dyDescent="0.25">
      <c r="A3796" t="n">
        <v>25</v>
      </c>
      <c r="B3796" t="s">
        <v>14</v>
      </c>
      <c r="C3796" t="s">
        <v>51</v>
      </c>
      <c r="D3796" s="2" t="s">
        <f>=HYPERLINK("https://main.knesset.gov.il/APPS/legislation/main/bills/2207392", "הצעת חוק להקמת אוניברסיטה בעיר אשדוד, התשפ""ד-2023")</f>
        <v>8089</v>
      </c>
      <c r="E3796" t="s">
        <v>8089</v>
      </c>
      <c r="F3796" t="s">
        <v>8090</v>
      </c>
      <c r="G3796" t="s">
        <v>14</v>
      </c>
      <c r="H3796">
             </c>
      <c r="I3796" t="s">
        <v>14</v>
      </c>
      <c r="J3796" t="s">
        <v>242</v>
      </c>
      <c r="K3796" t="s">
        <v>14</v>
      </c>
      <c r="L3796" t="s">
        <v>20</v>
      </c>
      <c r="M3796" t="s">
        <v>7963</v>
      </c>
      <c r="N3796" t="s">
        <v>14</v>
      </c>
    </row>
    <row r="3797" x14ac:dyDescent="0.25">
      <c r="A3797" t="n">
        <v>25</v>
      </c>
      <c r="B3797" t="s">
        <v>14</v>
      </c>
      <c r="C3797" t="s">
        <v>51</v>
      </c>
      <c r="D3797" s="2" t="s">
        <f>=HYPERLINK("https://main.knesset.gov.il/APPS/legislation/main/bills/2209879", "הצעת חוק העונשין (תיקון - העלבת חייל והפרעה לחייל במילוי תפקידו), התשפ""ד-2023")</f>
        <v>8091</v>
      </c>
      <c r="E3797" t="s">
        <v>8091</v>
      </c>
      <c r="F3797" t="s">
        <v>8092</v>
      </c>
      <c r="G3797" t="s">
        <v>14</v>
      </c>
      <c r="H3797">
             </c>
      <c r="I3797" t="s">
        <v>14</v>
      </c>
      <c r="J3797" t="s">
        <v>242</v>
      </c>
      <c r="K3797" t="s">
        <v>14</v>
      </c>
      <c r="L3797" t="s">
        <v>20</v>
      </c>
      <c r="M3797" t="s">
        <v>7963</v>
      </c>
      <c r="N3797" t="s">
        <v>14</v>
      </c>
    </row>
    <row r="3798" x14ac:dyDescent="0.25">
      <c r="A3798" t="n">
        <v>25</v>
      </c>
      <c r="B3798" t="s">
        <v>14</v>
      </c>
      <c r="C3798" t="s">
        <v>51</v>
      </c>
      <c r="D3798" s="2" t="s">
        <f>=HYPERLINK("https://main.knesset.gov.il/APPS/legislation/main/bills/2209128", "הצעת חוק לתיקון פקודת התעבורה (פיצוי כספי בגין איחור אוטובוס), התשפ""ד-2023")</f>
        <v>8093</v>
      </c>
      <c r="E3798" t="s">
        <v>8093</v>
      </c>
      <c r="F3798" t="s">
        <v>8094</v>
      </c>
      <c r="G3798" t="s">
        <v>14</v>
      </c>
      <c r="H3798">
             </c>
      <c r="I3798" t="s">
        <v>14</v>
      </c>
      <c r="J3798" t="s">
        <v>242</v>
      </c>
      <c r="K3798" t="s">
        <v>14</v>
      </c>
      <c r="L3798" t="s">
        <v>20</v>
      </c>
      <c r="M3798" t="s">
        <v>7963</v>
      </c>
      <c r="N3798" t="s">
        <v>14</v>
      </c>
    </row>
    <row r="3799" x14ac:dyDescent="0.25">
      <c r="A3799" t="n">
        <v>25</v>
      </c>
      <c r="B3799" t="s">
        <v>14</v>
      </c>
      <c r="C3799" t="s">
        <v>51</v>
      </c>
      <c r="D3799" s="2" t="s">
        <f>=HYPERLINK("https://main.knesset.gov.il/APPS/legislation/main/bills/2209393", "הצעת חוק שוויון זכויות לאנשים עם מוגבלות (תיקון - חובת נגישות באוטובוסים בין-עירוניים), התשפ""ד-2023")</f>
        <v>8095</v>
      </c>
      <c r="E3799" t="s">
        <v>8095</v>
      </c>
      <c r="F3799" t="s">
        <v>8096</v>
      </c>
      <c r="G3799" t="s">
        <v>14</v>
      </c>
      <c r="H3799">
             </c>
      <c r="I3799" t="s">
        <v>14</v>
      </c>
      <c r="J3799" t="s">
        <v>242</v>
      </c>
      <c r="K3799" t="s">
        <v>14</v>
      </c>
      <c r="L3799" t="s">
        <v>20</v>
      </c>
      <c r="M3799" t="s">
        <v>7963</v>
      </c>
      <c r="N3799" t="s">
        <v>14</v>
      </c>
    </row>
    <row r="3800" x14ac:dyDescent="0.25">
      <c r="A3800" t="n">
        <v>25</v>
      </c>
      <c r="B3800" t="s">
        <v>14</v>
      </c>
      <c r="C3800" t="s">
        <v>51</v>
      </c>
      <c r="D3800" s="2" t="s">
        <f>=HYPERLINK("https://main.knesset.gov.il/APPS/legislation/main/bills/2203635", "הצעת חוק למניעת הטרדה מינית (תיקון - חובת הדרכה שנתית), התשפ""ד-2023")</f>
        <v>8097</v>
      </c>
      <c r="E3800" t="s">
        <v>8097</v>
      </c>
      <c r="F3800" t="s">
        <v>8098</v>
      </c>
      <c r="G3800" t="s">
        <v>14</v>
      </c>
      <c r="H3800">
             </c>
      <c r="I3800" t="s">
        <v>14</v>
      </c>
      <c r="J3800" t="s">
        <v>242</v>
      </c>
      <c r="K3800" t="s">
        <v>14</v>
      </c>
      <c r="L3800" t="s">
        <v>20</v>
      </c>
      <c r="M3800" t="s">
        <v>7963</v>
      </c>
      <c r="N3800" t="s">
        <v>14</v>
      </c>
    </row>
    <row r="3801" x14ac:dyDescent="0.25">
      <c r="A3801" t="n">
        <v>25</v>
      </c>
      <c r="B3801" t="s">
        <v>14</v>
      </c>
      <c r="C3801" t="s">
        <v>51</v>
      </c>
      <c r="D3801" s="2" t="s">
        <f>=HYPERLINK("https://main.knesset.gov.il/APPS/legislation/main/bills/2209524", "הצעת חוק הביטוח הלאומי (תיקון - הכרה בפגיעה מינית בעבודה כתאונת עבודה), התשפ""ד-2023")</f>
        <v>8099</v>
      </c>
      <c r="E3801" t="s">
        <v>8099</v>
      </c>
      <c r="F3801" t="s">
        <v>8100</v>
      </c>
      <c r="G3801" t="s">
        <v>14</v>
      </c>
      <c r="H3801">
             </c>
      <c r="I3801" t="s">
        <v>14</v>
      </c>
      <c r="J3801" t="s">
        <v>242</v>
      </c>
      <c r="K3801" t="s">
        <v>14</v>
      </c>
      <c r="L3801" t="s">
        <v>20</v>
      </c>
      <c r="M3801" t="s">
        <v>7963</v>
      </c>
      <c r="N3801" t="s">
        <v>14</v>
      </c>
    </row>
    <row r="3802" x14ac:dyDescent="0.25">
      <c r="A3802" t="n">
        <v>25</v>
      </c>
      <c r="B3802" t="s">
        <v>14</v>
      </c>
      <c r="C3802" t="s">
        <v>51</v>
      </c>
      <c r="D3802" s="2" t="s">
        <f>=HYPERLINK("https://main.knesset.gov.il/APPS/legislation/main/bills/2209729", "הצעת חוק הבטחת מסגרת השמה חוץ-ביתית לקטינים נזקקים, התשפ""ד-2023")</f>
        <v>8101</v>
      </c>
      <c r="E3802" t="s">
        <v>8101</v>
      </c>
      <c r="F3802" t="s">
        <v>8102</v>
      </c>
      <c r="G3802" t="s">
        <v>14</v>
      </c>
      <c r="H3802">
             </c>
      <c r="I3802" t="s">
        <v>14</v>
      </c>
      <c r="J3802" t="s">
        <v>242</v>
      </c>
      <c r="K3802" t="s">
        <v>14</v>
      </c>
      <c r="L3802" t="s">
        <v>20</v>
      </c>
      <c r="M3802" t="s">
        <v>7963</v>
      </c>
      <c r="N3802" t="s">
        <v>14</v>
      </c>
    </row>
    <row r="3803" x14ac:dyDescent="0.25">
      <c r="A3803" t="n">
        <v>25</v>
      </c>
      <c r="B3803" t="s">
        <v>14</v>
      </c>
      <c r="C3803" t="s">
        <v>51</v>
      </c>
      <c r="D3803" s="2" t="s">
        <f>=HYPERLINK("https://main.knesset.gov.il/APPS/legislation/main/bills/2209528", "הצעת חוק הבטחת מסגרת השמה חוץ-ביתית לקטינים נזקקים, התשפ""ד-2023")</f>
        <v>8101</v>
      </c>
      <c r="E3803" t="s">
        <v>8101</v>
      </c>
      <c r="F3803" t="s">
        <v>8103</v>
      </c>
      <c r="G3803" t="s">
        <v>14</v>
      </c>
      <c r="H3803">
             </c>
      <c r="I3803" t="s">
        <v>14</v>
      </c>
      <c r="J3803" t="s">
        <v>242</v>
      </c>
      <c r="K3803" t="s">
        <v>14</v>
      </c>
      <c r="L3803" t="s">
        <v>20</v>
      </c>
      <c r="M3803" t="s">
        <v>7963</v>
      </c>
      <c r="N3803" t="s">
        <v>14</v>
      </c>
    </row>
    <row r="3804" x14ac:dyDescent="0.25">
      <c r="A3804" t="n">
        <v>25</v>
      </c>
      <c r="B3804" t="s">
        <v>14</v>
      </c>
      <c r="C3804" t="s">
        <v>51</v>
      </c>
      <c r="D3804" s="2" t="s">
        <f>=HYPERLINK("https://main.knesset.gov.il/APPS/legislation/main/bills/2209375", "הצעת חוק איסור חקירה בדבר עברו המיני של נפגע עבירה (תיקוני חקיקה), התשפ""ד-2023")</f>
        <v>8104</v>
      </c>
      <c r="E3804" t="s">
        <v>8104</v>
      </c>
      <c r="F3804" t="s">
        <v>8105</v>
      </c>
      <c r="G3804" t="s">
        <v>14</v>
      </c>
      <c r="H3804">
             </c>
      <c r="I3804" t="s">
        <v>14</v>
      </c>
      <c r="J3804" t="s">
        <v>242</v>
      </c>
      <c r="K3804" t="s">
        <v>14</v>
      </c>
      <c r="L3804" t="s">
        <v>20</v>
      </c>
      <c r="M3804" t="s">
        <v>7963</v>
      </c>
      <c r="N3804" t="s">
        <v>14</v>
      </c>
    </row>
    <row r="3805" x14ac:dyDescent="0.25">
      <c r="A3805" t="n">
        <v>25</v>
      </c>
      <c r="B3805" t="s">
        <v>14</v>
      </c>
      <c r="C3805" t="s">
        <v>51</v>
      </c>
      <c r="D3805" s="2" t="s">
        <f>=HYPERLINK("https://main.knesset.gov.il/APPS/legislation/main/bills/2208395", "הצעת חוק איסור חקירה בדבר עברו המיני של נפגע עבירה (תיקוני חקיקה), התשפ""ד-2023")</f>
        <v>8104</v>
      </c>
      <c r="E3805" t="s">
        <v>8104</v>
      </c>
      <c r="F3805" t="s">
        <v>8106</v>
      </c>
      <c r="G3805" t="s">
        <v>14</v>
      </c>
      <c r="H3805">
             </c>
      <c r="I3805" t="s">
        <v>14</v>
      </c>
      <c r="J3805" t="s">
        <v>242</v>
      </c>
      <c r="K3805" t="s">
        <v>14</v>
      </c>
      <c r="L3805" t="s">
        <v>20</v>
      </c>
      <c r="M3805" t="s">
        <v>7963</v>
      </c>
      <c r="N3805" t="s">
        <v>14</v>
      </c>
    </row>
    <row r="3806" x14ac:dyDescent="0.25">
      <c r="A3806" t="n">
        <v>25</v>
      </c>
      <c r="B3806" t="s">
        <v>14</v>
      </c>
      <c r="C3806" t="s">
        <v>51</v>
      </c>
      <c r="D3806" s="2" t="s">
        <f>=HYPERLINK("https://main.knesset.gov.il/APPS/legislation/main/bills/2209555", "הצעת חוק שירותי הסעד (תיקון - איסור התניית מימון שירותי רווחה ברשויות מוחלשות), התשפ""ד-2023")</f>
        <v>8107</v>
      </c>
      <c r="E3806" t="s">
        <v>8107</v>
      </c>
      <c r="F3806" t="s">
        <v>8108</v>
      </c>
      <c r="G3806" t="s">
        <v>14</v>
      </c>
      <c r="H3806">
             </c>
      <c r="I3806" t="s">
        <v>14</v>
      </c>
      <c r="J3806" t="s">
        <v>242</v>
      </c>
      <c r="K3806" t="s">
        <v>14</v>
      </c>
      <c r="L3806" t="s">
        <v>20</v>
      </c>
      <c r="M3806" t="s">
        <v>7963</v>
      </c>
      <c r="N3806" t="s">
        <v>14</v>
      </c>
    </row>
    <row r="3807" x14ac:dyDescent="0.25">
      <c r="A3807" t="n">
        <v>25</v>
      </c>
      <c r="B3807" t="s">
        <v>14</v>
      </c>
      <c r="C3807" t="s">
        <v>15</v>
      </c>
      <c r="D3807" s="2" t="s">
        <f>=HYPERLINK("https://main.knesset.gov.il/APPS/legislation/main/bills/2208654", "חוק שחרור על-תנאי ממאסר (תיקון מס' 17 – הוראת שעה) (תיקון מס' 3), התשפ""ד-2023")</f>
        <v>8109</v>
      </c>
      <c r="E3807" t="s">
        <v>8109</v>
      </c>
      <c r="F3807" t="s">
        <v>14</v>
      </c>
      <c r="G3807" t="s">
        <v>8110</v>
      </c>
      <c r="H3807" t="n">
        <v>3090</v>
      </c>
      <c r="I3807" t="s">
        <v>14</v>
      </c>
      <c r="J3807" t="s">
        <v>18</v>
      </c>
      <c r="K3807" t="s">
        <v>19</v>
      </c>
      <c r="L3807" t="s">
        <v>20</v>
      </c>
      <c r="M3807" t="s">
        <v>8111</v>
      </c>
      <c r="N3807" t="s">
        <v>8112</v>
      </c>
    </row>
    <row r="3808" x14ac:dyDescent="0.25">
      <c r="A3808" t="n">
        <v>25</v>
      </c>
      <c r="B3808" t="s">
        <v>14</v>
      </c>
      <c r="C3808" t="s">
        <v>51</v>
      </c>
      <c r="D3808" s="2" t="s">
        <f>=HYPERLINK("https://main.knesset.gov.il/APPS/legislation/main/bills/2202845", "הצעת חוק לתיקון פקודת התעבורה (חובת נשיאת לוחית זיהוי באופניים ממונעים ובקורקינט ממונע), התשפ""ג-2023")</f>
        <v>8113</v>
      </c>
      <c r="E3808" t="s">
        <v>8113</v>
      </c>
      <c r="F3808" t="s">
        <v>8114</v>
      </c>
      <c r="G3808" t="s">
        <v>14</v>
      </c>
      <c r="H3808">
             </c>
      <c r="I3808" t="s">
        <v>14</v>
      </c>
      <c r="J3808" t="s">
        <v>152</v>
      </c>
      <c r="K3808" t="s">
        <v>84</v>
      </c>
      <c r="L3808" t="s">
        <v>20</v>
      </c>
      <c r="M3808" t="s">
        <v>8115</v>
      </c>
      <c r="N3808" t="s">
        <v>14</v>
      </c>
    </row>
    <row r="3809" x14ac:dyDescent="0.25">
      <c r="A3809" t="n">
        <v>25</v>
      </c>
      <c r="B3809" t="s">
        <v>14</v>
      </c>
      <c r="C3809" t="s">
        <v>51</v>
      </c>
      <c r="D3809" s="2" t="s">
        <f>=HYPERLINK("https://main.knesset.gov.il/APPS/legislation/main/bills/2196346", "הצעת חוק לתיקון פקודת התעבורה (חובת נשיאת לוחית זיהוי באופניים ממונעים ובקורקינט ממונע), התשפ""ג-2022")</f>
        <v>8116</v>
      </c>
      <c r="E3809" t="s">
        <v>8116</v>
      </c>
      <c r="F3809" t="s">
        <v>8117</v>
      </c>
      <c r="G3809" t="s">
        <v>14</v>
      </c>
      <c r="H3809">
             </c>
      <c r="I3809" t="s">
        <v>14</v>
      </c>
      <c r="J3809" t="s">
        <v>152</v>
      </c>
      <c r="K3809" t="s">
        <v>84</v>
      </c>
      <c r="L3809" t="s">
        <v>20</v>
      </c>
      <c r="M3809" t="s">
        <v>8115</v>
      </c>
      <c r="N3809" t="s">
        <v>14</v>
      </c>
    </row>
    <row r="3810" x14ac:dyDescent="0.25">
      <c r="A3810" t="n">
        <v>25</v>
      </c>
      <c r="B3810" t="s">
        <v>14</v>
      </c>
      <c r="C3810" t="s">
        <v>15</v>
      </c>
      <c r="D3810" s="2" t="s">
        <f>=HYPERLINK("https://main.knesset.gov.il/APPS/legislation/main/bills/2190785", "חוק תשלומים לחיילים בשירות סדיר (הגנה על תשלומים) (תיקון מס' 2), התשפ""ג-2023")</f>
        <v>8118</v>
      </c>
      <c r="E3810" t="s">
        <v>8118</v>
      </c>
      <c r="F3810" t="s">
        <v>14</v>
      </c>
      <c r="G3810" t="s">
        <v>8119</v>
      </c>
      <c r="H3810" t="n">
        <v>3089</v>
      </c>
      <c r="I3810" t="s">
        <v>14</v>
      </c>
      <c r="J3810" t="s">
        <v>18</v>
      </c>
      <c r="K3810" t="s">
        <v>46</v>
      </c>
      <c r="L3810" t="s">
        <v>20</v>
      </c>
      <c r="M3810" t="s">
        <v>8120</v>
      </c>
      <c r="N3810" t="s">
        <v>8121</v>
      </c>
    </row>
    <row r="3811" x14ac:dyDescent="0.25">
      <c r="A3811" t="n">
        <v>25</v>
      </c>
      <c r="B3811" t="s">
        <v>14</v>
      </c>
      <c r="C3811" t="s">
        <v>51</v>
      </c>
      <c r="D3811" s="2" t="s">
        <f>=HYPERLINK("https://main.knesset.gov.il/APPS/legislation/main/bills/2202520", "הצעת חוק לתיקון פקודת העיריות (צדק חלוקתי בכל הרשויות המתוקצבות במדינת ישראל), התשפ""ג-2023")</f>
        <v>8122</v>
      </c>
      <c r="E3811" t="s">
        <v>8122</v>
      </c>
      <c r="F3811" t="s">
        <v>8123</v>
      </c>
      <c r="G3811" t="s">
        <v>14</v>
      </c>
      <c r="H3811">
             </c>
      <c r="I3811" t="s">
        <v>14</v>
      </c>
      <c r="J3811" t="s">
        <v>152</v>
      </c>
      <c r="K3811" t="s">
        <v>30</v>
      </c>
      <c r="L3811" t="s">
        <v>20</v>
      </c>
      <c r="M3811" t="s">
        <v>8120</v>
      </c>
      <c r="N3811" t="s">
        <v>14</v>
      </c>
    </row>
    <row r="3812" x14ac:dyDescent="0.25">
      <c r="A3812" t="n">
        <v>25</v>
      </c>
      <c r="B3812" t="s">
        <v>14</v>
      </c>
      <c r="C3812" t="s">
        <v>51</v>
      </c>
      <c r="D3812" s="2" t="s">
        <f>=HYPERLINK("https://main.knesset.gov.il/APPS/legislation/main/bills/2196687", "הצעת חוק לתיקון פקודת העיריות (צדק חלוקתי בכל הרשויות המתוקצבות במדינת ישראל), התשפ""ג-2022")</f>
        <v>8124</v>
      </c>
      <c r="E3812" t="s">
        <v>8124</v>
      </c>
      <c r="F3812" t="s">
        <v>8125</v>
      </c>
      <c r="G3812" t="s">
        <v>14</v>
      </c>
      <c r="H3812">
             </c>
      <c r="I3812" t="s">
        <v>14</v>
      </c>
      <c r="J3812" t="s">
        <v>152</v>
      </c>
      <c r="K3812" t="s">
        <v>30</v>
      </c>
      <c r="L3812" t="s">
        <v>20</v>
      </c>
      <c r="M3812" t="s">
        <v>8120</v>
      </c>
      <c r="N3812" t="s">
        <v>14</v>
      </c>
    </row>
    <row r="3813" x14ac:dyDescent="0.25">
      <c r="A3813" t="n">
        <v>25</v>
      </c>
      <c r="B3813" t="s">
        <v>14</v>
      </c>
      <c r="C3813" t="s">
        <v>15</v>
      </c>
      <c r="D3813" s="2" t="s">
        <f>=HYPERLINK("https://main.knesset.gov.il/APPS/legislation/main/bills/2209061", "הצעת חוק התכנון והבנייה (תיקון מס' 146), התשפ""ג-2023")</f>
        <v>8126</v>
      </c>
      <c r="E3813" t="s">
        <v>8126</v>
      </c>
      <c r="F3813" t="s">
        <v>14</v>
      </c>
      <c r="G3813" t="s">
        <v>8127</v>
      </c>
      <c r="H3813">
             </c>
      <c r="I3813" t="s">
        <v>14</v>
      </c>
      <c r="J3813" t="s">
        <v>38</v>
      </c>
      <c r="K3813" t="s">
        <v>30</v>
      </c>
      <c r="L3813" t="s">
        <v>20</v>
      </c>
      <c r="M3813" t="s">
        <v>8120</v>
      </c>
      <c r="N3813" t="s">
        <v>14</v>
      </c>
    </row>
    <row r="3814" x14ac:dyDescent="0.25">
      <c r="A3814" t="n">
        <v>25</v>
      </c>
      <c r="B3814" t="s">
        <v>14</v>
      </c>
      <c r="C3814" t="s">
        <v>15</v>
      </c>
      <c r="D3814" s="2" t="s">
        <f>=HYPERLINK("https://main.knesset.gov.il/APPS/legislation/main/bills/2192649", "הצעת חוק ההוצאה לפועל (תיקון מס' 71) (ריבית ודמי פיגורים), התשפ""ב-2022 ")</f>
        <v>8128</v>
      </c>
      <c r="E3814" t="s">
        <v>8128</v>
      </c>
      <c r="F3814" t="s">
        <v>14</v>
      </c>
      <c r="G3814" t="s">
        <v>7826</v>
      </c>
      <c r="H3814">
             </c>
      <c r="I3814" t="s">
        <v>3504</v>
      </c>
      <c r="J3814" t="s">
        <v>38</v>
      </c>
      <c r="K3814" t="s">
        <v>27</v>
      </c>
      <c r="L3814" t="s">
        <v>20</v>
      </c>
      <c r="M3814" t="s">
        <v>8129</v>
      </c>
      <c r="N3814" t="s">
        <v>14</v>
      </c>
    </row>
    <row r="3815" x14ac:dyDescent="0.25">
      <c r="A3815" t="n">
        <v>25</v>
      </c>
      <c r="B3815" t="s">
        <v>14</v>
      </c>
      <c r="C3815" t="s">
        <v>15</v>
      </c>
      <c r="D3815" s="2" t="s">
        <f>=HYPERLINK("https://main.knesset.gov.il/APPS/legislation/main/bills/2190418", "חוק כלי הירייה (תיקון מס' 24), התשפ""ג-2023")</f>
        <v>8130</v>
      </c>
      <c r="E3815" t="s">
        <v>8130</v>
      </c>
      <c r="F3815" t="s">
        <v>14</v>
      </c>
      <c r="G3815" t="s">
        <v>8131</v>
      </c>
      <c r="H3815" t="n">
        <v>3086</v>
      </c>
      <c r="I3815" t="s">
        <v>14</v>
      </c>
      <c r="J3815" t="s">
        <v>18</v>
      </c>
      <c r="K3815" t="s">
        <v>19</v>
      </c>
      <c r="L3815" t="s">
        <v>20</v>
      </c>
      <c r="M3815" t="s">
        <v>8132</v>
      </c>
      <c r="N3815" t="s">
        <v>8133</v>
      </c>
    </row>
    <row r="3816" x14ac:dyDescent="0.25">
      <c r="A3816" t="n">
        <v>25</v>
      </c>
      <c r="B3816" t="s">
        <v>14</v>
      </c>
      <c r="C3816" t="s">
        <v>51</v>
      </c>
      <c r="D3816" s="2" t="s">
        <f>=HYPERLINK("https://main.knesset.gov.il/APPS/legislation/main/bills/2161081", "חוק עבודת הנוער (תיקון מס' 21), התשפ""ג-2023")</f>
        <v>8134</v>
      </c>
      <c r="E3816" t="s">
        <v>8134</v>
      </c>
      <c r="F3816" t="s">
        <v>8135</v>
      </c>
      <c r="G3816" t="s">
        <v>8136</v>
      </c>
      <c r="H3816" t="n">
        <v>3084</v>
      </c>
      <c r="I3816" t="s">
        <v>14</v>
      </c>
      <c r="J3816" t="s">
        <v>18</v>
      </c>
      <c r="K3816" t="s">
        <v>8137</v>
      </c>
      <c r="L3816" t="s">
        <v>20</v>
      </c>
      <c r="M3816" t="s">
        <v>8132</v>
      </c>
      <c r="N3816" t="s">
        <v>8138</v>
      </c>
    </row>
    <row r="3817" x14ac:dyDescent="0.25">
      <c r="A3817" t="n">
        <v>25</v>
      </c>
      <c r="B3817" t="s">
        <v>14</v>
      </c>
      <c r="C3817" t="s">
        <v>51</v>
      </c>
      <c r="D3817" s="2" t="s">
        <f>=HYPERLINK("https://main.knesset.gov.il/APPS/legislation/main/bills/2197714", "חוק החמרת ענישה בעבירות מין על רקע לאומני (תיקוני חקיקה), התשפ""ג-2023")</f>
        <v>8139</v>
      </c>
      <c r="E3817" t="s">
        <v>8139</v>
      </c>
      <c r="F3817" t="s">
        <v>8140</v>
      </c>
      <c r="G3817" t="s">
        <v>8141</v>
      </c>
      <c r="H3817" t="n">
        <v>3083</v>
      </c>
      <c r="I3817" t="s">
        <v>14</v>
      </c>
      <c r="J3817" t="s">
        <v>18</v>
      </c>
      <c r="K3817" t="s">
        <v>14</v>
      </c>
      <c r="L3817" t="s">
        <v>20</v>
      </c>
      <c r="M3817" t="s">
        <v>8132</v>
      </c>
      <c r="N3817" t="s">
        <v>8142</v>
      </c>
    </row>
    <row r="3818" x14ac:dyDescent="0.25">
      <c r="A3818" t="n">
        <v>25</v>
      </c>
      <c r="B3818" t="s">
        <v>14</v>
      </c>
      <c r="C3818" t="s">
        <v>15</v>
      </c>
      <c r="D3818" s="2" t="s">
        <f>=HYPERLINK("https://main.knesset.gov.il/APPS/legislation/main/bills/2206851", "חוק הגנת הצרכן (תיקון מס' 66), התשפ""ג-2023")</f>
        <v>8143</v>
      </c>
      <c r="E3818" t="s">
        <v>8143</v>
      </c>
      <c r="F3818" t="s">
        <v>14</v>
      </c>
      <c r="G3818" t="s">
        <v>8144</v>
      </c>
      <c r="H3818" t="n">
        <v>3082</v>
      </c>
      <c r="I3818" t="s">
        <v>14</v>
      </c>
      <c r="J3818" t="s">
        <v>18</v>
      </c>
      <c r="K3818" t="s">
        <v>84</v>
      </c>
      <c r="L3818" t="s">
        <v>20</v>
      </c>
      <c r="M3818" t="s">
        <v>8132</v>
      </c>
      <c r="N3818" t="s">
        <v>8145</v>
      </c>
    </row>
    <row r="3819" x14ac:dyDescent="0.25">
      <c r="A3819" t="n">
        <v>25</v>
      </c>
      <c r="B3819" t="s">
        <v>14</v>
      </c>
      <c r="C3819" t="s">
        <v>15</v>
      </c>
      <c r="D3819" s="2" t="s">
        <f>=HYPERLINK("https://main.knesset.gov.il/APPS/legislation/main/bills/2205490", "חוק להסדר ההימורים בספורט (תיקון מס' 15), התשפ""ג-2023")</f>
        <v>8146</v>
      </c>
      <c r="E3819" t="s">
        <v>8146</v>
      </c>
      <c r="F3819" t="s">
        <v>14</v>
      </c>
      <c r="G3819" t="s">
        <v>8147</v>
      </c>
      <c r="H3819" t="n">
        <v>3081</v>
      </c>
      <c r="I3819" t="s">
        <v>14</v>
      </c>
      <c r="J3819" t="s">
        <v>18</v>
      </c>
      <c r="K3819" t="s">
        <v>24</v>
      </c>
      <c r="L3819" t="s">
        <v>20</v>
      </c>
      <c r="M3819" t="s">
        <v>8132</v>
      </c>
      <c r="N3819" t="s">
        <v>8148</v>
      </c>
    </row>
    <row r="3820" x14ac:dyDescent="0.25">
      <c r="A3820" t="n">
        <v>25</v>
      </c>
      <c r="B3820" t="s">
        <v>14</v>
      </c>
      <c r="C3820" t="s">
        <v>51</v>
      </c>
      <c r="D3820" s="2" t="s">
        <f>=HYPERLINK("https://main.knesset.gov.il/APPS/legislation/main/bills/2200306", "חוק העונשין (תיקון מס' 146 והוראת שעה), התשפ""ג–2023")</f>
        <v>8149</v>
      </c>
      <c r="E3820" t="s">
        <v>8149</v>
      </c>
      <c r="F3820" t="s">
        <v>8150</v>
      </c>
      <c r="G3820" t="s">
        <v>8151</v>
      </c>
      <c r="H3820" t="n">
        <v>3080</v>
      </c>
      <c r="I3820" t="s">
        <v>14</v>
      </c>
      <c r="J3820" t="s">
        <v>18</v>
      </c>
      <c r="K3820" t="s">
        <v>14</v>
      </c>
      <c r="L3820" t="s">
        <v>20</v>
      </c>
      <c r="M3820" t="s">
        <v>8132</v>
      </c>
      <c r="N3820" t="s">
        <v>8152</v>
      </c>
    </row>
    <row r="3821" x14ac:dyDescent="0.25">
      <c r="A3821" t="n">
        <v>25</v>
      </c>
      <c r="B3821" t="s">
        <v>14</v>
      </c>
      <c r="C3821" t="s">
        <v>51</v>
      </c>
      <c r="D3821" s="2" t="s">
        <f>=HYPERLINK("https://main.knesset.gov.il/APPS/legislation/main/bills/2197153", "חוק למניעת העסקה במוסדות מסוימים של מי שהורשע באלימות כלפי ילדים וחסרי ישע, התשפ""ג-2023")</f>
        <v>8153</v>
      </c>
      <c r="E3821" t="s">
        <v>8153</v>
      </c>
      <c r="F3821" t="s">
        <v>8154</v>
      </c>
      <c r="G3821" t="s">
        <v>8155</v>
      </c>
      <c r="H3821" t="n">
        <v>3079</v>
      </c>
      <c r="I3821" t="s">
        <v>14</v>
      </c>
      <c r="J3821" t="s">
        <v>18</v>
      </c>
      <c r="K3821" t="s">
        <v>79</v>
      </c>
      <c r="L3821" t="s">
        <v>20</v>
      </c>
      <c r="M3821" t="s">
        <v>8132</v>
      </c>
      <c r="N3821" t="s">
        <v>8156</v>
      </c>
    </row>
    <row r="3822" x14ac:dyDescent="0.25">
      <c r="A3822" t="n">
        <v>25</v>
      </c>
      <c r="B3822" t="s">
        <v>14</v>
      </c>
      <c r="C3822" t="s">
        <v>15</v>
      </c>
      <c r="D3822" s="2" t="s">
        <f>=HYPERLINK("https://main.knesset.gov.il/APPS/legislation/main/bills/2204193", "חוק התאגיד לפיקוח וטרינרי (תיקוני חקיקה), התשפ""ג-2023")</f>
        <v>8157</v>
      </c>
      <c r="E3822" t="s">
        <v>8157</v>
      </c>
      <c r="F3822" t="s">
        <v>14</v>
      </c>
      <c r="G3822" t="s">
        <v>81</v>
      </c>
      <c r="H3822" t="n">
        <v>3078</v>
      </c>
      <c r="I3822" t="s">
        <v>14</v>
      </c>
      <c r="J3822" t="s">
        <v>18</v>
      </c>
      <c r="K3822" t="s">
        <v>361</v>
      </c>
      <c r="L3822" t="s">
        <v>20</v>
      </c>
      <c r="M3822" t="s">
        <v>8132</v>
      </c>
      <c r="N3822" t="s">
        <v>8158</v>
      </c>
    </row>
    <row r="3823" x14ac:dyDescent="0.25">
      <c r="A3823" t="n">
        <v>25</v>
      </c>
      <c r="B3823" t="s">
        <v>14</v>
      </c>
      <c r="C3823" t="s">
        <v>51</v>
      </c>
      <c r="D3823" s="2" t="s">
        <f>=HYPERLINK("https://main.knesset.gov.il/APPS/legislation/main/bills/2207606", "חוק מיסוי תשלומים בתקופת בחירות (תיקון מס' 9 - הוראת שעה), התשפ""ג–2023")</f>
        <v>8159</v>
      </c>
      <c r="E3823" t="s">
        <v>8159</v>
      </c>
      <c r="F3823" t="s">
        <v>8160</v>
      </c>
      <c r="G3823" t="s">
        <v>8161</v>
      </c>
      <c r="H3823" t="n">
        <v>3077</v>
      </c>
      <c r="I3823" t="s">
        <v>14</v>
      </c>
      <c r="J3823" t="s">
        <v>18</v>
      </c>
      <c r="K3823" t="s">
        <v>30</v>
      </c>
      <c r="L3823" t="s">
        <v>20</v>
      </c>
      <c r="M3823" t="s">
        <v>8132</v>
      </c>
      <c r="N3823" t="s">
        <v>8162</v>
      </c>
    </row>
    <row r="3824" x14ac:dyDescent="0.25">
      <c r="A3824" t="n">
        <v>25</v>
      </c>
      <c r="B3824" t="s">
        <v>14</v>
      </c>
      <c r="C3824" t="s">
        <v>15</v>
      </c>
      <c r="D3824" s="2" t="s">
        <f>=HYPERLINK("https://main.knesset.gov.il/APPS/legislation/main/bills/2208659", "חוק שירות ביטחון (הוראת שעה) (הצבת יוצאי צבא בשירות בתי הסוהר) (תיקון מס' 11), התשפ""ג-2023")</f>
        <v>8163</v>
      </c>
      <c r="E3824" t="s">
        <v>8163</v>
      </c>
      <c r="F3824" t="s">
        <v>14</v>
      </c>
      <c r="G3824" t="s">
        <v>8164</v>
      </c>
      <c r="H3824" t="n">
        <v>3076</v>
      </c>
      <c r="I3824" t="s">
        <v>14</v>
      </c>
      <c r="J3824" t="s">
        <v>18</v>
      </c>
      <c r="K3824" t="s">
        <v>39</v>
      </c>
      <c r="L3824" t="s">
        <v>20</v>
      </c>
      <c r="M3824" t="s">
        <v>8132</v>
      </c>
      <c r="N3824" t="s">
        <v>8165</v>
      </c>
    </row>
    <row r="3825" x14ac:dyDescent="0.25">
      <c r="A3825" t="n">
        <v>25</v>
      </c>
      <c r="B3825" t="s">
        <v>14</v>
      </c>
      <c r="C3825" t="s">
        <v>15</v>
      </c>
      <c r="D3825" s="2" t="s">
        <f>=HYPERLINK("https://main.knesset.gov.il/APPS/legislation/main/bills/2207374", "חוק שירות אזרחי (תיקון מס' 4), התשפ""ג-2023")</f>
        <v>8166</v>
      </c>
      <c r="E3825" t="s">
        <v>8166</v>
      </c>
      <c r="F3825" t="s">
        <v>14</v>
      </c>
      <c r="G3825" t="s">
        <v>8167</v>
      </c>
      <c r="H3825" t="n">
        <v>3075</v>
      </c>
      <c r="I3825" t="s">
        <v>14</v>
      </c>
      <c r="J3825" t="s">
        <v>18</v>
      </c>
      <c r="K3825" t="s">
        <v>46</v>
      </c>
      <c r="L3825" t="s">
        <v>20</v>
      </c>
      <c r="M3825" t="s">
        <v>8132</v>
      </c>
      <c r="N3825" t="s">
        <v>8168</v>
      </c>
    </row>
    <row r="3826" x14ac:dyDescent="0.25">
      <c r="A3826" t="n">
        <v>25</v>
      </c>
      <c r="B3826" t="s">
        <v>14</v>
      </c>
      <c r="C3826" t="s">
        <v>15</v>
      </c>
      <c r="D3826" s="2" t="s">
        <f>=HYPERLINK("https://main.knesset.gov.il/APPS/legislation/main/bills/2208655", "חוק רישוי שירותים ומקצועות בענף הרכב (תיקון מס' 11), התשפ""ג-2023")</f>
        <v>8169</v>
      </c>
      <c r="E3826" t="s">
        <v>8169</v>
      </c>
      <c r="F3826" t="s">
        <v>14</v>
      </c>
      <c r="G3826" t="s">
        <v>8170</v>
      </c>
      <c r="H3826" t="n">
        <v>3074</v>
      </c>
      <c r="I3826" t="s">
        <v>14</v>
      </c>
      <c r="J3826" t="s">
        <v>18</v>
      </c>
      <c r="K3826" t="s">
        <v>84</v>
      </c>
      <c r="L3826" t="s">
        <v>20</v>
      </c>
      <c r="M3826" t="s">
        <v>8132</v>
      </c>
      <c r="N3826" t="s">
        <v>8171</v>
      </c>
    </row>
    <row r="3827" x14ac:dyDescent="0.25">
      <c r="A3827" t="n">
        <v>25</v>
      </c>
      <c r="B3827" t="s">
        <v>14</v>
      </c>
      <c r="C3827" t="s">
        <v>51</v>
      </c>
      <c r="D3827" s="2" t="s">
        <f>=HYPERLINK("https://main.knesset.gov.il/APPS/legislation/main/bills/2156264", "חוק ביטוח בריאות ממלכתי (תיקון מס' 67), התשפ""ג–2023")</f>
        <v>8172</v>
      </c>
      <c r="E3827" t="s">
        <v>8172</v>
      </c>
      <c r="F3827" t="s">
        <v>8173</v>
      </c>
      <c r="G3827" t="s">
        <v>8174</v>
      </c>
      <c r="H3827" t="n">
        <v>3073</v>
      </c>
      <c r="I3827" t="s">
        <v>14</v>
      </c>
      <c r="J3827" t="s">
        <v>18</v>
      </c>
      <c r="K3827" t="s">
        <v>361</v>
      </c>
      <c r="L3827" t="s">
        <v>20</v>
      </c>
      <c r="M3827" t="s">
        <v>8132</v>
      </c>
      <c r="N3827" t="s">
        <v>8175</v>
      </c>
    </row>
    <row r="3828" x14ac:dyDescent="0.25">
      <c r="A3828" t="n">
        <v>25</v>
      </c>
      <c r="B3828" t="s">
        <v>14</v>
      </c>
      <c r="C3828" t="s">
        <v>15</v>
      </c>
      <c r="D3828" s="2" t="s">
        <f>=HYPERLINK("https://main.knesset.gov.il/APPS/legislation/main/bills/2195284", "חוק הנכים (תגמולים ושיקום) (תיקון מס' 32), התשפ""ג-2023")</f>
        <v>8176</v>
      </c>
      <c r="E3828" t="s">
        <v>8176</v>
      </c>
      <c r="F3828" t="s">
        <v>14</v>
      </c>
      <c r="G3828" t="s">
        <v>8177</v>
      </c>
      <c r="H3828" t="n">
        <v>3072</v>
      </c>
      <c r="I3828" t="s">
        <v>14</v>
      </c>
      <c r="J3828" t="s">
        <v>18</v>
      </c>
      <c r="K3828" t="s">
        <v>46</v>
      </c>
      <c r="L3828" t="s">
        <v>20</v>
      </c>
      <c r="M3828" t="s">
        <v>8132</v>
      </c>
      <c r="N3828" t="s">
        <v>8178</v>
      </c>
    </row>
    <row r="3829" x14ac:dyDescent="0.25">
      <c r="A3829" t="n">
        <v>25</v>
      </c>
      <c r="B3829" t="s">
        <v>14</v>
      </c>
      <c r="C3829" t="s">
        <v>51</v>
      </c>
      <c r="D3829" s="2" t="s">
        <f>=HYPERLINK("https://main.knesset.gov.il/APPS/legislation/main/bills/2208957", "הצעת חוק זכויות הסטודנט (תיקון - התאמות לאוכלוסייה הערבית - חגים), התשפ""ג-2023")</f>
        <v>6188</v>
      </c>
      <c r="E3829" t="s">
        <v>6188</v>
      </c>
      <c r="F3829" t="s">
        <v>8179</v>
      </c>
      <c r="G3829" t="s">
        <v>14</v>
      </c>
      <c r="H3829">
             </c>
      <c r="I3829" t="s">
        <v>14</v>
      </c>
      <c r="J3829" t="s">
        <v>202</v>
      </c>
      <c r="K3829" t="s">
        <v>14</v>
      </c>
      <c r="L3829" t="s">
        <v>20</v>
      </c>
      <c r="M3829" t="s">
        <v>8180</v>
      </c>
      <c r="N3829" t="s">
        <v>14</v>
      </c>
    </row>
    <row r="3830" x14ac:dyDescent="0.25">
      <c r="A3830" t="n">
        <v>25</v>
      </c>
      <c r="B3830" t="s">
        <v>14</v>
      </c>
      <c r="C3830" t="s">
        <v>51</v>
      </c>
      <c r="D3830" s="2" t="s">
        <f>=HYPERLINK("https://main.knesset.gov.il/APPS/legislation/main/bills/2209051", "הצעת חוק סדר הדין הפלילי (סמכויות אכיפה - מעצרים) (תיקון - סייג לקביעת קצין משטרה את תנאי השחרור ממעצר המגבילים את זכות ההפגנה), התשפ""ג-2023")</f>
        <v>8181</v>
      </c>
      <c r="E3830" t="s">
        <v>8181</v>
      </c>
      <c r="F3830" t="s">
        <v>8182</v>
      </c>
      <c r="G3830" t="s">
        <v>14</v>
      </c>
      <c r="H3830">
             </c>
      <c r="I3830" t="s">
        <v>14</v>
      </c>
      <c r="J3830" t="s">
        <v>242</v>
      </c>
      <c r="K3830" t="s">
        <v>14</v>
      </c>
      <c r="L3830" t="s">
        <v>20</v>
      </c>
      <c r="M3830" t="s">
        <v>8180</v>
      </c>
      <c r="N3830" t="s">
        <v>14</v>
      </c>
    </row>
    <row r="3831" x14ac:dyDescent="0.25">
      <c r="A3831" t="n">
        <v>25</v>
      </c>
      <c r="B3831" t="s">
        <v>14</v>
      </c>
      <c r="C3831" t="s">
        <v>51</v>
      </c>
      <c r="D3831" s="2" t="s">
        <f>=HYPERLINK("https://main.knesset.gov.il/APPS/legislation/main/bills/2207001", "הצעת חוק סדר הדין הפלילי (חקירת חשודים) (תיקון - נוכחות עורך דין בחקירת חשוד בעבירות פשע), התשפ""ג-2023")</f>
        <v>8183</v>
      </c>
      <c r="E3831" t="s">
        <v>8183</v>
      </c>
      <c r="F3831" t="s">
        <v>8184</v>
      </c>
      <c r="G3831" t="s">
        <v>14</v>
      </c>
      <c r="H3831">
             </c>
      <c r="I3831" t="s">
        <v>14</v>
      </c>
      <c r="J3831" t="s">
        <v>242</v>
      </c>
      <c r="K3831" t="s">
        <v>14</v>
      </c>
      <c r="L3831" t="s">
        <v>20</v>
      </c>
      <c r="M3831" t="s">
        <v>8180</v>
      </c>
      <c r="N3831" t="s">
        <v>14</v>
      </c>
    </row>
    <row r="3832" x14ac:dyDescent="0.25">
      <c r="A3832" t="n">
        <v>25</v>
      </c>
      <c r="B3832" t="s">
        <v>14</v>
      </c>
      <c r="C3832" t="s">
        <v>51</v>
      </c>
      <c r="D3832" s="2" t="s">
        <f>=HYPERLINK("https://main.knesset.gov.il/APPS/legislation/main/bills/2208605", "הצעת חוק לתיקון פקודת בריאות העם (העדפות מתן רישיון למכשור רפואי בפריפריה), התשפ""ג-2023")</f>
        <v>8185</v>
      </c>
      <c r="E3832" t="s">
        <v>8185</v>
      </c>
      <c r="F3832" t="s">
        <v>8186</v>
      </c>
      <c r="G3832" t="s">
        <v>14</v>
      </c>
      <c r="H3832">
             </c>
      <c r="I3832" t="s">
        <v>14</v>
      </c>
      <c r="J3832" t="s">
        <v>242</v>
      </c>
      <c r="K3832" t="s">
        <v>14</v>
      </c>
      <c r="L3832" t="s">
        <v>20</v>
      </c>
      <c r="M3832" t="s">
        <v>8180</v>
      </c>
      <c r="N3832" t="s">
        <v>14</v>
      </c>
    </row>
    <row r="3833" x14ac:dyDescent="0.25">
      <c r="A3833" t="n">
        <v>25</v>
      </c>
      <c r="B3833" t="s">
        <v>14</v>
      </c>
      <c r="C3833" t="s">
        <v>51</v>
      </c>
      <c r="D3833" s="2" t="s">
        <f>=HYPERLINK("https://main.knesset.gov.il/APPS/legislation/main/bills/2207025", "הצעת חוק זכויות נפגעי ונפגעות עבירת מין או אלימות במשפחה בהליך אזרחי, התשפ""ג-2023")</f>
        <v>8187</v>
      </c>
      <c r="E3833" t="s">
        <v>8187</v>
      </c>
      <c r="F3833" t="s">
        <v>8188</v>
      </c>
      <c r="G3833" t="s">
        <v>14</v>
      </c>
      <c r="H3833">
             </c>
      <c r="I3833" t="s">
        <v>14</v>
      </c>
      <c r="J3833" t="s">
        <v>242</v>
      </c>
      <c r="K3833" t="s">
        <v>14</v>
      </c>
      <c r="L3833" t="s">
        <v>20</v>
      </c>
      <c r="M3833" t="s">
        <v>8180</v>
      </c>
      <c r="N3833" t="s">
        <v>14</v>
      </c>
    </row>
    <row r="3834" x14ac:dyDescent="0.25">
      <c r="A3834" t="n">
        <v>25</v>
      </c>
      <c r="B3834" t="s">
        <v>14</v>
      </c>
      <c r="C3834" t="s">
        <v>51</v>
      </c>
      <c r="D3834" s="2" t="s">
        <f>=HYPERLINK("https://main.knesset.gov.il/APPS/legislation/main/bills/2209235", "הצעת חוק זכויות מבצעים ומשדרים (תיקון - הרחבת היקף הזכויות), התשפ""ג-2023")</f>
        <v>8189</v>
      </c>
      <c r="E3834" t="s">
        <v>8189</v>
      </c>
      <c r="F3834" t="s">
        <v>8190</v>
      </c>
      <c r="G3834" t="s">
        <v>14</v>
      </c>
      <c r="H3834">
             </c>
      <c r="I3834" t="s">
        <v>14</v>
      </c>
      <c r="J3834" t="s">
        <v>242</v>
      </c>
      <c r="K3834" t="s">
        <v>14</v>
      </c>
      <c r="L3834" t="s">
        <v>20</v>
      </c>
      <c r="M3834" t="s">
        <v>8180</v>
      </c>
      <c r="N3834" t="s">
        <v>14</v>
      </c>
    </row>
    <row r="3835" x14ac:dyDescent="0.25">
      <c r="A3835" t="n">
        <v>25</v>
      </c>
      <c r="B3835" t="s">
        <v>14</v>
      </c>
      <c r="C3835" t="s">
        <v>51</v>
      </c>
      <c r="D3835" s="2" t="s">
        <f>=HYPERLINK("https://main.knesset.gov.il/APPS/legislation/main/bills/2209218", "הצעת חוק הכשרות לאנשי מקצוע בנושא זיהוי ודיווח על התעללות בילדים, התשפ""ג-2023")</f>
        <v>8191</v>
      </c>
      <c r="E3835" t="s">
        <v>8191</v>
      </c>
      <c r="F3835" t="s">
        <v>8192</v>
      </c>
      <c r="G3835" t="s">
        <v>14</v>
      </c>
      <c r="H3835">
             </c>
      <c r="I3835" t="s">
        <v>14</v>
      </c>
      <c r="J3835" t="s">
        <v>242</v>
      </c>
      <c r="K3835" t="s">
        <v>14</v>
      </c>
      <c r="L3835" t="s">
        <v>20</v>
      </c>
      <c r="M3835" t="s">
        <v>8180</v>
      </c>
      <c r="N3835" t="s">
        <v>14</v>
      </c>
    </row>
    <row r="3836" x14ac:dyDescent="0.25">
      <c r="A3836" t="n">
        <v>25</v>
      </c>
      <c r="B3836" t="s">
        <v>14</v>
      </c>
      <c r="C3836" t="s">
        <v>51</v>
      </c>
      <c r="D3836" s="2" t="s">
        <f>=HYPERLINK("https://main.knesset.gov.il/APPS/legislation/main/bills/2209267", "הצעת חוק לתיקון פקודת התעבורה (תשלום עבור נסיעה בתחבורה ציבורית בכרטיס אשראי), התשפ""ג-2023")</f>
        <v>7230</v>
      </c>
      <c r="E3836" t="s">
        <v>7230</v>
      </c>
      <c r="F3836" t="s">
        <v>8193</v>
      </c>
      <c r="G3836" t="s">
        <v>14</v>
      </c>
      <c r="H3836">
             </c>
      <c r="I3836" t="s">
        <v>14</v>
      </c>
      <c r="J3836" t="s">
        <v>242</v>
      </c>
      <c r="K3836" t="s">
        <v>14</v>
      </c>
      <c r="L3836" t="s">
        <v>20</v>
      </c>
      <c r="M3836" t="s">
        <v>8180</v>
      </c>
      <c r="N3836" t="s">
        <v>14</v>
      </c>
    </row>
    <row r="3837" x14ac:dyDescent="0.25">
      <c r="A3837" t="n">
        <v>25</v>
      </c>
      <c r="B3837" t="s">
        <v>14</v>
      </c>
      <c r="C3837" t="s">
        <v>51</v>
      </c>
      <c r="D3837" s="2" t="s">
        <f>=HYPERLINK("https://main.knesset.gov.il/APPS/legislation/main/bills/2209400", "הצעת חוק יישוב סכסוכי עבודה (תיקון - אחריות ארגוני עובדים ומעבידים לשביתות בלתי מוגנות), התשפ""ג-2023")</f>
        <v>8194</v>
      </c>
      <c r="E3837" t="s">
        <v>8194</v>
      </c>
      <c r="F3837" t="s">
        <v>8195</v>
      </c>
      <c r="G3837" t="s">
        <v>14</v>
      </c>
      <c r="H3837">
             </c>
      <c r="I3837" t="s">
        <v>14</v>
      </c>
      <c r="J3837" t="s">
        <v>242</v>
      </c>
      <c r="K3837" t="s">
        <v>14</v>
      </c>
      <c r="L3837" t="s">
        <v>20</v>
      </c>
      <c r="M3837" t="s">
        <v>8180</v>
      </c>
      <c r="N3837" t="s">
        <v>14</v>
      </c>
    </row>
    <row r="3838" x14ac:dyDescent="0.25">
      <c r="A3838" t="n">
        <v>25</v>
      </c>
      <c r="B3838" t="s">
        <v>14</v>
      </c>
      <c r="C3838" t="s">
        <v>51</v>
      </c>
      <c r="D3838" s="2" t="s">
        <f>=HYPERLINK("https://main.knesset.gov.il/APPS/legislation/main/bills/2208606", "הצעת חוק לתיקון פקודת בריאות העם (חובת הקצאת מקום לתפילת מוסלמים בבתי חולים), התשפ""ג-2023")</f>
        <v>8196</v>
      </c>
      <c r="E3838" t="s">
        <v>8196</v>
      </c>
      <c r="F3838" t="s">
        <v>8197</v>
      </c>
      <c r="G3838" t="s">
        <v>14</v>
      </c>
      <c r="H3838">
             </c>
      <c r="I3838" t="s">
        <v>14</v>
      </c>
      <c r="J3838" t="s">
        <v>242</v>
      </c>
      <c r="K3838" t="s">
        <v>14</v>
      </c>
      <c r="L3838" t="s">
        <v>20</v>
      </c>
      <c r="M3838" t="s">
        <v>8180</v>
      </c>
      <c r="N3838" t="s">
        <v>14</v>
      </c>
    </row>
    <row r="3839" x14ac:dyDescent="0.25">
      <c r="A3839" t="n">
        <v>25</v>
      </c>
      <c r="B3839" t="s">
        <v>14</v>
      </c>
      <c r="C3839" t="s">
        <v>51</v>
      </c>
      <c r="D3839" s="2" t="s">
        <f>=HYPERLINK("https://main.knesset.gov.il/APPS/legislation/main/bills/2208943", "הצעת חוק לתיקון פקודת מס הכנסה (ניכוי סכומים שהוצאו לצורך טיפול בילד), התשפ""ג-2023")</f>
        <v>8198</v>
      </c>
      <c r="E3839" t="s">
        <v>8198</v>
      </c>
      <c r="F3839" t="s">
        <v>8199</v>
      </c>
      <c r="G3839" t="s">
        <v>14</v>
      </c>
      <c r="H3839">
             </c>
      <c r="I3839" t="s">
        <v>14</v>
      </c>
      <c r="J3839" t="s">
        <v>242</v>
      </c>
      <c r="K3839" t="s">
        <v>14</v>
      </c>
      <c r="L3839" t="s">
        <v>20</v>
      </c>
      <c r="M3839" t="s">
        <v>8180</v>
      </c>
      <c r="N3839" t="s">
        <v>14</v>
      </c>
    </row>
    <row r="3840" x14ac:dyDescent="0.25">
      <c r="A3840" t="n">
        <v>25</v>
      </c>
      <c r="B3840" t="s">
        <v>14</v>
      </c>
      <c r="C3840" t="s">
        <v>51</v>
      </c>
      <c r="D3840" s="2" t="s">
        <f>=HYPERLINK("https://main.knesset.gov.il/APPS/legislation/main/bills/2209021", "הצעת חוק ביטוח בריאות ממלכתי (תיקון - בחירת נותן שירותים על ידי מבוטח), התשפ""ג-2023")</f>
        <v>8200</v>
      </c>
      <c r="E3840" t="s">
        <v>8200</v>
      </c>
      <c r="F3840" t="s">
        <v>8201</v>
      </c>
      <c r="G3840" t="s">
        <v>14</v>
      </c>
      <c r="H3840">
             </c>
      <c r="I3840" t="s">
        <v>14</v>
      </c>
      <c r="J3840" t="s">
        <v>242</v>
      </c>
      <c r="K3840" t="s">
        <v>14</v>
      </c>
      <c r="L3840" t="s">
        <v>20</v>
      </c>
      <c r="M3840" t="s">
        <v>8180</v>
      </c>
      <c r="N3840" t="s">
        <v>14</v>
      </c>
    </row>
    <row r="3841" x14ac:dyDescent="0.25">
      <c r="A3841" t="n">
        <v>25</v>
      </c>
      <c r="B3841" t="s">
        <v>14</v>
      </c>
      <c r="C3841" t="s">
        <v>51</v>
      </c>
      <c r="D3841" s="2" t="s">
        <f>=HYPERLINK("https://main.knesset.gov.il/APPS/legislation/main/bills/2209338", "הצעת חוק לתיקון פקודת התעבורה (איסור שימוש במצלמות ניידות לאכיפת עבירות חניה), התשפ""ג-2023")</f>
        <v>8202</v>
      </c>
      <c r="E3841" t="s">
        <v>8202</v>
      </c>
      <c r="F3841" t="s">
        <v>8203</v>
      </c>
      <c r="G3841" t="s">
        <v>14</v>
      </c>
      <c r="H3841">
             </c>
      <c r="I3841" t="s">
        <v>14</v>
      </c>
      <c r="J3841" t="s">
        <v>242</v>
      </c>
      <c r="K3841" t="s">
        <v>14</v>
      </c>
      <c r="L3841" t="s">
        <v>20</v>
      </c>
      <c r="M3841" t="s">
        <v>8180</v>
      </c>
      <c r="N3841" t="s">
        <v>14</v>
      </c>
    </row>
    <row r="3842" x14ac:dyDescent="0.25">
      <c r="A3842" t="n">
        <v>25</v>
      </c>
      <c r="B3842" t="s">
        <v>14</v>
      </c>
      <c r="C3842" t="s">
        <v>51</v>
      </c>
      <c r="D3842" s="2" t="s">
        <f>=HYPERLINK("https://main.knesset.gov.il/APPS/legislation/main/bills/2209221", "הצעת חוק לתיקון פקודת בריאות העם (שינוי הוראת התקנת מצלמות לשם הגנה על מאושפזים בבית חולים גריאטרי), התשפ""ג-2023")</f>
        <v>8204</v>
      </c>
      <c r="E3842" t="s">
        <v>8204</v>
      </c>
      <c r="F3842" t="s">
        <v>8205</v>
      </c>
      <c r="G3842" t="s">
        <v>14</v>
      </c>
      <c r="H3842">
             </c>
      <c r="I3842" t="s">
        <v>14</v>
      </c>
      <c r="J3842" t="s">
        <v>242</v>
      </c>
      <c r="K3842" t="s">
        <v>14</v>
      </c>
      <c r="L3842" t="s">
        <v>20</v>
      </c>
      <c r="M3842" t="s">
        <v>8180</v>
      </c>
      <c r="N3842" t="s">
        <v>14</v>
      </c>
    </row>
    <row r="3843" x14ac:dyDescent="0.25">
      <c r="A3843" t="n">
        <v>25</v>
      </c>
      <c r="B3843" t="s">
        <v>14</v>
      </c>
      <c r="C3843" t="s">
        <v>51</v>
      </c>
      <c r="D3843" s="2" t="s">
        <f>=HYPERLINK("https://main.knesset.gov.il/APPS/legislation/main/bills/2209197", "הצעת חוק הביטוח הלאומי (תיקון - קצבת ילדים כפולה בלידת תאומים או יותר), התשפ""ג-2023")</f>
        <v>8206</v>
      </c>
      <c r="E3843" t="s">
        <v>8206</v>
      </c>
      <c r="F3843" t="s">
        <v>8207</v>
      </c>
      <c r="G3843" t="s">
        <v>14</v>
      </c>
      <c r="H3843">
             </c>
      <c r="I3843" t="s">
        <v>14</v>
      </c>
      <c r="J3843" t="s">
        <v>242</v>
      </c>
      <c r="K3843" t="s">
        <v>14</v>
      </c>
      <c r="L3843" t="s">
        <v>20</v>
      </c>
      <c r="M3843" t="s">
        <v>8180</v>
      </c>
      <c r="N3843" t="s">
        <v>14</v>
      </c>
    </row>
    <row r="3844" x14ac:dyDescent="0.25">
      <c r="A3844" t="n">
        <v>25</v>
      </c>
      <c r="B3844" t="s">
        <v>14</v>
      </c>
      <c r="C3844" t="s">
        <v>51</v>
      </c>
      <c r="D3844" s="2" t="s">
        <f>=HYPERLINK("https://main.knesset.gov.il/APPS/legislation/main/bills/2207414", "הצעת חוק הביטוח הלאומי (תיקון - תשלום למי שסיפק מצרכים חיוניים), התשפ""ג-2023")</f>
        <v>8208</v>
      </c>
      <c r="E3844" t="s">
        <v>8208</v>
      </c>
      <c r="F3844" t="s">
        <v>8209</v>
      </c>
      <c r="G3844" t="s">
        <v>14</v>
      </c>
      <c r="H3844">
             </c>
      <c r="I3844" t="s">
        <v>14</v>
      </c>
      <c r="J3844" t="s">
        <v>242</v>
      </c>
      <c r="K3844" t="s">
        <v>14</v>
      </c>
      <c r="L3844" t="s">
        <v>20</v>
      </c>
      <c r="M3844" t="s">
        <v>8180</v>
      </c>
      <c r="N3844" t="s">
        <v>14</v>
      </c>
    </row>
    <row r="3845" x14ac:dyDescent="0.25">
      <c r="A3845" t="n">
        <v>25</v>
      </c>
      <c r="B3845" t="s">
        <v>14</v>
      </c>
      <c r="C3845" t="s">
        <v>51</v>
      </c>
      <c r="D3845" s="2" t="s">
        <f>=HYPERLINK("https://main.knesset.gov.il/APPS/legislation/main/bills/2209232", "הצעת חוק דיווח לכנסת על תלונות וטיפול בהטרדות מיניות במשטרת ישראל, בשירות בתי הסוהר, בצבא ההגנה לישראל והטיפול בהן (תיקוני חקיקה), התשפ""ג-2023")</f>
        <v>8210</v>
      </c>
      <c r="E3845" t="s">
        <v>8210</v>
      </c>
      <c r="F3845" t="s">
        <v>8211</v>
      </c>
      <c r="G3845" t="s">
        <v>14</v>
      </c>
      <c r="H3845">
             </c>
      <c r="I3845" t="s">
        <v>14</v>
      </c>
      <c r="J3845" t="s">
        <v>242</v>
      </c>
      <c r="K3845" t="s">
        <v>14</v>
      </c>
      <c r="L3845" t="s">
        <v>20</v>
      </c>
      <c r="M3845" t="s">
        <v>8180</v>
      </c>
      <c r="N3845" t="s">
        <v>14</v>
      </c>
    </row>
    <row r="3846" x14ac:dyDescent="0.25">
      <c r="A3846" t="n">
        <v>25</v>
      </c>
      <c r="B3846" t="s">
        <v>14</v>
      </c>
      <c r="C3846" t="s">
        <v>51</v>
      </c>
      <c r="D3846" s="2" t="s">
        <f>=HYPERLINK("https://main.knesset.gov.il/APPS/legislation/main/bills/2208607", "הצעת חוק הגנת השכר (תיקון - התיישנות), התשפ""ג-2023")</f>
        <v>8212</v>
      </c>
      <c r="E3846" t="s">
        <v>8212</v>
      </c>
      <c r="F3846" t="s">
        <v>8213</v>
      </c>
      <c r="G3846" t="s">
        <v>14</v>
      </c>
      <c r="H3846">
             </c>
      <c r="I3846" t="s">
        <v>14</v>
      </c>
      <c r="J3846" t="s">
        <v>242</v>
      </c>
      <c r="K3846" t="s">
        <v>14</v>
      </c>
      <c r="L3846" t="s">
        <v>20</v>
      </c>
      <c r="M3846" t="s">
        <v>8180</v>
      </c>
      <c r="N3846" t="s">
        <v>14</v>
      </c>
    </row>
    <row r="3847" x14ac:dyDescent="0.25">
      <c r="A3847" t="n">
        <v>25</v>
      </c>
      <c r="B3847" t="s">
        <v>14</v>
      </c>
      <c r="C3847" t="s">
        <v>51</v>
      </c>
      <c r="D3847" s="2" t="s">
        <f>=HYPERLINK("https://main.knesset.gov.il/APPS/legislation/main/bills/2208951", "הצעת חוק נפגעי תאונות דרכים (סיוע לבני משפחה) (תיקון - הרחבת הסיוע), התשפ""ג-2023")</f>
        <v>8214</v>
      </c>
      <c r="E3847" t="s">
        <v>8214</v>
      </c>
      <c r="F3847" t="s">
        <v>8215</v>
      </c>
      <c r="G3847" t="s">
        <v>14</v>
      </c>
      <c r="H3847">
             </c>
      <c r="I3847" t="s">
        <v>14</v>
      </c>
      <c r="J3847" t="s">
        <v>242</v>
      </c>
      <c r="K3847" t="s">
        <v>14</v>
      </c>
      <c r="L3847" t="s">
        <v>20</v>
      </c>
      <c r="M3847" t="s">
        <v>8180</v>
      </c>
      <c r="N3847" t="s">
        <v>14</v>
      </c>
    </row>
    <row r="3848" x14ac:dyDescent="0.25">
      <c r="A3848" t="n">
        <v>25</v>
      </c>
      <c r="B3848" t="s">
        <v>14</v>
      </c>
      <c r="C3848" t="s">
        <v>51</v>
      </c>
      <c r="D3848" s="2" t="s">
        <f>=HYPERLINK("https://main.knesset.gov.il/APPS/legislation/main/bills/2208579", "הצעת חוק האזרחים הוותיקים (תיקון - הנחה ברכישת אמצעי לזיהוי מצב חירום רפואי), התשפ""ג-2023")</f>
        <v>8216</v>
      </c>
      <c r="E3848" t="s">
        <v>8216</v>
      </c>
      <c r="F3848" t="s">
        <v>8217</v>
      </c>
      <c r="G3848" t="s">
        <v>14</v>
      </c>
      <c r="H3848">
             </c>
      <c r="I3848" t="s">
        <v>14</v>
      </c>
      <c r="J3848" t="s">
        <v>242</v>
      </c>
      <c r="K3848" t="s">
        <v>14</v>
      </c>
      <c r="L3848" t="s">
        <v>20</v>
      </c>
      <c r="M3848" t="s">
        <v>8180</v>
      </c>
      <c r="N3848" t="s">
        <v>14</v>
      </c>
    </row>
    <row r="3849" x14ac:dyDescent="0.25">
      <c r="A3849" t="n">
        <v>25</v>
      </c>
      <c r="B3849" t="s">
        <v>14</v>
      </c>
      <c r="C3849" t="s">
        <v>51</v>
      </c>
      <c r="D3849" s="2" t="s">
        <f>=HYPERLINK("https://main.knesset.gov.il/APPS/legislation/main/bills/2208604", "הצעת חוק ביטוח בריאות ממלכתי (תיקון - מתן שירותים במרפאה ביישוב קטן לחברי קופה אחרת), התשפ""ג-2023")</f>
        <v>6332</v>
      </c>
      <c r="E3849" t="s">
        <v>6332</v>
      </c>
      <c r="F3849" t="s">
        <v>8218</v>
      </c>
      <c r="G3849" t="s">
        <v>14</v>
      </c>
      <c r="H3849">
             </c>
      <c r="I3849" t="s">
        <v>14</v>
      </c>
      <c r="J3849" t="s">
        <v>242</v>
      </c>
      <c r="K3849" t="s">
        <v>14</v>
      </c>
      <c r="L3849" t="s">
        <v>20</v>
      </c>
      <c r="M3849" t="s">
        <v>8180</v>
      </c>
      <c r="N3849" t="s">
        <v>14</v>
      </c>
    </row>
    <row r="3850" x14ac:dyDescent="0.25">
      <c r="A3850" t="n">
        <v>25</v>
      </c>
      <c r="B3850" t="s">
        <v>14</v>
      </c>
      <c r="C3850" t="s">
        <v>51</v>
      </c>
      <c r="D3850" s="2" t="s">
        <f>=HYPERLINK("https://main.knesset.gov.il/APPS/legislation/main/bills/2209072", "הצעת חוק לתיקון פקודת התעבורה (רישום רכב), התשפ""ג-2023")</f>
        <v>8219</v>
      </c>
      <c r="E3850" t="s">
        <v>8219</v>
      </c>
      <c r="F3850" t="s">
        <v>8220</v>
      </c>
      <c r="G3850" t="s">
        <v>14</v>
      </c>
      <c r="H3850">
             </c>
      <c r="I3850" t="s">
        <v>14</v>
      </c>
      <c r="J3850" t="s">
        <v>242</v>
      </c>
      <c r="K3850" t="s">
        <v>14</v>
      </c>
      <c r="L3850" t="s">
        <v>20</v>
      </c>
      <c r="M3850" t="s">
        <v>8180</v>
      </c>
      <c r="N3850" t="s">
        <v>14</v>
      </c>
    </row>
    <row r="3851" x14ac:dyDescent="0.25">
      <c r="A3851" t="n">
        <v>25</v>
      </c>
      <c r="B3851" t="s">
        <v>14</v>
      </c>
      <c r="C3851" t="s">
        <v>51</v>
      </c>
      <c r="D3851" s="2" t="s">
        <f>=HYPERLINK("https://main.knesset.gov.il/APPS/legislation/main/bills/2209320", "הצעת חוק בטיחות בטיולים ובפעילויות חוץ של מסגרות לבוגרי תיכון לפני שירות (תיקוני חקיקה), התשפ""ג-2023")</f>
        <v>8221</v>
      </c>
      <c r="E3851" t="s">
        <v>8221</v>
      </c>
      <c r="F3851" t="s">
        <v>8222</v>
      </c>
      <c r="G3851" t="s">
        <v>14</v>
      </c>
      <c r="H3851">
             </c>
      <c r="I3851" t="s">
        <v>14</v>
      </c>
      <c r="J3851" t="s">
        <v>242</v>
      </c>
      <c r="K3851" t="s">
        <v>14</v>
      </c>
      <c r="L3851" t="s">
        <v>20</v>
      </c>
      <c r="M3851" t="s">
        <v>8180</v>
      </c>
      <c r="N3851" t="s">
        <v>14</v>
      </c>
    </row>
    <row r="3852" x14ac:dyDescent="0.25">
      <c r="A3852" t="n">
        <v>25</v>
      </c>
      <c r="B3852" t="s">
        <v>14</v>
      </c>
      <c r="C3852" t="s">
        <v>51</v>
      </c>
      <c r="D3852" s="2" t="s">
        <f>=HYPERLINK("https://main.knesset.gov.il/APPS/legislation/main/bills/2208584", "הצעת חוק הביטוח הלאומי (תיקון - ביטול מעמד עקרת בית), התשפ""ג-2023")</f>
        <v>8223</v>
      </c>
      <c r="E3852" t="s">
        <v>8223</v>
      </c>
      <c r="F3852" t="s">
        <v>8224</v>
      </c>
      <c r="G3852" t="s">
        <v>14</v>
      </c>
      <c r="H3852">
             </c>
      <c r="I3852" t="s">
        <v>14</v>
      </c>
      <c r="J3852" t="s">
        <v>242</v>
      </c>
      <c r="K3852" t="s">
        <v>14</v>
      </c>
      <c r="L3852" t="s">
        <v>20</v>
      </c>
      <c r="M3852" t="s">
        <v>8180</v>
      </c>
      <c r="N3852" t="s">
        <v>14</v>
      </c>
    </row>
    <row r="3853" x14ac:dyDescent="0.25">
      <c r="A3853" t="n">
        <v>25</v>
      </c>
      <c r="B3853" t="s">
        <v>14</v>
      </c>
      <c r="C3853" t="s">
        <v>51</v>
      </c>
      <c r="D3853" s="2" t="s">
        <f>=HYPERLINK("https://main.knesset.gov.il/APPS/legislation/main/bills/2208936", "הצעת חוק הפיקוח על שירותים פיננסיים (ביטוח) (תיקון - ביטוח חיים עם מרכיב חיסכון שלא אושר כקופת גמל), התשפ""ג-2023")</f>
        <v>8225</v>
      </c>
      <c r="E3853" t="s">
        <v>8225</v>
      </c>
      <c r="F3853" t="s">
        <v>8226</v>
      </c>
      <c r="G3853" t="s">
        <v>14</v>
      </c>
      <c r="H3853">
             </c>
      <c r="I3853" t="s">
        <v>14</v>
      </c>
      <c r="J3853" t="s">
        <v>242</v>
      </c>
      <c r="K3853" t="s">
        <v>14</v>
      </c>
      <c r="L3853" t="s">
        <v>20</v>
      </c>
      <c r="M3853" t="s">
        <v>8180</v>
      </c>
      <c r="N3853" t="s">
        <v>14</v>
      </c>
    </row>
    <row r="3854" x14ac:dyDescent="0.25">
      <c r="A3854" t="n">
        <v>25</v>
      </c>
      <c r="B3854" t="s">
        <v>14</v>
      </c>
      <c r="C3854" t="s">
        <v>51</v>
      </c>
      <c r="D3854" s="2" t="s">
        <f>=HYPERLINK("https://main.knesset.gov.il/APPS/legislation/main/bills/2209254", "הצעת חוק דמי מחלה (היעדרות בשל מחלת ילד) (תיקון - היעדרות בעקבות פגיעה בעבירת מין או אלימות חמורה), התשפ""ג-2023")</f>
        <v>8227</v>
      </c>
      <c r="E3854" t="s">
        <v>8227</v>
      </c>
      <c r="F3854" t="s">
        <v>8228</v>
      </c>
      <c r="G3854" t="s">
        <v>14</v>
      </c>
      <c r="H3854">
             </c>
      <c r="I3854" t="s">
        <v>14</v>
      </c>
      <c r="J3854" t="s">
        <v>242</v>
      </c>
      <c r="K3854" t="s">
        <v>14</v>
      </c>
      <c r="L3854" t="s">
        <v>20</v>
      </c>
      <c r="M3854" t="s">
        <v>8180</v>
      </c>
      <c r="N3854" t="s">
        <v>14</v>
      </c>
    </row>
    <row r="3855" x14ac:dyDescent="0.25">
      <c r="A3855" t="n">
        <v>25</v>
      </c>
      <c r="B3855" t="s">
        <v>14</v>
      </c>
      <c r="C3855" t="s">
        <v>51</v>
      </c>
      <c r="D3855" s="2" t="s">
        <f>=HYPERLINK("https://main.knesset.gov.il/APPS/legislation/main/bills/2209224", "הצעת חוק ביטוח בריאות ממלכתי (תיקון - קדימות בתור לטיפול או שירות רפואי לאדם עם מוגבלות), התשפ""ג-2023")</f>
        <v>8229</v>
      </c>
      <c r="E3855" t="s">
        <v>8229</v>
      </c>
      <c r="F3855" t="s">
        <v>8230</v>
      </c>
      <c r="G3855" t="s">
        <v>14</v>
      </c>
      <c r="H3855">
             </c>
      <c r="I3855" t="s">
        <v>14</v>
      </c>
      <c r="J3855" t="s">
        <v>242</v>
      </c>
      <c r="K3855" t="s">
        <v>14</v>
      </c>
      <c r="L3855" t="s">
        <v>20</v>
      </c>
      <c r="M3855" t="s">
        <v>8180</v>
      </c>
      <c r="N3855" t="s">
        <v>14</v>
      </c>
    </row>
    <row r="3856" x14ac:dyDescent="0.25">
      <c r="A3856" t="n">
        <v>25</v>
      </c>
      <c r="B3856" t="s">
        <v>14</v>
      </c>
      <c r="C3856" t="s">
        <v>51</v>
      </c>
      <c r="D3856" s="2" t="s">
        <f>=HYPERLINK("https://main.knesset.gov.il/APPS/legislation/main/bills/2199687", "הצעת חוק הביטוח הלאומי (תיקון - ביטוח שאירים לאלמן), התשפ""ג-2023")</f>
        <v>8231</v>
      </c>
      <c r="E3856" t="s">
        <v>8231</v>
      </c>
      <c r="F3856" t="s">
        <v>8232</v>
      </c>
      <c r="G3856" t="s">
        <v>14</v>
      </c>
      <c r="H3856">
             </c>
      <c r="I3856" t="s">
        <v>14</v>
      </c>
      <c r="J3856" t="s">
        <v>242</v>
      </c>
      <c r="K3856" t="s">
        <v>14</v>
      </c>
      <c r="L3856" t="s">
        <v>20</v>
      </c>
      <c r="M3856" t="s">
        <v>8180</v>
      </c>
      <c r="N3856" t="s">
        <v>14</v>
      </c>
    </row>
    <row r="3857" x14ac:dyDescent="0.25">
      <c r="A3857" t="n">
        <v>25</v>
      </c>
      <c r="B3857" t="s">
        <v>14</v>
      </c>
      <c r="C3857" t="s">
        <v>51</v>
      </c>
      <c r="D3857" s="2" t="s">
        <f>=HYPERLINK("https://main.knesset.gov.il/APPS/legislation/main/bills/2208581", "הצעת חוק מס ערך מוסף (תיקון - מס בשיעור אפס על תרופות), התשפ""ג-2023")</f>
        <v>8233</v>
      </c>
      <c r="E3857" t="s">
        <v>8233</v>
      </c>
      <c r="F3857" t="s">
        <v>8234</v>
      </c>
      <c r="G3857" t="s">
        <v>14</v>
      </c>
      <c r="H3857">
             </c>
      <c r="I3857" t="s">
        <v>14</v>
      </c>
      <c r="J3857" t="s">
        <v>242</v>
      </c>
      <c r="K3857" t="s">
        <v>14</v>
      </c>
      <c r="L3857" t="s">
        <v>20</v>
      </c>
      <c r="M3857" t="s">
        <v>8180</v>
      </c>
      <c r="N3857" t="s">
        <v>14</v>
      </c>
    </row>
    <row r="3858" x14ac:dyDescent="0.25">
      <c r="A3858" t="n">
        <v>25</v>
      </c>
      <c r="B3858" t="s">
        <v>14</v>
      </c>
      <c r="C3858" t="s">
        <v>51</v>
      </c>
      <c r="D3858" s="2" t="s">
        <f>=HYPERLINK("https://main.knesset.gov.il/APPS/legislation/main/bills/2209186", "הצעת חוק הסדרת העיסוק בייצוג על ידי יועצי מס (תיקון - היתר ליועץ פנסיוני לייצג לפני רשות מס), התשפ""ג-2023")</f>
        <v>8235</v>
      </c>
      <c r="E3858" t="s">
        <v>8235</v>
      </c>
      <c r="F3858" t="s">
        <v>8236</v>
      </c>
      <c r="G3858" t="s">
        <v>14</v>
      </c>
      <c r="H3858">
             </c>
      <c r="I3858" t="s">
        <v>14</v>
      </c>
      <c r="J3858" t="s">
        <v>242</v>
      </c>
      <c r="K3858" t="s">
        <v>14</v>
      </c>
      <c r="L3858" t="s">
        <v>20</v>
      </c>
      <c r="M3858" t="s">
        <v>8180</v>
      </c>
      <c r="N3858" t="s">
        <v>14</v>
      </c>
    </row>
    <row r="3859" x14ac:dyDescent="0.25">
      <c r="A3859" t="n">
        <v>25</v>
      </c>
      <c r="B3859" t="s">
        <v>14</v>
      </c>
      <c r="C3859" t="s">
        <v>51</v>
      </c>
      <c r="D3859" s="2" t="s">
        <f>=HYPERLINK("https://main.knesset.gov.il/APPS/legislation/main/bills/2209190", "הצעת חוק אימות חתימה על מסמכי עמיתים (תיקוני חקיקה), התשפ""ג-2023")</f>
        <v>8237</v>
      </c>
      <c r="E3859" t="s">
        <v>8237</v>
      </c>
      <c r="F3859" t="s">
        <v>8238</v>
      </c>
      <c r="G3859" t="s">
        <v>14</v>
      </c>
      <c r="H3859">
             </c>
      <c r="I3859" t="s">
        <v>14</v>
      </c>
      <c r="J3859" t="s">
        <v>242</v>
      </c>
      <c r="K3859" t="s">
        <v>14</v>
      </c>
      <c r="L3859" t="s">
        <v>20</v>
      </c>
      <c r="M3859" t="s">
        <v>8180</v>
      </c>
      <c r="N3859" t="s">
        <v>14</v>
      </c>
    </row>
    <row r="3860" x14ac:dyDescent="0.25">
      <c r="A3860" t="n">
        <v>25</v>
      </c>
      <c r="B3860" t="s">
        <v>14</v>
      </c>
      <c r="C3860" t="s">
        <v>51</v>
      </c>
      <c r="D3860" s="2" t="s">
        <f>=HYPERLINK("https://main.knesset.gov.il/APPS/legislation/main/bills/2209180", "הצעת חוק הפיקוח על שירותים פיננסיים (קופות גמל) (תיקון - משיכת כספים בסכום צבירה מזערי, בסכום חד-פעמי שלא בדרך של היוון קצבה), התשפ""ג-2023")</f>
        <v>8239</v>
      </c>
      <c r="E3860" t="s">
        <v>8239</v>
      </c>
      <c r="F3860" t="s">
        <v>8240</v>
      </c>
      <c r="G3860" t="s">
        <v>14</v>
      </c>
      <c r="H3860">
             </c>
      <c r="I3860" t="s">
        <v>14</v>
      </c>
      <c r="J3860" t="s">
        <v>242</v>
      </c>
      <c r="K3860" t="s">
        <v>14</v>
      </c>
      <c r="L3860" t="s">
        <v>20</v>
      </c>
      <c r="M3860" t="s">
        <v>8180</v>
      </c>
      <c r="N3860" t="s">
        <v>14</v>
      </c>
    </row>
    <row r="3861" x14ac:dyDescent="0.25">
      <c r="A3861" t="n">
        <v>25</v>
      </c>
      <c r="B3861" t="s">
        <v>14</v>
      </c>
      <c r="C3861" t="s">
        <v>51</v>
      </c>
      <c r="D3861" s="2" t="s">
        <f>=HYPERLINK("https://main.knesset.gov.il/APPS/legislation/main/bills/2208399", "הצעת חוק הפיקוח על שירותים פיננסיים (ייעוץ, שיווק ומערכת סליקה פנסיוניים) (תיקון - ייעוץ פנסיוני דיגיטלי), התשפ""ג-2023")</f>
        <v>8241</v>
      </c>
      <c r="E3861" t="s">
        <v>8241</v>
      </c>
      <c r="F3861" t="s">
        <v>8242</v>
      </c>
      <c r="G3861" t="s">
        <v>14</v>
      </c>
      <c r="H3861">
             </c>
      <c r="I3861" t="s">
        <v>14</v>
      </c>
      <c r="J3861" t="s">
        <v>242</v>
      </c>
      <c r="K3861" t="s">
        <v>14</v>
      </c>
      <c r="L3861" t="s">
        <v>20</v>
      </c>
      <c r="M3861" t="s">
        <v>8180</v>
      </c>
      <c r="N3861" t="s">
        <v>14</v>
      </c>
    </row>
    <row r="3862" x14ac:dyDescent="0.25">
      <c r="A3862" t="n">
        <v>25</v>
      </c>
      <c r="B3862" t="s">
        <v>14</v>
      </c>
      <c r="C3862" t="s">
        <v>51</v>
      </c>
      <c r="D3862" s="2" t="s">
        <f>=HYPERLINK("https://main.knesset.gov.il/APPS/legislation/main/bills/2209032", "הצעת חוק סדר הדין הפלילי (סמכויות אכיפה - מעצרים) (תיקון - מאבק בעיכובי שווא), התשפ""ג-2023")</f>
        <v>8243</v>
      </c>
      <c r="E3862" t="s">
        <v>8243</v>
      </c>
      <c r="F3862" t="s">
        <v>8244</v>
      </c>
      <c r="G3862" t="s">
        <v>14</v>
      </c>
      <c r="H3862">
             </c>
      <c r="I3862" t="s">
        <v>14</v>
      </c>
      <c r="J3862" t="s">
        <v>242</v>
      </c>
      <c r="K3862" t="s">
        <v>14</v>
      </c>
      <c r="L3862" t="s">
        <v>20</v>
      </c>
      <c r="M3862" t="s">
        <v>8180</v>
      </c>
      <c r="N3862" t="s">
        <v>14</v>
      </c>
    </row>
    <row r="3863" x14ac:dyDescent="0.25">
      <c r="A3863" t="n">
        <v>25</v>
      </c>
      <c r="B3863" t="s">
        <v>14</v>
      </c>
      <c r="C3863" t="s">
        <v>51</v>
      </c>
      <c r="D3863" s="2" t="s">
        <f>=HYPERLINK("https://main.knesset.gov.il/APPS/legislation/main/bills/2209217", "הצעת חוק הביטוח הלאומי (תיקון - מימון הסעת יולדת באמבולנס), התשפ""ג-2023")</f>
        <v>8245</v>
      </c>
      <c r="E3863" t="s">
        <v>8245</v>
      </c>
      <c r="F3863" t="s">
        <v>8246</v>
      </c>
      <c r="G3863" t="s">
        <v>14</v>
      </c>
      <c r="H3863">
             </c>
      <c r="I3863" t="s">
        <v>14</v>
      </c>
      <c r="J3863" t="s">
        <v>242</v>
      </c>
      <c r="K3863" t="s">
        <v>14</v>
      </c>
      <c r="L3863" t="s">
        <v>20</v>
      </c>
      <c r="M3863" t="s">
        <v>8180</v>
      </c>
      <c r="N3863" t="s">
        <v>14</v>
      </c>
    </row>
    <row r="3864" x14ac:dyDescent="0.25">
      <c r="A3864" t="n">
        <v>25</v>
      </c>
      <c r="B3864" t="s">
        <v>14</v>
      </c>
      <c r="C3864" t="s">
        <v>51</v>
      </c>
      <c r="D3864" s="2" t="s">
        <f>=HYPERLINK("https://main.knesset.gov.il/APPS/legislation/main/bills/2209340", "הצעת חוק הביטוח הלאומי (תיקון - פטור מתשלום דמי ביטוח לתלמיד על יסודי), התשפ""ג-2023")</f>
        <v>8247</v>
      </c>
      <c r="E3864" t="s">
        <v>8247</v>
      </c>
      <c r="F3864" t="s">
        <v>8248</v>
      </c>
      <c r="G3864" t="s">
        <v>14</v>
      </c>
      <c r="H3864">
             </c>
      <c r="I3864" t="s">
        <v>14</v>
      </c>
      <c r="J3864" t="s">
        <v>242</v>
      </c>
      <c r="K3864" t="s">
        <v>14</v>
      </c>
      <c r="L3864" t="s">
        <v>20</v>
      </c>
      <c r="M3864" t="s">
        <v>8180</v>
      </c>
      <c r="N3864" t="s">
        <v>14</v>
      </c>
    </row>
    <row r="3865" x14ac:dyDescent="0.25">
      <c r="A3865" t="n">
        <v>25</v>
      </c>
      <c r="B3865" t="s">
        <v>14</v>
      </c>
      <c r="C3865" t="s">
        <v>51</v>
      </c>
      <c r="D3865" s="2" t="s">
        <f>=HYPERLINK("https://main.knesset.gov.il/APPS/legislation/main/bills/2208570", "הצעת חוק הביטוח הלאומי (תיקון - השוואת זכויות אלמן ואלמנה), התשפ""ג-2023")</f>
        <v>8249</v>
      </c>
      <c r="E3865" t="s">
        <v>8249</v>
      </c>
      <c r="F3865" t="s">
        <v>8250</v>
      </c>
      <c r="G3865" t="s">
        <v>14</v>
      </c>
      <c r="H3865">
             </c>
      <c r="I3865" t="s">
        <v>14</v>
      </c>
      <c r="J3865" t="s">
        <v>242</v>
      </c>
      <c r="K3865" t="s">
        <v>14</v>
      </c>
      <c r="L3865" t="s">
        <v>20</v>
      </c>
      <c r="M3865" t="s">
        <v>8180</v>
      </c>
      <c r="N3865" t="s">
        <v>14</v>
      </c>
    </row>
    <row r="3866" x14ac:dyDescent="0.25">
      <c r="A3866" t="n">
        <v>25</v>
      </c>
      <c r="B3866" t="s">
        <v>14</v>
      </c>
      <c r="C3866" t="s">
        <v>51</v>
      </c>
      <c r="D3866" s="2" t="s">
        <f>=HYPERLINK("https://main.knesset.gov.il/APPS/legislation/main/bills/2209457", "הצעת חוק-יסוד: השפיטה (תיקון - עילת הסבירות)")</f>
        <v>8251</v>
      </c>
      <c r="E3866" t="s">
        <v>8251</v>
      </c>
      <c r="F3866" t="s">
        <v>8252</v>
      </c>
      <c r="G3866" t="s">
        <v>14</v>
      </c>
      <c r="H3866">
             </c>
      <c r="I3866" t="s">
        <v>14</v>
      </c>
      <c r="J3866" t="s">
        <v>242</v>
      </c>
      <c r="K3866" t="s">
        <v>14</v>
      </c>
      <c r="L3866" t="s">
        <v>20</v>
      </c>
      <c r="M3866" t="s">
        <v>8180</v>
      </c>
      <c r="N3866" t="s">
        <v>14</v>
      </c>
    </row>
    <row r="3867" x14ac:dyDescent="0.25">
      <c r="A3867" t="n">
        <v>25</v>
      </c>
      <c r="B3867" t="s">
        <v>14</v>
      </c>
      <c r="C3867" t="s">
        <v>51</v>
      </c>
      <c r="D3867" s="2" t="s">
        <f>=HYPERLINK("https://main.knesset.gov.il/APPS/legislation/main/bills/2205182", "הצעת חוק התקנת מצלמות לשם הגנה על פעוטות במעונות יום לפעוטות (תיקון - היתר צפייה בצילומים ללא המתנה לצו שיפוטי), התשפ""ג-2023")</f>
        <v>8253</v>
      </c>
      <c r="E3867" t="s">
        <v>8253</v>
      </c>
      <c r="F3867" t="s">
        <v>8254</v>
      </c>
      <c r="G3867" t="s">
        <v>14</v>
      </c>
      <c r="H3867">
             </c>
      <c r="I3867" t="s">
        <v>14</v>
      </c>
      <c r="J3867" t="s">
        <v>242</v>
      </c>
      <c r="K3867" t="s">
        <v>14</v>
      </c>
      <c r="L3867" t="s">
        <v>20</v>
      </c>
      <c r="M3867" t="s">
        <v>8180</v>
      </c>
      <c r="N3867" t="s">
        <v>14</v>
      </c>
    </row>
    <row r="3868" x14ac:dyDescent="0.25">
      <c r="A3868" t="n">
        <v>25</v>
      </c>
      <c r="B3868" t="s">
        <v>14</v>
      </c>
      <c r="C3868" t="s">
        <v>51</v>
      </c>
      <c r="D3868" s="2" t="s">
        <f>=HYPERLINK("https://main.knesset.gov.il/APPS/legislation/main/bills/2209270", "הצעת חוק חינוך ממלכתי (תיקון - סמכויות המועצה לחינוך ממלכתי דתי), התשפ""ג-2023")</f>
        <v>8255</v>
      </c>
      <c r="E3868" t="s">
        <v>8255</v>
      </c>
      <c r="F3868" t="s">
        <v>8256</v>
      </c>
      <c r="G3868" t="s">
        <v>14</v>
      </c>
      <c r="H3868">
             </c>
      <c r="I3868" t="s">
        <v>14</v>
      </c>
      <c r="J3868" t="s">
        <v>242</v>
      </c>
      <c r="K3868" t="s">
        <v>14</v>
      </c>
      <c r="L3868" t="s">
        <v>20</v>
      </c>
      <c r="M3868" t="s">
        <v>8180</v>
      </c>
      <c r="N3868" t="s">
        <v>14</v>
      </c>
    </row>
    <row r="3869" x14ac:dyDescent="0.25">
      <c r="A3869" t="n">
        <v>25</v>
      </c>
      <c r="B3869" t="s">
        <v>14</v>
      </c>
      <c r="C3869" t="s">
        <v>51</v>
      </c>
      <c r="D3869" s="2" t="s">
        <f>=HYPERLINK("https://main.knesset.gov.il/APPS/legislation/main/bills/2208142", "הצעת חוק התקשורת (בזק ושידורים) (תיקון - איסור סימון בשלט), התשפ""ג-2023")</f>
        <v>8257</v>
      </c>
      <c r="E3869" t="s">
        <v>8257</v>
      </c>
      <c r="F3869" t="s">
        <v>8258</v>
      </c>
      <c r="G3869" t="s">
        <v>14</v>
      </c>
      <c r="H3869">
             </c>
      <c r="I3869" t="s">
        <v>14</v>
      </c>
      <c r="J3869" t="s">
        <v>242</v>
      </c>
      <c r="K3869" t="s">
        <v>14</v>
      </c>
      <c r="L3869" t="s">
        <v>20</v>
      </c>
      <c r="M3869" t="s">
        <v>8180</v>
      </c>
      <c r="N3869" t="s">
        <v>14</v>
      </c>
    </row>
    <row r="3870" x14ac:dyDescent="0.25">
      <c r="A3870" t="n">
        <v>25</v>
      </c>
      <c r="B3870" t="s">
        <v>14</v>
      </c>
      <c r="C3870" t="s">
        <v>51</v>
      </c>
      <c r="D3870" s="2" t="s">
        <f>=HYPERLINK("https://main.knesset.gov.il/APPS/legislation/main/bills/2209169", "הצעת חוק להנצחת חנה סנש (ציון זכרה ופועלה), התשפ""ג-2023")</f>
        <v>8259</v>
      </c>
      <c r="E3870" t="s">
        <v>8259</v>
      </c>
      <c r="F3870" t="s">
        <v>8260</v>
      </c>
      <c r="G3870" t="s">
        <v>14</v>
      </c>
      <c r="H3870">
             </c>
      <c r="I3870" t="s">
        <v>14</v>
      </c>
      <c r="J3870" t="s">
        <v>242</v>
      </c>
      <c r="K3870" t="s">
        <v>14</v>
      </c>
      <c r="L3870" t="s">
        <v>20</v>
      </c>
      <c r="M3870" t="s">
        <v>8180</v>
      </c>
      <c r="N3870" t="s">
        <v>14</v>
      </c>
    </row>
    <row r="3871" x14ac:dyDescent="0.25">
      <c r="A3871" t="n">
        <v>25</v>
      </c>
      <c r="B3871" t="s">
        <v>14</v>
      </c>
      <c r="C3871" t="s">
        <v>51</v>
      </c>
      <c r="D3871" s="2" t="s">
        <f>=HYPERLINK("https://main.knesset.gov.il/APPS/legislation/main/bills/2209339", "הצעת חוק טיפול במכורים לסמים קשים ואשפוזם (תיקוני חקיקה), התשפ""ג-2023")</f>
        <v>8261</v>
      </c>
      <c r="E3871" t="s">
        <v>8261</v>
      </c>
      <c r="F3871" t="s">
        <v>8262</v>
      </c>
      <c r="G3871" t="s">
        <v>14</v>
      </c>
      <c r="H3871">
             </c>
      <c r="I3871" t="s">
        <v>14</v>
      </c>
      <c r="J3871" t="s">
        <v>242</v>
      </c>
      <c r="K3871" t="s">
        <v>14</v>
      </c>
      <c r="L3871" t="s">
        <v>20</v>
      </c>
      <c r="M3871" t="s">
        <v>8180</v>
      </c>
      <c r="N3871" t="s">
        <v>14</v>
      </c>
    </row>
    <row r="3872" x14ac:dyDescent="0.25">
      <c r="A3872" t="n">
        <v>25</v>
      </c>
      <c r="B3872" t="s">
        <v>14</v>
      </c>
      <c r="C3872" t="s">
        <v>51</v>
      </c>
      <c r="D3872" s="2" t="s">
        <f>=HYPERLINK("https://main.knesset.gov.il/APPS/legislation/main/bills/2197059", "הצעת חוק המועצה לענף הלול (ייצור ושיווק) (תיקון - סימון ביצים), התשפ""ג-2023")</f>
        <v>8263</v>
      </c>
      <c r="E3872" t="s">
        <v>8263</v>
      </c>
      <c r="F3872" t="s">
        <v>8264</v>
      </c>
      <c r="G3872" t="s">
        <v>14</v>
      </c>
      <c r="H3872">
             </c>
      <c r="I3872" t="s">
        <v>14</v>
      </c>
      <c r="J3872" t="s">
        <v>242</v>
      </c>
      <c r="K3872" t="s">
        <v>14</v>
      </c>
      <c r="L3872" t="s">
        <v>20</v>
      </c>
      <c r="M3872" t="s">
        <v>8180</v>
      </c>
      <c r="N3872" t="s">
        <v>14</v>
      </c>
    </row>
    <row r="3873" x14ac:dyDescent="0.25">
      <c r="A3873" t="n">
        <v>25</v>
      </c>
      <c r="B3873" t="s">
        <v>14</v>
      </c>
      <c r="C3873" t="s">
        <v>51</v>
      </c>
      <c r="D3873" s="2" t="s">
        <f>=HYPERLINK("https://main.knesset.gov.il/APPS/legislation/main/bills/2208796", "הצעת חוק מבקר הפרקליטות, התשפ""ג-2023 ")</f>
        <v>8265</v>
      </c>
      <c r="E3873" t="s">
        <v>8265</v>
      </c>
      <c r="F3873" t="s">
        <v>8266</v>
      </c>
      <c r="G3873" t="s">
        <v>14</v>
      </c>
      <c r="H3873">
             </c>
      <c r="I3873" t="s">
        <v>14</v>
      </c>
      <c r="J3873" t="s">
        <v>242</v>
      </c>
      <c r="K3873" t="s">
        <v>14</v>
      </c>
      <c r="L3873" t="s">
        <v>20</v>
      </c>
      <c r="M3873" t="s">
        <v>8180</v>
      </c>
      <c r="N3873" t="s">
        <v>14</v>
      </c>
    </row>
    <row r="3874" x14ac:dyDescent="0.25">
      <c r="A3874" t="n">
        <v>25</v>
      </c>
      <c r="B3874" t="s">
        <v>14</v>
      </c>
      <c r="C3874" t="s">
        <v>51</v>
      </c>
      <c r="D3874" s="2" t="s">
        <f>=HYPERLINK("https://main.knesset.gov.il/APPS/legislation/main/bills/2208572", "הצעת חוק איסור מכירת צעצועים המדמים כלי נשק, התשפ""ג-2023")</f>
        <v>8267</v>
      </c>
      <c r="E3874" t="s">
        <v>8267</v>
      </c>
      <c r="F3874" t="s">
        <v>8268</v>
      </c>
      <c r="G3874" t="s">
        <v>14</v>
      </c>
      <c r="H3874">
             </c>
      <c r="I3874" t="s">
        <v>14</v>
      </c>
      <c r="J3874" t="s">
        <v>242</v>
      </c>
      <c r="K3874" t="s">
        <v>14</v>
      </c>
      <c r="L3874" t="s">
        <v>20</v>
      </c>
      <c r="M3874" t="s">
        <v>8180</v>
      </c>
      <c r="N3874" t="s">
        <v>14</v>
      </c>
    </row>
    <row r="3875" x14ac:dyDescent="0.25">
      <c r="A3875" t="n">
        <v>25</v>
      </c>
      <c r="B3875" t="s">
        <v>14</v>
      </c>
      <c r="C3875" t="s">
        <v>51</v>
      </c>
      <c r="D3875" s="2" t="s">
        <f>=HYPERLINK("https://main.knesset.gov.il/APPS/legislation/main/bills/2209312", "הצעת חוק טיפול בחולי נפש (תיקון - תנאי אשפוז הולמים), התשפ""ג-2023")</f>
        <v>8269</v>
      </c>
      <c r="E3875" t="s">
        <v>8269</v>
      </c>
      <c r="F3875" t="s">
        <v>8270</v>
      </c>
      <c r="G3875" t="s">
        <v>14</v>
      </c>
      <c r="H3875">
             </c>
      <c r="I3875" t="s">
        <v>14</v>
      </c>
      <c r="J3875" t="s">
        <v>242</v>
      </c>
      <c r="K3875" t="s">
        <v>14</v>
      </c>
      <c r="L3875" t="s">
        <v>20</v>
      </c>
      <c r="M3875" t="s">
        <v>8180</v>
      </c>
      <c r="N3875" t="s">
        <v>14</v>
      </c>
    </row>
    <row r="3876" x14ac:dyDescent="0.25">
      <c r="A3876" t="n">
        <v>25</v>
      </c>
      <c r="B3876" t="s">
        <v>14</v>
      </c>
      <c r="C3876" t="s">
        <v>51</v>
      </c>
      <c r="D3876" s="2" t="s">
        <f>=HYPERLINK("https://main.knesset.gov.il/APPS/legislation/main/bills/2209341", "הצעת חוק הביטוח הלאומי (תיקון - תשלום גמלה בעד תקופה שקדמה להגשת התביעה), התשפ""ג-2023")</f>
        <v>8271</v>
      </c>
      <c r="E3876" t="s">
        <v>8271</v>
      </c>
      <c r="F3876" t="s">
        <v>8272</v>
      </c>
      <c r="G3876" t="s">
        <v>14</v>
      </c>
      <c r="H3876">
             </c>
      <c r="I3876" t="s">
        <v>14</v>
      </c>
      <c r="J3876" t="s">
        <v>242</v>
      </c>
      <c r="K3876" t="s">
        <v>14</v>
      </c>
      <c r="L3876" t="s">
        <v>20</v>
      </c>
      <c r="M3876" t="s">
        <v>8180</v>
      </c>
      <c r="N3876" t="s">
        <v>14</v>
      </c>
    </row>
    <row r="3877" x14ac:dyDescent="0.25">
      <c r="A3877" t="n">
        <v>25</v>
      </c>
      <c r="B3877" t="s">
        <v>14</v>
      </c>
      <c r="C3877" t="s">
        <v>51</v>
      </c>
      <c r="D3877" s="2" t="s">
        <f>=HYPERLINK("https://main.knesset.gov.il/APPS/legislation/main/bills/2209184", "הצעת חוק זכויות הסטודנט (תיקון - התאמות לאוכלוסייה הערבית - חגים), התשפ""ג-2023")</f>
        <v>6188</v>
      </c>
      <c r="E3877" t="s">
        <v>6188</v>
      </c>
      <c r="F3877" t="s">
        <v>8273</v>
      </c>
      <c r="G3877" t="s">
        <v>14</v>
      </c>
      <c r="H3877">
             </c>
      <c r="I3877" t="s">
        <v>14</v>
      </c>
      <c r="J3877" t="s">
        <v>242</v>
      </c>
      <c r="K3877" t="s">
        <v>14</v>
      </c>
      <c r="L3877" t="s">
        <v>20</v>
      </c>
      <c r="M3877" t="s">
        <v>8180</v>
      </c>
      <c r="N3877" t="s">
        <v>14</v>
      </c>
    </row>
    <row r="3878" x14ac:dyDescent="0.25">
      <c r="A3878" t="n">
        <v>25</v>
      </c>
      <c r="B3878" t="s">
        <v>14</v>
      </c>
      <c r="C3878" t="s">
        <v>51</v>
      </c>
      <c r="D3878" s="2" t="s">
        <f>=HYPERLINK("https://main.knesset.gov.il/APPS/legislation/main/bills/2208518", "הצעת חוק הדגל, הסמל והמנון המדינה (תיקון - שימוש בהמנון המדינה בידי מוסדות להשכלה גבוהה), התשפ""ג-2023")</f>
        <v>8274</v>
      </c>
      <c r="E3878" t="s">
        <v>8274</v>
      </c>
      <c r="F3878" t="s">
        <v>8275</v>
      </c>
      <c r="G3878" t="s">
        <v>14</v>
      </c>
      <c r="H3878">
             </c>
      <c r="I3878" t="s">
        <v>14</v>
      </c>
      <c r="J3878" t="s">
        <v>242</v>
      </c>
      <c r="K3878" t="s">
        <v>14</v>
      </c>
      <c r="L3878" t="s">
        <v>20</v>
      </c>
      <c r="M3878" t="s">
        <v>8180</v>
      </c>
      <c r="N3878" t="s">
        <v>14</v>
      </c>
    </row>
    <row r="3879" x14ac:dyDescent="0.25">
      <c r="A3879" t="n">
        <v>25</v>
      </c>
      <c r="B3879" t="s">
        <v>14</v>
      </c>
      <c r="C3879" t="s">
        <v>51</v>
      </c>
      <c r="D3879" s="2" t="s">
        <f>=HYPERLINK("https://main.knesset.gov.il/APPS/legislation/main/bills/2209223", "הצעת חוק הבחירות לכנסת (תיקון - זכות לשכר ביום הבחירות), התשפ""ג-2023")</f>
        <v>8276</v>
      </c>
      <c r="E3879" t="s">
        <v>8276</v>
      </c>
      <c r="F3879" t="s">
        <v>8277</v>
      </c>
      <c r="G3879" t="s">
        <v>14</v>
      </c>
      <c r="H3879">
             </c>
      <c r="I3879" t="s">
        <v>14</v>
      </c>
      <c r="J3879" t="s">
        <v>242</v>
      </c>
      <c r="K3879" t="s">
        <v>14</v>
      </c>
      <c r="L3879" t="s">
        <v>20</v>
      </c>
      <c r="M3879" t="s">
        <v>8180</v>
      </c>
      <c r="N3879" t="s">
        <v>14</v>
      </c>
    </row>
    <row r="3880" x14ac:dyDescent="0.25">
      <c r="A3880" t="n">
        <v>25</v>
      </c>
      <c r="B3880" t="s">
        <v>14</v>
      </c>
      <c r="C3880" t="s">
        <v>51</v>
      </c>
      <c r="D3880" s="2" t="s">
        <f>=HYPERLINK("https://main.knesset.gov.il/APPS/legislation/main/bills/2209278", "הצעת חוק הקמת חדרי מיון בשדרות ובקריית שמונה, התשפ""ג-2023")</f>
        <v>8278</v>
      </c>
      <c r="E3880" t="s">
        <v>8278</v>
      </c>
      <c r="F3880" t="s">
        <v>8279</v>
      </c>
      <c r="G3880" t="s">
        <v>14</v>
      </c>
      <c r="H3880">
             </c>
      <c r="I3880" t="s">
        <v>14</v>
      </c>
      <c r="J3880" t="s">
        <v>242</v>
      </c>
      <c r="K3880" t="s">
        <v>14</v>
      </c>
      <c r="L3880" t="s">
        <v>20</v>
      </c>
      <c r="M3880" t="s">
        <v>8180</v>
      </c>
      <c r="N3880" t="s">
        <v>14</v>
      </c>
    </row>
    <row r="3881" x14ac:dyDescent="0.25">
      <c r="A3881" t="n">
        <v>25</v>
      </c>
      <c r="B3881" t="s">
        <v>14</v>
      </c>
      <c r="C3881" t="s">
        <v>51</v>
      </c>
      <c r="D3881" s="2" t="s">
        <f>=HYPERLINK("https://main.knesset.gov.il/APPS/legislation/main/bills/2205604", "הצעת חוק הביטוח הלאומי (תיקון - הגדלת הסכום שאינו מובא בחשבון וסכום לקביעת זכאות לנכה), התשפ""ג-2023")</f>
        <v>8280</v>
      </c>
      <c r="E3881" t="s">
        <v>8280</v>
      </c>
      <c r="F3881" t="s">
        <v>8281</v>
      </c>
      <c r="G3881" t="s">
        <v>14</v>
      </c>
      <c r="H3881">
             </c>
      <c r="I3881" t="s">
        <v>14</v>
      </c>
      <c r="J3881" t="s">
        <v>242</v>
      </c>
      <c r="K3881" t="s">
        <v>14</v>
      </c>
      <c r="L3881" t="s">
        <v>20</v>
      </c>
      <c r="M3881" t="s">
        <v>8180</v>
      </c>
      <c r="N3881" t="s">
        <v>14</v>
      </c>
    </row>
    <row r="3882" x14ac:dyDescent="0.25">
      <c r="A3882" t="n">
        <v>25</v>
      </c>
      <c r="B3882" t="s">
        <v>14</v>
      </c>
      <c r="C3882" t="s">
        <v>51</v>
      </c>
      <c r="D3882" s="2" t="s">
        <f>=HYPERLINK("https://main.knesset.gov.il/APPS/legislation/main/bills/2208766", "הצעת חוק ההתגוננות האזרחית (תיקון - מרחב מוגן דירתי ביישובים סמוכי גבול), התשפ""ג-2023")</f>
        <v>8282</v>
      </c>
      <c r="E3882" t="s">
        <v>8282</v>
      </c>
      <c r="F3882" t="s">
        <v>8283</v>
      </c>
      <c r="G3882" t="s">
        <v>14</v>
      </c>
      <c r="H3882">
             </c>
      <c r="I3882" t="s">
        <v>14</v>
      </c>
      <c r="J3882" t="s">
        <v>242</v>
      </c>
      <c r="K3882" t="s">
        <v>14</v>
      </c>
      <c r="L3882" t="s">
        <v>20</v>
      </c>
      <c r="M3882" t="s">
        <v>8180</v>
      </c>
      <c r="N3882" t="s">
        <v>14</v>
      </c>
    </row>
    <row r="3883" x14ac:dyDescent="0.25">
      <c r="A3883" t="n">
        <v>25</v>
      </c>
      <c r="B3883" t="s">
        <v>14</v>
      </c>
      <c r="C3883" t="s">
        <v>51</v>
      </c>
      <c r="D3883" s="2" t="s">
        <f>=HYPERLINK("https://main.knesset.gov.il/APPS/legislation/main/bills/2209337", "הצעת חוק ביטוח בריאות ממלכתי (תיקון - צמצום פערים בין הפריפריה למרכז), התשפ""ג-2023")</f>
        <v>970</v>
      </c>
      <c r="E3883" t="s">
        <v>970</v>
      </c>
      <c r="F3883" t="s">
        <v>8284</v>
      </c>
      <c r="G3883" t="s">
        <v>14</v>
      </c>
      <c r="H3883">
             </c>
      <c r="I3883" t="s">
        <v>14</v>
      </c>
      <c r="J3883" t="s">
        <v>242</v>
      </c>
      <c r="K3883" t="s">
        <v>14</v>
      </c>
      <c r="L3883" t="s">
        <v>20</v>
      </c>
      <c r="M3883" t="s">
        <v>8180</v>
      </c>
      <c r="N3883" t="s">
        <v>14</v>
      </c>
    </row>
    <row r="3884" x14ac:dyDescent="0.25">
      <c r="A3884" t="n">
        <v>25</v>
      </c>
      <c r="B3884" t="s">
        <v>14</v>
      </c>
      <c r="C3884" t="s">
        <v>51</v>
      </c>
      <c r="D3884" s="2" t="s">
        <f>=HYPERLINK("https://main.knesset.gov.il/APPS/legislation/main/bills/2208141", "הצעת חוק העונשין (תיקון - גזענות נגד קבוצה דתית), התשפ""ג-2022")</f>
        <v>8285</v>
      </c>
      <c r="E3884" t="s">
        <v>8285</v>
      </c>
      <c r="F3884" t="s">
        <v>8286</v>
      </c>
      <c r="G3884" t="s">
        <v>14</v>
      </c>
      <c r="H3884">
             </c>
      <c r="I3884" t="s">
        <v>14</v>
      </c>
      <c r="J3884" t="s">
        <v>242</v>
      </c>
      <c r="K3884" t="s">
        <v>14</v>
      </c>
      <c r="L3884" t="s">
        <v>20</v>
      </c>
      <c r="M3884" t="s">
        <v>8180</v>
      </c>
      <c r="N3884" t="s">
        <v>14</v>
      </c>
    </row>
    <row r="3885" x14ac:dyDescent="0.25">
      <c r="A3885" t="n">
        <v>25</v>
      </c>
      <c r="B3885" t="s">
        <v>14</v>
      </c>
      <c r="C3885" t="s">
        <v>51</v>
      </c>
      <c r="D3885" s="2" t="s">
        <f>=HYPERLINK("https://main.knesset.gov.il/APPS/legislation/main/bills/2208582", "הצעת חוק הביטוח הלאומי (תיקון - גמלת אבל לעצמאים), התשפ""ג-2023")</f>
        <v>8287</v>
      </c>
      <c r="E3885" t="s">
        <v>8287</v>
      </c>
      <c r="F3885" t="s">
        <v>8288</v>
      </c>
      <c r="G3885" t="s">
        <v>14</v>
      </c>
      <c r="H3885">
             </c>
      <c r="I3885" t="s">
        <v>14</v>
      </c>
      <c r="J3885" t="s">
        <v>242</v>
      </c>
      <c r="K3885" t="s">
        <v>14</v>
      </c>
      <c r="L3885" t="s">
        <v>20</v>
      </c>
      <c r="M3885" t="s">
        <v>8180</v>
      </c>
      <c r="N3885" t="s">
        <v>14</v>
      </c>
    </row>
    <row r="3886" x14ac:dyDescent="0.25">
      <c r="A3886" t="n">
        <v>25</v>
      </c>
      <c r="B3886" t="s">
        <v>14</v>
      </c>
      <c r="C3886" t="s">
        <v>51</v>
      </c>
      <c r="D3886" s="2" t="s">
        <f>=HYPERLINK("https://main.knesset.gov.il/APPS/legislation/main/bills/2206769", "הצעת חוק העונשין (תיקון - עונש מינימום בעבירת גניבת נשק), התשפ""ג-2023")</f>
        <v>8289</v>
      </c>
      <c r="E3886" t="s">
        <v>8289</v>
      </c>
      <c r="F3886" t="s">
        <v>8290</v>
      </c>
      <c r="G3886" t="s">
        <v>14</v>
      </c>
      <c r="H3886">
             </c>
      <c r="I3886" t="s">
        <v>14</v>
      </c>
      <c r="J3886" t="s">
        <v>242</v>
      </c>
      <c r="K3886" t="s">
        <v>14</v>
      </c>
      <c r="L3886" t="s">
        <v>20</v>
      </c>
      <c r="M3886" t="s">
        <v>8180</v>
      </c>
      <c r="N3886" t="s">
        <v>14</v>
      </c>
    </row>
    <row r="3887" x14ac:dyDescent="0.25">
      <c r="A3887" t="n">
        <v>25</v>
      </c>
      <c r="B3887" t="s">
        <v>14</v>
      </c>
      <c r="C3887" t="s">
        <v>51</v>
      </c>
      <c r="D3887" s="2" t="s">
        <f>=HYPERLINK("https://main.knesset.gov.il/APPS/legislation/main/bills/2208927", "הצעת חוק הביטוח הלאומי (תיקון - גמלת אבל), התשפ""ג-2023")</f>
        <v>8291</v>
      </c>
      <c r="E3887" t="s">
        <v>8291</v>
      </c>
      <c r="F3887" t="s">
        <v>8292</v>
      </c>
      <c r="G3887" t="s">
        <v>14</v>
      </c>
      <c r="H3887">
             </c>
      <c r="I3887" t="s">
        <v>14</v>
      </c>
      <c r="J3887" t="s">
        <v>242</v>
      </c>
      <c r="K3887" t="s">
        <v>14</v>
      </c>
      <c r="L3887" t="s">
        <v>20</v>
      </c>
      <c r="M3887" t="s">
        <v>8180</v>
      </c>
      <c r="N3887" t="s">
        <v>14</v>
      </c>
    </row>
    <row r="3888" x14ac:dyDescent="0.25">
      <c r="A3888" t="n">
        <v>25</v>
      </c>
      <c r="B3888" t="s">
        <v>14</v>
      </c>
      <c r="C3888" t="s">
        <v>51</v>
      </c>
      <c r="D3888" s="2" t="s">
        <f>=HYPERLINK("https://main.knesset.gov.il/APPS/legislation/main/bills/2204346", "הצעת חוק הלוואות לדיור (תיקון - עדכון זכאות ותנאי הלוואה לדיור), תשפ""ג-2023")</f>
        <v>8293</v>
      </c>
      <c r="E3888" t="s">
        <v>8293</v>
      </c>
      <c r="F3888" t="s">
        <v>8294</v>
      </c>
      <c r="G3888" t="s">
        <v>14</v>
      </c>
      <c r="H3888">
             </c>
      <c r="I3888" t="s">
        <v>14</v>
      </c>
      <c r="J3888" t="s">
        <v>242</v>
      </c>
      <c r="K3888" t="s">
        <v>14</v>
      </c>
      <c r="L3888" t="s">
        <v>20</v>
      </c>
      <c r="M3888" t="s">
        <v>8180</v>
      </c>
      <c r="N3888" t="s">
        <v>14</v>
      </c>
    </row>
    <row r="3889" x14ac:dyDescent="0.25">
      <c r="A3889" t="n">
        <v>25</v>
      </c>
      <c r="B3889" t="s">
        <v>14</v>
      </c>
      <c r="C3889" t="s">
        <v>51</v>
      </c>
      <c r="D3889" s="2" t="s">
        <f>=HYPERLINK("https://main.knesset.gov.il/APPS/legislation/main/bills/2209243", "הצעת חוק חכירה הוגנת, התשפ""ג-2023 ")</f>
        <v>8295</v>
      </c>
      <c r="E3889" t="s">
        <v>8295</v>
      </c>
      <c r="F3889" t="s">
        <v>8296</v>
      </c>
      <c r="G3889" t="s">
        <v>14</v>
      </c>
      <c r="H3889">
             </c>
      <c r="I3889" t="s">
        <v>14</v>
      </c>
      <c r="J3889" t="s">
        <v>242</v>
      </c>
      <c r="K3889" t="s">
        <v>14</v>
      </c>
      <c r="L3889" t="s">
        <v>20</v>
      </c>
      <c r="M3889" t="s">
        <v>8180</v>
      </c>
      <c r="N3889" t="s">
        <v>14</v>
      </c>
    </row>
    <row r="3890" x14ac:dyDescent="0.25">
      <c r="A3890" t="n">
        <v>25</v>
      </c>
      <c r="B3890" t="s">
        <v>14</v>
      </c>
      <c r="C3890" t="s">
        <v>51</v>
      </c>
      <c r="D3890" s="2" t="s">
        <f>=HYPERLINK("https://main.knesset.gov.il/APPS/legislation/main/bills/2208595", "הצעת חוק הסיוע המשפטי (תיקון - סיוע משפטי לנפגעי הונאה ועושק), התשפ""ג-2023")</f>
        <v>8297</v>
      </c>
      <c r="E3890" t="s">
        <v>8297</v>
      </c>
      <c r="F3890" t="s">
        <v>8298</v>
      </c>
      <c r="G3890" t="s">
        <v>14</v>
      </c>
      <c r="H3890">
             </c>
      <c r="I3890" t="s">
        <v>14</v>
      </c>
      <c r="J3890" t="s">
        <v>242</v>
      </c>
      <c r="K3890" t="s">
        <v>14</v>
      </c>
      <c r="L3890" t="s">
        <v>20</v>
      </c>
      <c r="M3890" t="s">
        <v>8180</v>
      </c>
      <c r="N3890" t="s">
        <v>14</v>
      </c>
    </row>
    <row r="3891" x14ac:dyDescent="0.25">
      <c r="A3891" t="n">
        <v>25</v>
      </c>
      <c r="B3891" t="s">
        <v>14</v>
      </c>
      <c r="C3891" t="s">
        <v>51</v>
      </c>
      <c r="D3891" s="2" t="s">
        <f>=HYPERLINK("https://main.knesset.gov.il/APPS/legislation/main/bills/2206735", "הצעת חוק העונשין (תיקון - עונש מינימום בעבירות כניסה והתפרצות), התשפ""ג-2023")</f>
        <v>8299</v>
      </c>
      <c r="E3891" t="s">
        <v>8299</v>
      </c>
      <c r="F3891" t="s">
        <v>8300</v>
      </c>
      <c r="G3891" t="s">
        <v>14</v>
      </c>
      <c r="H3891">
             </c>
      <c r="I3891" t="s">
        <v>14</v>
      </c>
      <c r="J3891" t="s">
        <v>242</v>
      </c>
      <c r="K3891" t="s">
        <v>14</v>
      </c>
      <c r="L3891" t="s">
        <v>20</v>
      </c>
      <c r="M3891" t="s">
        <v>8180</v>
      </c>
      <c r="N3891" t="s">
        <v>14</v>
      </c>
    </row>
    <row r="3892" x14ac:dyDescent="0.25">
      <c r="A3892" t="n">
        <v>25</v>
      </c>
      <c r="B3892" t="s">
        <v>14</v>
      </c>
      <c r="C3892" t="s">
        <v>51</v>
      </c>
      <c r="D3892" s="2" t="s">
        <f>=HYPERLINK("https://main.knesset.gov.il/APPS/legislation/main/bills/2209272", "הצעת חוק לעידוד הסעות עובדים מאורגנות (תיקוני חקיקה), התשפ""ג-2023")</f>
        <v>8301</v>
      </c>
      <c r="E3892" t="s">
        <v>8301</v>
      </c>
      <c r="F3892" t="s">
        <v>8302</v>
      </c>
      <c r="G3892" t="s">
        <v>14</v>
      </c>
      <c r="H3892">
             </c>
      <c r="I3892" t="s">
        <v>14</v>
      </c>
      <c r="J3892" t="s">
        <v>242</v>
      </c>
      <c r="K3892" t="s">
        <v>14</v>
      </c>
      <c r="L3892" t="s">
        <v>20</v>
      </c>
      <c r="M3892" t="s">
        <v>8180</v>
      </c>
      <c r="N3892" t="s">
        <v>14</v>
      </c>
    </row>
    <row r="3893" x14ac:dyDescent="0.25">
      <c r="A3893" t="n">
        <v>25</v>
      </c>
      <c r="B3893" t="s">
        <v>14</v>
      </c>
      <c r="C3893" t="s">
        <v>51</v>
      </c>
      <c r="D3893" s="2" t="s">
        <f>=HYPERLINK("https://main.knesset.gov.il/APPS/legislation/main/bills/2206777", "הצעת חוק העונשין (תיקון - עונש מינימום בעבירות גניבה מרכב), התשפ""ג-2023")</f>
        <v>8303</v>
      </c>
      <c r="E3893" t="s">
        <v>8303</v>
      </c>
      <c r="F3893" t="s">
        <v>8304</v>
      </c>
      <c r="G3893" t="s">
        <v>14</v>
      </c>
      <c r="H3893">
             </c>
      <c r="I3893" t="s">
        <v>14</v>
      </c>
      <c r="J3893" t="s">
        <v>242</v>
      </c>
      <c r="K3893" t="s">
        <v>14</v>
      </c>
      <c r="L3893" t="s">
        <v>20</v>
      </c>
      <c r="M3893" t="s">
        <v>8180</v>
      </c>
      <c r="N3893" t="s">
        <v>14</v>
      </c>
    </row>
    <row r="3894" x14ac:dyDescent="0.25">
      <c r="A3894" t="n">
        <v>25</v>
      </c>
      <c r="B3894" t="s">
        <v>14</v>
      </c>
      <c r="C3894" t="s">
        <v>51</v>
      </c>
      <c r="D3894" s="2" t="s">
        <f>=HYPERLINK("https://main.knesset.gov.il/APPS/legislation/main/bills/2208945", "הצעת חוק תגמול ספורטאים בעלי דירוג עולמי, התשפ""ג-2023")</f>
        <v>8305</v>
      </c>
      <c r="E3894" t="s">
        <v>8305</v>
      </c>
      <c r="F3894" t="s">
        <v>8306</v>
      </c>
      <c r="G3894" t="s">
        <v>14</v>
      </c>
      <c r="H3894">
             </c>
      <c r="I3894" t="s">
        <v>14</v>
      </c>
      <c r="J3894" t="s">
        <v>242</v>
      </c>
      <c r="K3894" t="s">
        <v>14</v>
      </c>
      <c r="L3894" t="s">
        <v>20</v>
      </c>
      <c r="M3894" t="s">
        <v>8180</v>
      </c>
      <c r="N3894" t="s">
        <v>14</v>
      </c>
    </row>
    <row r="3895" x14ac:dyDescent="0.25">
      <c r="A3895" t="n">
        <v>25</v>
      </c>
      <c r="B3895" t="s">
        <v>14</v>
      </c>
      <c r="C3895" t="s">
        <v>51</v>
      </c>
      <c r="D3895" s="2" t="s">
        <f>=HYPERLINK("https://main.knesset.gov.il/APPS/legislation/main/bills/2209315", "הצעת חוק ההוצאה לפועל (תיקון - החרגת עיקול ביטוח רפואי בידי צד שלישי), התשפ""ג-2023")</f>
        <v>8307</v>
      </c>
      <c r="E3895" t="s">
        <v>8307</v>
      </c>
      <c r="F3895" t="s">
        <v>8308</v>
      </c>
      <c r="G3895" t="s">
        <v>14</v>
      </c>
      <c r="H3895">
             </c>
      <c r="I3895" t="s">
        <v>14</v>
      </c>
      <c r="J3895" t="s">
        <v>242</v>
      </c>
      <c r="K3895" t="s">
        <v>14</v>
      </c>
      <c r="L3895" t="s">
        <v>20</v>
      </c>
      <c r="M3895" t="s">
        <v>8180</v>
      </c>
      <c r="N3895" t="s">
        <v>14</v>
      </c>
    </row>
    <row r="3896" x14ac:dyDescent="0.25">
      <c r="A3896" t="n">
        <v>25</v>
      </c>
      <c r="B3896" t="s">
        <v>14</v>
      </c>
      <c r="C3896" t="s">
        <v>51</v>
      </c>
      <c r="D3896" s="2" t="s">
        <f>=HYPERLINK("https://main.knesset.gov.il/APPS/legislation/main/bills/2198845", "הצעת חוק הלוואות לדיור (תיקון - מניעת מגבלה על שיעור המימון מבנק), התשפ""ג-2023")</f>
        <v>8309</v>
      </c>
      <c r="E3896" t="s">
        <v>8309</v>
      </c>
      <c r="F3896" t="s">
        <v>8310</v>
      </c>
      <c r="G3896" t="s">
        <v>14</v>
      </c>
      <c r="H3896">
             </c>
      <c r="I3896" t="s">
        <v>14</v>
      </c>
      <c r="J3896" t="s">
        <v>242</v>
      </c>
      <c r="K3896" t="s">
        <v>14</v>
      </c>
      <c r="L3896" t="s">
        <v>20</v>
      </c>
      <c r="M3896" t="s">
        <v>8180</v>
      </c>
      <c r="N3896" t="s">
        <v>14</v>
      </c>
    </row>
    <row r="3897" x14ac:dyDescent="0.25">
      <c r="A3897" t="n">
        <v>25</v>
      </c>
      <c r="B3897" t="s">
        <v>14</v>
      </c>
      <c r="C3897" t="s">
        <v>51</v>
      </c>
      <c r="D3897" s="2" t="s">
        <f>=HYPERLINK("https://main.knesset.gov.il/APPS/legislation/main/bills/2208797", "הצעת חוק לתיקון פקודת סדרי השלטון והמשפט (חקיקה באזור באמצעות צו), התשפ""ג-2023")</f>
        <v>8311</v>
      </c>
      <c r="E3897" t="s">
        <v>8311</v>
      </c>
      <c r="F3897" t="s">
        <v>8312</v>
      </c>
      <c r="G3897" t="s">
        <v>14</v>
      </c>
      <c r="H3897">
             </c>
      <c r="I3897" t="s">
        <v>14</v>
      </c>
      <c r="J3897" t="s">
        <v>242</v>
      </c>
      <c r="K3897" t="s">
        <v>14</v>
      </c>
      <c r="L3897" t="s">
        <v>20</v>
      </c>
      <c r="M3897" t="s">
        <v>8180</v>
      </c>
      <c r="N3897" t="s">
        <v>14</v>
      </c>
    </row>
    <row r="3898" x14ac:dyDescent="0.25">
      <c r="A3898" t="n">
        <v>25</v>
      </c>
      <c r="B3898" t="s">
        <v>14</v>
      </c>
      <c r="C3898" t="s">
        <v>51</v>
      </c>
      <c r="D3898" s="2" t="s">
        <f>=HYPERLINK("https://main.knesset.gov.il/APPS/legislation/main/bills/2206772", "הצעת חוק העונשין (תיקון - עונש מינימום על עבירת אונס), התשפ""ג-2023")</f>
        <v>8313</v>
      </c>
      <c r="E3898" t="s">
        <v>8313</v>
      </c>
      <c r="F3898" t="s">
        <v>8314</v>
      </c>
      <c r="G3898" t="s">
        <v>14</v>
      </c>
      <c r="H3898">
             </c>
      <c r="I3898" t="s">
        <v>14</v>
      </c>
      <c r="J3898" t="s">
        <v>242</v>
      </c>
      <c r="K3898" t="s">
        <v>14</v>
      </c>
      <c r="L3898" t="s">
        <v>20</v>
      </c>
      <c r="M3898" t="s">
        <v>8180</v>
      </c>
      <c r="N3898" t="s">
        <v>14</v>
      </c>
    </row>
    <row r="3899" x14ac:dyDescent="0.25">
      <c r="A3899" t="n">
        <v>25</v>
      </c>
      <c r="B3899" t="s">
        <v>14</v>
      </c>
      <c r="C3899" t="s">
        <v>51</v>
      </c>
      <c r="D3899" s="2" t="s">
        <f>=HYPERLINK("https://main.knesset.gov.il/APPS/legislation/main/bills/2208929", "הצעת חוק זכויות החולה (תיקון - הסכמה מדעת של קטין), התשפ""ג-2023")</f>
        <v>8315</v>
      </c>
      <c r="E3899" t="s">
        <v>8315</v>
      </c>
      <c r="F3899" t="s">
        <v>8316</v>
      </c>
      <c r="G3899" t="s">
        <v>14</v>
      </c>
      <c r="H3899">
             </c>
      <c r="I3899" t="s">
        <v>14</v>
      </c>
      <c r="J3899" t="s">
        <v>242</v>
      </c>
      <c r="K3899" t="s">
        <v>14</v>
      </c>
      <c r="L3899" t="s">
        <v>20</v>
      </c>
      <c r="M3899" t="s">
        <v>8180</v>
      </c>
      <c r="N3899" t="s">
        <v>14</v>
      </c>
    </row>
    <row r="3900" x14ac:dyDescent="0.25">
      <c r="A3900" t="n">
        <v>25</v>
      </c>
      <c r="B3900" t="s">
        <v>14</v>
      </c>
      <c r="C3900" t="s">
        <v>51</v>
      </c>
      <c r="D3900" s="2" t="s">
        <f>=HYPERLINK("https://main.knesset.gov.il/APPS/legislation/main/bills/2208583", "הצעת חוק למניעת הטרדה מינית (תיקון - הרחבת תחולה על עובדים עצמאים, מתנדבים ועובדי כלכלת הפלטפורמה), התשפ""ג-2023")</f>
        <v>8317</v>
      </c>
      <c r="E3900" t="s">
        <v>8317</v>
      </c>
      <c r="F3900" t="s">
        <v>8318</v>
      </c>
      <c r="G3900" t="s">
        <v>14</v>
      </c>
      <c r="H3900">
             </c>
      <c r="I3900" t="s">
        <v>14</v>
      </c>
      <c r="J3900" t="s">
        <v>242</v>
      </c>
      <c r="K3900" t="s">
        <v>14</v>
      </c>
      <c r="L3900" t="s">
        <v>20</v>
      </c>
      <c r="M3900" t="s">
        <v>8180</v>
      </c>
      <c r="N3900" t="s">
        <v>14</v>
      </c>
    </row>
    <row r="3901" x14ac:dyDescent="0.25">
      <c r="A3901" t="n">
        <v>25</v>
      </c>
      <c r="B3901" t="s">
        <v>14</v>
      </c>
      <c r="C3901" t="s">
        <v>51</v>
      </c>
      <c r="D3901" s="2" t="s">
        <f>=HYPERLINK("https://main.knesset.gov.il/APPS/legislation/main/bills/2206770", "הצעת חוק העונשין (תיקון - עונש מינימום על תקיפת שוטר), התשפ""ג-2023 ")</f>
        <v>8319</v>
      </c>
      <c r="E3901" t="s">
        <v>8319</v>
      </c>
      <c r="F3901" t="s">
        <v>8320</v>
      </c>
      <c r="G3901" t="s">
        <v>14</v>
      </c>
      <c r="H3901">
             </c>
      <c r="I3901" t="s">
        <v>14</v>
      </c>
      <c r="J3901" t="s">
        <v>242</v>
      </c>
      <c r="K3901" t="s">
        <v>14</v>
      </c>
      <c r="L3901" t="s">
        <v>20</v>
      </c>
      <c r="M3901" t="s">
        <v>8180</v>
      </c>
      <c r="N3901" t="s">
        <v>14</v>
      </c>
    </row>
    <row r="3902" x14ac:dyDescent="0.25">
      <c r="A3902" t="n">
        <v>25</v>
      </c>
      <c r="B3902" t="s">
        <v>14</v>
      </c>
      <c r="C3902" t="s">
        <v>51</v>
      </c>
      <c r="D3902" s="2" t="s">
        <f>=HYPERLINK("https://main.knesset.gov.il/APPS/legislation/main/bills/2208596", "הצעת חוק מגן דוד אדום (תיקון - פריסת ניידות טיפול נמרץ ברחבי המדינה), התשפ""ג-2023 ")</f>
        <v>8321</v>
      </c>
      <c r="E3902" t="s">
        <v>8321</v>
      </c>
      <c r="F3902" t="s">
        <v>8322</v>
      </c>
      <c r="G3902" t="s">
        <v>14</v>
      </c>
      <c r="H3902">
             </c>
      <c r="I3902" t="s">
        <v>14</v>
      </c>
      <c r="J3902" t="s">
        <v>242</v>
      </c>
      <c r="K3902" t="s">
        <v>14</v>
      </c>
      <c r="L3902" t="s">
        <v>20</v>
      </c>
      <c r="M3902" t="s">
        <v>8180</v>
      </c>
      <c r="N3902" t="s">
        <v>14</v>
      </c>
    </row>
    <row r="3903" x14ac:dyDescent="0.25">
      <c r="A3903" t="n">
        <v>25</v>
      </c>
      <c r="B3903" t="s">
        <v>14</v>
      </c>
      <c r="C3903" t="s">
        <v>51</v>
      </c>
      <c r="D3903" s="2" t="s">
        <f>=HYPERLINK("https://main.knesset.gov.il/APPS/legislation/main/bills/2205715", "הצעת חוק הארכת תקופת צינון למשרתים במערכת הביטחון (תיקוני חקיקה), התשפ""ג-2023")</f>
        <v>8323</v>
      </c>
      <c r="E3903" t="s">
        <v>8323</v>
      </c>
      <c r="F3903" t="s">
        <v>8324</v>
      </c>
      <c r="G3903" t="s">
        <v>14</v>
      </c>
      <c r="H3903">
             </c>
      <c r="I3903" t="s">
        <v>14</v>
      </c>
      <c r="J3903" t="s">
        <v>242</v>
      </c>
      <c r="K3903" t="s">
        <v>14</v>
      </c>
      <c r="L3903" t="s">
        <v>20</v>
      </c>
      <c r="M3903" t="s">
        <v>8180</v>
      </c>
      <c r="N3903" t="s">
        <v>14</v>
      </c>
    </row>
    <row r="3904" x14ac:dyDescent="0.25">
      <c r="A3904" t="n">
        <v>25</v>
      </c>
      <c r="B3904" t="s">
        <v>14</v>
      </c>
      <c r="C3904" t="s">
        <v>51</v>
      </c>
      <c r="D3904" s="2" t="s">
        <f>=HYPERLINK("https://main.knesset.gov.il/APPS/legislation/main/bills/2203702", "הצעת חוק מס ערך מוסף (תיקון - הגדרת עוסק פטור), התשפ""ג-2023")</f>
        <v>8325</v>
      </c>
      <c r="E3904" t="s">
        <v>8325</v>
      </c>
      <c r="F3904" t="s">
        <v>8326</v>
      </c>
      <c r="G3904" t="s">
        <v>14</v>
      </c>
      <c r="H3904">
             </c>
      <c r="I3904" t="s">
        <v>14</v>
      </c>
      <c r="J3904" t="s">
        <v>242</v>
      </c>
      <c r="K3904" t="s">
        <v>14</v>
      </c>
      <c r="L3904" t="s">
        <v>20</v>
      </c>
      <c r="M3904" t="s">
        <v>8180</v>
      </c>
      <c r="N3904" t="s">
        <v>14</v>
      </c>
    </row>
    <row r="3905" x14ac:dyDescent="0.25">
      <c r="A3905" t="n">
        <v>25</v>
      </c>
      <c r="B3905" t="s">
        <v>14</v>
      </c>
      <c r="C3905" t="s">
        <v>51</v>
      </c>
      <c r="D3905" s="2" t="s">
        <f>=HYPERLINK("https://main.knesset.gov.il/APPS/legislation/main/bills/2209298", "הצעת חוק הביטוח הלאומי (תיקון - זכאות לקצבת נכות), התשפ""ג-2023")</f>
        <v>8327</v>
      </c>
      <c r="E3905" t="s">
        <v>8327</v>
      </c>
      <c r="F3905" t="s">
        <v>8328</v>
      </c>
      <c r="G3905" t="s">
        <v>14</v>
      </c>
      <c r="H3905">
             </c>
      <c r="I3905" t="s">
        <v>14</v>
      </c>
      <c r="J3905" t="s">
        <v>242</v>
      </c>
      <c r="K3905" t="s">
        <v>14</v>
      </c>
      <c r="L3905" t="s">
        <v>20</v>
      </c>
      <c r="M3905" t="s">
        <v>8180</v>
      </c>
      <c r="N3905" t="s">
        <v>14</v>
      </c>
    </row>
    <row r="3906" x14ac:dyDescent="0.25">
      <c r="A3906" t="n">
        <v>25</v>
      </c>
      <c r="B3906" t="s">
        <v>14</v>
      </c>
      <c r="C3906" t="s">
        <v>51</v>
      </c>
      <c r="D3906" s="2" t="s">
        <f>=HYPERLINK("https://main.knesset.gov.il/APPS/legislation/main/bills/2208110", "הצעת חוק המשטרה (סמכויות), התשפ""ג-2023")</f>
        <v>8329</v>
      </c>
      <c r="E3906" t="s">
        <v>8329</v>
      </c>
      <c r="F3906" t="s">
        <v>8330</v>
      </c>
      <c r="G3906" t="s">
        <v>14</v>
      </c>
      <c r="H3906">
             </c>
      <c r="I3906" t="s">
        <v>14</v>
      </c>
      <c r="J3906" t="s">
        <v>242</v>
      </c>
      <c r="K3906" t="s">
        <v>14</v>
      </c>
      <c r="L3906" t="s">
        <v>20</v>
      </c>
      <c r="M3906" t="s">
        <v>8180</v>
      </c>
      <c r="N3906" t="s">
        <v>14</v>
      </c>
    </row>
    <row r="3907" x14ac:dyDescent="0.25">
      <c r="A3907" t="n">
        <v>25</v>
      </c>
      <c r="B3907" t="s">
        <v>14</v>
      </c>
      <c r="C3907" t="s">
        <v>51</v>
      </c>
      <c r="D3907" s="2" t="s">
        <f>=HYPERLINK("https://main.knesset.gov.il/APPS/legislation/main/bills/2208903", "הצעת חוק הכרת מדינת ישראל באחריות על הטבח בכפר קאסם, התשפ""ג-2023")</f>
        <v>8331</v>
      </c>
      <c r="E3907" t="s">
        <v>8331</v>
      </c>
      <c r="F3907" t="s">
        <v>8332</v>
      </c>
      <c r="G3907" t="s">
        <v>14</v>
      </c>
      <c r="H3907">
             </c>
      <c r="I3907" t="s">
        <v>14</v>
      </c>
      <c r="J3907" t="s">
        <v>242</v>
      </c>
      <c r="K3907" t="s">
        <v>14</v>
      </c>
      <c r="L3907" t="s">
        <v>20</v>
      </c>
      <c r="M3907" t="s">
        <v>8180</v>
      </c>
      <c r="N3907" t="s">
        <v>14</v>
      </c>
    </row>
    <row r="3908" x14ac:dyDescent="0.25">
      <c r="A3908" t="n">
        <v>25</v>
      </c>
      <c r="B3908" t="s">
        <v>14</v>
      </c>
      <c r="C3908" t="s">
        <v>51</v>
      </c>
      <c r="D3908" s="2" t="s">
        <f>=HYPERLINK("https://main.knesset.gov.il/APPS/legislation/main/bills/2208958", "הצעת חוק הביטוח הלאומי (תיקון - הרחבת הזכאות לגמלת ניידות לפי הסכם מכוח סעיף 9), התשפ""ג-2023")</f>
        <v>8333</v>
      </c>
      <c r="E3908" t="s">
        <v>8333</v>
      </c>
      <c r="F3908" t="s">
        <v>8334</v>
      </c>
      <c r="G3908" t="s">
        <v>14</v>
      </c>
      <c r="H3908">
             </c>
      <c r="I3908" t="s">
        <v>14</v>
      </c>
      <c r="J3908" t="s">
        <v>242</v>
      </c>
      <c r="K3908" t="s">
        <v>14</v>
      </c>
      <c r="L3908" t="s">
        <v>20</v>
      </c>
      <c r="M3908" t="s">
        <v>8180</v>
      </c>
      <c r="N3908" t="s">
        <v>14</v>
      </c>
    </row>
    <row r="3909" x14ac:dyDescent="0.25">
      <c r="A3909" t="n">
        <v>25</v>
      </c>
      <c r="B3909" t="s">
        <v>14</v>
      </c>
      <c r="C3909" t="s">
        <v>51</v>
      </c>
      <c r="D3909" s="2" t="s">
        <f>=HYPERLINK("https://main.knesset.gov.il/APPS/legislation/main/bills/2208808", "הצעת חוק צער בעלי חיים (הגנה על בעלי חיים) (תיקון - המעמד המשפטי של בעלי חיים), התשפ""ג-2023")</f>
        <v>8335</v>
      </c>
      <c r="E3909" t="s">
        <v>8335</v>
      </c>
      <c r="F3909" t="s">
        <v>8336</v>
      </c>
      <c r="G3909" t="s">
        <v>14</v>
      </c>
      <c r="H3909">
             </c>
      <c r="I3909" t="s">
        <v>14</v>
      </c>
      <c r="J3909" t="s">
        <v>242</v>
      </c>
      <c r="K3909" t="s">
        <v>14</v>
      </c>
      <c r="L3909" t="s">
        <v>20</v>
      </c>
      <c r="M3909" t="s">
        <v>8180</v>
      </c>
      <c r="N3909" t="s">
        <v>14</v>
      </c>
    </row>
    <row r="3910" x14ac:dyDescent="0.25">
      <c r="A3910" t="n">
        <v>25</v>
      </c>
      <c r="B3910" t="s">
        <v>14</v>
      </c>
      <c r="C3910" t="s">
        <v>51</v>
      </c>
      <c r="D3910" s="2" t="s">
        <f>=HYPERLINK("https://main.knesset.gov.il/APPS/legislation/main/bills/2209112", "הצעת חוק תפיסת הביטחון הלאומי, התשפ""ג-2023")</f>
        <v>8337</v>
      </c>
      <c r="E3910" t="s">
        <v>8337</v>
      </c>
      <c r="F3910" t="s">
        <v>8338</v>
      </c>
      <c r="G3910" t="s">
        <v>14</v>
      </c>
      <c r="H3910">
             </c>
      <c r="I3910" t="s">
        <v>14</v>
      </c>
      <c r="J3910" t="s">
        <v>242</v>
      </c>
      <c r="K3910" t="s">
        <v>14</v>
      </c>
      <c r="L3910" t="s">
        <v>20</v>
      </c>
      <c r="M3910" t="s">
        <v>8180</v>
      </c>
      <c r="N3910" t="s">
        <v>14</v>
      </c>
    </row>
    <row r="3911" x14ac:dyDescent="0.25">
      <c r="A3911" t="n">
        <v>25</v>
      </c>
      <c r="B3911" t="s">
        <v>14</v>
      </c>
      <c r="C3911" t="s">
        <v>51</v>
      </c>
      <c r="D3911" s="2" t="s">
        <f>=HYPERLINK("https://main.knesset.gov.il/APPS/legislation/main/bills/2206739", "הצעת חוק העונשין (תיקון - עונש מינימום על עבירת הפרעה לשוטר), התשפ""ג-2023")</f>
        <v>8339</v>
      </c>
      <c r="E3911" t="s">
        <v>8339</v>
      </c>
      <c r="F3911" t="s">
        <v>8340</v>
      </c>
      <c r="G3911" t="s">
        <v>14</v>
      </c>
      <c r="H3911">
             </c>
      <c r="I3911" t="s">
        <v>14</v>
      </c>
      <c r="J3911" t="s">
        <v>242</v>
      </c>
      <c r="K3911" t="s">
        <v>14</v>
      </c>
      <c r="L3911" t="s">
        <v>20</v>
      </c>
      <c r="M3911" t="s">
        <v>8180</v>
      </c>
      <c r="N3911" t="s">
        <v>14</v>
      </c>
    </row>
    <row r="3912" x14ac:dyDescent="0.25">
      <c r="A3912" t="n">
        <v>25</v>
      </c>
      <c r="B3912" t="s">
        <v>14</v>
      </c>
      <c r="C3912" t="s">
        <v>51</v>
      </c>
      <c r="D3912" s="2" t="s">
        <f>=HYPERLINK("https://main.knesset.gov.il/APPS/legislation/main/bills/2206744", "הצעת חוק העונשין (תיקון - עונש מינימום על עבירות ירי בנשק חם), התשפ""ג-2023")</f>
        <v>8341</v>
      </c>
      <c r="E3912" t="s">
        <v>8341</v>
      </c>
      <c r="F3912" t="s">
        <v>8342</v>
      </c>
      <c r="G3912" t="s">
        <v>14</v>
      </c>
      <c r="H3912">
             </c>
      <c r="I3912" t="s">
        <v>14</v>
      </c>
      <c r="J3912" t="s">
        <v>242</v>
      </c>
      <c r="K3912" t="s">
        <v>14</v>
      </c>
      <c r="L3912" t="s">
        <v>20</v>
      </c>
      <c r="M3912" t="s">
        <v>8180</v>
      </c>
      <c r="N3912" t="s">
        <v>14</v>
      </c>
    </row>
    <row r="3913" x14ac:dyDescent="0.25">
      <c r="A3913" t="n">
        <v>25</v>
      </c>
      <c r="B3913" t="s">
        <v>14</v>
      </c>
      <c r="C3913" t="s">
        <v>51</v>
      </c>
      <c r="D3913" s="2" t="s">
        <f>=HYPERLINK("https://main.knesset.gov.il/APPS/legislation/main/bills/2205679", "הצעת חוק לתיקון פקודת התעבורה (הגבלת תשלום למורה נהיגה בעד שימוש ברכבו במבחן נהיגה), התשפ""ג-2023")</f>
        <v>8343</v>
      </c>
      <c r="E3913" t="s">
        <v>8343</v>
      </c>
      <c r="F3913" t="s">
        <v>8344</v>
      </c>
      <c r="G3913" t="s">
        <v>14</v>
      </c>
      <c r="H3913">
             </c>
      <c r="I3913" t="s">
        <v>14</v>
      </c>
      <c r="J3913" t="s">
        <v>242</v>
      </c>
      <c r="K3913" t="s">
        <v>14</v>
      </c>
      <c r="L3913" t="s">
        <v>20</v>
      </c>
      <c r="M3913" t="s">
        <v>8180</v>
      </c>
      <c r="N3913" t="s">
        <v>14</v>
      </c>
    </row>
    <row r="3914" x14ac:dyDescent="0.25">
      <c r="A3914" t="n">
        <v>25</v>
      </c>
      <c r="B3914" t="s">
        <v>14</v>
      </c>
      <c r="C3914" t="s">
        <v>51</v>
      </c>
      <c r="D3914" s="2" t="s">
        <f>=HYPERLINK("https://main.knesset.gov.il/APPS/legislation/main/bills/2201946", "הצעת חוק התקנים (תיקון - גוף וולונטרי), התשפ""ג-2023")</f>
        <v>8345</v>
      </c>
      <c r="E3914" t="s">
        <v>8345</v>
      </c>
      <c r="F3914" t="s">
        <v>8346</v>
      </c>
      <c r="G3914" t="s">
        <v>14</v>
      </c>
      <c r="H3914">
             </c>
      <c r="I3914" t="s">
        <v>14</v>
      </c>
      <c r="J3914" t="s">
        <v>242</v>
      </c>
      <c r="K3914" t="s">
        <v>14</v>
      </c>
      <c r="L3914" t="s">
        <v>20</v>
      </c>
      <c r="M3914" t="s">
        <v>8180</v>
      </c>
      <c r="N3914" t="s">
        <v>14</v>
      </c>
    </row>
    <row r="3915" x14ac:dyDescent="0.25">
      <c r="A3915" t="n">
        <v>25</v>
      </c>
      <c r="B3915" t="s">
        <v>14</v>
      </c>
      <c r="C3915" t="s">
        <v>51</v>
      </c>
      <c r="D3915" s="2" t="s">
        <f>=HYPERLINK("https://main.knesset.gov.il/APPS/legislation/main/bills/2208245", "הצעת חוק מס רכוש וקרן פיצויים (תיקון - תשלום פיצויים לאזרחים שהתפנו מבתיהם בעת מצב מיוחד בעורף), התשפ""ג-2023")</f>
        <v>8347</v>
      </c>
      <c r="E3915" t="s">
        <v>8347</v>
      </c>
      <c r="F3915" t="s">
        <v>8348</v>
      </c>
      <c r="G3915" t="s">
        <v>14</v>
      </c>
      <c r="H3915">
             </c>
      <c r="I3915" t="s">
        <v>14</v>
      </c>
      <c r="J3915" t="s">
        <v>242</v>
      </c>
      <c r="K3915" t="s">
        <v>14</v>
      </c>
      <c r="L3915" t="s">
        <v>20</v>
      </c>
      <c r="M3915" t="s">
        <v>8180</v>
      </c>
      <c r="N3915" t="s">
        <v>14</v>
      </c>
    </row>
    <row r="3916" x14ac:dyDescent="0.25">
      <c r="A3916" t="n">
        <v>25</v>
      </c>
      <c r="B3916" t="s">
        <v>14</v>
      </c>
      <c r="C3916" t="s">
        <v>51</v>
      </c>
      <c r="D3916" s="2" t="s">
        <f>=HYPERLINK("https://main.knesset.gov.il/APPS/legislation/main/bills/2206738", "הצעת חוק העונשין (תיקון - עונש מינימום על עבירת החזקת נשק בלתי חוקי), התשפ""ג-2023")</f>
        <v>8349</v>
      </c>
      <c r="E3916" t="s">
        <v>8349</v>
      </c>
      <c r="F3916" t="s">
        <v>8350</v>
      </c>
      <c r="G3916" t="s">
        <v>14</v>
      </c>
      <c r="H3916">
             </c>
      <c r="I3916" t="s">
        <v>14</v>
      </c>
      <c r="J3916" t="s">
        <v>242</v>
      </c>
      <c r="K3916" t="s">
        <v>14</v>
      </c>
      <c r="L3916" t="s">
        <v>20</v>
      </c>
      <c r="M3916" t="s">
        <v>8180</v>
      </c>
      <c r="N3916" t="s">
        <v>14</v>
      </c>
    </row>
    <row r="3917" x14ac:dyDescent="0.25">
      <c r="A3917" t="n">
        <v>25</v>
      </c>
      <c r="B3917" t="s">
        <v>14</v>
      </c>
      <c r="C3917" t="s">
        <v>51</v>
      </c>
      <c r="D3917" s="2" t="s">
        <f>=HYPERLINK("https://main.knesset.gov.il/APPS/legislation/main/bills/2209309", "הצעת חוק ביטוח בריאות ממלכתי (תיקון - העברת תיק רפואי במעבר בין קופות חולים), התשפ""ג-2023")</f>
        <v>8351</v>
      </c>
      <c r="E3917" t="s">
        <v>8351</v>
      </c>
      <c r="F3917" t="s">
        <v>8352</v>
      </c>
      <c r="G3917" t="s">
        <v>14</v>
      </c>
      <c r="H3917">
             </c>
      <c r="I3917" t="s">
        <v>14</v>
      </c>
      <c r="J3917" t="s">
        <v>242</v>
      </c>
      <c r="K3917" t="s">
        <v>14</v>
      </c>
      <c r="L3917" t="s">
        <v>20</v>
      </c>
      <c r="M3917" t="s">
        <v>8180</v>
      </c>
      <c r="N3917" t="s">
        <v>14</v>
      </c>
    </row>
    <row r="3918" x14ac:dyDescent="0.25">
      <c r="A3918" t="n">
        <v>25</v>
      </c>
      <c r="B3918" t="s">
        <v>14</v>
      </c>
      <c r="C3918" t="s">
        <v>51</v>
      </c>
      <c r="D3918" s="2" t="s">
        <f>=HYPERLINK("https://main.knesset.gov.il/APPS/legislation/main/bills/2209022", "הצעת חוק ביטוח בריאות ממלכתי (תיקון - העברת תיק רפואי במעבר בין קופות חולים), התשפ""ג-2023")</f>
        <v>8351</v>
      </c>
      <c r="E3918" t="s">
        <v>8351</v>
      </c>
      <c r="F3918" t="s">
        <v>8353</v>
      </c>
      <c r="G3918" t="s">
        <v>14</v>
      </c>
      <c r="H3918">
             </c>
      <c r="I3918" t="s">
        <v>14</v>
      </c>
      <c r="J3918" t="s">
        <v>242</v>
      </c>
      <c r="K3918" t="s">
        <v>14</v>
      </c>
      <c r="L3918" t="s">
        <v>20</v>
      </c>
      <c r="M3918" t="s">
        <v>8180</v>
      </c>
      <c r="N3918" t="s">
        <v>14</v>
      </c>
    </row>
    <row r="3919" x14ac:dyDescent="0.25">
      <c r="A3919" t="n">
        <v>25</v>
      </c>
      <c r="B3919" t="s">
        <v>14</v>
      </c>
      <c r="C3919" t="s">
        <v>51</v>
      </c>
      <c r="D3919" s="2" t="s">
        <f>=HYPERLINK("https://main.knesset.gov.il/APPS/legislation/main/bills/2205833", "הצעת חוק הכנסת (תיקון - הגברת פיקוח הכנסת), התשפ""ג-2023")</f>
        <v>8354</v>
      </c>
      <c r="E3919" t="s">
        <v>8354</v>
      </c>
      <c r="F3919" t="s">
        <v>8355</v>
      </c>
      <c r="G3919" t="s">
        <v>14</v>
      </c>
      <c r="H3919">
             </c>
      <c r="I3919" t="s">
        <v>14</v>
      </c>
      <c r="J3919" t="s">
        <v>242</v>
      </c>
      <c r="K3919" t="s">
        <v>14</v>
      </c>
      <c r="L3919" t="s">
        <v>20</v>
      </c>
      <c r="M3919" t="s">
        <v>8180</v>
      </c>
      <c r="N3919" t="s">
        <v>14</v>
      </c>
    </row>
    <row r="3920" x14ac:dyDescent="0.25">
      <c r="A3920" t="n">
        <v>25</v>
      </c>
      <c r="B3920" t="s">
        <v>14</v>
      </c>
      <c r="C3920" t="s">
        <v>51</v>
      </c>
      <c r="D3920" s="2" t="s">
        <f>=HYPERLINK("https://main.knesset.gov.il/APPS/legislation/main/bills/2207484", "הצעת חוק הכנסת (תיקון - אמירת אמת והתייצבות בפני ועדות הכנסת), התשפ""ג-2023 ")</f>
        <v>8356</v>
      </c>
      <c r="E3920" t="s">
        <v>8356</v>
      </c>
      <c r="F3920" t="s">
        <v>8357</v>
      </c>
      <c r="G3920" t="s">
        <v>14</v>
      </c>
      <c r="H3920">
             </c>
      <c r="I3920" t="s">
        <v>14</v>
      </c>
      <c r="J3920" t="s">
        <v>242</v>
      </c>
      <c r="K3920" t="s">
        <v>14</v>
      </c>
      <c r="L3920" t="s">
        <v>20</v>
      </c>
      <c r="M3920" t="s">
        <v>8180</v>
      </c>
      <c r="N3920" t="s">
        <v>14</v>
      </c>
    </row>
    <row r="3921" x14ac:dyDescent="0.25">
      <c r="A3921" t="n">
        <v>25</v>
      </c>
      <c r="B3921" t="s">
        <v>14</v>
      </c>
      <c r="C3921" t="s">
        <v>51</v>
      </c>
      <c r="D3921" s="2" t="s">
        <f>=HYPERLINK("https://main.knesset.gov.il/APPS/legislation/main/bills/2209343", "הצעת חוק חובת המכרזים (תיקון - עידוד עסקים להעסקת בני החברה הערבית והחרדית), התשפ""ג-2023")</f>
        <v>8358</v>
      </c>
      <c r="E3921" t="s">
        <v>8358</v>
      </c>
      <c r="F3921" t="s">
        <v>8359</v>
      </c>
      <c r="G3921" t="s">
        <v>14</v>
      </c>
      <c r="H3921">
             </c>
      <c r="I3921" t="s">
        <v>14</v>
      </c>
      <c r="J3921" t="s">
        <v>242</v>
      </c>
      <c r="K3921" t="s">
        <v>14</v>
      </c>
      <c r="L3921" t="s">
        <v>20</v>
      </c>
      <c r="M3921" t="s">
        <v>8180</v>
      </c>
      <c r="N3921" t="s">
        <v>14</v>
      </c>
    </row>
    <row r="3922" x14ac:dyDescent="0.25">
      <c r="A3922" t="n">
        <v>25</v>
      </c>
      <c r="B3922" t="s">
        <v>14</v>
      </c>
      <c r="C3922" t="s">
        <v>51</v>
      </c>
      <c r="D3922" s="2" t="s">
        <f>=HYPERLINK("https://main.knesset.gov.il/APPS/legislation/main/bills/2199682", "הצעת חוק חובת המכרזים (תיקון - עידוד עסקים להעסקת בני החברה הערבית והחרדית), התשפ""ג-2023")</f>
        <v>8358</v>
      </c>
      <c r="E3922" t="s">
        <v>8358</v>
      </c>
      <c r="F3922" t="s">
        <v>8360</v>
      </c>
      <c r="G3922" t="s">
        <v>14</v>
      </c>
      <c r="H3922">
             </c>
      <c r="I3922" t="s">
        <v>14</v>
      </c>
      <c r="J3922" t="s">
        <v>242</v>
      </c>
      <c r="K3922" t="s">
        <v>14</v>
      </c>
      <c r="L3922" t="s">
        <v>20</v>
      </c>
      <c r="M3922" t="s">
        <v>8180</v>
      </c>
      <c r="N3922" t="s">
        <v>14</v>
      </c>
    </row>
    <row r="3923" x14ac:dyDescent="0.25">
      <c r="A3923" t="n">
        <v>25</v>
      </c>
      <c r="B3923" t="s">
        <v>14</v>
      </c>
      <c r="C3923" t="s">
        <v>51</v>
      </c>
      <c r="D3923" s="2" t="s">
        <f>=HYPERLINK("https://main.knesset.gov.il/APPS/legislation/main/bills/2209310", "הצעת חוק עובדים זרים (תיקון - אי־תחולת הסדר פנסיוני על עובד זר המועסק אצל יחיד בענף הסיעוד), התשפ""ג-2023")</f>
        <v>6252</v>
      </c>
      <c r="E3923" t="s">
        <v>6252</v>
      </c>
      <c r="F3923" t="s">
        <v>8361</v>
      </c>
      <c r="G3923" t="s">
        <v>14</v>
      </c>
      <c r="H3923">
             </c>
      <c r="I3923" t="s">
        <v>14</v>
      </c>
      <c r="J3923" t="s">
        <v>242</v>
      </c>
      <c r="K3923" t="s">
        <v>14</v>
      </c>
      <c r="L3923" t="s">
        <v>20</v>
      </c>
      <c r="M3923" t="s">
        <v>8180</v>
      </c>
      <c r="N3923" t="s">
        <v>14</v>
      </c>
    </row>
    <row r="3924" x14ac:dyDescent="0.25">
      <c r="A3924" t="n">
        <v>25</v>
      </c>
      <c r="B3924" t="s">
        <v>14</v>
      </c>
      <c r="C3924" t="s">
        <v>51</v>
      </c>
      <c r="D3924" s="2" t="s">
        <f>=HYPERLINK("https://main.knesset.gov.il/APPS/legislation/main/bills/2209314", "הצעת חוק ביטוח בריאות ממלכתי (תיקון - זמן סביר לעניין שירות רפואי), התשפ""ג-2023")</f>
        <v>8362</v>
      </c>
      <c r="E3924" t="s">
        <v>8362</v>
      </c>
      <c r="F3924" t="s">
        <v>8363</v>
      </c>
      <c r="G3924" t="s">
        <v>14</v>
      </c>
      <c r="H3924">
             </c>
      <c r="I3924" t="s">
        <v>14</v>
      </c>
      <c r="J3924" t="s">
        <v>242</v>
      </c>
      <c r="K3924" t="s">
        <v>14</v>
      </c>
      <c r="L3924" t="s">
        <v>20</v>
      </c>
      <c r="M3924" t="s">
        <v>8180</v>
      </c>
      <c r="N3924" t="s">
        <v>14</v>
      </c>
    </row>
    <row r="3925" x14ac:dyDescent="0.25">
      <c r="A3925" t="n">
        <v>25</v>
      </c>
      <c r="B3925" t="s">
        <v>14</v>
      </c>
      <c r="C3925" t="s">
        <v>51</v>
      </c>
      <c r="D3925" s="2" t="s">
        <f>=HYPERLINK("https://main.knesset.gov.il/APPS/legislation/main/bills/2209020", "הצעת חוק ביטוח בריאות ממלכתי (תיקון - זמן סביר לעניין שירות רפואי), התשפ""ג-2023")</f>
        <v>8362</v>
      </c>
      <c r="E3925" t="s">
        <v>8362</v>
      </c>
      <c r="F3925" t="s">
        <v>8364</v>
      </c>
      <c r="G3925" t="s">
        <v>14</v>
      </c>
      <c r="H3925">
             </c>
      <c r="I3925" t="s">
        <v>14</v>
      </c>
      <c r="J3925" t="s">
        <v>242</v>
      </c>
      <c r="K3925" t="s">
        <v>14</v>
      </c>
      <c r="L3925" t="s">
        <v>20</v>
      </c>
      <c r="M3925" t="s">
        <v>8180</v>
      </c>
      <c r="N3925" t="s">
        <v>14</v>
      </c>
    </row>
    <row r="3926" x14ac:dyDescent="0.25">
      <c r="A3926" t="n">
        <v>25</v>
      </c>
      <c r="B3926" t="s">
        <v>14</v>
      </c>
      <c r="C3926" t="s">
        <v>15</v>
      </c>
      <c r="D3926" s="2" t="s">
        <f>=HYPERLINK("https://main.knesset.gov.il/APPS/legislation/main/bills/2195287", "חוק לעידוד תעשייה עתירת ידע (הוראת שעה), התשפ""ג-2023")</f>
        <v>8365</v>
      </c>
      <c r="E3926" t="s">
        <v>8365</v>
      </c>
      <c r="F3926" t="s">
        <v>14</v>
      </c>
      <c r="G3926" t="s">
        <v>8366</v>
      </c>
      <c r="H3926" t="n">
        <v>3071</v>
      </c>
      <c r="I3926" t="s">
        <v>14</v>
      </c>
      <c r="J3926" t="s">
        <v>18</v>
      </c>
      <c r="K3926" t="s">
        <v>24</v>
      </c>
      <c r="L3926" t="s">
        <v>20</v>
      </c>
      <c r="M3926" t="s">
        <v>8367</v>
      </c>
      <c r="N3926" t="s">
        <v>8368</v>
      </c>
    </row>
    <row r="3927" x14ac:dyDescent="0.25">
      <c r="A3927" t="n">
        <v>25</v>
      </c>
      <c r="B3927" t="s">
        <v>14</v>
      </c>
      <c r="C3927" t="s">
        <v>15</v>
      </c>
      <c r="D3927" s="2" t="s">
        <f>=HYPERLINK("https://main.knesset.gov.il/APPS/legislation/main/bills/2208226", "חוק שירות לאומי־אזרחי (תיקון מס' 4), התשפ""ג-2023")</f>
        <v>8369</v>
      </c>
      <c r="E3927" t="s">
        <v>8369</v>
      </c>
      <c r="F3927" t="s">
        <v>14</v>
      </c>
      <c r="G3927" t="s">
        <v>8370</v>
      </c>
      <c r="H3927" t="n">
        <v>3070</v>
      </c>
      <c r="I3927" t="s">
        <v>14</v>
      </c>
      <c r="J3927" t="s">
        <v>18</v>
      </c>
      <c r="K3927" t="s">
        <v>39</v>
      </c>
      <c r="L3927" t="s">
        <v>20</v>
      </c>
      <c r="M3927" t="s">
        <v>8367</v>
      </c>
      <c r="N3927" t="s">
        <v>8371</v>
      </c>
    </row>
    <row r="3928" x14ac:dyDescent="0.25">
      <c r="A3928" t="n">
        <v>25</v>
      </c>
      <c r="B3928" t="s">
        <v>14</v>
      </c>
      <c r="C3928" t="s">
        <v>15</v>
      </c>
      <c r="D3928" s="2" t="s">
        <f>=HYPERLINK("https://main.knesset.gov.il/APPS/legislation/main/bills/2202411", "חוק הצלילה הספורטיבית (תיקון מס' 3), התשפ""ג-2023")</f>
        <v>8372</v>
      </c>
      <c r="E3928" t="s">
        <v>8372</v>
      </c>
      <c r="F3928" t="s">
        <v>14</v>
      </c>
      <c r="G3928" t="s">
        <v>8373</v>
      </c>
      <c r="H3928" t="n">
        <v>3069</v>
      </c>
      <c r="I3928" t="s">
        <v>14</v>
      </c>
      <c r="J3928" t="s">
        <v>18</v>
      </c>
      <c r="K3928" t="s">
        <v>79</v>
      </c>
      <c r="L3928" t="s">
        <v>20</v>
      </c>
      <c r="M3928" t="s">
        <v>8367</v>
      </c>
      <c r="N3928" t="s">
        <v>8374</v>
      </c>
    </row>
    <row r="3929" x14ac:dyDescent="0.25">
      <c r="A3929" t="n">
        <v>25</v>
      </c>
      <c r="B3929" t="s">
        <v>14</v>
      </c>
      <c r="C3929" t="s">
        <v>51</v>
      </c>
      <c r="D3929" s="2" t="s">
        <f>=HYPERLINK("https://main.knesset.gov.il/APPS/legislation/main/bills/2160142", "חוק לתיקון פקודת האגודות השיתופיות (מס' 12), התשפ""ג–2023")</f>
        <v>8375</v>
      </c>
      <c r="E3929" t="s">
        <v>8375</v>
      </c>
      <c r="F3929" t="s">
        <v>8376</v>
      </c>
      <c r="G3929" t="s">
        <v>8377</v>
      </c>
      <c r="H3929" t="n">
        <v>3068</v>
      </c>
      <c r="I3929" t="s">
        <v>14</v>
      </c>
      <c r="J3929" t="s">
        <v>18</v>
      </c>
      <c r="K3929" t="s">
        <v>75</v>
      </c>
      <c r="L3929" t="s">
        <v>20</v>
      </c>
      <c r="M3929" t="s">
        <v>8367</v>
      </c>
      <c r="N3929" t="s">
        <v>8378</v>
      </c>
    </row>
    <row r="3930" x14ac:dyDescent="0.25">
      <c r="A3930" t="n">
        <v>25</v>
      </c>
      <c r="B3930" t="s">
        <v>14</v>
      </c>
      <c r="C3930" t="s">
        <v>15</v>
      </c>
      <c r="D3930" s="2" t="s">
        <f>=HYPERLINK("https://main.knesset.gov.il/APPS/legislation/main/bills/2208657", "חוק לתיקון פקודת בתי הסוהר (הוראות שעה), התשפ""ג-2023")</f>
        <v>8379</v>
      </c>
      <c r="E3930" t="s">
        <v>8379</v>
      </c>
      <c r="F3930" t="s">
        <v>14</v>
      </c>
      <c r="G3930" t="s">
        <v>8380</v>
      </c>
      <c r="H3930" t="n">
        <v>3067</v>
      </c>
      <c r="I3930" t="s">
        <v>14</v>
      </c>
      <c r="J3930" t="s">
        <v>18</v>
      </c>
      <c r="K3930" t="s">
        <v>19</v>
      </c>
      <c r="L3930" t="s">
        <v>20</v>
      </c>
      <c r="M3930" t="s">
        <v>8381</v>
      </c>
      <c r="N3930" t="s">
        <v>8382</v>
      </c>
    </row>
    <row r="3931" x14ac:dyDescent="0.25">
      <c r="A3931" t="n">
        <v>25</v>
      </c>
      <c r="B3931" t="s">
        <v>14</v>
      </c>
      <c r="C3931" t="s">
        <v>51</v>
      </c>
      <c r="D3931" s="2" t="s">
        <f>=HYPERLINK("https://main.knesset.gov.il/APPS/legislation/main/bills/2207231", "הצעת חוק הארכת מועדים (תיקון - שירות לפי סעיף 8 או 9 לחוק שירות המילואים), התשפ""ג-2023")</f>
        <v>8383</v>
      </c>
      <c r="E3931" t="s">
        <v>8383</v>
      </c>
      <c r="F3931" t="s">
        <v>8384</v>
      </c>
      <c r="G3931" t="s">
        <v>14</v>
      </c>
      <c r="H3931">
             </c>
      <c r="I3931" t="s">
        <v>14</v>
      </c>
      <c r="J3931" t="s">
        <v>242</v>
      </c>
      <c r="K3931" t="s">
        <v>14</v>
      </c>
      <c r="L3931" t="s">
        <v>20</v>
      </c>
      <c r="M3931" t="s">
        <v>8381</v>
      </c>
      <c r="N3931" t="s">
        <v>14</v>
      </c>
    </row>
    <row r="3932" x14ac:dyDescent="0.25">
      <c r="A3932" t="n">
        <v>25</v>
      </c>
      <c r="B3932" t="s">
        <v>14</v>
      </c>
      <c r="C3932" t="s">
        <v>51</v>
      </c>
      <c r="D3932" s="2" t="s">
        <f>=HYPERLINK("https://main.knesset.gov.il/APPS/legislation/main/bills/2207726", "הצעת חוק סמכויות שעת-חירום (מעצרים) (תיקון - מעצר מינהלי של אזרח ישראלי), התשפ""ג-2023")</f>
        <v>8385</v>
      </c>
      <c r="E3932" t="s">
        <v>8385</v>
      </c>
      <c r="F3932" t="s">
        <v>8386</v>
      </c>
      <c r="G3932" t="s">
        <v>14</v>
      </c>
      <c r="H3932">
             </c>
      <c r="I3932" t="s">
        <v>14</v>
      </c>
      <c r="J3932" t="s">
        <v>242</v>
      </c>
      <c r="K3932" t="s">
        <v>14</v>
      </c>
      <c r="L3932" t="s">
        <v>20</v>
      </c>
      <c r="M3932" t="s">
        <v>8381</v>
      </c>
      <c r="N3932" t="s">
        <v>14</v>
      </c>
    </row>
    <row r="3933" x14ac:dyDescent="0.25">
      <c r="A3933" t="n">
        <v>25</v>
      </c>
      <c r="B3933" t="s">
        <v>14</v>
      </c>
      <c r="C3933" t="s">
        <v>51</v>
      </c>
      <c r="D3933" s="2" t="s">
        <f>=HYPERLINK("https://main.knesset.gov.il/APPS/legislation/main/bills/2209004", "הצעת חוק הגנת הצרכן (תיקון - שלוחה טלפונית ייעודית לביטול עסקה), התשפ""ג-2023")</f>
        <v>8387</v>
      </c>
      <c r="E3933" t="s">
        <v>8387</v>
      </c>
      <c r="F3933" t="s">
        <v>8388</v>
      </c>
      <c r="G3933" t="s">
        <v>14</v>
      </c>
      <c r="H3933">
             </c>
      <c r="I3933" t="s">
        <v>14</v>
      </c>
      <c r="J3933" t="s">
        <v>242</v>
      </c>
      <c r="K3933" t="s">
        <v>14</v>
      </c>
      <c r="L3933" t="s">
        <v>20</v>
      </c>
      <c r="M3933" t="s">
        <v>8381</v>
      </c>
      <c r="N3933" t="s">
        <v>14</v>
      </c>
    </row>
    <row r="3934" x14ac:dyDescent="0.25">
      <c r="A3934" t="n">
        <v>25</v>
      </c>
      <c r="B3934" t="s">
        <v>14</v>
      </c>
      <c r="C3934" t="s">
        <v>51</v>
      </c>
      <c r="D3934" s="2" t="s">
        <f>=HYPERLINK("https://main.knesset.gov.il/APPS/legislation/main/bills/2208592", "הצעת חוק זכאות לאבחון לקויות למידה לילדים ממשפחות מעוטות יכולת, התשפ""ג-2023")</f>
        <v>4245</v>
      </c>
      <c r="E3934" t="s">
        <v>4245</v>
      </c>
      <c r="F3934" t="s">
        <v>8389</v>
      </c>
      <c r="G3934" t="s">
        <v>14</v>
      </c>
      <c r="H3934">
             </c>
      <c r="I3934" t="s">
        <v>14</v>
      </c>
      <c r="J3934" t="s">
        <v>242</v>
      </c>
      <c r="K3934" t="s">
        <v>14</v>
      </c>
      <c r="L3934" t="s">
        <v>20</v>
      </c>
      <c r="M3934" t="s">
        <v>8381</v>
      </c>
      <c r="N3934" t="s">
        <v>14</v>
      </c>
    </row>
    <row r="3935" x14ac:dyDescent="0.25">
      <c r="A3935" t="n">
        <v>25</v>
      </c>
      <c r="B3935" t="s">
        <v>14</v>
      </c>
      <c r="C3935" t="s">
        <v>51</v>
      </c>
      <c r="D3935" s="2" t="s">
        <f>=HYPERLINK("https://main.knesset.gov.il/APPS/legislation/main/bills/2207917", "הצעת חוק ארגון הפיקוח על העבודה (תיקון - תחולה באזור), התשפ""ג-2023")</f>
        <v>8390</v>
      </c>
      <c r="E3935" t="s">
        <v>8390</v>
      </c>
      <c r="F3935" t="s">
        <v>8391</v>
      </c>
      <c r="G3935" t="s">
        <v>14</v>
      </c>
      <c r="H3935">
             </c>
      <c r="I3935" t="s">
        <v>14</v>
      </c>
      <c r="J3935" t="s">
        <v>242</v>
      </c>
      <c r="K3935" t="s">
        <v>14</v>
      </c>
      <c r="L3935" t="s">
        <v>20</v>
      </c>
      <c r="M3935" t="s">
        <v>8381</v>
      </c>
      <c r="N3935" t="s">
        <v>14</v>
      </c>
    </row>
    <row r="3936" x14ac:dyDescent="0.25">
      <c r="A3936" t="n">
        <v>25</v>
      </c>
      <c r="B3936" t="s">
        <v>14</v>
      </c>
      <c r="C3936" t="s">
        <v>51</v>
      </c>
      <c r="D3936" s="2" t="s">
        <f>=HYPERLINK("https://main.knesset.gov.il/APPS/legislation/main/bills/2209005", "הצעת חוק עבודת נשים (תיקון - הארכת תקופת הלידה וההורות להורי פעוט עם מוגבלות מורכבת), התשפ""ג-2023")</f>
        <v>3878</v>
      </c>
      <c r="E3936" t="s">
        <v>3878</v>
      </c>
      <c r="F3936" t="s">
        <v>8392</v>
      </c>
      <c r="G3936" t="s">
        <v>14</v>
      </c>
      <c r="H3936">
             </c>
      <c r="I3936" t="s">
        <v>14</v>
      </c>
      <c r="J3936" t="s">
        <v>242</v>
      </c>
      <c r="K3936" t="s">
        <v>14</v>
      </c>
      <c r="L3936" t="s">
        <v>20</v>
      </c>
      <c r="M3936" t="s">
        <v>8381</v>
      </c>
      <c r="N3936" t="s">
        <v>14</v>
      </c>
    </row>
    <row r="3937" x14ac:dyDescent="0.25">
      <c r="A3937" t="n">
        <v>25</v>
      </c>
      <c r="B3937" t="s">
        <v>14</v>
      </c>
      <c r="C3937" t="s">
        <v>51</v>
      </c>
      <c r="D3937" s="2" t="s">
        <f>=HYPERLINK("https://main.knesset.gov.il/APPS/legislation/main/bills/2209001", "הצעת חוק שוויון זכויות לאנשים עם מוגבלות (תיקון - הנפקת תעודות לבעלי מוגבלות בראייה), התשפ""ג-2023")</f>
        <v>8393</v>
      </c>
      <c r="E3937" t="s">
        <v>8393</v>
      </c>
      <c r="F3937" t="s">
        <v>8394</v>
      </c>
      <c r="G3937" t="s">
        <v>14</v>
      </c>
      <c r="H3937">
             </c>
      <c r="I3937" t="s">
        <v>14</v>
      </c>
      <c r="J3937" t="s">
        <v>242</v>
      </c>
      <c r="K3937" t="s">
        <v>14</v>
      </c>
      <c r="L3937" t="s">
        <v>20</v>
      </c>
      <c r="M3937" t="s">
        <v>8381</v>
      </c>
      <c r="N3937" t="s">
        <v>14</v>
      </c>
    </row>
    <row r="3938" x14ac:dyDescent="0.25">
      <c r="A3938" t="n">
        <v>25</v>
      </c>
      <c r="B3938" t="s">
        <v>14</v>
      </c>
      <c r="C3938" t="s">
        <v>51</v>
      </c>
      <c r="D3938" s="2" t="s">
        <f>=HYPERLINK("https://main.knesset.gov.il/APPS/legislation/main/bills/2208285", "הצעת חוק הביטוח הלאומי (תיקון - תשלום קצבת ילדים לילדי החינוך המיוחד עד גיל 21 שנשארים במערכת החינוך), התשפ""ג-2023")</f>
        <v>8395</v>
      </c>
      <c r="E3938" t="s">
        <v>8395</v>
      </c>
      <c r="F3938" t="s">
        <v>8396</v>
      </c>
      <c r="G3938" t="s">
        <v>14</v>
      </c>
      <c r="H3938">
             </c>
      <c r="I3938" t="s">
        <v>14</v>
      </c>
      <c r="J3938" t="s">
        <v>242</v>
      </c>
      <c r="K3938" t="s">
        <v>14</v>
      </c>
      <c r="L3938" t="s">
        <v>20</v>
      </c>
      <c r="M3938" t="s">
        <v>8381</v>
      </c>
      <c r="N3938" t="s">
        <v>14</v>
      </c>
    </row>
    <row r="3939" x14ac:dyDescent="0.25">
      <c r="A3939" t="n">
        <v>25</v>
      </c>
      <c r="B3939" t="s">
        <v>14</v>
      </c>
      <c r="C3939" t="s">
        <v>51</v>
      </c>
      <c r="D3939" s="2" t="s">
        <f>=HYPERLINK("https://main.knesset.gov.il/APPS/legislation/main/bills/2208981", "הצעת חוק עבודת נשים (תיקון - תקופת לידה והורות להורה יחיד), התשפ""ג-2023")</f>
        <v>8397</v>
      </c>
      <c r="E3939" t="s">
        <v>8397</v>
      </c>
      <c r="F3939" t="s">
        <v>8398</v>
      </c>
      <c r="G3939" t="s">
        <v>14</v>
      </c>
      <c r="H3939">
             </c>
      <c r="I3939" t="s">
        <v>14</v>
      </c>
      <c r="J3939" t="s">
        <v>242</v>
      </c>
      <c r="K3939" t="s">
        <v>14</v>
      </c>
      <c r="L3939" t="s">
        <v>20</v>
      </c>
      <c r="M3939" t="s">
        <v>8381</v>
      </c>
      <c r="N3939" t="s">
        <v>14</v>
      </c>
    </row>
    <row r="3940" x14ac:dyDescent="0.25">
      <c r="A3940" t="n">
        <v>25</v>
      </c>
      <c r="B3940" t="s">
        <v>14</v>
      </c>
      <c r="C3940" t="s">
        <v>51</v>
      </c>
      <c r="D3940" s="2" t="s">
        <f>=HYPERLINK("https://main.knesset.gov.il/APPS/legislation/main/bills/2207181", "הצעת חוק דמי מחלה (היעדרות בשל מחלת ילד) (תיקון - היעדרות בעקבות תקיפה או התעללות בילד), התשפ""ג-2023")</f>
        <v>8399</v>
      </c>
      <c r="E3940" t="s">
        <v>8399</v>
      </c>
      <c r="F3940" t="s">
        <v>8400</v>
      </c>
      <c r="G3940" t="s">
        <v>14</v>
      </c>
      <c r="H3940">
             </c>
      <c r="I3940" t="s">
        <v>14</v>
      </c>
      <c r="J3940" t="s">
        <v>242</v>
      </c>
      <c r="K3940" t="s">
        <v>14</v>
      </c>
      <c r="L3940" t="s">
        <v>20</v>
      </c>
      <c r="M3940" t="s">
        <v>8381</v>
      </c>
      <c r="N3940" t="s">
        <v>14</v>
      </c>
    </row>
    <row r="3941" x14ac:dyDescent="0.25">
      <c r="A3941" t="n">
        <v>25</v>
      </c>
      <c r="B3941" t="s">
        <v>14</v>
      </c>
      <c r="C3941" t="s">
        <v>51</v>
      </c>
      <c r="D3941" s="2" t="s">
        <f>=HYPERLINK("https://main.knesset.gov.il/APPS/legislation/main/bills/2209009", "הצעת חוק חובת הודעה להורים על אי-הגעת ילד למוסד חינוך או למעון יום (תיקוני חקיקה), התשפ""ג-2023")</f>
        <v>8401</v>
      </c>
      <c r="E3941" t="s">
        <v>8401</v>
      </c>
      <c r="F3941" t="s">
        <v>8402</v>
      </c>
      <c r="G3941" t="s">
        <v>14</v>
      </c>
      <c r="H3941">
             </c>
      <c r="I3941" t="s">
        <v>14</v>
      </c>
      <c r="J3941" t="s">
        <v>242</v>
      </c>
      <c r="K3941" t="s">
        <v>14</v>
      </c>
      <c r="L3941" t="s">
        <v>20</v>
      </c>
      <c r="M3941" t="s">
        <v>8381</v>
      </c>
      <c r="N3941" t="s">
        <v>14</v>
      </c>
    </row>
    <row r="3942" x14ac:dyDescent="0.25">
      <c r="A3942" t="n">
        <v>25</v>
      </c>
      <c r="B3942" t="s">
        <v>14</v>
      </c>
      <c r="C3942" t="s">
        <v>51</v>
      </c>
      <c r="D3942" s="2" t="s">
        <f>=HYPERLINK("https://main.knesset.gov.il/APPS/legislation/main/bills/2209171", "הצעת חוק שירותי הסעד (תיקון - הגבלת מספר התיקים בטיפול עובד סוציאלי המטפל במשפחות), התשפ""ג-2023")</f>
        <v>8403</v>
      </c>
      <c r="E3942" t="s">
        <v>8403</v>
      </c>
      <c r="F3942" t="s">
        <v>8404</v>
      </c>
      <c r="G3942" t="s">
        <v>14</v>
      </c>
      <c r="H3942">
             </c>
      <c r="I3942" t="s">
        <v>14</v>
      </c>
      <c r="J3942" t="s">
        <v>242</v>
      </c>
      <c r="K3942" t="s">
        <v>14</v>
      </c>
      <c r="L3942" t="s">
        <v>20</v>
      </c>
      <c r="M3942" t="s">
        <v>8381</v>
      </c>
      <c r="N3942" t="s">
        <v>14</v>
      </c>
    </row>
    <row r="3943" x14ac:dyDescent="0.25">
      <c r="A3943" t="n">
        <v>25</v>
      </c>
      <c r="B3943" t="s">
        <v>14</v>
      </c>
      <c r="C3943" t="s">
        <v>51</v>
      </c>
      <c r="D3943" s="2" t="s">
        <f>=HYPERLINK("https://main.knesset.gov.il/APPS/legislation/main/bills/2208033", "הצעת חוק פיקוח על בתי ספר (תיקון - חובת הכנת תסקיר בטיחות), התשפ""ג-2023")</f>
        <v>8405</v>
      </c>
      <c r="E3943" t="s">
        <v>8405</v>
      </c>
      <c r="F3943" t="s">
        <v>8406</v>
      </c>
      <c r="G3943" t="s">
        <v>14</v>
      </c>
      <c r="H3943">
             </c>
      <c r="I3943" t="s">
        <v>14</v>
      </c>
      <c r="J3943" t="s">
        <v>242</v>
      </c>
      <c r="K3943" t="s">
        <v>14</v>
      </c>
      <c r="L3943" t="s">
        <v>20</v>
      </c>
      <c r="M3943" t="s">
        <v>8381</v>
      </c>
      <c r="N3943" t="s">
        <v>14</v>
      </c>
    </row>
    <row r="3944" x14ac:dyDescent="0.25">
      <c r="A3944" t="n">
        <v>25</v>
      </c>
      <c r="B3944" t="s">
        <v>14</v>
      </c>
      <c r="C3944" t="s">
        <v>51</v>
      </c>
      <c r="D3944" s="2" t="s">
        <f>=HYPERLINK("https://main.knesset.gov.il/APPS/legislation/main/bills/2209006", "הצעת חוק החומרים המסוכנים (תיקון - פרטי התקשרות למרכז רעלים), התשפ""ג-2023")</f>
        <v>8407</v>
      </c>
      <c r="E3944" t="s">
        <v>8407</v>
      </c>
      <c r="F3944" t="s">
        <v>8408</v>
      </c>
      <c r="G3944" t="s">
        <v>14</v>
      </c>
      <c r="H3944">
             </c>
      <c r="I3944" t="s">
        <v>14</v>
      </c>
      <c r="J3944" t="s">
        <v>242</v>
      </c>
      <c r="K3944" t="s">
        <v>14</v>
      </c>
      <c r="L3944" t="s">
        <v>20</v>
      </c>
      <c r="M3944" t="s">
        <v>8381</v>
      </c>
      <c r="N3944" t="s">
        <v>14</v>
      </c>
    </row>
    <row r="3945" x14ac:dyDescent="0.25">
      <c r="A3945" t="n">
        <v>25</v>
      </c>
      <c r="B3945" t="s">
        <v>14</v>
      </c>
      <c r="C3945" t="s">
        <v>51</v>
      </c>
      <c r="D3945" s="2" t="s">
        <f>=HYPERLINK("https://main.knesset.gov.il/APPS/legislation/main/bills/2207121", "הצעת חוק להבטחת קיום הסכמים מדיניים, התשפ""ג-2023")</f>
        <v>8409</v>
      </c>
      <c r="E3945" t="s">
        <v>8409</v>
      </c>
      <c r="F3945" t="s">
        <v>8410</v>
      </c>
      <c r="G3945" t="s">
        <v>14</v>
      </c>
      <c r="H3945">
             </c>
      <c r="I3945" t="s">
        <v>14</v>
      </c>
      <c r="J3945" t="s">
        <v>242</v>
      </c>
      <c r="K3945" t="s">
        <v>14</v>
      </c>
      <c r="L3945" t="s">
        <v>20</v>
      </c>
      <c r="M3945" t="s">
        <v>8381</v>
      </c>
      <c r="N3945" t="s">
        <v>14</v>
      </c>
    </row>
    <row r="3946" x14ac:dyDescent="0.25">
      <c r="A3946" t="n">
        <v>25</v>
      </c>
      <c r="B3946" t="s">
        <v>14</v>
      </c>
      <c r="C3946" t="s">
        <v>51</v>
      </c>
      <c r="D3946" s="2" t="s">
        <f>=HYPERLINK("https://main.knesset.gov.il/APPS/legislation/main/bills/2208544", "הצעת חוק הרשות לשיקום האסיר (תיקון - חיזוק הפיקוח הפרלמנטרי על הרשות), התשפ""ג-2023")</f>
        <v>8411</v>
      </c>
      <c r="E3946" t="s">
        <v>8411</v>
      </c>
      <c r="F3946" t="s">
        <v>8412</v>
      </c>
      <c r="G3946" t="s">
        <v>14</v>
      </c>
      <c r="H3946">
             </c>
      <c r="I3946" t="s">
        <v>14</v>
      </c>
      <c r="J3946" t="s">
        <v>242</v>
      </c>
      <c r="K3946" t="s">
        <v>14</v>
      </c>
      <c r="L3946" t="s">
        <v>20</v>
      </c>
      <c r="M3946" t="s">
        <v>8381</v>
      </c>
      <c r="N3946" t="s">
        <v>14</v>
      </c>
    </row>
    <row r="3947" x14ac:dyDescent="0.25">
      <c r="A3947" t="n">
        <v>25</v>
      </c>
      <c r="B3947" t="s">
        <v>14</v>
      </c>
      <c r="C3947" t="s">
        <v>51</v>
      </c>
      <c r="D3947" s="2" t="s">
        <f>=HYPERLINK("https://main.knesset.gov.il/APPS/legislation/main/bills/2209116", "הצעת חוק חובת המכרזים (תיקון - הרחבת חובת העדפה של תוצרת הארץ), התשפ""ג-2023")</f>
        <v>8413</v>
      </c>
      <c r="E3947" t="s">
        <v>8413</v>
      </c>
      <c r="F3947" t="s">
        <v>8414</v>
      </c>
      <c r="G3947" t="s">
        <v>14</v>
      </c>
      <c r="H3947">
             </c>
      <c r="I3947" t="s">
        <v>14</v>
      </c>
      <c r="J3947" t="s">
        <v>242</v>
      </c>
      <c r="K3947" t="s">
        <v>14</v>
      </c>
      <c r="L3947" t="s">
        <v>20</v>
      </c>
      <c r="M3947" t="s">
        <v>8381</v>
      </c>
      <c r="N3947" t="s">
        <v>14</v>
      </c>
    </row>
    <row r="3948" x14ac:dyDescent="0.25">
      <c r="A3948" t="n">
        <v>25</v>
      </c>
      <c r="B3948" t="s">
        <v>14</v>
      </c>
      <c r="C3948" t="s">
        <v>51</v>
      </c>
      <c r="D3948" s="2" t="s">
        <f>=HYPERLINK("https://main.knesset.gov.il/APPS/legislation/main/bills/2205674", "הצעת חוק חובת הנגשה לשונית של אתרי אינטרנט ושירותים ממשלתיים מקוונים, התשפ""ג-2023")</f>
        <v>8415</v>
      </c>
      <c r="E3948" t="s">
        <v>8415</v>
      </c>
      <c r="F3948" t="s">
        <v>8416</v>
      </c>
      <c r="G3948" t="s">
        <v>14</v>
      </c>
      <c r="H3948">
             </c>
      <c r="I3948" t="s">
        <v>14</v>
      </c>
      <c r="J3948" t="s">
        <v>202</v>
      </c>
      <c r="K3948" t="s">
        <v>14</v>
      </c>
      <c r="L3948" t="s">
        <v>20</v>
      </c>
      <c r="M3948" t="s">
        <v>8381</v>
      </c>
      <c r="N3948" t="s">
        <v>14</v>
      </c>
    </row>
    <row r="3949" x14ac:dyDescent="0.25">
      <c r="A3949" t="n">
        <v>25</v>
      </c>
      <c r="B3949" t="s">
        <v>14</v>
      </c>
      <c r="C3949" t="s">
        <v>51</v>
      </c>
      <c r="D3949" s="2" t="s">
        <f>=HYPERLINK("https://main.knesset.gov.il/APPS/legislation/main/bills/2208336", "הצעת חוק המאבק בטרור (תיקון - הסתה למעשה טרור), התשפ""ג-2023")</f>
        <v>8417</v>
      </c>
      <c r="E3949" t="s">
        <v>8417</v>
      </c>
      <c r="F3949" t="s">
        <v>8418</v>
      </c>
      <c r="G3949" t="s">
        <v>14</v>
      </c>
      <c r="H3949">
             </c>
      <c r="I3949" t="s">
        <v>14</v>
      </c>
      <c r="J3949" t="s">
        <v>242</v>
      </c>
      <c r="K3949" t="s">
        <v>14</v>
      </c>
      <c r="L3949" t="s">
        <v>20</v>
      </c>
      <c r="M3949" t="s">
        <v>8381</v>
      </c>
      <c r="N3949" t="s">
        <v>14</v>
      </c>
    </row>
    <row r="3950" x14ac:dyDescent="0.25">
      <c r="A3950" t="n">
        <v>25</v>
      </c>
      <c r="B3950" t="s">
        <v>14</v>
      </c>
      <c r="C3950" t="s">
        <v>51</v>
      </c>
      <c r="D3950" s="2" t="s">
        <f>=HYPERLINK("https://main.knesset.gov.il/APPS/legislation/main/bills/2209181", "הצעת חוק בתי דין רבניים (קיום פסקי דין של גירושין) (תיקון - גט אוטומטי), התשפ""ג-2023")</f>
        <v>8419</v>
      </c>
      <c r="E3950" t="s">
        <v>8419</v>
      </c>
      <c r="F3950" t="s">
        <v>8420</v>
      </c>
      <c r="G3950" t="s">
        <v>14</v>
      </c>
      <c r="H3950">
             </c>
      <c r="I3950" t="s">
        <v>14</v>
      </c>
      <c r="J3950" t="s">
        <v>242</v>
      </c>
      <c r="K3950" t="s">
        <v>14</v>
      </c>
      <c r="L3950" t="s">
        <v>20</v>
      </c>
      <c r="M3950" t="s">
        <v>8381</v>
      </c>
      <c r="N3950" t="s">
        <v>14</v>
      </c>
    </row>
    <row r="3951" x14ac:dyDescent="0.25">
      <c r="A3951" t="n">
        <v>25</v>
      </c>
      <c r="B3951" t="s">
        <v>14</v>
      </c>
      <c r="C3951" t="s">
        <v>51</v>
      </c>
      <c r="D3951" s="2" t="s">
        <f>=HYPERLINK("https://main.knesset.gov.il/APPS/legislation/main/bills/2209002", "הצעת חוק לתיקון פקודת התעבורה (חובת נשיאת לוחית זיהוי באופניים ממונעים ובקורקינט ממונע), התשפ""ג-2023")</f>
        <v>8113</v>
      </c>
      <c r="E3951" t="s">
        <v>8113</v>
      </c>
      <c r="F3951" t="s">
        <v>8421</v>
      </c>
      <c r="G3951" t="s">
        <v>14</v>
      </c>
      <c r="H3951">
             </c>
      <c r="I3951" t="s">
        <v>14</v>
      </c>
      <c r="J3951" t="s">
        <v>242</v>
      </c>
      <c r="K3951" t="s">
        <v>14</v>
      </c>
      <c r="L3951" t="s">
        <v>20</v>
      </c>
      <c r="M3951" t="s">
        <v>8381</v>
      </c>
      <c r="N3951" t="s">
        <v>14</v>
      </c>
    </row>
    <row r="3952" x14ac:dyDescent="0.25">
      <c r="A3952" t="n">
        <v>25</v>
      </c>
      <c r="B3952" t="s">
        <v>14</v>
      </c>
      <c r="C3952" t="s">
        <v>51</v>
      </c>
      <c r="D3952" s="2" t="s">
        <f>=HYPERLINK("https://main.knesset.gov.il/APPS/legislation/main/bills/2205865", "הצעת חוק לתיקון פקודת העיריות (ביטול סמכויות גבייה מינהליות), התשפ""ג-2023")</f>
        <v>8422</v>
      </c>
      <c r="E3952" t="s">
        <v>8422</v>
      </c>
      <c r="F3952" t="s">
        <v>8423</v>
      </c>
      <c r="G3952" t="s">
        <v>14</v>
      </c>
      <c r="H3952">
             </c>
      <c r="I3952" t="s">
        <v>14</v>
      </c>
      <c r="J3952" t="s">
        <v>242</v>
      </c>
      <c r="K3952" t="s">
        <v>14</v>
      </c>
      <c r="L3952" t="s">
        <v>20</v>
      </c>
      <c r="M3952" t="s">
        <v>8381</v>
      </c>
      <c r="N3952" t="s">
        <v>14</v>
      </c>
    </row>
    <row r="3953" x14ac:dyDescent="0.25">
      <c r="A3953" t="n">
        <v>25</v>
      </c>
      <c r="B3953" t="s">
        <v>14</v>
      </c>
      <c r="C3953" t="s">
        <v>51</v>
      </c>
      <c r="D3953" s="2" t="s">
        <f>=HYPERLINK("https://main.knesset.gov.il/APPS/legislation/main/bills/2206733", "הצעת חוק למניעת הטרדה מינית (תיקון - עונש מינימום), התשפ""ג-2023")</f>
        <v>8424</v>
      </c>
      <c r="E3953" t="s">
        <v>8424</v>
      </c>
      <c r="F3953" t="s">
        <v>8425</v>
      </c>
      <c r="G3953" t="s">
        <v>14</v>
      </c>
      <c r="H3953">
             </c>
      <c r="I3953" t="s">
        <v>14</v>
      </c>
      <c r="J3953" t="s">
        <v>242</v>
      </c>
      <c r="K3953" t="s">
        <v>14</v>
      </c>
      <c r="L3953" t="s">
        <v>20</v>
      </c>
      <c r="M3953" t="s">
        <v>8381</v>
      </c>
      <c r="N3953" t="s">
        <v>14</v>
      </c>
    </row>
    <row r="3954" x14ac:dyDescent="0.25">
      <c r="A3954" t="n">
        <v>25</v>
      </c>
      <c r="B3954" t="s">
        <v>14</v>
      </c>
      <c r="C3954" t="s">
        <v>51</v>
      </c>
      <c r="D3954" s="2" t="s">
        <f>=HYPERLINK("https://main.knesset.gov.il/APPS/legislation/main/bills/2208978", "הצעת חוק נציב תלונות הציבור על שופטים (תיקון - הארכת תקופת כהונה), התשפ""ג-2023")</f>
        <v>8426</v>
      </c>
      <c r="E3954" t="s">
        <v>8426</v>
      </c>
      <c r="F3954" t="s">
        <v>8427</v>
      </c>
      <c r="G3954" t="s">
        <v>14</v>
      </c>
      <c r="H3954">
             </c>
      <c r="I3954" t="s">
        <v>14</v>
      </c>
      <c r="J3954" t="s">
        <v>242</v>
      </c>
      <c r="K3954" t="s">
        <v>14</v>
      </c>
      <c r="L3954" t="s">
        <v>20</v>
      </c>
      <c r="M3954" t="s">
        <v>8381</v>
      </c>
      <c r="N3954" t="s">
        <v>14</v>
      </c>
    </row>
    <row r="3955" x14ac:dyDescent="0.25">
      <c r="A3955" t="n">
        <v>25</v>
      </c>
      <c r="B3955" t="s">
        <v>14</v>
      </c>
      <c r="C3955" t="s">
        <v>51</v>
      </c>
      <c r="D3955" s="2" t="s">
        <f>=HYPERLINK("https://main.knesset.gov.il/APPS/legislation/main/bills/2208967", "הצעת חוק ההוצאה לפועל (תיקון - שופט אכיפה), התשפ""ג-2023")</f>
        <v>8428</v>
      </c>
      <c r="E3955" t="s">
        <v>8428</v>
      </c>
      <c r="F3955" t="s">
        <v>8429</v>
      </c>
      <c r="G3955" t="s">
        <v>14</v>
      </c>
      <c r="H3955">
             </c>
      <c r="I3955" t="s">
        <v>14</v>
      </c>
      <c r="J3955" t="s">
        <v>242</v>
      </c>
      <c r="K3955" t="s">
        <v>14</v>
      </c>
      <c r="L3955" t="s">
        <v>20</v>
      </c>
      <c r="M3955" t="s">
        <v>8381</v>
      </c>
      <c r="N3955" t="s">
        <v>14</v>
      </c>
    </row>
    <row r="3956" x14ac:dyDescent="0.25">
      <c r="A3956" t="n">
        <v>25</v>
      </c>
      <c r="B3956" t="s">
        <v>14</v>
      </c>
      <c r="C3956" t="s">
        <v>51</v>
      </c>
      <c r="D3956" s="2" t="s">
        <f>=HYPERLINK("https://main.knesset.gov.il/APPS/legislation/main/bills/2209196", "הצעת חוק ייצוג גופים ציבוריים שעניינם בשמירת איכות הסביבה (תיקוני חקיקה), התשפ""ג-2023")</f>
        <v>8430</v>
      </c>
      <c r="E3956" t="s">
        <v>8430</v>
      </c>
      <c r="F3956" t="s">
        <v>8431</v>
      </c>
      <c r="G3956" t="s">
        <v>14</v>
      </c>
      <c r="H3956">
             </c>
      <c r="I3956" t="s">
        <v>14</v>
      </c>
      <c r="J3956" t="s">
        <v>242</v>
      </c>
      <c r="K3956" t="s">
        <v>14</v>
      </c>
      <c r="L3956" t="s">
        <v>20</v>
      </c>
      <c r="M3956" t="s">
        <v>8381</v>
      </c>
      <c r="N3956" t="s">
        <v>14</v>
      </c>
    </row>
    <row r="3957" x14ac:dyDescent="0.25">
      <c r="A3957" t="n">
        <v>25</v>
      </c>
      <c r="B3957" t="s">
        <v>14</v>
      </c>
      <c r="C3957" t="s">
        <v>51</v>
      </c>
      <c r="D3957" s="2" t="s">
        <f>=HYPERLINK("https://main.knesset.gov.il/APPS/legislation/main/bills/2205183", "הצעת חוק שילוב פעוטות עם צורך במענים ייחודיים במעונות יום, התשפ""ג-2023")</f>
        <v>8432</v>
      </c>
      <c r="E3957" t="s">
        <v>8432</v>
      </c>
      <c r="F3957" t="s">
        <v>8433</v>
      </c>
      <c r="G3957" t="s">
        <v>14</v>
      </c>
      <c r="H3957">
             </c>
      <c r="I3957" t="s">
        <v>14</v>
      </c>
      <c r="J3957" t="s">
        <v>242</v>
      </c>
      <c r="K3957" t="s">
        <v>14</v>
      </c>
      <c r="L3957" t="s">
        <v>20</v>
      </c>
      <c r="M3957" t="s">
        <v>8381</v>
      </c>
      <c r="N3957" t="s">
        <v>14</v>
      </c>
    </row>
    <row r="3958" x14ac:dyDescent="0.25">
      <c r="A3958" t="n">
        <v>25</v>
      </c>
      <c r="B3958" t="s">
        <v>14</v>
      </c>
      <c r="C3958" t="s">
        <v>51</v>
      </c>
      <c r="D3958" s="2" t="s">
        <f>=HYPERLINK("https://main.knesset.gov.il/APPS/legislation/main/bills/2208397", "הצעת חוק מגבלות על חזרתו של עבריין מין לסביבת נפגע העבירה (תיקון - הרחבת סמכות בית המשפט להטלת מגבלות), התשפ""ג-2023")</f>
        <v>8434</v>
      </c>
      <c r="E3958" t="s">
        <v>8434</v>
      </c>
      <c r="F3958" t="s">
        <v>8435</v>
      </c>
      <c r="G3958" t="s">
        <v>14</v>
      </c>
      <c r="H3958">
             </c>
      <c r="I3958" t="s">
        <v>14</v>
      </c>
      <c r="J3958" t="s">
        <v>242</v>
      </c>
      <c r="K3958" t="s">
        <v>14</v>
      </c>
      <c r="L3958" t="s">
        <v>20</v>
      </c>
      <c r="M3958" t="s">
        <v>8381</v>
      </c>
      <c r="N3958" t="s">
        <v>14</v>
      </c>
    </row>
    <row r="3959" x14ac:dyDescent="0.25">
      <c r="A3959" t="n">
        <v>25</v>
      </c>
      <c r="B3959" t="s">
        <v>14</v>
      </c>
      <c r="C3959" t="s">
        <v>51</v>
      </c>
      <c r="D3959" s="2" t="s">
        <f>=HYPERLINK("https://main.knesset.gov.il/APPS/legislation/main/bills/2209193", "הצעת חוק תובענות ייצוגיות (תיקון - מעמדם של ארגוני סביבה), התשפ""ג-2023")</f>
        <v>8436</v>
      </c>
      <c r="E3959" t="s">
        <v>8436</v>
      </c>
      <c r="F3959" t="s">
        <v>8437</v>
      </c>
      <c r="G3959" t="s">
        <v>14</v>
      </c>
      <c r="H3959">
             </c>
      <c r="I3959" t="s">
        <v>14</v>
      </c>
      <c r="J3959" t="s">
        <v>242</v>
      </c>
      <c r="K3959" t="s">
        <v>14</v>
      </c>
      <c r="L3959" t="s">
        <v>20</v>
      </c>
      <c r="M3959" t="s">
        <v>8381</v>
      </c>
      <c r="N3959" t="s">
        <v>14</v>
      </c>
    </row>
    <row r="3960" x14ac:dyDescent="0.25">
      <c r="A3960" t="n">
        <v>25</v>
      </c>
      <c r="B3960" t="s">
        <v>14</v>
      </c>
      <c r="C3960" t="s">
        <v>51</v>
      </c>
      <c r="D3960" s="2" t="s">
        <f>=HYPERLINK("https://main.knesset.gov.il/APPS/legislation/main/bills/2208520", "הצעת חוק הבטחת הכנסה (תיקון - גמלה לתלמיד שהוא הורה עצמאי), התשפ""ג-2023 ")</f>
        <v>8438</v>
      </c>
      <c r="E3960" t="s">
        <v>8438</v>
      </c>
      <c r="F3960" t="s">
        <v>8439</v>
      </c>
      <c r="G3960" t="s">
        <v>14</v>
      </c>
      <c r="H3960">
             </c>
      <c r="I3960" t="s">
        <v>14</v>
      </c>
      <c r="J3960" t="s">
        <v>242</v>
      </c>
      <c r="K3960" t="s">
        <v>14</v>
      </c>
      <c r="L3960" t="s">
        <v>20</v>
      </c>
      <c r="M3960" t="s">
        <v>8381</v>
      </c>
      <c r="N3960" t="s">
        <v>14</v>
      </c>
    </row>
    <row r="3961" x14ac:dyDescent="0.25">
      <c r="A3961" t="n">
        <v>25</v>
      </c>
      <c r="B3961" t="s">
        <v>14</v>
      </c>
      <c r="C3961" t="s">
        <v>51</v>
      </c>
      <c r="D3961" s="2" t="s">
        <f>=HYPERLINK("https://main.knesset.gov.il/APPS/legislation/main/bills/2209003", "הצעת חוק בתי המשפט (תיקון - צילום בבתי משפט), התשפ""ג-2023")</f>
        <v>8440</v>
      </c>
      <c r="E3961" t="s">
        <v>8440</v>
      </c>
      <c r="F3961" t="s">
        <v>8441</v>
      </c>
      <c r="G3961" t="s">
        <v>14</v>
      </c>
      <c r="H3961">
             </c>
      <c r="I3961" t="s">
        <v>14</v>
      </c>
      <c r="J3961" t="s">
        <v>242</v>
      </c>
      <c r="K3961" t="s">
        <v>14</v>
      </c>
      <c r="L3961" t="s">
        <v>20</v>
      </c>
      <c r="M3961" t="s">
        <v>8381</v>
      </c>
      <c r="N3961" t="s">
        <v>14</v>
      </c>
    </row>
    <row r="3962" x14ac:dyDescent="0.25">
      <c r="A3962" t="n">
        <v>25</v>
      </c>
      <c r="B3962" t="s">
        <v>14</v>
      </c>
      <c r="C3962" t="s">
        <v>51</v>
      </c>
      <c r="D3962" s="2" t="s">
        <f>=HYPERLINK("https://main.knesset.gov.il/APPS/legislation/main/bills/2208318", "הצעת חוק לתיקון פקודת העיריות (מס' 151) (תיקון - דחיית מועד תחילת סעיף 330כד), התשפ""ג-2023")</f>
        <v>8442</v>
      </c>
      <c r="E3962" t="s">
        <v>8442</v>
      </c>
      <c r="F3962" t="s">
        <v>8443</v>
      </c>
      <c r="G3962" t="s">
        <v>14</v>
      </c>
      <c r="H3962">
             </c>
      <c r="I3962" t="s">
        <v>14</v>
      </c>
      <c r="J3962" t="s">
        <v>242</v>
      </c>
      <c r="K3962" t="s">
        <v>14</v>
      </c>
      <c r="L3962" t="s">
        <v>20</v>
      </c>
      <c r="M3962" t="s">
        <v>8381</v>
      </c>
      <c r="N3962" t="s">
        <v>14</v>
      </c>
    </row>
    <row r="3963" x14ac:dyDescent="0.25">
      <c r="A3963" t="n">
        <v>25</v>
      </c>
      <c r="B3963" t="s">
        <v>14</v>
      </c>
      <c r="C3963" t="s">
        <v>51</v>
      </c>
      <c r="D3963" s="2" t="s">
        <f>=HYPERLINK("https://main.knesset.gov.il/APPS/legislation/main/bills/2208645", "הצעת חוק הכנסת (תיקון - הקמת ועדות זמניות לענייני חוקה, חוק ומשפט וביטחון לאומי על ידי הוועדה המסדרת), התשפ""ג-2023")</f>
        <v>8444</v>
      </c>
      <c r="E3963" t="s">
        <v>8444</v>
      </c>
      <c r="F3963" t="s">
        <v>8445</v>
      </c>
      <c r="G3963" t="s">
        <v>14</v>
      </c>
      <c r="H3963">
             </c>
      <c r="I3963" t="s">
        <v>14</v>
      </c>
      <c r="J3963" t="s">
        <v>242</v>
      </c>
      <c r="K3963" t="s">
        <v>14</v>
      </c>
      <c r="L3963" t="s">
        <v>20</v>
      </c>
      <c r="M3963" t="s">
        <v>8381</v>
      </c>
      <c r="N3963" t="s">
        <v>14</v>
      </c>
    </row>
    <row r="3964" x14ac:dyDescent="0.25">
      <c r="A3964" t="n">
        <v>25</v>
      </c>
      <c r="B3964" t="s">
        <v>14</v>
      </c>
      <c r="C3964" t="s">
        <v>51</v>
      </c>
      <c r="D3964" s="2" t="s">
        <f>=HYPERLINK("https://main.knesset.gov.il/APPS/legislation/main/bills/2207236", "הצעת חוק העונשין (תיקון - הרחבת הגדרת הגזענות), התשפ""ג-2023")</f>
        <v>8446</v>
      </c>
      <c r="E3964" t="s">
        <v>8446</v>
      </c>
      <c r="F3964" t="s">
        <v>8447</v>
      </c>
      <c r="G3964" t="s">
        <v>14</v>
      </c>
      <c r="H3964">
             </c>
      <c r="I3964" t="s">
        <v>14</v>
      </c>
      <c r="J3964" t="s">
        <v>242</v>
      </c>
      <c r="K3964" t="s">
        <v>14</v>
      </c>
      <c r="L3964" t="s">
        <v>20</v>
      </c>
      <c r="M3964" t="s">
        <v>8381</v>
      </c>
      <c r="N3964" t="s">
        <v>14</v>
      </c>
    </row>
    <row r="3965" x14ac:dyDescent="0.25">
      <c r="A3965" t="n">
        <v>25</v>
      </c>
      <c r="B3965" t="s">
        <v>14</v>
      </c>
      <c r="C3965" t="s">
        <v>51</v>
      </c>
      <c r="D3965" s="2" t="s">
        <f>=HYPERLINK("https://main.knesset.gov.il/APPS/legislation/main/bills/2207002", "הצעת חוק מחקר ופיתוח בקנאביס למטרות רפואיות, התשפ""ג-2023")</f>
        <v>8448</v>
      </c>
      <c r="E3965" t="s">
        <v>8448</v>
      </c>
      <c r="F3965" t="s">
        <v>8449</v>
      </c>
      <c r="G3965" t="s">
        <v>14</v>
      </c>
      <c r="H3965">
             </c>
      <c r="I3965" t="s">
        <v>14</v>
      </c>
      <c r="J3965" t="s">
        <v>242</v>
      </c>
      <c r="K3965" t="s">
        <v>14</v>
      </c>
      <c r="L3965" t="s">
        <v>20</v>
      </c>
      <c r="M3965" t="s">
        <v>8381</v>
      </c>
      <c r="N3965" t="s">
        <v>14</v>
      </c>
    </row>
    <row r="3966" x14ac:dyDescent="0.25">
      <c r="A3966" t="n">
        <v>25</v>
      </c>
      <c r="B3966" t="s">
        <v>14</v>
      </c>
      <c r="C3966" t="s">
        <v>51</v>
      </c>
      <c r="D3966" s="2" t="s">
        <f>=HYPERLINK("https://main.knesset.gov.il/APPS/legislation/main/bills/2207477", "הצעת חוק הרשות השנייה לטלוויזיה ורדיו (תיקון - ביטול זיכיון לשידורים או רישיון לשידורים, פקיעתו או התלייתו), התשפ""ג-2023")</f>
        <v>8450</v>
      </c>
      <c r="E3966" t="s">
        <v>8450</v>
      </c>
      <c r="F3966" t="s">
        <v>8451</v>
      </c>
      <c r="G3966" t="s">
        <v>14</v>
      </c>
      <c r="H3966">
             </c>
      <c r="I3966" t="s">
        <v>14</v>
      </c>
      <c r="J3966" t="s">
        <v>242</v>
      </c>
      <c r="K3966" t="s">
        <v>14</v>
      </c>
      <c r="L3966" t="s">
        <v>20</v>
      </c>
      <c r="M3966" t="s">
        <v>8381</v>
      </c>
      <c r="N3966" t="s">
        <v>14</v>
      </c>
    </row>
    <row r="3967" x14ac:dyDescent="0.25">
      <c r="A3967" t="n">
        <v>25</v>
      </c>
      <c r="B3967" t="s">
        <v>14</v>
      </c>
      <c r="C3967" t="s">
        <v>51</v>
      </c>
      <c r="D3967" s="2" t="s">
        <f>=HYPERLINK("https://main.knesset.gov.il/APPS/legislation/main/bills/2208935", "הצעת חוק-יסוד: לימוד תורה")</f>
        <v>486</v>
      </c>
      <c r="E3967" t="s">
        <v>486</v>
      </c>
      <c r="F3967" t="s">
        <v>8452</v>
      </c>
      <c r="G3967" t="s">
        <v>14</v>
      </c>
      <c r="H3967">
             </c>
      <c r="I3967" t="s">
        <v>14</v>
      </c>
      <c r="J3967" t="s">
        <v>242</v>
      </c>
      <c r="K3967" t="s">
        <v>14</v>
      </c>
      <c r="L3967" t="s">
        <v>20</v>
      </c>
      <c r="M3967" t="s">
        <v>8381</v>
      </c>
      <c r="N3967" t="s">
        <v>14</v>
      </c>
    </row>
    <row r="3968" x14ac:dyDescent="0.25">
      <c r="A3968" t="n">
        <v>25</v>
      </c>
      <c r="B3968" t="s">
        <v>14</v>
      </c>
      <c r="C3968" t="s">
        <v>51</v>
      </c>
      <c r="D3968" s="2" t="s">
        <f>=HYPERLINK("https://main.knesset.gov.il/APPS/legislation/main/bills/2208286", "הצעת חוק שידורי טלוויזיה (כתוביות ושפת סימנים) (תיקון - העלאת שיעור השידורים שילוו בתרגום לשפת סימנים), התשפ""ג-2023")</f>
        <v>8453</v>
      </c>
      <c r="E3968" t="s">
        <v>8453</v>
      </c>
      <c r="F3968" t="s">
        <v>8454</v>
      </c>
      <c r="G3968" t="s">
        <v>14</v>
      </c>
      <c r="H3968">
             </c>
      <c r="I3968" t="s">
        <v>14</v>
      </c>
      <c r="J3968" t="s">
        <v>242</v>
      </c>
      <c r="K3968" t="s">
        <v>14</v>
      </c>
      <c r="L3968" t="s">
        <v>20</v>
      </c>
      <c r="M3968" t="s">
        <v>8381</v>
      </c>
      <c r="N3968" t="s">
        <v>14</v>
      </c>
    </row>
    <row r="3969" x14ac:dyDescent="0.25">
      <c r="A3969" t="n">
        <v>25</v>
      </c>
      <c r="B3969" t="s">
        <v>14</v>
      </c>
      <c r="C3969" t="s">
        <v>51</v>
      </c>
      <c r="D3969" s="2" t="s">
        <f>=HYPERLINK("https://main.knesset.gov.il/APPS/legislation/main/bills/2206635", "הצעת חוק שוויון ההזדמנויות בעבודה (תיקון - איסור הפליה לפי מקום ביצוע העבודה), התשפ""ג-2023")</f>
        <v>8455</v>
      </c>
      <c r="E3969" t="s">
        <v>8455</v>
      </c>
      <c r="F3969" t="s">
        <v>8456</v>
      </c>
      <c r="G3969" t="s">
        <v>14</v>
      </c>
      <c r="H3969">
             </c>
      <c r="I3969" t="s">
        <v>14</v>
      </c>
      <c r="J3969" t="s">
        <v>242</v>
      </c>
      <c r="K3969" t="s">
        <v>14</v>
      </c>
      <c r="L3969" t="s">
        <v>20</v>
      </c>
      <c r="M3969" t="s">
        <v>8381</v>
      </c>
      <c r="N3969" t="s">
        <v>14</v>
      </c>
    </row>
    <row r="3970" x14ac:dyDescent="0.25">
      <c r="A3970" t="n">
        <v>25</v>
      </c>
      <c r="B3970" t="s">
        <v>14</v>
      </c>
      <c r="C3970" t="s">
        <v>51</v>
      </c>
      <c r="D3970" s="2" t="s">
        <f>=HYPERLINK("https://main.knesset.gov.il/APPS/legislation/main/bills/2208173", "הצעת חוק הסדרים במשק המדינה (תיקוני חקיקה להשגת יעדי התקציב) (תיקון - שיפוי רשויות מקומיות בגין הנחה כפויה בארנונה), התשפ""ג-2023")</f>
        <v>8457</v>
      </c>
      <c r="E3970" t="s">
        <v>8457</v>
      </c>
      <c r="F3970" t="s">
        <v>8458</v>
      </c>
      <c r="G3970" t="s">
        <v>14</v>
      </c>
      <c r="H3970">
             </c>
      <c r="I3970" t="s">
        <v>14</v>
      </c>
      <c r="J3970" t="s">
        <v>242</v>
      </c>
      <c r="K3970" t="s">
        <v>14</v>
      </c>
      <c r="L3970" t="s">
        <v>20</v>
      </c>
      <c r="M3970" t="s">
        <v>8381</v>
      </c>
      <c r="N3970" t="s">
        <v>14</v>
      </c>
    </row>
    <row r="3971" x14ac:dyDescent="0.25">
      <c r="A3971" t="n">
        <v>25</v>
      </c>
      <c r="B3971" t="s">
        <v>14</v>
      </c>
      <c r="C3971" t="s">
        <v>51</v>
      </c>
      <c r="D3971" s="2" t="s">
        <f>=HYPERLINK("https://main.knesset.gov.il/APPS/legislation/main/bills/2207867", "הצעת חוק רשות שדות התעופה (תיקון - דיווח לוועדת הכלכלה של הכנסת), התשפ""ג-2023")</f>
        <v>8459</v>
      </c>
      <c r="E3971" t="s">
        <v>8459</v>
      </c>
      <c r="F3971" t="s">
        <v>8460</v>
      </c>
      <c r="G3971" t="s">
        <v>14</v>
      </c>
      <c r="H3971">
             </c>
      <c r="I3971" t="s">
        <v>14</v>
      </c>
      <c r="J3971" t="s">
        <v>242</v>
      </c>
      <c r="K3971" t="s">
        <v>14</v>
      </c>
      <c r="L3971" t="s">
        <v>20</v>
      </c>
      <c r="M3971" t="s">
        <v>8381</v>
      </c>
      <c r="N3971" t="s">
        <v>14</v>
      </c>
    </row>
    <row r="3972" x14ac:dyDescent="0.25">
      <c r="A3972" t="n">
        <v>25</v>
      </c>
      <c r="B3972" t="s">
        <v>14</v>
      </c>
      <c r="C3972" t="s">
        <v>51</v>
      </c>
      <c r="D3972" s="2" t="s">
        <f>=HYPERLINK("https://main.knesset.gov.il/APPS/legislation/main/bills/2208795", "הצעת חוק הוועדה למינוי בכירים (תיקוני חקיקה), התשפ""ג-2023")</f>
        <v>8461</v>
      </c>
      <c r="E3972" t="s">
        <v>8461</v>
      </c>
      <c r="F3972" t="s">
        <v>8462</v>
      </c>
      <c r="G3972" t="s">
        <v>14</v>
      </c>
      <c r="H3972">
             </c>
      <c r="I3972" t="s">
        <v>14</v>
      </c>
      <c r="J3972" t="s">
        <v>242</v>
      </c>
      <c r="K3972" t="s">
        <v>14</v>
      </c>
      <c r="L3972" t="s">
        <v>20</v>
      </c>
      <c r="M3972" t="s">
        <v>8381</v>
      </c>
      <c r="N3972" t="s">
        <v>14</v>
      </c>
    </row>
    <row r="3973" x14ac:dyDescent="0.25">
      <c r="A3973" t="n">
        <v>25</v>
      </c>
      <c r="B3973" t="s">
        <v>14</v>
      </c>
      <c r="C3973" t="s">
        <v>51</v>
      </c>
      <c r="D3973" s="2" t="s">
        <f>=HYPERLINK("https://main.knesset.gov.il/APPS/legislation/main/bills/2205349", "הצעת חוק זכות יוצרים (תיקון - תשלום תמלוגים), התשפ""ג-2023")</f>
        <v>8463</v>
      </c>
      <c r="E3973" t="s">
        <v>8463</v>
      </c>
      <c r="F3973" t="s">
        <v>8464</v>
      </c>
      <c r="G3973" t="s">
        <v>14</v>
      </c>
      <c r="H3973">
             </c>
      <c r="I3973" t="s">
        <v>14</v>
      </c>
      <c r="J3973" t="s">
        <v>242</v>
      </c>
      <c r="K3973" t="s">
        <v>14</v>
      </c>
      <c r="L3973" t="s">
        <v>20</v>
      </c>
      <c r="M3973" t="s">
        <v>8381</v>
      </c>
      <c r="N3973" t="s">
        <v>14</v>
      </c>
    </row>
    <row r="3974" x14ac:dyDescent="0.25">
      <c r="A3974" t="n">
        <v>25</v>
      </c>
      <c r="B3974" t="s">
        <v>14</v>
      </c>
      <c r="C3974" t="s">
        <v>51</v>
      </c>
      <c r="D3974" s="2" t="s">
        <f>=HYPERLINK("https://main.knesset.gov.il/APPS/legislation/main/bills/2205683", "הצעת חוק העונשין (תיקון - מאבק בפשיעה החקלאית), התשפ""ג-2023")</f>
        <v>8465</v>
      </c>
      <c r="E3974" t="s">
        <v>8465</v>
      </c>
      <c r="F3974" t="s">
        <v>8466</v>
      </c>
      <c r="G3974" t="s">
        <v>14</v>
      </c>
      <c r="H3974">
             </c>
      <c r="I3974" t="s">
        <v>14</v>
      </c>
      <c r="J3974" t="s">
        <v>242</v>
      </c>
      <c r="K3974" t="s">
        <v>14</v>
      </c>
      <c r="L3974" t="s">
        <v>20</v>
      </c>
      <c r="M3974" t="s">
        <v>8381</v>
      </c>
      <c r="N3974" t="s">
        <v>14</v>
      </c>
    </row>
    <row r="3975" x14ac:dyDescent="0.25">
      <c r="A3975" t="n">
        <v>25</v>
      </c>
      <c r="B3975" t="s">
        <v>14</v>
      </c>
      <c r="C3975" t="s">
        <v>51</v>
      </c>
      <c r="D3975" s="2" t="s">
        <f>=HYPERLINK("https://main.knesset.gov.il/APPS/legislation/main/bills/2200262", "הצעת חוק הגנת הצרכן (תיקון - אישור הצרכן מראש להעלאת תעריפים בעסקה מתמשכת שאינה עסקה לתקופה קצובה), התשפ""ג-2023")</f>
        <v>8467</v>
      </c>
      <c r="E3975" t="s">
        <v>8467</v>
      </c>
      <c r="F3975" t="s">
        <v>8468</v>
      </c>
      <c r="G3975" t="s">
        <v>14</v>
      </c>
      <c r="H3975">
             </c>
      <c r="I3975" t="s">
        <v>14</v>
      </c>
      <c r="J3975" t="s">
        <v>242</v>
      </c>
      <c r="K3975" t="s">
        <v>14</v>
      </c>
      <c r="L3975" t="s">
        <v>20</v>
      </c>
      <c r="M3975" t="s">
        <v>8381</v>
      </c>
      <c r="N3975" t="s">
        <v>14</v>
      </c>
    </row>
    <row r="3976" x14ac:dyDescent="0.25">
      <c r="A3976" t="n">
        <v>25</v>
      </c>
      <c r="B3976" t="s">
        <v>14</v>
      </c>
      <c r="C3976" t="s">
        <v>20</v>
      </c>
      <c r="D3976" s="2" t="s">
        <f>=HYPERLINK("https://main.knesset.gov.il/APPS/legislation/main/bills/2207472", "חוק-יסוד: השפיטה (תיקון מס' 3) ")</f>
        <v>8469</v>
      </c>
      <c r="E3976" t="s">
        <v>8469</v>
      </c>
      <c r="F3976" t="s">
        <v>14</v>
      </c>
      <c r="G3976" t="s">
        <v>8470</v>
      </c>
      <c r="H3976" t="n">
        <v>3066</v>
      </c>
      <c r="I3976" t="s">
        <v>14</v>
      </c>
      <c r="J3976" t="s">
        <v>18</v>
      </c>
      <c r="K3976" t="s">
        <v>27</v>
      </c>
      <c r="L3976" t="s">
        <v>20</v>
      </c>
      <c r="M3976" t="s">
        <v>8471</v>
      </c>
      <c r="N3976" t="s">
        <v>8472</v>
      </c>
    </row>
    <row r="3977" x14ac:dyDescent="0.25">
      <c r="A3977" t="n">
        <v>25</v>
      </c>
      <c r="B3977" t="s">
        <v>14</v>
      </c>
      <c r="C3977" t="s">
        <v>51</v>
      </c>
      <c r="D3977" s="2" t="s">
        <f>=HYPERLINK("https://main.knesset.gov.il/APPS/legislation/main/bills/2156240", "חוק הגנת הצרכן (תיקון מס' 65), התשפ""ג–2023")</f>
        <v>8473</v>
      </c>
      <c r="E3977" t="s">
        <v>8473</v>
      </c>
      <c r="F3977" t="s">
        <v>8474</v>
      </c>
      <c r="G3977" t="s">
        <v>8475</v>
      </c>
      <c r="H3977" t="n">
        <v>3065</v>
      </c>
      <c r="I3977" t="s">
        <v>14</v>
      </c>
      <c r="J3977" t="s">
        <v>18</v>
      </c>
      <c r="K3977" t="s">
        <v>84</v>
      </c>
      <c r="L3977" t="s">
        <v>20</v>
      </c>
      <c r="M3977" t="s">
        <v>8476</v>
      </c>
      <c r="N3977" t="s">
        <v>8477</v>
      </c>
    </row>
    <row r="3978" x14ac:dyDescent="0.25">
      <c r="A3978" t="n">
        <v>25</v>
      </c>
      <c r="B3978" t="s">
        <v>14</v>
      </c>
      <c r="C3978" t="s">
        <v>51</v>
      </c>
      <c r="D3978" s="2" t="s">
        <f>=HYPERLINK("https://main.knesset.gov.il/APPS/legislation/main/bills/2208263", "הצעת חוק הקרימינולוגים השיקומיים, התשפ""ג-2023")</f>
        <v>8478</v>
      </c>
      <c r="E3978" t="s">
        <v>8478</v>
      </c>
      <c r="F3978" t="s">
        <v>8479</v>
      </c>
      <c r="G3978" t="s">
        <v>14</v>
      </c>
      <c r="H3978">
             </c>
      <c r="I3978" t="s">
        <v>14</v>
      </c>
      <c r="J3978" t="s">
        <v>152</v>
      </c>
      <c r="K3978" t="s">
        <v>46</v>
      </c>
      <c r="L3978" t="s">
        <v>20</v>
      </c>
      <c r="M3978" t="s">
        <v>8476</v>
      </c>
      <c r="N3978" t="s">
        <v>14</v>
      </c>
    </row>
    <row r="3979" x14ac:dyDescent="0.25">
      <c r="A3979" t="n">
        <v>25</v>
      </c>
      <c r="B3979" t="s">
        <v>14</v>
      </c>
      <c r="C3979" t="s">
        <v>51</v>
      </c>
      <c r="D3979" s="2" t="s">
        <f>=HYPERLINK("https://main.knesset.gov.il/APPS/legislation/main/bills/2203637", "הצעת חוק הפרות מינהליות, התשפ""ג-2023")</f>
        <v>8480</v>
      </c>
      <c r="E3979" t="s">
        <v>8480</v>
      </c>
      <c r="F3979" t="s">
        <v>8481</v>
      </c>
      <c r="G3979" t="s">
        <v>14</v>
      </c>
      <c r="H3979">
             </c>
      <c r="I3979" t="s">
        <v>14</v>
      </c>
      <c r="J3979" t="s">
        <v>193</v>
      </c>
      <c r="K3979" t="s">
        <v>14</v>
      </c>
      <c r="L3979" t="s">
        <v>20</v>
      </c>
      <c r="M3979" t="s">
        <v>8476</v>
      </c>
      <c r="N3979" t="s">
        <v>14</v>
      </c>
    </row>
    <row r="3980" x14ac:dyDescent="0.25">
      <c r="A3980" t="n">
        <v>25</v>
      </c>
      <c r="B3980" t="s">
        <v>14</v>
      </c>
      <c r="C3980" t="s">
        <v>51</v>
      </c>
      <c r="D3980" s="2" t="s">
        <f>=HYPERLINK("https://main.knesset.gov.il/APPS/legislation/main/bills/2202517", "הצעת חוק פיקוח על מחירים, שיווק וסבסוד של מזון ללא גלוטן, התשפ""ג-2023")</f>
        <v>8482</v>
      </c>
      <c r="E3980" t="s">
        <v>8482</v>
      </c>
      <c r="F3980" t="s">
        <v>8483</v>
      </c>
      <c r="G3980" t="s">
        <v>14</v>
      </c>
      <c r="H3980">
             </c>
      <c r="I3980" t="s">
        <v>14</v>
      </c>
      <c r="J3980" t="s">
        <v>432</v>
      </c>
      <c r="K3980" t="s">
        <v>14</v>
      </c>
      <c r="L3980" t="s">
        <v>20</v>
      </c>
      <c r="M3980" t="s">
        <v>8476</v>
      </c>
      <c r="N3980" t="s">
        <v>14</v>
      </c>
    </row>
    <row r="3981" x14ac:dyDescent="0.25">
      <c r="A3981" t="n">
        <v>25</v>
      </c>
      <c r="B3981" t="s">
        <v>14</v>
      </c>
      <c r="C3981" t="s">
        <v>51</v>
      </c>
      <c r="D3981" s="2" t="s">
        <f>=HYPERLINK("https://main.knesset.gov.il/APPS/legislation/main/bills/2201845", "הצעת חוק-יסוד: משאל עם (תיקון - חובת אישור החלת ריבונות במשאל עם)")</f>
        <v>4810</v>
      </c>
      <c r="E3981" t="s">
        <v>4810</v>
      </c>
      <c r="F3981" t="s">
        <v>8484</v>
      </c>
      <c r="G3981" t="s">
        <v>14</v>
      </c>
      <c r="H3981">
             </c>
      <c r="I3981" t="s">
        <v>14</v>
      </c>
      <c r="J3981" t="s">
        <v>193</v>
      </c>
      <c r="K3981" t="s">
        <v>14</v>
      </c>
      <c r="L3981" t="s">
        <v>20</v>
      </c>
      <c r="M3981" t="s">
        <v>8476</v>
      </c>
      <c r="N3981" t="s">
        <v>14</v>
      </c>
    </row>
    <row r="3982" x14ac:dyDescent="0.25">
      <c r="A3982" t="n">
        <v>25</v>
      </c>
      <c r="B3982" t="s">
        <v>14</v>
      </c>
      <c r="C3982" t="s">
        <v>51</v>
      </c>
      <c r="D3982" s="2" t="s">
        <f>=HYPERLINK("https://main.knesset.gov.il/APPS/legislation/main/bills/2201446", "הצעת חוק סל הקליטה (תיקון - שעות לימוד עברית), התשפ""ג-2023")</f>
        <v>8485</v>
      </c>
      <c r="E3982" t="s">
        <v>8485</v>
      </c>
      <c r="F3982" t="s">
        <v>8486</v>
      </c>
      <c r="G3982" t="s">
        <v>14</v>
      </c>
      <c r="H3982">
             </c>
      <c r="I3982" t="s">
        <v>14</v>
      </c>
      <c r="J3982" t="s">
        <v>202</v>
      </c>
      <c r="K3982" t="s">
        <v>14</v>
      </c>
      <c r="L3982" t="s">
        <v>20</v>
      </c>
      <c r="M3982" t="s">
        <v>8476</v>
      </c>
      <c r="N3982" t="s">
        <v>14</v>
      </c>
    </row>
    <row r="3983" x14ac:dyDescent="0.25">
      <c r="A3983" t="n">
        <v>25</v>
      </c>
      <c r="B3983" t="s">
        <v>14</v>
      </c>
      <c r="C3983" t="s">
        <v>51</v>
      </c>
      <c r="D3983" s="2" t="s">
        <f>=HYPERLINK("https://main.knesset.gov.il/APPS/legislation/main/bills/2198952", "הצעת חוק הסיוע המשפטי (תיקון - סיוע משפטי לנפגעי עבירות) (הוראת שעה), התשפ""ג-2023")</f>
        <v>8487</v>
      </c>
      <c r="E3983" t="s">
        <v>8487</v>
      </c>
      <c r="F3983" t="s">
        <v>8488</v>
      </c>
      <c r="G3983" t="s">
        <v>14</v>
      </c>
      <c r="H3983">
             </c>
      <c r="I3983" t="s">
        <v>14</v>
      </c>
      <c r="J3983" t="s">
        <v>193</v>
      </c>
      <c r="K3983" t="s">
        <v>14</v>
      </c>
      <c r="L3983" t="s">
        <v>20</v>
      </c>
      <c r="M3983" t="s">
        <v>8476</v>
      </c>
      <c r="N3983" t="s">
        <v>14</v>
      </c>
    </row>
    <row r="3984" x14ac:dyDescent="0.25">
      <c r="A3984" t="n">
        <v>25</v>
      </c>
      <c r="B3984" t="s">
        <v>14</v>
      </c>
      <c r="C3984" t="s">
        <v>51</v>
      </c>
      <c r="D3984" s="2" t="s">
        <f>=HYPERLINK("https://main.knesset.gov.il/APPS/legislation/main/bills/2199969", "הצעת חוק השיפוט הצבאי (תיקון - משך תחולת החוק על מי שחדל מהיות חייל ועבר עבירת מין), התשפ""ג-2023 ")</f>
        <v>8489</v>
      </c>
      <c r="E3984" t="s">
        <v>8489</v>
      </c>
      <c r="F3984" t="s">
        <v>8490</v>
      </c>
      <c r="G3984" t="s">
        <v>14</v>
      </c>
      <c r="H3984">
             </c>
      <c r="I3984" t="s">
        <v>14</v>
      </c>
      <c r="J3984" t="s">
        <v>193</v>
      </c>
      <c r="K3984" t="s">
        <v>14</v>
      </c>
      <c r="L3984" t="s">
        <v>20</v>
      </c>
      <c r="M3984" t="s">
        <v>8476</v>
      </c>
      <c r="N3984" t="s">
        <v>14</v>
      </c>
    </row>
    <row r="3985" x14ac:dyDescent="0.25">
      <c r="A3985" t="n">
        <v>25</v>
      </c>
      <c r="B3985" t="s">
        <v>14</v>
      </c>
      <c r="C3985" t="s">
        <v>51</v>
      </c>
      <c r="D3985" s="2" t="s">
        <f>=HYPERLINK("https://main.knesset.gov.il/APPS/legislation/main/bills/2199864", "הצעת חוק למניעת אלימות במשפחה (תיקון - מניעת אלימות כלכלית) (הוראת שעה), התשפ""ג-2023")</f>
        <v>8491</v>
      </c>
      <c r="E3985" t="s">
        <v>8491</v>
      </c>
      <c r="F3985" t="s">
        <v>8492</v>
      </c>
      <c r="G3985" t="s">
        <v>14</v>
      </c>
      <c r="H3985">
             </c>
      <c r="I3985" t="s">
        <v>14</v>
      </c>
      <c r="J3985" t="s">
        <v>193</v>
      </c>
      <c r="K3985" t="s">
        <v>14</v>
      </c>
      <c r="L3985" t="s">
        <v>20</v>
      </c>
      <c r="M3985" t="s">
        <v>8476</v>
      </c>
      <c r="N3985" t="s">
        <v>14</v>
      </c>
    </row>
    <row r="3986" x14ac:dyDescent="0.25">
      <c r="A3986" t="n">
        <v>25</v>
      </c>
      <c r="B3986" t="s">
        <v>14</v>
      </c>
      <c r="C3986" t="s">
        <v>51</v>
      </c>
      <c r="D3986" s="2" t="s">
        <f>=HYPERLINK("https://main.knesset.gov.il/APPS/legislation/main/bills/2197758", "הצעת חוק שוויון זכויות לאנשים עם מוגבלות (תיקון - הנפקת תעודות לבעלי מוגבלות בראיה), התשפ""ג-2023")</f>
        <v>8493</v>
      </c>
      <c r="E3986" t="s">
        <v>8493</v>
      </c>
      <c r="F3986" t="s">
        <v>8494</v>
      </c>
      <c r="G3986" t="s">
        <v>14</v>
      </c>
      <c r="H3986">
             </c>
      <c r="I3986" t="s">
        <v>14</v>
      </c>
      <c r="J3986" t="s">
        <v>202</v>
      </c>
      <c r="K3986" t="s">
        <v>14</v>
      </c>
      <c r="L3986" t="s">
        <v>20</v>
      </c>
      <c r="M3986" t="s">
        <v>8476</v>
      </c>
      <c r="N3986" t="s">
        <v>14</v>
      </c>
    </row>
    <row r="3987" x14ac:dyDescent="0.25">
      <c r="A3987" t="n">
        <v>25</v>
      </c>
      <c r="B3987" t="s">
        <v>14</v>
      </c>
      <c r="C3987" t="s">
        <v>51</v>
      </c>
      <c r="D3987" s="2" t="s">
        <f>=HYPERLINK("https://main.knesset.gov.il/APPS/legislation/main/bills/2198951", "הצעת חוק-יסוד: כבוד האדם וחירותו (תיקון - הזכות לשוויון) ")</f>
        <v>8495</v>
      </c>
      <c r="E3987" t="s">
        <v>8495</v>
      </c>
      <c r="F3987" t="s">
        <v>8496</v>
      </c>
      <c r="G3987" t="s">
        <v>14</v>
      </c>
      <c r="H3987">
             </c>
      <c r="I3987" t="s">
        <v>14</v>
      </c>
      <c r="J3987" t="s">
        <v>193</v>
      </c>
      <c r="K3987" t="s">
        <v>14</v>
      </c>
      <c r="L3987" t="s">
        <v>20</v>
      </c>
      <c r="M3987" t="s">
        <v>8476</v>
      </c>
      <c r="N3987" t="s">
        <v>14</v>
      </c>
    </row>
    <row r="3988" x14ac:dyDescent="0.25">
      <c r="A3988" t="n">
        <v>25</v>
      </c>
      <c r="B3988" t="s">
        <v>14</v>
      </c>
      <c r="C3988" t="s">
        <v>51</v>
      </c>
      <c r="D3988" s="2" t="s">
        <f>=HYPERLINK("https://main.knesset.gov.il/APPS/legislation/main/bills/2198821", "הצעת חוק הביטוח הלאומי (תיקון - שמירה חקלאית כעבודה מועדפת), התשפ""ג-2023")</f>
        <v>8497</v>
      </c>
      <c r="E3988" t="s">
        <v>8497</v>
      </c>
      <c r="F3988" t="s">
        <v>8498</v>
      </c>
      <c r="G3988" t="s">
        <v>14</v>
      </c>
      <c r="H3988">
             </c>
      <c r="I3988" t="s">
        <v>14</v>
      </c>
      <c r="J3988" t="s">
        <v>202</v>
      </c>
      <c r="K3988" t="s">
        <v>14</v>
      </c>
      <c r="L3988" t="s">
        <v>20</v>
      </c>
      <c r="M3988" t="s">
        <v>8476</v>
      </c>
      <c r="N3988" t="s">
        <v>14</v>
      </c>
    </row>
    <row r="3989" x14ac:dyDescent="0.25">
      <c r="A3989" t="n">
        <v>25</v>
      </c>
      <c r="B3989" t="s">
        <v>14</v>
      </c>
      <c r="C3989" t="s">
        <v>51</v>
      </c>
      <c r="D3989" s="2" t="s">
        <f>=HYPERLINK("https://main.knesset.gov.il/APPS/legislation/main/bills/2198753", "הצעת חוק משק החשמל (תיקון - איסור ניתוק חשמל לצרכן ביתי), התשפ""ג-2023")</f>
        <v>8499</v>
      </c>
      <c r="E3989" t="s">
        <v>8499</v>
      </c>
      <c r="F3989" t="s">
        <v>8500</v>
      </c>
      <c r="G3989" t="s">
        <v>14</v>
      </c>
      <c r="H3989">
             </c>
      <c r="I3989" t="s">
        <v>14</v>
      </c>
      <c r="J3989" t="s">
        <v>193</v>
      </c>
      <c r="K3989" t="s">
        <v>14</v>
      </c>
      <c r="L3989" t="s">
        <v>20</v>
      </c>
      <c r="M3989" t="s">
        <v>8476</v>
      </c>
      <c r="N3989" t="s">
        <v>14</v>
      </c>
    </row>
    <row r="3990" x14ac:dyDescent="0.25">
      <c r="A3990" t="n">
        <v>25</v>
      </c>
      <c r="B3990" t="s">
        <v>14</v>
      </c>
      <c r="C3990" t="s">
        <v>51</v>
      </c>
      <c r="D3990" s="2" t="s">
        <f>=HYPERLINK("https://main.knesset.gov.il/APPS/legislation/main/bills/2198619", "הצעת חוק סבסוד מוצרים ללא גלוטן, התשפ""ג-2023")</f>
        <v>8501</v>
      </c>
      <c r="E3990" t="s">
        <v>8501</v>
      </c>
      <c r="F3990" t="s">
        <v>8502</v>
      </c>
      <c r="G3990" t="s">
        <v>14</v>
      </c>
      <c r="H3990">
             </c>
      <c r="I3990" t="s">
        <v>14</v>
      </c>
      <c r="J3990" t="s">
        <v>432</v>
      </c>
      <c r="K3990" t="s">
        <v>14</v>
      </c>
      <c r="L3990" t="s">
        <v>20</v>
      </c>
      <c r="M3990" t="s">
        <v>8476</v>
      </c>
      <c r="N3990" t="s">
        <v>14</v>
      </c>
    </row>
    <row r="3991" x14ac:dyDescent="0.25">
      <c r="A3991" t="n">
        <v>25</v>
      </c>
      <c r="B3991" t="s">
        <v>14</v>
      </c>
      <c r="C3991" t="s">
        <v>51</v>
      </c>
      <c r="D3991" s="2" t="s">
        <f>=HYPERLINK("https://main.knesset.gov.il/APPS/legislation/main/bills/2196666", "הצעת חוק-יסוד: כבוד האדם וחירותו (תיקון - הזכות לשוויון)")</f>
        <v>2894</v>
      </c>
      <c r="E3991" t="s">
        <v>2894</v>
      </c>
      <c r="F3991" t="s">
        <v>8503</v>
      </c>
      <c r="G3991" t="s">
        <v>14</v>
      </c>
      <c r="H3991">
             </c>
      <c r="I3991" t="s">
        <v>14</v>
      </c>
      <c r="J3991" t="s">
        <v>193</v>
      </c>
      <c r="K3991" t="s">
        <v>14</v>
      </c>
      <c r="L3991" t="s">
        <v>20</v>
      </c>
      <c r="M3991" t="s">
        <v>8476</v>
      </c>
      <c r="N3991" t="s">
        <v>14</v>
      </c>
    </row>
    <row r="3992" x14ac:dyDescent="0.25">
      <c r="A3992" t="n">
        <v>25</v>
      </c>
      <c r="B3992" t="s">
        <v>14</v>
      </c>
      <c r="C3992" t="s">
        <v>51</v>
      </c>
      <c r="D3992" s="2" t="s">
        <f>=HYPERLINK("https://main.knesset.gov.il/APPS/legislation/main/bills/2196342", "הצעת חוק-יסוד: כבוד האדם וחירותו (תיקון - הזכות לשוויון)")</f>
        <v>2894</v>
      </c>
      <c r="E3992" t="s">
        <v>2894</v>
      </c>
      <c r="F3992" t="s">
        <v>8504</v>
      </c>
      <c r="G3992" t="s">
        <v>14</v>
      </c>
      <c r="H3992">
             </c>
      <c r="I3992" t="s">
        <v>14</v>
      </c>
      <c r="J3992" t="s">
        <v>193</v>
      </c>
      <c r="K3992" t="s">
        <v>14</v>
      </c>
      <c r="L3992" t="s">
        <v>20</v>
      </c>
      <c r="M3992" t="s">
        <v>8476</v>
      </c>
      <c r="N3992" t="s">
        <v>14</v>
      </c>
    </row>
    <row r="3993" x14ac:dyDescent="0.25">
      <c r="A3993" t="n">
        <v>25</v>
      </c>
      <c r="B3993" t="s">
        <v>14</v>
      </c>
      <c r="C3993" t="s">
        <v>51</v>
      </c>
      <c r="D3993" s="2" t="s">
        <f>=HYPERLINK("https://main.knesset.gov.il/APPS/legislation/main/bills/2206912", "הצעת חוק לקידום הנשים בישראל, התשפ""ג-2023")</f>
        <v>8505</v>
      </c>
      <c r="E3993" t="s">
        <v>8505</v>
      </c>
      <c r="F3993" t="s">
        <v>8506</v>
      </c>
      <c r="G3993" t="s">
        <v>14</v>
      </c>
      <c r="H3993">
             </c>
      <c r="I3993" t="s">
        <v>14</v>
      </c>
      <c r="J3993" t="s">
        <v>152</v>
      </c>
      <c r="K3993" t="s">
        <v>14</v>
      </c>
      <c r="L3993" t="s">
        <v>20</v>
      </c>
      <c r="M3993" t="s">
        <v>8507</v>
      </c>
      <c r="N3993" t="s">
        <v>14</v>
      </c>
    </row>
    <row r="3994" x14ac:dyDescent="0.25">
      <c r="A3994" t="n">
        <v>25</v>
      </c>
      <c r="B3994" t="s">
        <v>14</v>
      </c>
      <c r="C3994" t="s">
        <v>51</v>
      </c>
      <c r="D3994" s="2" t="s">
        <f>=HYPERLINK("https://main.knesset.gov.il/APPS/legislation/main/bills/2202805", "הצעת חוק העונשין (תיקון - הגדרת איום), התשפ""ג-2023")</f>
        <v>8508</v>
      </c>
      <c r="E3994" t="s">
        <v>8508</v>
      </c>
      <c r="F3994" t="s">
        <v>8509</v>
      </c>
      <c r="G3994" t="s">
        <v>14</v>
      </c>
      <c r="H3994">
             </c>
      <c r="I3994" t="s">
        <v>14</v>
      </c>
      <c r="J3994" t="s">
        <v>183</v>
      </c>
      <c r="K3994" t="s">
        <v>14</v>
      </c>
      <c r="L3994" t="s">
        <v>20</v>
      </c>
      <c r="M3994" t="s">
        <v>8510</v>
      </c>
      <c r="N3994" t="s">
        <v>14</v>
      </c>
    </row>
    <row r="3995" x14ac:dyDescent="0.25">
      <c r="A3995" t="n">
        <v>25</v>
      </c>
      <c r="B3995" t="s">
        <v>14</v>
      </c>
      <c r="C3995" t="s">
        <v>51</v>
      </c>
      <c r="D3995" s="2" t="s">
        <f>=HYPERLINK("https://main.knesset.gov.il/APPS/legislation/main/bills/2199055", "הצעת חוק הגנת הצרכן (תיקון - הפרה בנסיבות מחמירות), התשפ""ג-2023")</f>
        <v>8511</v>
      </c>
      <c r="E3995" t="s">
        <v>8511</v>
      </c>
      <c r="F3995" t="s">
        <v>8512</v>
      </c>
      <c r="G3995" t="s">
        <v>14</v>
      </c>
      <c r="H3995">
             </c>
      <c r="I3995" t="s">
        <v>14</v>
      </c>
      <c r="J3995" t="s">
        <v>183</v>
      </c>
      <c r="K3995" t="s">
        <v>84</v>
      </c>
      <c r="L3995" t="s">
        <v>20</v>
      </c>
      <c r="M3995" t="s">
        <v>8510</v>
      </c>
      <c r="N3995" t="s">
        <v>14</v>
      </c>
    </row>
    <row r="3996" x14ac:dyDescent="0.25">
      <c r="A3996" t="n">
        <v>25</v>
      </c>
      <c r="B3996" t="s">
        <v>14</v>
      </c>
      <c r="C3996" t="s">
        <v>51</v>
      </c>
      <c r="D3996" s="2" t="s">
        <f>=HYPERLINK("https://main.knesset.gov.il/APPS/legislation/main/bills/2198435", "הצעת חוק העונשין (תיקון - הגדרת איום), התשפ""ג-2023")</f>
        <v>8508</v>
      </c>
      <c r="E3996" t="s">
        <v>8508</v>
      </c>
      <c r="F3996" t="s">
        <v>8513</v>
      </c>
      <c r="G3996" t="s">
        <v>14</v>
      </c>
      <c r="H3996">
             </c>
      <c r="I3996" t="s">
        <v>14</v>
      </c>
      <c r="J3996" t="s">
        <v>183</v>
      </c>
      <c r="K3996" t="s">
        <v>14</v>
      </c>
      <c r="L3996" t="s">
        <v>20</v>
      </c>
      <c r="M3996" t="s">
        <v>8510</v>
      </c>
      <c r="N3996" t="s">
        <v>14</v>
      </c>
    </row>
    <row r="3997" x14ac:dyDescent="0.25">
      <c r="A3997" t="n">
        <v>25</v>
      </c>
      <c r="B3997" t="s">
        <v>14</v>
      </c>
      <c r="C3997" t="s">
        <v>51</v>
      </c>
      <c r="D3997" s="2" t="s">
        <f>=HYPERLINK("https://main.knesset.gov.il/APPS/legislation/main/bills/2207287", "הצעת חוק הנוער (טיפול והשגחה) (תיקון - מתווה הוצאת ילד ממשמורתו), התשפ""ג-2023")</f>
        <v>8514</v>
      </c>
      <c r="E3997" t="s">
        <v>8514</v>
      </c>
      <c r="F3997" t="s">
        <v>8515</v>
      </c>
      <c r="G3997" t="s">
        <v>14</v>
      </c>
      <c r="H3997">
             </c>
      <c r="I3997" t="s">
        <v>14</v>
      </c>
      <c r="J3997" t="s">
        <v>242</v>
      </c>
      <c r="K3997" t="s">
        <v>14</v>
      </c>
      <c r="L3997" t="s">
        <v>20</v>
      </c>
      <c r="M3997" t="s">
        <v>8510</v>
      </c>
      <c r="N3997" t="s">
        <v>14</v>
      </c>
    </row>
    <row r="3998" x14ac:dyDescent="0.25">
      <c r="A3998" t="n">
        <v>25</v>
      </c>
      <c r="B3998" t="s">
        <v>14</v>
      </c>
      <c r="C3998" t="s">
        <v>51</v>
      </c>
      <c r="D3998" s="2" t="s">
        <f>=HYPERLINK("https://main.knesset.gov.il/APPS/legislation/main/bills/2208753", "הצעת חוק-יסוד: הממשלה (תיקון - מספר סגני שרים)")</f>
        <v>7972</v>
      </c>
      <c r="E3998" t="s">
        <v>7972</v>
      </c>
      <c r="F3998" t="s">
        <v>8516</v>
      </c>
      <c r="G3998" t="s">
        <v>14</v>
      </c>
      <c r="H3998">
             </c>
      <c r="I3998" t="s">
        <v>14</v>
      </c>
      <c r="J3998" t="s">
        <v>1372</v>
      </c>
      <c r="K3998" t="s">
        <v>14</v>
      </c>
      <c r="L3998" t="s">
        <v>20</v>
      </c>
      <c r="M3998" t="s">
        <v>8510</v>
      </c>
      <c r="N3998" t="s">
        <v>14</v>
      </c>
    </row>
    <row r="3999" x14ac:dyDescent="0.25">
      <c r="A3999" t="n">
        <v>25</v>
      </c>
      <c r="B3999" t="s">
        <v>14</v>
      </c>
      <c r="C3999" t="s">
        <v>51</v>
      </c>
      <c r="D3999" s="2" t="s">
        <f>=HYPERLINK("https://main.knesset.gov.il/APPS/legislation/main/bills/2205837", "הצעת חוק הגנה על בתי תפילה ותיקים (תיקוני חקיקה), התשפ""ג-2023")</f>
        <v>8517</v>
      </c>
      <c r="E3999" t="s">
        <v>8517</v>
      </c>
      <c r="F3999" t="s">
        <v>8518</v>
      </c>
      <c r="G3999" t="s">
        <v>14</v>
      </c>
      <c r="H3999">
             </c>
      <c r="I3999" t="s">
        <v>14</v>
      </c>
      <c r="J3999" t="s">
        <v>242</v>
      </c>
      <c r="K3999" t="s">
        <v>14</v>
      </c>
      <c r="L3999" t="s">
        <v>20</v>
      </c>
      <c r="M3999" t="s">
        <v>8510</v>
      </c>
      <c r="N3999" t="s">
        <v>14</v>
      </c>
    </row>
    <row r="4000" x14ac:dyDescent="0.25">
      <c r="A4000" t="n">
        <v>25</v>
      </c>
      <c r="B4000" t="s">
        <v>14</v>
      </c>
      <c r="C4000" t="s">
        <v>51</v>
      </c>
      <c r="D4000" s="2" t="s">
        <f>=HYPERLINK("https://main.knesset.gov.il/APPS/legislation/main/bills/2208747", "הצעת חוק הביטוח הלאומי (תיקון - הארכת המועד להגשת תביעה לגמלה והתקופה שבעדה תשולם), התשפ""ג-2023")</f>
        <v>8519</v>
      </c>
      <c r="E4000" t="s">
        <v>8519</v>
      </c>
      <c r="F4000" t="s">
        <v>8520</v>
      </c>
      <c r="G4000" t="s">
        <v>14</v>
      </c>
      <c r="H4000">
             </c>
      <c r="I4000" t="s">
        <v>14</v>
      </c>
      <c r="J4000" t="s">
        <v>242</v>
      </c>
      <c r="K4000" t="s">
        <v>14</v>
      </c>
      <c r="L4000" t="s">
        <v>20</v>
      </c>
      <c r="M4000" t="s">
        <v>8510</v>
      </c>
      <c r="N4000" t="s">
        <v>14</v>
      </c>
    </row>
    <row r="4001" x14ac:dyDescent="0.25">
      <c r="A4001" t="n">
        <v>25</v>
      </c>
      <c r="B4001" t="s">
        <v>14</v>
      </c>
      <c r="C4001" t="s">
        <v>51</v>
      </c>
      <c r="D4001" s="2" t="s">
        <f>=HYPERLINK("https://main.knesset.gov.il/APPS/legislation/main/bills/2207864", "הצעת חוק ביטוח בריאות ממלכתי (תיקון - קדימות בתור לטיפול או שירות רפואי לאדם עם מוגבלות), התשפ""ג-2023")</f>
        <v>8229</v>
      </c>
      <c r="E4001" t="s">
        <v>8229</v>
      </c>
      <c r="F4001" t="s">
        <v>8521</v>
      </c>
      <c r="G4001" t="s">
        <v>14</v>
      </c>
      <c r="H4001">
             </c>
      <c r="I4001" t="s">
        <v>14</v>
      </c>
      <c r="J4001" t="s">
        <v>202</v>
      </c>
      <c r="K4001" t="s">
        <v>14</v>
      </c>
      <c r="L4001" t="s">
        <v>20</v>
      </c>
      <c r="M4001" t="s">
        <v>8510</v>
      </c>
      <c r="N4001" t="s">
        <v>14</v>
      </c>
    </row>
    <row r="4002" x14ac:dyDescent="0.25">
      <c r="A4002" t="n">
        <v>25</v>
      </c>
      <c r="B4002" t="s">
        <v>14</v>
      </c>
      <c r="C4002" t="s">
        <v>51</v>
      </c>
      <c r="D4002" s="2" t="s">
        <f>=HYPERLINK("https://main.knesset.gov.il/APPS/legislation/main/bills/2208492", "הצעת חוק הבחירות לכנסת (תיקון - זכות לשכר ביום הבחירות), התשפ""ג-2023")</f>
        <v>8276</v>
      </c>
      <c r="E4002" t="s">
        <v>8276</v>
      </c>
      <c r="F4002" t="s">
        <v>8522</v>
      </c>
      <c r="G4002" t="s">
        <v>14</v>
      </c>
      <c r="H4002">
             </c>
      <c r="I4002" t="s">
        <v>14</v>
      </c>
      <c r="J4002" t="s">
        <v>242</v>
      </c>
      <c r="K4002" t="s">
        <v>14</v>
      </c>
      <c r="L4002" t="s">
        <v>20</v>
      </c>
      <c r="M4002" t="s">
        <v>8510</v>
      </c>
      <c r="N4002" t="s">
        <v>14</v>
      </c>
    </row>
    <row r="4003" x14ac:dyDescent="0.25">
      <c r="A4003" t="n">
        <v>25</v>
      </c>
      <c r="B4003" t="s">
        <v>14</v>
      </c>
      <c r="C4003" t="s">
        <v>51</v>
      </c>
      <c r="D4003" s="2" t="s">
        <f>=HYPERLINK("https://main.knesset.gov.il/APPS/legislation/main/bills/2207908", "הצעת חוק הביטוח הלאומי (תיקון - פטור מתשלום דמי ביטוח לאומי לנכי צה""ל), התשפ""ג-2023")</f>
        <v>8523</v>
      </c>
      <c r="E4003" t="s">
        <v>8523</v>
      </c>
      <c r="F4003" t="s">
        <v>8524</v>
      </c>
      <c r="G4003" t="s">
        <v>14</v>
      </c>
      <c r="H4003">
             </c>
      <c r="I4003" t="s">
        <v>14</v>
      </c>
      <c r="J4003" t="s">
        <v>242</v>
      </c>
      <c r="K4003" t="s">
        <v>14</v>
      </c>
      <c r="L4003" t="s">
        <v>20</v>
      </c>
      <c r="M4003" t="s">
        <v>8510</v>
      </c>
      <c r="N4003" t="s">
        <v>14</v>
      </c>
    </row>
    <row r="4004" x14ac:dyDescent="0.25">
      <c r="A4004" t="n">
        <v>25</v>
      </c>
      <c r="B4004" t="s">
        <v>14</v>
      </c>
      <c r="C4004" t="s">
        <v>51</v>
      </c>
      <c r="D4004" s="2" t="s">
        <f>=HYPERLINK("https://main.knesset.gov.il/APPS/legislation/main/bills/2206676", "הצעת חוק חינוך ממלכתי (תיקון - חינוך למניעת הטרדה מינית), התשפ""ג-2023")</f>
        <v>8525</v>
      </c>
      <c r="E4004" t="s">
        <v>8525</v>
      </c>
      <c r="F4004" t="s">
        <v>8526</v>
      </c>
      <c r="G4004" t="s">
        <v>14</v>
      </c>
      <c r="H4004">
             </c>
      <c r="I4004" t="s">
        <v>14</v>
      </c>
      <c r="J4004" t="s">
        <v>242</v>
      </c>
      <c r="K4004" t="s">
        <v>14</v>
      </c>
      <c r="L4004" t="s">
        <v>20</v>
      </c>
      <c r="M4004" t="s">
        <v>8510</v>
      </c>
      <c r="N4004" t="s">
        <v>14</v>
      </c>
    </row>
    <row r="4005" x14ac:dyDescent="0.25">
      <c r="A4005" t="n">
        <v>25</v>
      </c>
      <c r="B4005" t="s">
        <v>14</v>
      </c>
      <c r="C4005" t="s">
        <v>51</v>
      </c>
      <c r="D4005" s="2" t="s">
        <f>=HYPERLINK("https://main.knesset.gov.il/APPS/legislation/main/bills/2208315", "הצעת חוק הבחירות לכנסת (תיקון - שינוי מבנה פתק ההצבעה), התשפ""ג-2023")</f>
        <v>8527</v>
      </c>
      <c r="E4005" t="s">
        <v>8527</v>
      </c>
      <c r="F4005" t="s">
        <v>8528</v>
      </c>
      <c r="G4005" t="s">
        <v>14</v>
      </c>
      <c r="H4005">
             </c>
      <c r="I4005" t="s">
        <v>14</v>
      </c>
      <c r="J4005" t="s">
        <v>242</v>
      </c>
      <c r="K4005" t="s">
        <v>14</v>
      </c>
      <c r="L4005" t="s">
        <v>20</v>
      </c>
      <c r="M4005" t="s">
        <v>8510</v>
      </c>
      <c r="N4005" t="s">
        <v>14</v>
      </c>
    </row>
    <row r="4006" x14ac:dyDescent="0.25">
      <c r="A4006" t="n">
        <v>25</v>
      </c>
      <c r="B4006" t="s">
        <v>14</v>
      </c>
      <c r="C4006" t="s">
        <v>51</v>
      </c>
      <c r="D4006" s="2" t="s">
        <f>=HYPERLINK("https://main.knesset.gov.il/APPS/legislation/main/bills/2208269", "הצעת חוק לתיקון פקודת מס הכנסה (דיווח שנתי או חצי שנתי לסוגי נכסים), התשפ""ג-2023")</f>
        <v>8529</v>
      </c>
      <c r="E4006" t="s">
        <v>8529</v>
      </c>
      <c r="F4006" t="s">
        <v>8530</v>
      </c>
      <c r="G4006" t="s">
        <v>14</v>
      </c>
      <c r="H4006">
             </c>
      <c r="I4006" t="s">
        <v>14</v>
      </c>
      <c r="J4006" t="s">
        <v>242</v>
      </c>
      <c r="K4006" t="s">
        <v>14</v>
      </c>
      <c r="L4006" t="s">
        <v>20</v>
      </c>
      <c r="M4006" t="s">
        <v>8510</v>
      </c>
      <c r="N4006" t="s">
        <v>14</v>
      </c>
    </row>
    <row r="4007" x14ac:dyDescent="0.25">
      <c r="A4007" t="n">
        <v>25</v>
      </c>
      <c r="B4007" t="s">
        <v>14</v>
      </c>
      <c r="C4007" t="s">
        <v>51</v>
      </c>
      <c r="D4007" s="2" t="s">
        <f>=HYPERLINK("https://main.knesset.gov.il/APPS/legislation/main/bills/2207818", "הצעת חוק איסור אלימות בספורט (תיקון - מניעת הרחקה גורפת מאירועי ספורט), התשפ""ג-2023")</f>
        <v>8531</v>
      </c>
      <c r="E4007" t="s">
        <v>8531</v>
      </c>
      <c r="F4007" t="s">
        <v>8532</v>
      </c>
      <c r="G4007" t="s">
        <v>14</v>
      </c>
      <c r="H4007">
             </c>
      <c r="I4007" t="s">
        <v>14</v>
      </c>
      <c r="J4007" t="s">
        <v>242</v>
      </c>
      <c r="K4007" t="s">
        <v>14</v>
      </c>
      <c r="L4007" t="s">
        <v>20</v>
      </c>
      <c r="M4007" t="s">
        <v>8510</v>
      </c>
      <c r="N4007" t="s">
        <v>14</v>
      </c>
    </row>
    <row r="4008" x14ac:dyDescent="0.25">
      <c r="A4008" t="n">
        <v>25</v>
      </c>
      <c r="B4008" t="s">
        <v>14</v>
      </c>
      <c r="C4008" t="s">
        <v>51</v>
      </c>
      <c r="D4008" s="2" t="s">
        <f>=HYPERLINK("https://main.knesset.gov.il/APPS/legislation/main/bills/2208042", "הצעת חוק הסיוע הניתן מטעם המדינה לסטודנטים במוסדות להשכלה גבוהה, התשפ""ג-2023")</f>
        <v>8533</v>
      </c>
      <c r="E4008" t="s">
        <v>8533</v>
      </c>
      <c r="F4008" t="s">
        <v>8534</v>
      </c>
      <c r="G4008" t="s">
        <v>14</v>
      </c>
      <c r="H4008">
             </c>
      <c r="I4008" t="s">
        <v>14</v>
      </c>
      <c r="J4008" t="s">
        <v>242</v>
      </c>
      <c r="K4008" t="s">
        <v>14</v>
      </c>
      <c r="L4008" t="s">
        <v>20</v>
      </c>
      <c r="M4008" t="s">
        <v>8510</v>
      </c>
      <c r="N4008" t="s">
        <v>14</v>
      </c>
    </row>
    <row r="4009" x14ac:dyDescent="0.25">
      <c r="A4009" t="n">
        <v>25</v>
      </c>
      <c r="B4009" t="s">
        <v>14</v>
      </c>
      <c r="C4009" t="s">
        <v>51</v>
      </c>
      <c r="D4009" s="2" t="s">
        <f>=HYPERLINK("https://main.knesset.gov.il/APPS/legislation/main/bills/2199162", "הצעת חוק חוזה הביטוח (תיקון - השוואת תנאי ביטוח סיעודי לתנאי המוסד לביטוח לאומי), התשפ""ג-2023")</f>
        <v>8535</v>
      </c>
      <c r="E4009" t="s">
        <v>8535</v>
      </c>
      <c r="F4009" t="s">
        <v>8536</v>
      </c>
      <c r="G4009" t="s">
        <v>14</v>
      </c>
      <c r="H4009">
             </c>
      <c r="I4009" t="s">
        <v>14</v>
      </c>
      <c r="J4009" t="s">
        <v>242</v>
      </c>
      <c r="K4009" t="s">
        <v>14</v>
      </c>
      <c r="L4009" t="s">
        <v>20</v>
      </c>
      <c r="M4009" t="s">
        <v>8510</v>
      </c>
      <c r="N4009" t="s">
        <v>14</v>
      </c>
    </row>
    <row r="4010" x14ac:dyDescent="0.25">
      <c r="A4010" t="n">
        <v>25</v>
      </c>
      <c r="B4010" t="s">
        <v>14</v>
      </c>
      <c r="C4010" t="s">
        <v>51</v>
      </c>
      <c r="D4010" s="2" t="s">
        <f>=HYPERLINK("https://main.knesset.gov.il/APPS/legislation/main/bills/2205953", "הצעת חוק איסור אלימות בספורט (תיקון - החמרת ענישה על כניסה לשדה המשחק), התשפ""ג-2023")</f>
        <v>8537</v>
      </c>
      <c r="E4010" t="s">
        <v>8537</v>
      </c>
      <c r="F4010" t="s">
        <v>8538</v>
      </c>
      <c r="G4010" t="s">
        <v>14</v>
      </c>
      <c r="H4010">
             </c>
      <c r="I4010" t="s">
        <v>14</v>
      </c>
      <c r="J4010" t="s">
        <v>242</v>
      </c>
      <c r="K4010" t="s">
        <v>14</v>
      </c>
      <c r="L4010" t="s">
        <v>20</v>
      </c>
      <c r="M4010" t="s">
        <v>8510</v>
      </c>
      <c r="N4010" t="s">
        <v>14</v>
      </c>
    </row>
    <row r="4011" x14ac:dyDescent="0.25">
      <c r="A4011" t="n">
        <v>25</v>
      </c>
      <c r="B4011" t="s">
        <v>14</v>
      </c>
      <c r="C4011" t="s">
        <v>51</v>
      </c>
      <c r="D4011" s="2" t="s">
        <f>=HYPERLINK("https://main.knesset.gov.il/APPS/legislation/main/bills/2206646", "הצעת חוק חינוך ממלכתי (תיקון - חינוך לשוויון מגדרי), התשפ""ג-2023")</f>
        <v>8539</v>
      </c>
      <c r="E4011" t="s">
        <v>8539</v>
      </c>
      <c r="F4011" t="s">
        <v>8540</v>
      </c>
      <c r="G4011" t="s">
        <v>14</v>
      </c>
      <c r="H4011">
             </c>
      <c r="I4011" t="s">
        <v>14</v>
      </c>
      <c r="J4011" t="s">
        <v>242</v>
      </c>
      <c r="K4011" t="s">
        <v>14</v>
      </c>
      <c r="L4011" t="s">
        <v>20</v>
      </c>
      <c r="M4011" t="s">
        <v>8510</v>
      </c>
      <c r="N4011" t="s">
        <v>14</v>
      </c>
    </row>
    <row r="4012" x14ac:dyDescent="0.25">
      <c r="A4012" t="n">
        <v>25</v>
      </c>
      <c r="B4012" t="s">
        <v>14</v>
      </c>
      <c r="C4012" t="s">
        <v>51</v>
      </c>
      <c r="D4012" s="2" t="s">
        <f>=HYPERLINK("https://main.knesset.gov.il/APPS/legislation/main/bills/2207569", "הצעת חוק לתיקון פקודת מס הכנסה (שווי שימוש ברכב), התשפ""ג-2023")</f>
        <v>8541</v>
      </c>
      <c r="E4012" t="s">
        <v>8541</v>
      </c>
      <c r="F4012" t="s">
        <v>8542</v>
      </c>
      <c r="G4012" t="s">
        <v>14</v>
      </c>
      <c r="H4012">
             </c>
      <c r="I4012" t="s">
        <v>14</v>
      </c>
      <c r="J4012" t="s">
        <v>242</v>
      </c>
      <c r="K4012" t="s">
        <v>14</v>
      </c>
      <c r="L4012" t="s">
        <v>20</v>
      </c>
      <c r="M4012" t="s">
        <v>8510</v>
      </c>
      <c r="N4012" t="s">
        <v>14</v>
      </c>
    </row>
    <row r="4013" x14ac:dyDescent="0.25">
      <c r="A4013" t="n">
        <v>25</v>
      </c>
      <c r="B4013" t="s">
        <v>14</v>
      </c>
      <c r="C4013" t="s">
        <v>51</v>
      </c>
      <c r="D4013" s="2" t="s">
        <f>=HYPERLINK("https://main.knesset.gov.il/APPS/legislation/main/bills/2207845", "הצעת חוק חישוב דרגת הזכאות של מורה להשתתפות המדינה בדמי ההחזקה לילד במעונות יום ובמשפחתונים, התשפ""ג-2023")</f>
        <v>8543</v>
      </c>
      <c r="E4013" t="s">
        <v>8543</v>
      </c>
      <c r="F4013" t="s">
        <v>8544</v>
      </c>
      <c r="G4013" t="s">
        <v>14</v>
      </c>
      <c r="H4013">
             </c>
      <c r="I4013" t="s">
        <v>14</v>
      </c>
      <c r="J4013" t="s">
        <v>242</v>
      </c>
      <c r="K4013" t="s">
        <v>14</v>
      </c>
      <c r="L4013" t="s">
        <v>20</v>
      </c>
      <c r="M4013" t="s">
        <v>8510</v>
      </c>
      <c r="N4013" t="s">
        <v>14</v>
      </c>
    </row>
    <row r="4014" x14ac:dyDescent="0.25">
      <c r="A4014" t="n">
        <v>25</v>
      </c>
      <c r="B4014" t="s">
        <v>14</v>
      </c>
      <c r="C4014" t="s">
        <v>51</v>
      </c>
      <c r="D4014" s="2" t="s">
        <f>=HYPERLINK("https://main.knesset.gov.il/APPS/legislation/main/bills/2206779", "הצעת חוק יום הדמוקרטיה, התשפ""ג-2023")</f>
        <v>8545</v>
      </c>
      <c r="E4014" t="s">
        <v>8545</v>
      </c>
      <c r="F4014" t="s">
        <v>8546</v>
      </c>
      <c r="G4014" t="s">
        <v>14</v>
      </c>
      <c r="H4014">
             </c>
      <c r="I4014" t="s">
        <v>14</v>
      </c>
      <c r="J4014" t="s">
        <v>242</v>
      </c>
      <c r="K4014" t="s">
        <v>14</v>
      </c>
      <c r="L4014" t="s">
        <v>20</v>
      </c>
      <c r="M4014" t="s">
        <v>8510</v>
      </c>
      <c r="N4014" t="s">
        <v>14</v>
      </c>
    </row>
    <row r="4015" x14ac:dyDescent="0.25">
      <c r="A4015" t="n">
        <v>25</v>
      </c>
      <c r="B4015" t="s">
        <v>14</v>
      </c>
      <c r="C4015" t="s">
        <v>51</v>
      </c>
      <c r="D4015" s="2" t="s">
        <f>=HYPERLINK("https://main.knesset.gov.il/APPS/legislation/main/bills/2207910", "הצעת חוק החברות הממשלתיות (תיקון - הגדרת זיקה אישית או פוליטית), התשפ""ג-2023")</f>
        <v>8547</v>
      </c>
      <c r="E4015" t="s">
        <v>8547</v>
      </c>
      <c r="F4015" t="s">
        <v>8548</v>
      </c>
      <c r="G4015" t="s">
        <v>14</v>
      </c>
      <c r="H4015">
             </c>
      <c r="I4015" t="s">
        <v>14</v>
      </c>
      <c r="J4015" t="s">
        <v>242</v>
      </c>
      <c r="K4015" t="s">
        <v>14</v>
      </c>
      <c r="L4015" t="s">
        <v>20</v>
      </c>
      <c r="M4015" t="s">
        <v>8510</v>
      </c>
      <c r="N4015" t="s">
        <v>14</v>
      </c>
    </row>
    <row r="4016" x14ac:dyDescent="0.25">
      <c r="A4016" t="n">
        <v>25</v>
      </c>
      <c r="B4016" t="s">
        <v>14</v>
      </c>
      <c r="C4016" t="s">
        <v>51</v>
      </c>
      <c r="D4016" s="2" t="s">
        <f>=HYPERLINK("https://main.knesset.gov.il/APPS/legislation/main/bills/2208586", "הצעת חוק יישוב סכסוכי עבודה (תיקון - בוררות חובה במערכת החינוך), התשפ""ג-2023")</f>
        <v>8549</v>
      </c>
      <c r="E4016" t="s">
        <v>8549</v>
      </c>
      <c r="F4016" t="s">
        <v>8550</v>
      </c>
      <c r="G4016" t="s">
        <v>14</v>
      </c>
      <c r="H4016">
             </c>
      <c r="I4016" t="s">
        <v>14</v>
      </c>
      <c r="J4016" t="s">
        <v>242</v>
      </c>
      <c r="K4016" t="s">
        <v>14</v>
      </c>
      <c r="L4016" t="s">
        <v>20</v>
      </c>
      <c r="M4016" t="s">
        <v>8510</v>
      </c>
      <c r="N4016" t="s">
        <v>14</v>
      </c>
    </row>
    <row r="4017" x14ac:dyDescent="0.25">
      <c r="A4017" t="n">
        <v>25</v>
      </c>
      <c r="B4017" t="s">
        <v>14</v>
      </c>
      <c r="C4017" t="s">
        <v>51</v>
      </c>
      <c r="D4017" s="2" t="s">
        <f>=HYPERLINK("https://main.knesset.gov.il/APPS/legislation/main/bills/2207909", "הצעת חוק לתיקון פקודת בריאות העם (שינוי הוראת התקנת מצלמות לשם הגנה על מאושפזים בבית חולים גריאטרי), התשפ""ג-2023")</f>
        <v>8204</v>
      </c>
      <c r="E4017" t="s">
        <v>8204</v>
      </c>
      <c r="F4017" t="s">
        <v>8551</v>
      </c>
      <c r="G4017" t="s">
        <v>14</v>
      </c>
      <c r="H4017">
             </c>
      <c r="I4017" t="s">
        <v>14</v>
      </c>
      <c r="J4017" t="s">
        <v>242</v>
      </c>
      <c r="K4017" t="s">
        <v>14</v>
      </c>
      <c r="L4017" t="s">
        <v>20</v>
      </c>
      <c r="M4017" t="s">
        <v>8510</v>
      </c>
      <c r="N4017" t="s">
        <v>14</v>
      </c>
    </row>
    <row r="4018" x14ac:dyDescent="0.25">
      <c r="A4018" t="n">
        <v>25</v>
      </c>
      <c r="B4018" t="s">
        <v>14</v>
      </c>
      <c r="C4018" t="s">
        <v>51</v>
      </c>
      <c r="D4018" s="2" t="s">
        <f>=HYPERLINK("https://main.knesset.gov.il/APPS/legislation/main/bills/2208593", "הצעת חוק הביטוח הלאומי (תיקון - הקמת מצבה לאדם ערירי), התשפ""ג-2023")</f>
        <v>8552</v>
      </c>
      <c r="E4018" t="s">
        <v>8552</v>
      </c>
      <c r="F4018" t="s">
        <v>8553</v>
      </c>
      <c r="G4018" t="s">
        <v>14</v>
      </c>
      <c r="H4018">
             </c>
      <c r="I4018" t="s">
        <v>14</v>
      </c>
      <c r="J4018" t="s">
        <v>242</v>
      </c>
      <c r="K4018" t="s">
        <v>14</v>
      </c>
      <c r="L4018" t="s">
        <v>20</v>
      </c>
      <c r="M4018" t="s">
        <v>8510</v>
      </c>
      <c r="N4018" t="s">
        <v>14</v>
      </c>
    </row>
    <row r="4019" x14ac:dyDescent="0.25">
      <c r="A4019" t="n">
        <v>25</v>
      </c>
      <c r="B4019" t="s">
        <v>14</v>
      </c>
      <c r="C4019" t="s">
        <v>51</v>
      </c>
      <c r="D4019" s="2" t="s">
        <f>=HYPERLINK("https://main.knesset.gov.il/APPS/legislation/main/bills/2208649", "הצעת חוק הכשרות לאנשי מקצוע בנושא זיהוי ודיווח על התעללות בילדים, התשפ""ג-2023")</f>
        <v>8191</v>
      </c>
      <c r="E4019" t="s">
        <v>8191</v>
      </c>
      <c r="F4019" t="s">
        <v>8554</v>
      </c>
      <c r="G4019" t="s">
        <v>14</v>
      </c>
      <c r="H4019">
             </c>
      <c r="I4019" t="s">
        <v>14</v>
      </c>
      <c r="J4019" t="s">
        <v>242</v>
      </c>
      <c r="K4019" t="s">
        <v>14</v>
      </c>
      <c r="L4019" t="s">
        <v>20</v>
      </c>
      <c r="M4019" t="s">
        <v>8510</v>
      </c>
      <c r="N4019" t="s">
        <v>14</v>
      </c>
    </row>
    <row r="4020" x14ac:dyDescent="0.25">
      <c r="A4020" t="n">
        <v>25</v>
      </c>
      <c r="B4020" t="s">
        <v>14</v>
      </c>
      <c r="C4020" t="s">
        <v>51</v>
      </c>
      <c r="D4020" s="2" t="s">
        <f>=HYPERLINK("https://main.knesset.gov.il/APPS/legislation/main/bills/2208575", "הצעת חוק הביטוח הלאומי (תיקון - מימון הסעת יולדת באמבולנס), התשפ""ג-2023")</f>
        <v>8245</v>
      </c>
      <c r="E4020" t="s">
        <v>8245</v>
      </c>
      <c r="F4020" t="s">
        <v>8555</v>
      </c>
      <c r="G4020" t="s">
        <v>14</v>
      </c>
      <c r="H4020">
             </c>
      <c r="I4020" t="s">
        <v>14</v>
      </c>
      <c r="J4020" t="s">
        <v>242</v>
      </c>
      <c r="K4020" t="s">
        <v>14</v>
      </c>
      <c r="L4020" t="s">
        <v>20</v>
      </c>
      <c r="M4020" t="s">
        <v>8510</v>
      </c>
      <c r="N4020" t="s">
        <v>14</v>
      </c>
    </row>
    <row r="4021" x14ac:dyDescent="0.25">
      <c r="A4021" t="n">
        <v>25</v>
      </c>
      <c r="B4021" t="s">
        <v>14</v>
      </c>
      <c r="C4021" t="s">
        <v>51</v>
      </c>
      <c r="D4021" s="2" t="s">
        <f>=HYPERLINK("https://main.knesset.gov.il/APPS/legislation/main/bills/2208594", "הצעת חוק שוויון זכויות לאנשים עם מוגבלות (תיקון - חובת הנגשת אוטובוסים בין-עירוניים), התשפ""ג-2023")</f>
        <v>8556</v>
      </c>
      <c r="E4021" t="s">
        <v>8556</v>
      </c>
      <c r="F4021" t="s">
        <v>8557</v>
      </c>
      <c r="G4021" t="s">
        <v>14</v>
      </c>
      <c r="H4021">
             </c>
      <c r="I4021" t="s">
        <v>14</v>
      </c>
      <c r="J4021" t="s">
        <v>242</v>
      </c>
      <c r="K4021" t="s">
        <v>14</v>
      </c>
      <c r="L4021" t="s">
        <v>20</v>
      </c>
      <c r="M4021" t="s">
        <v>8510</v>
      </c>
      <c r="N4021" t="s">
        <v>14</v>
      </c>
    </row>
    <row r="4022" x14ac:dyDescent="0.25">
      <c r="A4022" t="n">
        <v>25</v>
      </c>
      <c r="B4022" t="s">
        <v>14</v>
      </c>
      <c r="C4022" t="s">
        <v>51</v>
      </c>
      <c r="D4022" s="2" t="s">
        <f>=HYPERLINK("https://main.knesset.gov.il/APPS/legislation/main/bills/2199159", "הצעת חוק דמי מחלה (היעדרות בשל מחלת הורה) (תיקון - בני משפחה מטפלים), התשפ""ג-2023")</f>
        <v>8558</v>
      </c>
      <c r="E4022" t="s">
        <v>8558</v>
      </c>
      <c r="F4022" t="s">
        <v>8559</v>
      </c>
      <c r="G4022" t="s">
        <v>14</v>
      </c>
      <c r="H4022">
             </c>
      <c r="I4022" t="s">
        <v>14</v>
      </c>
      <c r="J4022" t="s">
        <v>202</v>
      </c>
      <c r="K4022" t="s">
        <v>14</v>
      </c>
      <c r="L4022" t="s">
        <v>20</v>
      </c>
      <c r="M4022" t="s">
        <v>8510</v>
      </c>
      <c r="N4022" t="s">
        <v>14</v>
      </c>
    </row>
    <row r="4023" x14ac:dyDescent="0.25">
      <c r="A4023" t="n">
        <v>25</v>
      </c>
      <c r="B4023" t="s">
        <v>14</v>
      </c>
      <c r="C4023" t="s">
        <v>51</v>
      </c>
      <c r="D4023" s="2" t="s">
        <f>=HYPERLINK("https://main.knesset.gov.il/APPS/legislation/main/bills/2208794", "הצעת חוק בתי המשפט (תיקון - תקופת צינון לפני מינוי), התשפ""ג-2023")</f>
        <v>8560</v>
      </c>
      <c r="E4023" t="s">
        <v>8560</v>
      </c>
      <c r="F4023" t="s">
        <v>8561</v>
      </c>
      <c r="G4023" t="s">
        <v>14</v>
      </c>
      <c r="H4023">
             </c>
      <c r="I4023" t="s">
        <v>14</v>
      </c>
      <c r="J4023" t="s">
        <v>242</v>
      </c>
      <c r="K4023" t="s">
        <v>14</v>
      </c>
      <c r="L4023" t="s">
        <v>20</v>
      </c>
      <c r="M4023" t="s">
        <v>8510</v>
      </c>
      <c r="N4023" t="s">
        <v>14</v>
      </c>
    </row>
    <row r="4024" x14ac:dyDescent="0.25">
      <c r="A4024" t="n">
        <v>25</v>
      </c>
      <c r="B4024" t="s">
        <v>14</v>
      </c>
      <c r="C4024" t="s">
        <v>51</v>
      </c>
      <c r="D4024" s="2" t="s">
        <f>=HYPERLINK("https://main.knesset.gov.il/APPS/legislation/main/bills/2207333", "הצעת חוק עיטור ההדר, התשפ""ג-2023")</f>
        <v>8562</v>
      </c>
      <c r="E4024" t="s">
        <v>8562</v>
      </c>
      <c r="F4024" t="s">
        <v>8563</v>
      </c>
      <c r="G4024" t="s">
        <v>14</v>
      </c>
      <c r="H4024">
             </c>
      <c r="I4024" t="s">
        <v>14</v>
      </c>
      <c r="J4024" t="s">
        <v>242</v>
      </c>
      <c r="K4024" t="s">
        <v>14</v>
      </c>
      <c r="L4024" t="s">
        <v>20</v>
      </c>
      <c r="M4024" t="s">
        <v>8510</v>
      </c>
      <c r="N4024" t="s">
        <v>14</v>
      </c>
    </row>
    <row r="4025" x14ac:dyDescent="0.25">
      <c r="A4025" t="n">
        <v>25</v>
      </c>
      <c r="B4025" t="s">
        <v>14</v>
      </c>
      <c r="C4025" t="s">
        <v>51</v>
      </c>
      <c r="D4025" s="2" t="s">
        <f>=HYPERLINK("https://main.knesset.gov.il/APPS/legislation/main/bills/2207529", "הצעת חוק לתיקון פקודת בריאות העם (שינוי הוראות התקנת מצלמות לשם הגנה על מאושפזים בבית חולים גריאטרי), התשפ""ג-2023")</f>
        <v>8564</v>
      </c>
      <c r="E4025" t="s">
        <v>8564</v>
      </c>
      <c r="F4025" t="s">
        <v>8565</v>
      </c>
      <c r="G4025" t="s">
        <v>14</v>
      </c>
      <c r="H4025">
             </c>
      <c r="I4025" t="s">
        <v>14</v>
      </c>
      <c r="J4025" t="s">
        <v>242</v>
      </c>
      <c r="K4025" t="s">
        <v>14</v>
      </c>
      <c r="L4025" t="s">
        <v>20</v>
      </c>
      <c r="M4025" t="s">
        <v>8510</v>
      </c>
      <c r="N4025" t="s">
        <v>14</v>
      </c>
    </row>
    <row r="4026" x14ac:dyDescent="0.25">
      <c r="A4026" t="n">
        <v>25</v>
      </c>
      <c r="B4026" t="s">
        <v>14</v>
      </c>
      <c r="C4026" t="s">
        <v>51</v>
      </c>
      <c r="D4026" s="2" t="s">
        <f>=HYPERLINK("https://main.knesset.gov.il/APPS/legislation/main/bills/2207559", "הצעת חוק החלת הריבונות הישראלית על בקעת הירדן רבתי, התשפ""ג-2023")</f>
        <v>8566</v>
      </c>
      <c r="E4026" t="s">
        <v>8566</v>
      </c>
      <c r="F4026" t="s">
        <v>8567</v>
      </c>
      <c r="G4026" t="s">
        <v>14</v>
      </c>
      <c r="H4026">
             </c>
      <c r="I4026" t="s">
        <v>14</v>
      </c>
      <c r="J4026" t="s">
        <v>242</v>
      </c>
      <c r="K4026" t="s">
        <v>14</v>
      </c>
      <c r="L4026" t="s">
        <v>20</v>
      </c>
      <c r="M4026" t="s">
        <v>8510</v>
      </c>
      <c r="N4026" t="s">
        <v>14</v>
      </c>
    </row>
    <row r="4027" x14ac:dyDescent="0.25">
      <c r="A4027" t="n">
        <v>25</v>
      </c>
      <c r="B4027" t="s">
        <v>14</v>
      </c>
      <c r="C4027" t="s">
        <v>51</v>
      </c>
      <c r="D4027" s="2" t="s">
        <f>=HYPERLINK("https://main.knesset.gov.il/APPS/legislation/main/bills/2208284", "הצעת חוק מיסוי רווחי יתר של תאגידים בנקאיים, התשפ""ג-2023")</f>
        <v>8568</v>
      </c>
      <c r="E4027" t="s">
        <v>8568</v>
      </c>
      <c r="F4027" t="s">
        <v>8569</v>
      </c>
      <c r="G4027" t="s">
        <v>14</v>
      </c>
      <c r="H4027">
             </c>
      <c r="I4027" t="s">
        <v>14</v>
      </c>
      <c r="J4027" t="s">
        <v>242</v>
      </c>
      <c r="K4027" t="s">
        <v>14</v>
      </c>
      <c r="L4027" t="s">
        <v>20</v>
      </c>
      <c r="M4027" t="s">
        <v>8510</v>
      </c>
      <c r="N4027" t="s">
        <v>14</v>
      </c>
    </row>
    <row r="4028" x14ac:dyDescent="0.25">
      <c r="A4028" t="n">
        <v>25</v>
      </c>
      <c r="B4028" t="s">
        <v>14</v>
      </c>
      <c r="C4028" t="s">
        <v>51</v>
      </c>
      <c r="D4028" s="2" t="s">
        <f>=HYPERLINK("https://main.knesset.gov.il/APPS/legislation/main/bills/2207652", "הצעת חוק לתיקון פקודת המשטרה (הפגנה ליד בתי מגורים), התשפ""ג-2023")</f>
        <v>8570</v>
      </c>
      <c r="E4028" t="s">
        <v>8570</v>
      </c>
      <c r="F4028" t="s">
        <v>8571</v>
      </c>
      <c r="G4028" t="s">
        <v>14</v>
      </c>
      <c r="H4028">
             </c>
      <c r="I4028" t="s">
        <v>14</v>
      </c>
      <c r="J4028" t="s">
        <v>242</v>
      </c>
      <c r="K4028" t="s">
        <v>14</v>
      </c>
      <c r="L4028" t="s">
        <v>20</v>
      </c>
      <c r="M4028" t="s">
        <v>8510</v>
      </c>
      <c r="N4028" t="s">
        <v>14</v>
      </c>
    </row>
    <row r="4029" x14ac:dyDescent="0.25">
      <c r="A4029" t="n">
        <v>25</v>
      </c>
      <c r="B4029" t="s">
        <v>14</v>
      </c>
      <c r="C4029" t="s">
        <v>51</v>
      </c>
      <c r="D4029" s="2" t="s">
        <f>=HYPERLINK("https://main.knesset.gov.il/APPS/legislation/main/bills/2207662", "הצעת חוק קידום תעשיות עתירות ידע בצפון ובדרום, התשפ""ג-2023")</f>
        <v>8572</v>
      </c>
      <c r="E4029" t="s">
        <v>8572</v>
      </c>
      <c r="F4029" t="s">
        <v>8573</v>
      </c>
      <c r="G4029" t="s">
        <v>14</v>
      </c>
      <c r="H4029">
             </c>
      <c r="I4029" t="s">
        <v>14</v>
      </c>
      <c r="J4029" t="s">
        <v>242</v>
      </c>
      <c r="K4029" t="s">
        <v>14</v>
      </c>
      <c r="L4029" t="s">
        <v>20</v>
      </c>
      <c r="M4029" t="s">
        <v>8510</v>
      </c>
      <c r="N4029" t="s">
        <v>14</v>
      </c>
    </row>
    <row r="4030" x14ac:dyDescent="0.25">
      <c r="A4030" t="n">
        <v>25</v>
      </c>
      <c r="B4030" t="s">
        <v>14</v>
      </c>
      <c r="C4030" t="s">
        <v>51</v>
      </c>
      <c r="D4030" s="2" t="s">
        <f>=HYPERLINK("https://main.knesset.gov.il/APPS/legislation/main/bills/2203943", "הצעת חוק לתיקון פקודת מס הכנסה (משיכה מקרן השתלמות לרכישת דירה ראשונה), התשפ""ג-2023")</f>
        <v>8574</v>
      </c>
      <c r="E4030" t="s">
        <v>8574</v>
      </c>
      <c r="F4030" t="s">
        <v>8575</v>
      </c>
      <c r="G4030" t="s">
        <v>14</v>
      </c>
      <c r="H4030">
             </c>
      <c r="I4030" t="s">
        <v>14</v>
      </c>
      <c r="J4030" t="s">
        <v>242</v>
      </c>
      <c r="K4030" t="s">
        <v>14</v>
      </c>
      <c r="L4030" t="s">
        <v>20</v>
      </c>
      <c r="M4030" t="s">
        <v>8510</v>
      </c>
      <c r="N4030" t="s">
        <v>14</v>
      </c>
    </row>
    <row r="4031" x14ac:dyDescent="0.25">
      <c r="A4031" t="n">
        <v>25</v>
      </c>
      <c r="B4031" t="s">
        <v>14</v>
      </c>
      <c r="C4031" t="s">
        <v>51</v>
      </c>
      <c r="D4031" s="2" t="s">
        <f>=HYPERLINK("https://main.knesset.gov.il/APPS/legislation/main/bills/2208043", "הצעת חוק לתיקון פקודת מס הכנסה (משיכה מקרן השתלמות לרכישת דירה ראשונה), התשפ""ג-2023")</f>
        <v>8574</v>
      </c>
      <c r="E4031" t="s">
        <v>8574</v>
      </c>
      <c r="F4031" t="s">
        <v>8576</v>
      </c>
      <c r="G4031" t="s">
        <v>14</v>
      </c>
      <c r="H4031">
             </c>
      <c r="I4031" t="s">
        <v>14</v>
      </c>
      <c r="J4031" t="s">
        <v>242</v>
      </c>
      <c r="K4031" t="s">
        <v>14</v>
      </c>
      <c r="L4031" t="s">
        <v>20</v>
      </c>
      <c r="M4031" t="s">
        <v>8510</v>
      </c>
      <c r="N4031" t="s">
        <v>14</v>
      </c>
    </row>
    <row r="4032" x14ac:dyDescent="0.25">
      <c r="A4032" t="n">
        <v>25</v>
      </c>
      <c r="B4032" t="s">
        <v>14</v>
      </c>
      <c r="C4032" t="s">
        <v>51</v>
      </c>
      <c r="D4032" s="2" t="s">
        <f>=HYPERLINK("https://main.knesset.gov.il/APPS/legislation/main/bills/2208591", "הצעת חוק מס ערך מוסף (תיקון - מס בשיעור אפס על תרופות), התשפ""ג-2023")</f>
        <v>8233</v>
      </c>
      <c r="E4032" t="s">
        <v>8233</v>
      </c>
      <c r="F4032" t="s">
        <v>8577</v>
      </c>
      <c r="G4032" t="s">
        <v>14</v>
      </c>
      <c r="H4032">
             </c>
      <c r="I4032" t="s">
        <v>14</v>
      </c>
      <c r="J4032" t="s">
        <v>242</v>
      </c>
      <c r="K4032" t="s">
        <v>14</v>
      </c>
      <c r="L4032" t="s">
        <v>20</v>
      </c>
      <c r="M4032" t="s">
        <v>8510</v>
      </c>
      <c r="N4032" t="s">
        <v>14</v>
      </c>
    </row>
    <row r="4033" x14ac:dyDescent="0.25">
      <c r="A4033" t="n">
        <v>25</v>
      </c>
      <c r="B4033" t="s">
        <v>14</v>
      </c>
      <c r="C4033" t="s">
        <v>51</v>
      </c>
      <c r="D4033" s="2" t="s">
        <f>=HYPERLINK("https://main.knesset.gov.il/APPS/legislation/main/bills/2208555", "הצעת חוק לתיקון פקודת מס הכנסה (הטבות במס ליישוב מאוים באזור), התשפ""ג-2023")</f>
        <v>8578</v>
      </c>
      <c r="E4033" t="s">
        <v>8578</v>
      </c>
      <c r="F4033" t="s">
        <v>8579</v>
      </c>
      <c r="G4033" t="s">
        <v>14</v>
      </c>
      <c r="H4033">
             </c>
      <c r="I4033" t="s">
        <v>14</v>
      </c>
      <c r="J4033" t="s">
        <v>242</v>
      </c>
      <c r="K4033" t="s">
        <v>14</v>
      </c>
      <c r="L4033" t="s">
        <v>20</v>
      </c>
      <c r="M4033" t="s">
        <v>8510</v>
      </c>
      <c r="N4033" t="s">
        <v>14</v>
      </c>
    </row>
    <row r="4034" x14ac:dyDescent="0.25">
      <c r="A4034" t="n">
        <v>25</v>
      </c>
      <c r="B4034" t="s">
        <v>14</v>
      </c>
      <c r="C4034" t="s">
        <v>51</v>
      </c>
      <c r="D4034" s="2" t="s">
        <f>=HYPERLINK("https://main.knesset.gov.il/APPS/legislation/main/bills/2208009", "הצעת חוק זכויות הדייר בדיור הציבורי (תיקון - עיגון זכויות דייר ממשיך בדיור הציבורי), התשפ""ג-2023")</f>
        <v>8580</v>
      </c>
      <c r="E4034" t="s">
        <v>8580</v>
      </c>
      <c r="F4034" t="s">
        <v>8581</v>
      </c>
      <c r="G4034" t="s">
        <v>14</v>
      </c>
      <c r="H4034">
             </c>
      <c r="I4034" t="s">
        <v>14</v>
      </c>
      <c r="J4034" t="s">
        <v>242</v>
      </c>
      <c r="K4034" t="s">
        <v>14</v>
      </c>
      <c r="L4034" t="s">
        <v>20</v>
      </c>
      <c r="M4034" t="s">
        <v>8510</v>
      </c>
      <c r="N4034" t="s">
        <v>14</v>
      </c>
    </row>
    <row r="4035" x14ac:dyDescent="0.25">
      <c r="A4035" t="n">
        <v>25</v>
      </c>
      <c r="B4035" t="s">
        <v>14</v>
      </c>
      <c r="C4035" t="s">
        <v>51</v>
      </c>
      <c r="D4035" s="2" t="s">
        <f>=HYPERLINK("https://main.knesset.gov.il/APPS/legislation/main/bills/2206741", "הצעת חוק הכרה בוותק של עולים, התשפ""ג-2023")</f>
        <v>8582</v>
      </c>
      <c r="E4035" t="s">
        <v>8582</v>
      </c>
      <c r="F4035" t="s">
        <v>8583</v>
      </c>
      <c r="G4035" t="s">
        <v>14</v>
      </c>
      <c r="H4035">
             </c>
      <c r="I4035" t="s">
        <v>14</v>
      </c>
      <c r="J4035" t="s">
        <v>242</v>
      </c>
      <c r="K4035" t="s">
        <v>14</v>
      </c>
      <c r="L4035" t="s">
        <v>20</v>
      </c>
      <c r="M4035" t="s">
        <v>8510</v>
      </c>
      <c r="N4035" t="s">
        <v>14</v>
      </c>
    </row>
    <row r="4036" x14ac:dyDescent="0.25">
      <c r="A4036" t="n">
        <v>25</v>
      </c>
      <c r="B4036" t="s">
        <v>14</v>
      </c>
      <c r="C4036" t="s">
        <v>51</v>
      </c>
      <c r="D4036" s="2" t="s">
        <f>=HYPERLINK("https://main.knesset.gov.il/APPS/legislation/main/bills/2197419", "הצעת חוק הסדרת העיסוק במקצועות הבריאות (תיקון - הסדרת מקצוע הרנטגנאות והדימות), התשפ""ג-2023")</f>
        <v>8584</v>
      </c>
      <c r="E4036" t="s">
        <v>8584</v>
      </c>
      <c r="F4036" t="s">
        <v>8585</v>
      </c>
      <c r="G4036" t="s">
        <v>14</v>
      </c>
      <c r="H4036">
             </c>
      <c r="I4036" t="s">
        <v>14</v>
      </c>
      <c r="J4036" t="s">
        <v>183</v>
      </c>
      <c r="K4036" t="s">
        <v>361</v>
      </c>
      <c r="L4036" t="s">
        <v>20</v>
      </c>
      <c r="M4036" t="s">
        <v>8586</v>
      </c>
      <c r="N4036" t="s">
        <v>14</v>
      </c>
    </row>
    <row r="4037" x14ac:dyDescent="0.25">
      <c r="A4037" t="n">
        <v>25</v>
      </c>
      <c r="B4037" t="s">
        <v>14</v>
      </c>
      <c r="C4037" t="s">
        <v>51</v>
      </c>
      <c r="D4037" s="2" t="s">
        <f>=HYPERLINK("https://main.knesset.gov.il/APPS/legislation/main/bills/2196694", "הצעת חוק הסדרת העיסוק במקצועות הבריאות (תיקון - הסדרת מקצוע הרנטגנאות והדימות), התשפ""ג-2022")</f>
        <v>8587</v>
      </c>
      <c r="E4037" t="s">
        <v>8587</v>
      </c>
      <c r="F4037" t="s">
        <v>8588</v>
      </c>
      <c r="G4037" t="s">
        <v>14</v>
      </c>
      <c r="H4037">
             </c>
      <c r="I4037" t="s">
        <v>14</v>
      </c>
      <c r="J4037" t="s">
        <v>183</v>
      </c>
      <c r="K4037" t="s">
        <v>361</v>
      </c>
      <c r="L4037" t="s">
        <v>20</v>
      </c>
      <c r="M4037" t="s">
        <v>8586</v>
      </c>
      <c r="N4037" t="s">
        <v>14</v>
      </c>
    </row>
    <row r="4038" x14ac:dyDescent="0.25">
      <c r="A4038" t="n">
        <v>25</v>
      </c>
      <c r="B4038" t="s">
        <v>14</v>
      </c>
      <c r="C4038" t="s">
        <v>51</v>
      </c>
      <c r="D4038" s="2" t="s">
        <f>=HYPERLINK("https://main.knesset.gov.il/APPS/legislation/main/bills/2197232", "הצעת חוק הסדרת העיסוק במקצועות הטיפול הרפואי, התשפ""ג-2022")</f>
        <v>8589</v>
      </c>
      <c r="E4038" t="s">
        <v>8589</v>
      </c>
      <c r="F4038" t="s">
        <v>8590</v>
      </c>
      <c r="G4038" t="s">
        <v>14</v>
      </c>
      <c r="H4038">
             </c>
      <c r="I4038" t="s">
        <v>14</v>
      </c>
      <c r="J4038" t="s">
        <v>183</v>
      </c>
      <c r="K4038" t="s">
        <v>361</v>
      </c>
      <c r="L4038" t="s">
        <v>20</v>
      </c>
      <c r="M4038" t="s">
        <v>8591</v>
      </c>
      <c r="N4038" t="s">
        <v>14</v>
      </c>
    </row>
    <row r="4039" x14ac:dyDescent="0.25">
      <c r="A4039" t="n">
        <v>25</v>
      </c>
      <c r="B4039" t="s">
        <v>14</v>
      </c>
      <c r="C4039" t="s">
        <v>51</v>
      </c>
      <c r="D4039" s="2" t="s">
        <f>=HYPERLINK("https://main.knesset.gov.il/APPS/legislation/main/bills/2196934", "חוק מבקר המדינה (תיקון מס' 50), התשפ''ג-2023")</f>
        <v>8592</v>
      </c>
      <c r="E4039" t="s">
        <v>8592</v>
      </c>
      <c r="F4039" t="s">
        <v>8593</v>
      </c>
      <c r="G4039" t="s">
        <v>8594</v>
      </c>
      <c r="H4039" t="n">
        <v>3064</v>
      </c>
      <c r="I4039" t="s">
        <v>14</v>
      </c>
      <c r="J4039" t="s">
        <v>18</v>
      </c>
      <c r="K4039" t="s">
        <v>8595</v>
      </c>
      <c r="L4039" t="s">
        <v>20</v>
      </c>
      <c r="M4039" t="s">
        <v>8591</v>
      </c>
      <c r="N4039" t="s">
        <v>8596</v>
      </c>
    </row>
    <row r="4040" x14ac:dyDescent="0.25">
      <c r="A4040" t="n">
        <v>25</v>
      </c>
      <c r="B4040" t="s">
        <v>14</v>
      </c>
      <c r="C4040" t="s">
        <v>51</v>
      </c>
      <c r="D4040" s="2" t="s">
        <f>=HYPERLINK("https://main.knesset.gov.il/APPS/legislation/main/bills/2204651", "הצעת חוק הרבנות הראשית לישראל (תיקון - הרכב האסיפה הבוחרת), התשפ""ג-2023")</f>
        <v>8597</v>
      </c>
      <c r="E4040" t="s">
        <v>8597</v>
      </c>
      <c r="F4040" t="s">
        <v>8598</v>
      </c>
      <c r="G4040" t="s">
        <v>14</v>
      </c>
      <c r="H4040">
             </c>
      <c r="I4040" t="s">
        <v>14</v>
      </c>
      <c r="J4040" t="s">
        <v>193</v>
      </c>
      <c r="K4040" t="s">
        <v>14</v>
      </c>
      <c r="L4040" t="s">
        <v>20</v>
      </c>
      <c r="M4040" t="s">
        <v>8591</v>
      </c>
      <c r="N4040" t="s">
        <v>14</v>
      </c>
    </row>
    <row r="4041" x14ac:dyDescent="0.25">
      <c r="A4041" t="n">
        <v>25</v>
      </c>
      <c r="B4041" t="s">
        <v>14</v>
      </c>
      <c r="C4041" t="s">
        <v>51</v>
      </c>
      <c r="D4041" s="2" t="s">
        <f>=HYPERLINK("https://main.knesset.gov.il/APPS/legislation/main/bills/2203424", "הצעת חוק המאבק בטרור (תיקון - פיצוי עונשי לנפגעי עבירה), התשפ""ג-2023")</f>
        <v>8599</v>
      </c>
      <c r="E4041" t="s">
        <v>8599</v>
      </c>
      <c r="F4041" t="s">
        <v>8600</v>
      </c>
      <c r="G4041" t="s">
        <v>14</v>
      </c>
      <c r="H4041">
             </c>
      <c r="I4041" t="s">
        <v>14</v>
      </c>
      <c r="J4041" t="s">
        <v>152</v>
      </c>
      <c r="K4041" t="s">
        <v>39</v>
      </c>
      <c r="L4041" t="s">
        <v>20</v>
      </c>
      <c r="M4041" t="s">
        <v>8591</v>
      </c>
      <c r="N4041" t="s">
        <v>14</v>
      </c>
    </row>
    <row r="4042" x14ac:dyDescent="0.25">
      <c r="A4042" t="n">
        <v>25</v>
      </c>
      <c r="B4042" t="s">
        <v>14</v>
      </c>
      <c r="C4042" t="s">
        <v>51</v>
      </c>
      <c r="D4042" s="2" t="s">
        <f>=HYPERLINK("https://main.knesset.gov.il/APPS/legislation/main/bills/2203614", "הצעת חוק שוברים להשלמת לימודי בסיס בחינוך הבלתי פורמלי, התשפ""ג-2023")</f>
        <v>8601</v>
      </c>
      <c r="E4042" t="s">
        <v>8601</v>
      </c>
      <c r="F4042" t="s">
        <v>8602</v>
      </c>
      <c r="G4042" t="s">
        <v>14</v>
      </c>
      <c r="H4042">
             </c>
      <c r="I4042" t="s">
        <v>14</v>
      </c>
      <c r="J4042" t="s">
        <v>193</v>
      </c>
      <c r="K4042" t="s">
        <v>14</v>
      </c>
      <c r="L4042" t="s">
        <v>20</v>
      </c>
      <c r="M4042" t="s">
        <v>8591</v>
      </c>
      <c r="N4042" t="s">
        <v>14</v>
      </c>
    </row>
    <row r="4043" x14ac:dyDescent="0.25">
      <c r="A4043" t="n">
        <v>25</v>
      </c>
      <c r="B4043" t="s">
        <v>14</v>
      </c>
      <c r="C4043" t="s">
        <v>51</v>
      </c>
      <c r="D4043" s="2" t="s">
        <f>=HYPERLINK("https://main.knesset.gov.il/APPS/legislation/main/bills/2202840", "הצעת חוק שלילת תקציב ממוסדות חינוך המלמדים את תוכנית הלימוד הפלסטינית הכוללים הסתה לטרור (תיקוני חקיקה), התשפ""ג-2023")</f>
        <v>8603</v>
      </c>
      <c r="E4043" t="s">
        <v>8603</v>
      </c>
      <c r="F4043" t="s">
        <v>8604</v>
      </c>
      <c r="G4043" t="s">
        <v>14</v>
      </c>
      <c r="H4043">
             </c>
      <c r="I4043" t="s">
        <v>14</v>
      </c>
      <c r="J4043" t="s">
        <v>152</v>
      </c>
      <c r="K4043" t="s">
        <v>79</v>
      </c>
      <c r="L4043" t="s">
        <v>20</v>
      </c>
      <c r="M4043" t="s">
        <v>8591</v>
      </c>
      <c r="N4043" t="s">
        <v>14</v>
      </c>
    </row>
    <row r="4044" x14ac:dyDescent="0.25">
      <c r="A4044" t="n">
        <v>25</v>
      </c>
      <c r="B4044" t="s">
        <v>14</v>
      </c>
      <c r="C4044" t="s">
        <v>51</v>
      </c>
      <c r="D4044" s="2" t="s">
        <f>=HYPERLINK("https://main.knesset.gov.il/APPS/legislation/main/bills/2200708", "הצעת חוק הרבנות הראשית לישראל (תיקון - רב ראשי אחד), התשפ""ג-2023")</f>
        <v>1338</v>
      </c>
      <c r="E4044" t="s">
        <v>1338</v>
      </c>
      <c r="F4044" t="s">
        <v>8605</v>
      </c>
      <c r="G4044" t="s">
        <v>14</v>
      </c>
      <c r="H4044">
             </c>
      <c r="I4044" t="s">
        <v>14</v>
      </c>
      <c r="J4044" t="s">
        <v>193</v>
      </c>
      <c r="K4044" t="s">
        <v>14</v>
      </c>
      <c r="L4044" t="s">
        <v>20</v>
      </c>
      <c r="M4044" t="s">
        <v>8591</v>
      </c>
      <c r="N4044" t="s">
        <v>14</v>
      </c>
    </row>
    <row r="4045" x14ac:dyDescent="0.25">
      <c r="A4045" t="n">
        <v>25</v>
      </c>
      <c r="B4045" t="s">
        <v>14</v>
      </c>
      <c r="C4045" t="s">
        <v>51</v>
      </c>
      <c r="D4045" s="2" t="s">
        <f>=HYPERLINK("https://main.knesset.gov.il/APPS/legislation/main/bills/2198980", "הצעת חוק נפגעי תאונות דרכים (סיוע לבני משפחה) (תיקון - הרחבת הסיוע), התשפ""ג-2023")</f>
        <v>8214</v>
      </c>
      <c r="E4045" t="s">
        <v>8214</v>
      </c>
      <c r="F4045" t="s">
        <v>8606</v>
      </c>
      <c r="G4045" t="s">
        <v>14</v>
      </c>
      <c r="H4045">
             </c>
      <c r="I4045" t="s">
        <v>14</v>
      </c>
      <c r="J4045" t="s">
        <v>193</v>
      </c>
      <c r="K4045" t="s">
        <v>14</v>
      </c>
      <c r="L4045" t="s">
        <v>20</v>
      </c>
      <c r="M4045" t="s">
        <v>8591</v>
      </c>
      <c r="N4045" t="s">
        <v>14</v>
      </c>
    </row>
    <row r="4046" x14ac:dyDescent="0.25">
      <c r="A4046" t="n">
        <v>25</v>
      </c>
      <c r="B4046" t="s">
        <v>14</v>
      </c>
      <c r="C4046" t="s">
        <v>51</v>
      </c>
      <c r="D4046" s="2" t="s">
        <f>=HYPERLINK("https://main.knesset.gov.il/APPS/legislation/main/bills/2198511", "הצעת חוק לתיקון פקודת התעבורה (פטור מתשלום אגרה לתאגיד השידור לאדם עם מוגבלות בשמיעה), התשפ""ג-2023")</f>
        <v>8607</v>
      </c>
      <c r="E4046" t="s">
        <v>8607</v>
      </c>
      <c r="F4046" t="s">
        <v>8608</v>
      </c>
      <c r="G4046" t="s">
        <v>14</v>
      </c>
      <c r="H4046">
             </c>
      <c r="I4046" t="s">
        <v>14</v>
      </c>
      <c r="J4046" t="s">
        <v>193</v>
      </c>
      <c r="K4046" t="s">
        <v>14</v>
      </c>
      <c r="L4046" t="s">
        <v>20</v>
      </c>
      <c r="M4046" t="s">
        <v>8591</v>
      </c>
      <c r="N4046" t="s">
        <v>14</v>
      </c>
    </row>
    <row r="4047" x14ac:dyDescent="0.25">
      <c r="A4047" t="n">
        <v>25</v>
      </c>
      <c r="B4047" t="s">
        <v>14</v>
      </c>
      <c r="C4047" t="s">
        <v>51</v>
      </c>
      <c r="D4047" s="2" t="s">
        <f>=HYPERLINK("https://main.knesset.gov.il/APPS/legislation/main/bills/2197680", "הצעת חוק לתיקון פקודת מס הכנסה (ניכוי תשלומים לביטוח בריאות לעצמאים), התשפ״ג-2022")</f>
        <v>8609</v>
      </c>
      <c r="E4047" t="s">
        <v>8609</v>
      </c>
      <c r="F4047" t="s">
        <v>8610</v>
      </c>
      <c r="G4047" t="s">
        <v>14</v>
      </c>
      <c r="H4047">
             </c>
      <c r="I4047" t="s">
        <v>14</v>
      </c>
      <c r="J4047" t="s">
        <v>193</v>
      </c>
      <c r="K4047" t="s">
        <v>14</v>
      </c>
      <c r="L4047" t="s">
        <v>20</v>
      </c>
      <c r="M4047" t="s">
        <v>8591</v>
      </c>
      <c r="N4047" t="s">
        <v>14</v>
      </c>
    </row>
    <row r="4048" x14ac:dyDescent="0.25">
      <c r="A4048" t="n">
        <v>25</v>
      </c>
      <c r="B4048" t="s">
        <v>14</v>
      </c>
      <c r="C4048" t="s">
        <v>51</v>
      </c>
      <c r="D4048" s="2" t="s">
        <f>=HYPERLINK("https://main.knesset.gov.il/APPS/legislation/main/bills/2196045", "הצעת חוק הרבנות הראשית לישראל (תיקון - ייצוג הציבור באסיפה הבוחרת), התשפ""ג-2022")</f>
        <v>8611</v>
      </c>
      <c r="E4048" t="s">
        <v>8611</v>
      </c>
      <c r="F4048" t="s">
        <v>8612</v>
      </c>
      <c r="G4048" t="s">
        <v>14</v>
      </c>
      <c r="H4048">
             </c>
      <c r="I4048" t="s">
        <v>14</v>
      </c>
      <c r="J4048" t="s">
        <v>193</v>
      </c>
      <c r="K4048" t="s">
        <v>14</v>
      </c>
      <c r="L4048" t="s">
        <v>20</v>
      </c>
      <c r="M4048" t="s">
        <v>8591</v>
      </c>
      <c r="N4048" t="s">
        <v>14</v>
      </c>
    </row>
    <row r="4049" x14ac:dyDescent="0.25">
      <c r="A4049" t="n">
        <v>25</v>
      </c>
      <c r="B4049" t="s">
        <v>14</v>
      </c>
      <c r="C4049" t="s">
        <v>51</v>
      </c>
      <c r="D4049" s="2" t="s">
        <f>=HYPERLINK("https://main.knesset.gov.il/APPS/legislation/main/bills/2195684", "הצעת חוק שוברים להשלמת לימודי בסיס בחינוך הבלתי פורמלי, התשפ""ג–2022")</f>
        <v>8613</v>
      </c>
      <c r="E4049" t="s">
        <v>8613</v>
      </c>
      <c r="F4049" t="s">
        <v>8614</v>
      </c>
      <c r="G4049" t="s">
        <v>14</v>
      </c>
      <c r="H4049">
             </c>
      <c r="I4049" t="s">
        <v>14</v>
      </c>
      <c r="J4049" t="s">
        <v>193</v>
      </c>
      <c r="K4049" t="s">
        <v>14</v>
      </c>
      <c r="L4049" t="s">
        <v>20</v>
      </c>
      <c r="M4049" t="s">
        <v>8591</v>
      </c>
      <c r="N4049" t="s">
        <v>14</v>
      </c>
    </row>
    <row r="4050" x14ac:dyDescent="0.25">
      <c r="A4050" t="n">
        <v>25</v>
      </c>
      <c r="B4050" t="s">
        <v>14</v>
      </c>
      <c r="C4050" t="s">
        <v>51</v>
      </c>
      <c r="D4050" s="2" t="s">
        <f>=HYPERLINK("https://main.knesset.gov.il/APPS/legislation/main/bills/2203743", "הצעת חוק התכנון והבנייה (תיקון - דחיית תשלום היטל השבחה אגב גירושין), התשפ""ג-2023")</f>
        <v>8615</v>
      </c>
      <c r="E4050" t="s">
        <v>8615</v>
      </c>
      <c r="F4050" t="s">
        <v>8616</v>
      </c>
      <c r="G4050" t="s">
        <v>14</v>
      </c>
      <c r="H4050">
             </c>
      <c r="I4050" t="s">
        <v>14</v>
      </c>
      <c r="J4050" t="s">
        <v>183</v>
      </c>
      <c r="K4050" t="s">
        <v>30</v>
      </c>
      <c r="L4050" t="s">
        <v>20</v>
      </c>
      <c r="M4050" t="s">
        <v>8617</v>
      </c>
      <c r="N4050" t="s">
        <v>14</v>
      </c>
    </row>
    <row r="4051" x14ac:dyDescent="0.25">
      <c r="A4051" t="n">
        <v>25</v>
      </c>
      <c r="B4051" t="s">
        <v>14</v>
      </c>
      <c r="C4051" t="s">
        <v>51</v>
      </c>
      <c r="D4051" s="2" t="s">
        <f>=HYPERLINK("https://main.knesset.gov.il/APPS/legislation/main/bills/2196216", "חוק מיסוי מקרקעין (שבח ורכישה) (תיקון מס' 103), התשפ""ג–2023")</f>
        <v>8618</v>
      </c>
      <c r="E4051" t="s">
        <v>8618</v>
      </c>
      <c r="F4051" t="s">
        <v>8619</v>
      </c>
      <c r="G4051" t="s">
        <v>8620</v>
      </c>
      <c r="H4051" t="n">
        <v>3063</v>
      </c>
      <c r="I4051" t="s">
        <v>14</v>
      </c>
      <c r="J4051" t="s">
        <v>18</v>
      </c>
      <c r="K4051" t="s">
        <v>24</v>
      </c>
      <c r="L4051" t="s">
        <v>20</v>
      </c>
      <c r="M4051" t="s">
        <v>8617</v>
      </c>
      <c r="N4051" t="s">
        <v>8621</v>
      </c>
    </row>
    <row r="4052" x14ac:dyDescent="0.25">
      <c r="A4052" t="n">
        <v>25</v>
      </c>
      <c r="B4052" t="s">
        <v>14</v>
      </c>
      <c r="C4052" t="s">
        <v>51</v>
      </c>
      <c r="D4052" s="2" t="s">
        <f>=HYPERLINK("https://main.knesset.gov.il/APPS/legislation/main/bills/2196572", "חוק חוזה הביטוח (תיקון מס' 12), התשפ""ג-2023")</f>
        <v>8622</v>
      </c>
      <c r="E4052" t="s">
        <v>8622</v>
      </c>
      <c r="F4052" t="s">
        <v>8623</v>
      </c>
      <c r="G4052" t="s">
        <v>8624</v>
      </c>
      <c r="H4052" t="n">
        <v>3062</v>
      </c>
      <c r="I4052" t="s">
        <v>14</v>
      </c>
      <c r="J4052" t="s">
        <v>18</v>
      </c>
      <c r="K4052" t="s">
        <v>27</v>
      </c>
      <c r="L4052" t="s">
        <v>20</v>
      </c>
      <c r="M4052" t="s">
        <v>8617</v>
      </c>
      <c r="N4052" t="s">
        <v>8625</v>
      </c>
    </row>
    <row r="4053" x14ac:dyDescent="0.25">
      <c r="A4053" t="n">
        <v>25</v>
      </c>
      <c r="B4053" t="s">
        <v>14</v>
      </c>
      <c r="C4053" t="s">
        <v>51</v>
      </c>
      <c r="D4053" s="2" t="s">
        <f>=HYPERLINK("https://main.knesset.gov.il/APPS/legislation/main/bills/2198020", "חוק התכנון והבנייה (תיקון מס' 145), התשפ""ג-2023")</f>
        <v>8626</v>
      </c>
      <c r="E4053" t="s">
        <v>8626</v>
      </c>
      <c r="F4053" t="s">
        <v>8627</v>
      </c>
      <c r="G4053" t="s">
        <v>8628</v>
      </c>
      <c r="H4053" t="n">
        <v>3061</v>
      </c>
      <c r="I4053" t="s">
        <v>14</v>
      </c>
      <c r="J4053" t="s">
        <v>18</v>
      </c>
      <c r="K4053" t="s">
        <v>30</v>
      </c>
      <c r="L4053" t="s">
        <v>20</v>
      </c>
      <c r="M4053" t="s">
        <v>8617</v>
      </c>
      <c r="N4053" t="s">
        <v>8629</v>
      </c>
    </row>
    <row r="4054" x14ac:dyDescent="0.25">
      <c r="A4054" t="n">
        <v>25</v>
      </c>
      <c r="B4054" t="s">
        <v>14</v>
      </c>
      <c r="C4054" t="s">
        <v>51</v>
      </c>
      <c r="D4054" s="2" t="s">
        <f>=HYPERLINK("https://main.knesset.gov.il/APPS/legislation/main/bills/2166248", "חוק ההוצאה לפועל (תיקון מס' 73), התשפ""ג-2023")</f>
        <v>8630</v>
      </c>
      <c r="E4054" t="s">
        <v>8630</v>
      </c>
      <c r="F4054" t="s">
        <v>8631</v>
      </c>
      <c r="G4054" t="s">
        <v>8632</v>
      </c>
      <c r="H4054" t="n">
        <v>3060</v>
      </c>
      <c r="I4054" t="s">
        <v>14</v>
      </c>
      <c r="J4054" t="s">
        <v>18</v>
      </c>
      <c r="K4054" t="s">
        <v>27</v>
      </c>
      <c r="L4054" t="s">
        <v>20</v>
      </c>
      <c r="M4054" t="s">
        <v>8617</v>
      </c>
      <c r="N4054" t="s">
        <v>8633</v>
      </c>
    </row>
    <row r="4055" x14ac:dyDescent="0.25">
      <c r="A4055" t="n">
        <v>25</v>
      </c>
      <c r="B4055" t="s">
        <v>14</v>
      </c>
      <c r="C4055" t="s">
        <v>51</v>
      </c>
      <c r="D4055" s="2" t="s">
        <f>=HYPERLINK("https://main.knesset.gov.il/APPS/legislation/main/bills/2197097", "חוק ההוצאה לפועל (תיקון מס' 74), התשפ""ג-2023")</f>
        <v>8634</v>
      </c>
      <c r="E4055" t="s">
        <v>8634</v>
      </c>
      <c r="F4055" t="s">
        <v>8635</v>
      </c>
      <c r="G4055" t="s">
        <v>8636</v>
      </c>
      <c r="H4055" t="n">
        <v>3060</v>
      </c>
      <c r="I4055" t="s">
        <v>14</v>
      </c>
      <c r="J4055" t="s">
        <v>18</v>
      </c>
      <c r="K4055" t="s">
        <v>46</v>
      </c>
      <c r="L4055" t="s">
        <v>20</v>
      </c>
      <c r="M4055" t="s">
        <v>8617</v>
      </c>
      <c r="N4055" t="s">
        <v>8637</v>
      </c>
    </row>
    <row r="4056" x14ac:dyDescent="0.25">
      <c r="A4056" t="n">
        <v>25</v>
      </c>
      <c r="B4056" t="s">
        <v>14</v>
      </c>
      <c r="C4056" t="s">
        <v>51</v>
      </c>
      <c r="D4056" s="2" t="s">
        <f>=HYPERLINK("https://main.knesset.gov.il/APPS/legislation/main/bills/2201623", "הצעת חוק התגמולים לנפגעי פעולות איבה (תיקון - זכאות לתגמולים ולפיצויים לפי חוק אחר), התשפ""ג-2023")</f>
        <v>8638</v>
      </c>
      <c r="E4056" t="s">
        <v>8638</v>
      </c>
      <c r="F4056" t="s">
        <v>8639</v>
      </c>
      <c r="G4056" t="s">
        <v>14</v>
      </c>
      <c r="H4056">
             </c>
      <c r="I4056" t="s">
        <v>14</v>
      </c>
      <c r="J4056" t="s">
        <v>183</v>
      </c>
      <c r="K4056" t="s">
        <v>46</v>
      </c>
      <c r="L4056" t="s">
        <v>20</v>
      </c>
      <c r="M4056" t="s">
        <v>8640</v>
      </c>
      <c r="N4056" t="s">
        <v>14</v>
      </c>
    </row>
    <row r="4057" x14ac:dyDescent="0.25">
      <c r="A4057" t="n">
        <v>25</v>
      </c>
      <c r="B4057" t="s">
        <v>14</v>
      </c>
      <c r="C4057" t="s">
        <v>51</v>
      </c>
      <c r="D4057" s="2" t="s">
        <f>=HYPERLINK("https://main.knesset.gov.il/APPS/legislation/main/bills/2202048", "הצעת חוק המאבק בטרור (תיקון - קנסות בגין הנפת דגל של ארגון טרור) (הוראת שעה), התשפ""ג-2023")</f>
        <v>8641</v>
      </c>
      <c r="E4057" t="s">
        <v>8641</v>
      </c>
      <c r="F4057" t="s">
        <v>8642</v>
      </c>
      <c r="G4057" t="s">
        <v>14</v>
      </c>
      <c r="H4057">
             </c>
      <c r="I4057" t="s">
        <v>14</v>
      </c>
      <c r="J4057" t="s">
        <v>152</v>
      </c>
      <c r="K4057" t="s">
        <v>27</v>
      </c>
      <c r="L4057" t="s">
        <v>20</v>
      </c>
      <c r="M4057" t="s">
        <v>8640</v>
      </c>
      <c r="N4057" t="s">
        <v>14</v>
      </c>
    </row>
    <row r="4058" x14ac:dyDescent="0.25">
      <c r="A4058" t="n">
        <v>25</v>
      </c>
      <c r="B4058" t="s">
        <v>14</v>
      </c>
      <c r="C4058" t="s">
        <v>51</v>
      </c>
      <c r="D4058" s="2" t="s">
        <f>=HYPERLINK("https://main.knesset.gov.il/APPS/legislation/main/bills/2204920", "הצעת חוק איסור פרסומת והגבלת השיווק של מוצרי טבק ועישון (תיקון - איסור על ייצור ושיווק של מוצר עישון בטעם או בריח מובחן), התשפ""ג-2023")</f>
        <v>8643</v>
      </c>
      <c r="E4058" t="s">
        <v>8643</v>
      </c>
      <c r="F4058" t="s">
        <v>8644</v>
      </c>
      <c r="G4058" t="s">
        <v>14</v>
      </c>
      <c r="H4058">
             </c>
      <c r="I4058" t="s">
        <v>14</v>
      </c>
      <c r="J4058" t="s">
        <v>152</v>
      </c>
      <c r="K4058" t="s">
        <v>84</v>
      </c>
      <c r="L4058" t="s">
        <v>20</v>
      </c>
      <c r="M4058" t="s">
        <v>8640</v>
      </c>
      <c r="N4058" t="s">
        <v>14</v>
      </c>
    </row>
    <row r="4059" x14ac:dyDescent="0.25">
      <c r="A4059" t="n">
        <v>25</v>
      </c>
      <c r="B4059" t="s">
        <v>14</v>
      </c>
      <c r="C4059" t="s">
        <v>51</v>
      </c>
      <c r="D4059" s="2" t="s">
        <f>=HYPERLINK("https://main.knesset.gov.il/APPS/legislation/main/bills/2204076", "הצעת חוק הבנקאות (רישוי) (תיקון - פיקוח פרלמנטרי על סגירת סניפים וצמצום שירותי בנק), התשפ""ג-2023")</f>
        <v>8645</v>
      </c>
      <c r="E4059" t="s">
        <v>8645</v>
      </c>
      <c r="F4059" t="s">
        <v>8646</v>
      </c>
      <c r="G4059" t="s">
        <v>14</v>
      </c>
      <c r="H4059">
             </c>
      <c r="I4059" t="s">
        <v>14</v>
      </c>
      <c r="J4059" t="s">
        <v>152</v>
      </c>
      <c r="K4059" t="s">
        <v>84</v>
      </c>
      <c r="L4059" t="s">
        <v>20</v>
      </c>
      <c r="M4059" t="s">
        <v>8640</v>
      </c>
      <c r="N4059" t="s">
        <v>14</v>
      </c>
    </row>
    <row r="4060" x14ac:dyDescent="0.25">
      <c r="A4060" t="n">
        <v>25</v>
      </c>
      <c r="B4060" t="s">
        <v>14</v>
      </c>
      <c r="C4060" t="s">
        <v>15</v>
      </c>
      <c r="D4060" s="2" t="s">
        <f>=HYPERLINK("https://main.knesset.gov.il/APPS/legislation/main/bills/2203894", "חוק לתיקון דיני הבחירות לרשויות המקומיות, התשפ""ג-2023")</f>
        <v>8647</v>
      </c>
      <c r="E4060" t="s">
        <v>8647</v>
      </c>
      <c r="F4060" t="s">
        <v>14</v>
      </c>
      <c r="G4060" t="s">
        <v>3434</v>
      </c>
      <c r="H4060" t="n">
        <v>3059</v>
      </c>
      <c r="I4060" t="s">
        <v>14</v>
      </c>
      <c r="J4060" t="s">
        <v>18</v>
      </c>
      <c r="K4060" t="s">
        <v>30</v>
      </c>
      <c r="L4060" t="s">
        <v>20</v>
      </c>
      <c r="M4060" t="s">
        <v>8640</v>
      </c>
      <c r="N4060" t="s">
        <v>8648</v>
      </c>
    </row>
    <row r="4061" x14ac:dyDescent="0.25">
      <c r="A4061" t="n">
        <v>25</v>
      </c>
      <c r="B4061" t="s">
        <v>14</v>
      </c>
      <c r="C4061" t="s">
        <v>51</v>
      </c>
      <c r="D4061" s="2" t="s">
        <f>=HYPERLINK("https://main.knesset.gov.il/APPS/legislation/main/bills/2199160", "הצעת חוק הגנת הצרכן (תיקון - מסירת מסמך עיקרי עסקה בשפה שבה נעשתה הפנייה השיווקית), התשפ""ג-2023")</f>
        <v>8649</v>
      </c>
      <c r="E4061" t="s">
        <v>8649</v>
      </c>
      <c r="F4061" t="s">
        <v>8650</v>
      </c>
      <c r="G4061" t="s">
        <v>14</v>
      </c>
      <c r="H4061">
             </c>
      <c r="I4061" t="s">
        <v>14</v>
      </c>
      <c r="J4061" t="s">
        <v>242</v>
      </c>
      <c r="K4061" t="s">
        <v>14</v>
      </c>
      <c r="L4061" t="s">
        <v>20</v>
      </c>
      <c r="M4061" t="s">
        <v>8640</v>
      </c>
      <c r="N4061" t="s">
        <v>14</v>
      </c>
    </row>
    <row r="4062" x14ac:dyDescent="0.25">
      <c r="A4062" t="n">
        <v>25</v>
      </c>
      <c r="B4062" t="s">
        <v>14</v>
      </c>
      <c r="C4062" t="s">
        <v>51</v>
      </c>
      <c r="D4062" s="2" t="s">
        <f>=HYPERLINK("https://main.knesset.gov.il/APPS/legislation/main/bills/2207854", "הצעת חוק הגנת הצרכן (תיקון - צירוף הוראות שימוש למוצרי חשמל בשפה העברית ובשפה הערבית), התשפ""ג-2023")</f>
        <v>8651</v>
      </c>
      <c r="E4062" t="s">
        <v>8651</v>
      </c>
      <c r="F4062" t="s">
        <v>8652</v>
      </c>
      <c r="G4062" t="s">
        <v>14</v>
      </c>
      <c r="H4062">
             </c>
      <c r="I4062" t="s">
        <v>14</v>
      </c>
      <c r="J4062" t="s">
        <v>242</v>
      </c>
      <c r="K4062" t="s">
        <v>14</v>
      </c>
      <c r="L4062" t="s">
        <v>20</v>
      </c>
      <c r="M4062" t="s">
        <v>8640</v>
      </c>
      <c r="N4062" t="s">
        <v>14</v>
      </c>
    </row>
    <row r="4063" x14ac:dyDescent="0.25">
      <c r="A4063" t="n">
        <v>25</v>
      </c>
      <c r="B4063" t="s">
        <v>14</v>
      </c>
      <c r="C4063" t="s">
        <v>51</v>
      </c>
      <c r="D4063" s="2" t="s">
        <f>=HYPERLINK("https://main.knesset.gov.il/APPS/legislation/main/bills/2207026", "הצעת חוק חניה לנכים (תיקון - זכאות תג נכה לצמיתות), התשפ""ג-2023")</f>
        <v>8653</v>
      </c>
      <c r="E4063" t="s">
        <v>8653</v>
      </c>
      <c r="F4063" t="s">
        <v>8654</v>
      </c>
      <c r="G4063" t="s">
        <v>14</v>
      </c>
      <c r="H4063">
             </c>
      <c r="I4063" t="s">
        <v>14</v>
      </c>
      <c r="J4063" t="s">
        <v>202</v>
      </c>
      <c r="K4063" t="s">
        <v>14</v>
      </c>
      <c r="L4063" t="s">
        <v>20</v>
      </c>
      <c r="M4063" t="s">
        <v>8640</v>
      </c>
      <c r="N4063" t="s">
        <v>14</v>
      </c>
    </row>
    <row r="4064" x14ac:dyDescent="0.25">
      <c r="A4064" t="n">
        <v>25</v>
      </c>
      <c r="B4064" t="s">
        <v>14</v>
      </c>
      <c r="C4064" t="s">
        <v>51</v>
      </c>
      <c r="D4064" s="2" t="s">
        <f>=HYPERLINK("https://main.knesset.gov.il/APPS/legislation/main/bills/2206639", "הצעת חוק עובדים זרים (תיקון - הגבלת שכר טרחת עורך דין), התשפ""ג-2023")</f>
        <v>8655</v>
      </c>
      <c r="E4064" t="s">
        <v>8655</v>
      </c>
      <c r="F4064" t="s">
        <v>8656</v>
      </c>
      <c r="G4064" t="s">
        <v>14</v>
      </c>
      <c r="H4064">
             </c>
      <c r="I4064" t="s">
        <v>14</v>
      </c>
      <c r="J4064" t="s">
        <v>242</v>
      </c>
      <c r="K4064" t="s">
        <v>14</v>
      </c>
      <c r="L4064" t="s">
        <v>20</v>
      </c>
      <c r="M4064" t="s">
        <v>8640</v>
      </c>
      <c r="N4064" t="s">
        <v>14</v>
      </c>
    </row>
    <row r="4065" x14ac:dyDescent="0.25">
      <c r="A4065" t="n">
        <v>25</v>
      </c>
      <c r="B4065" t="s">
        <v>14</v>
      </c>
      <c r="C4065" t="s">
        <v>51</v>
      </c>
      <c r="D4065" s="2" t="s">
        <f>=HYPERLINK("https://main.knesset.gov.il/APPS/legislation/main/bills/2206315", "הצעת חוק מעמד ידועים בציבור, התשפ""ג-2023")</f>
        <v>8657</v>
      </c>
      <c r="E4065" t="s">
        <v>8657</v>
      </c>
      <c r="F4065" t="s">
        <v>8658</v>
      </c>
      <c r="G4065" t="s">
        <v>14</v>
      </c>
      <c r="H4065">
             </c>
      <c r="I4065" t="s">
        <v>14</v>
      </c>
      <c r="J4065" t="s">
        <v>242</v>
      </c>
      <c r="K4065" t="s">
        <v>14</v>
      </c>
      <c r="L4065" t="s">
        <v>20</v>
      </c>
      <c r="M4065" t="s">
        <v>8640</v>
      </c>
      <c r="N4065" t="s">
        <v>14</v>
      </c>
    </row>
    <row r="4066" x14ac:dyDescent="0.25">
      <c r="A4066" t="n">
        <v>25</v>
      </c>
      <c r="B4066" t="s">
        <v>14</v>
      </c>
      <c r="C4066" t="s">
        <v>51</v>
      </c>
      <c r="D4066" s="2" t="s">
        <f>=HYPERLINK("https://main.knesset.gov.il/APPS/legislation/main/bills/2205905", "הצעת חוק ההוצאה לפועל (תיקון - מניעת פינוי דייר בשל אי-תשלום לכונס נכסים או לעורך דין), התשפ""ג-2023")</f>
        <v>8659</v>
      </c>
      <c r="E4066" t="s">
        <v>8659</v>
      </c>
      <c r="F4066" t="s">
        <v>8660</v>
      </c>
      <c r="G4066" t="s">
        <v>14</v>
      </c>
      <c r="H4066">
             </c>
      <c r="I4066" t="s">
        <v>14</v>
      </c>
      <c r="J4066" t="s">
        <v>242</v>
      </c>
      <c r="K4066" t="s">
        <v>14</v>
      </c>
      <c r="L4066" t="s">
        <v>20</v>
      </c>
      <c r="M4066" t="s">
        <v>8640</v>
      </c>
      <c r="N4066" t="s">
        <v>14</v>
      </c>
    </row>
    <row r="4067" x14ac:dyDescent="0.25">
      <c r="A4067" t="n">
        <v>25</v>
      </c>
      <c r="B4067" t="s">
        <v>14</v>
      </c>
      <c r="C4067" t="s">
        <v>51</v>
      </c>
      <c r="D4067" s="2" t="s">
        <f>=HYPERLINK("https://main.knesset.gov.il/APPS/legislation/main/bills/2207964", "הצעת חוק הפיקוח על תכולת מוצרי עישון, התשפ""ג-2023 ")</f>
        <v>8661</v>
      </c>
      <c r="E4067" t="s">
        <v>8661</v>
      </c>
      <c r="F4067" t="s">
        <v>8662</v>
      </c>
      <c r="G4067" t="s">
        <v>14</v>
      </c>
      <c r="H4067">
             </c>
      <c r="I4067" t="s">
        <v>14</v>
      </c>
      <c r="J4067" t="s">
        <v>242</v>
      </c>
      <c r="K4067" t="s">
        <v>14</v>
      </c>
      <c r="L4067" t="s">
        <v>20</v>
      </c>
      <c r="M4067" t="s">
        <v>8640</v>
      </c>
      <c r="N4067" t="s">
        <v>14</v>
      </c>
    </row>
    <row r="4068" x14ac:dyDescent="0.25">
      <c r="A4068" t="n">
        <v>25</v>
      </c>
      <c r="B4068" t="s">
        <v>14</v>
      </c>
      <c r="C4068" t="s">
        <v>51</v>
      </c>
      <c r="D4068" s="2" t="s">
        <f>=HYPERLINK("https://main.knesset.gov.il/APPS/legislation/main/bills/2208241", "הצעת חוק קידום התחרות בענף המזון (תיקון - הפיכת הוראת שעה להוראה קבועה), התשפ""ג-2023")</f>
        <v>8663</v>
      </c>
      <c r="E4068" t="s">
        <v>8663</v>
      </c>
      <c r="F4068" t="s">
        <v>8664</v>
      </c>
      <c r="G4068" t="s">
        <v>14</v>
      </c>
      <c r="H4068">
             </c>
      <c r="I4068" t="s">
        <v>14</v>
      </c>
      <c r="J4068" t="s">
        <v>242</v>
      </c>
      <c r="K4068" t="s">
        <v>14</v>
      </c>
      <c r="L4068" t="s">
        <v>20</v>
      </c>
      <c r="M4068" t="s">
        <v>8640</v>
      </c>
      <c r="N4068" t="s">
        <v>14</v>
      </c>
    </row>
    <row r="4069" x14ac:dyDescent="0.25">
      <c r="A4069" t="n">
        <v>25</v>
      </c>
      <c r="B4069" t="s">
        <v>14</v>
      </c>
      <c r="C4069" t="s">
        <v>51</v>
      </c>
      <c r="D4069" s="2" t="s">
        <f>=HYPERLINK("https://main.knesset.gov.il/APPS/legislation/main/bills/2199090", "הצעת חוק הגנת הצרכן (תיקון - הקפאת עסקה מתמשכת בתקופת לידה והורות), התשפ""ג-2023")</f>
        <v>8665</v>
      </c>
      <c r="E4069" t="s">
        <v>8665</v>
      </c>
      <c r="F4069" t="s">
        <v>8666</v>
      </c>
      <c r="G4069" t="s">
        <v>14</v>
      </c>
      <c r="H4069">
             </c>
      <c r="I4069" t="s">
        <v>14</v>
      </c>
      <c r="J4069" t="s">
        <v>242</v>
      </c>
      <c r="K4069" t="s">
        <v>14</v>
      </c>
      <c r="L4069" t="s">
        <v>20</v>
      </c>
      <c r="M4069" t="s">
        <v>8640</v>
      </c>
      <c r="N4069" t="s">
        <v>14</v>
      </c>
    </row>
    <row r="4070" x14ac:dyDescent="0.25">
      <c r="A4070" t="n">
        <v>25</v>
      </c>
      <c r="B4070" t="s">
        <v>14</v>
      </c>
      <c r="C4070" t="s">
        <v>51</v>
      </c>
      <c r="D4070" s="2" t="s">
        <f>=HYPERLINK("https://main.knesset.gov.il/APPS/legislation/main/bills/2207903", "הצעת חוק טיפול בחולי נפש (תיקון - תנאי אשפוז הולמים), התשפ""ג-2023")</f>
        <v>8269</v>
      </c>
      <c r="E4070" t="s">
        <v>8269</v>
      </c>
      <c r="F4070" t="s">
        <v>8667</v>
      </c>
      <c r="G4070" t="s">
        <v>14</v>
      </c>
      <c r="H4070">
             </c>
      <c r="I4070" t="s">
        <v>14</v>
      </c>
      <c r="J4070" t="s">
        <v>242</v>
      </c>
      <c r="K4070" t="s">
        <v>14</v>
      </c>
      <c r="L4070" t="s">
        <v>20</v>
      </c>
      <c r="M4070" t="s">
        <v>8640</v>
      </c>
      <c r="N4070" t="s">
        <v>14</v>
      </c>
    </row>
    <row r="4071" x14ac:dyDescent="0.25">
      <c r="A4071" t="n">
        <v>25</v>
      </c>
      <c r="B4071" t="s">
        <v>14</v>
      </c>
      <c r="C4071" t="s">
        <v>51</v>
      </c>
      <c r="D4071" s="2" t="s">
        <f>=HYPERLINK("https://main.knesset.gov.il/APPS/legislation/main/bills/2199152", "הצעת חוק עובדים זרים (תיקון - תאגיד עובדים זרים מחליפים זמניים), התשפ""ג-2023")</f>
        <v>8668</v>
      </c>
      <c r="E4071" t="s">
        <v>8668</v>
      </c>
      <c r="F4071" t="s">
        <v>8669</v>
      </c>
      <c r="G4071" t="s">
        <v>14</v>
      </c>
      <c r="H4071">
             </c>
      <c r="I4071" t="s">
        <v>14</v>
      </c>
      <c r="J4071" t="s">
        <v>242</v>
      </c>
      <c r="K4071" t="s">
        <v>14</v>
      </c>
      <c r="L4071" t="s">
        <v>20</v>
      </c>
      <c r="M4071" t="s">
        <v>8640</v>
      </c>
      <c r="N4071" t="s">
        <v>14</v>
      </c>
    </row>
    <row r="4072" x14ac:dyDescent="0.25">
      <c r="A4072" t="n">
        <v>25</v>
      </c>
      <c r="B4072" t="s">
        <v>14</v>
      </c>
      <c r="C4072" t="s">
        <v>51</v>
      </c>
      <c r="D4072" s="2" t="s">
        <f>=HYPERLINK("https://main.knesset.gov.il/APPS/legislation/main/bills/2208233", "הצעת חוק לתיקון פקודת התעבורה (הגבלת סכום אגרת רישיון רכב), התשפ""ג-2023")</f>
        <v>8670</v>
      </c>
      <c r="E4072" t="s">
        <v>8670</v>
      </c>
      <c r="F4072" t="s">
        <v>8671</v>
      </c>
      <c r="G4072" t="s">
        <v>14</v>
      </c>
      <c r="H4072">
             </c>
      <c r="I4072" t="s">
        <v>14</v>
      </c>
      <c r="J4072" t="s">
        <v>242</v>
      </c>
      <c r="K4072" t="s">
        <v>14</v>
      </c>
      <c r="L4072" t="s">
        <v>20</v>
      </c>
      <c r="M4072" t="s">
        <v>8640</v>
      </c>
      <c r="N4072" t="s">
        <v>14</v>
      </c>
    </row>
    <row r="4073" x14ac:dyDescent="0.25">
      <c r="A4073" t="n">
        <v>25</v>
      </c>
      <c r="B4073" t="s">
        <v>14</v>
      </c>
      <c r="C4073" t="s">
        <v>51</v>
      </c>
      <c r="D4073" s="2" t="s">
        <f>=HYPERLINK("https://main.knesset.gov.il/APPS/legislation/main/bills/2205289", "הצעת חוק לתיקון פקודת ביטוח רכב מנועי (מרכיב ההעמסה בתעריף הביטוח), התשפ""ג- 2023")</f>
        <v>8672</v>
      </c>
      <c r="E4073" t="s">
        <v>8672</v>
      </c>
      <c r="F4073" t="s">
        <v>8673</v>
      </c>
      <c r="G4073" t="s">
        <v>14</v>
      </c>
      <c r="H4073">
             </c>
      <c r="I4073" t="s">
        <v>14</v>
      </c>
      <c r="J4073" t="s">
        <v>242</v>
      </c>
      <c r="K4073" t="s">
        <v>14</v>
      </c>
      <c r="L4073" t="s">
        <v>20</v>
      </c>
      <c r="M4073" t="s">
        <v>8640</v>
      </c>
      <c r="N4073" t="s">
        <v>14</v>
      </c>
    </row>
    <row r="4074" x14ac:dyDescent="0.25">
      <c r="A4074" t="n">
        <v>25</v>
      </c>
      <c r="B4074" t="s">
        <v>14</v>
      </c>
      <c r="C4074" t="s">
        <v>51</v>
      </c>
      <c r="D4074" s="2" t="s">
        <f>=HYPERLINK("https://main.knesset.gov.il/APPS/legislation/main/bills/2207668", "הצעת חוק הביטוח הלאומי (תיקון - עבודה כאיש צוות בכלי שיט כעבודה מועדפת), התשפ""ג-2023")</f>
        <v>8674</v>
      </c>
      <c r="E4074" t="s">
        <v>8674</v>
      </c>
      <c r="F4074" t="s">
        <v>8675</v>
      </c>
      <c r="G4074" t="s">
        <v>14</v>
      </c>
      <c r="H4074">
             </c>
      <c r="I4074" t="s">
        <v>14</v>
      </c>
      <c r="J4074" t="s">
        <v>242</v>
      </c>
      <c r="K4074" t="s">
        <v>14</v>
      </c>
      <c r="L4074" t="s">
        <v>20</v>
      </c>
      <c r="M4074" t="s">
        <v>8640</v>
      </c>
      <c r="N4074" t="s">
        <v>14</v>
      </c>
    </row>
    <row r="4075" x14ac:dyDescent="0.25">
      <c r="A4075" t="n">
        <v>25</v>
      </c>
      <c r="B4075" t="s">
        <v>14</v>
      </c>
      <c r="C4075" t="s">
        <v>51</v>
      </c>
      <c r="D4075" s="2" t="s">
        <f>=HYPERLINK("https://main.knesset.gov.il/APPS/legislation/main/bills/2205792", "הצעת חוק לתיקון פקודת מס הכנסה (קיצור משך הזמן בעבור תשלום החזרי מס), התשפ""ג-2023")</f>
        <v>8676</v>
      </c>
      <c r="E4075" t="s">
        <v>8676</v>
      </c>
      <c r="F4075" t="s">
        <v>8677</v>
      </c>
      <c r="G4075" t="s">
        <v>14</v>
      </c>
      <c r="H4075">
             </c>
      <c r="I4075" t="s">
        <v>14</v>
      </c>
      <c r="J4075" t="s">
        <v>242</v>
      </c>
      <c r="K4075" t="s">
        <v>14</v>
      </c>
      <c r="L4075" t="s">
        <v>20</v>
      </c>
      <c r="M4075" t="s">
        <v>8640</v>
      </c>
      <c r="N4075" t="s">
        <v>14</v>
      </c>
    </row>
    <row r="4076" x14ac:dyDescent="0.25">
      <c r="A4076" t="n">
        <v>25</v>
      </c>
      <c r="B4076" t="s">
        <v>14</v>
      </c>
      <c r="C4076" t="s">
        <v>51</v>
      </c>
      <c r="D4076" s="2" t="s">
        <f>=HYPERLINK("https://main.knesset.gov.il/APPS/legislation/main/bills/2207897", "הצעת חוק חניה לנכים (תיקון - החלטה בבקשה לתג נכה), התשפ""ג-2023")</f>
        <v>8678</v>
      </c>
      <c r="E4076" t="s">
        <v>8678</v>
      </c>
      <c r="F4076" t="s">
        <v>8679</v>
      </c>
      <c r="G4076" t="s">
        <v>14</v>
      </c>
      <c r="H4076">
             </c>
      <c r="I4076" t="s">
        <v>14</v>
      </c>
      <c r="J4076" t="s">
        <v>242</v>
      </c>
      <c r="K4076" t="s">
        <v>14</v>
      </c>
      <c r="L4076" t="s">
        <v>20</v>
      </c>
      <c r="M4076" t="s">
        <v>8640</v>
      </c>
      <c r="N4076" t="s">
        <v>14</v>
      </c>
    </row>
    <row r="4077" x14ac:dyDescent="0.25">
      <c r="A4077" t="n">
        <v>25</v>
      </c>
      <c r="B4077" t="s">
        <v>14</v>
      </c>
      <c r="C4077" t="s">
        <v>51</v>
      </c>
      <c r="D4077" s="2" t="s">
        <f>=HYPERLINK("https://main.knesset.gov.il/APPS/legislation/main/bills/2208313", "הצעת חוק הגנה על עיתונאים (תיקוני חקיקה), התשפ""ג-2023")</f>
        <v>8680</v>
      </c>
      <c r="E4077" t="s">
        <v>8680</v>
      </c>
      <c r="F4077" t="s">
        <v>8681</v>
      </c>
      <c r="G4077" t="s">
        <v>14</v>
      </c>
      <c r="H4077">
             </c>
      <c r="I4077" t="s">
        <v>14</v>
      </c>
      <c r="J4077" t="s">
        <v>242</v>
      </c>
      <c r="K4077" t="s">
        <v>14</v>
      </c>
      <c r="L4077" t="s">
        <v>20</v>
      </c>
      <c r="M4077" t="s">
        <v>8640</v>
      </c>
      <c r="N4077" t="s">
        <v>14</v>
      </c>
    </row>
    <row r="4078" x14ac:dyDescent="0.25">
      <c r="A4078" t="n">
        <v>25</v>
      </c>
      <c r="B4078" t="s">
        <v>14</v>
      </c>
      <c r="C4078" t="s">
        <v>51</v>
      </c>
      <c r="D4078" s="2" t="s">
        <f>=HYPERLINK("https://main.knesset.gov.il/APPS/legislation/main/bills/2207444", "הצעת חוק הביטוח הלאומי (תיקון - השבת תשלומי מעסיק בגין תשלומים לקופות ולקרנות של העובד בימי מילואים), התשפ""ג-2023")</f>
        <v>8682</v>
      </c>
      <c r="E4078" t="s">
        <v>8682</v>
      </c>
      <c r="F4078" t="s">
        <v>8683</v>
      </c>
      <c r="G4078" t="s">
        <v>14</v>
      </c>
      <c r="H4078">
             </c>
      <c r="I4078" t="s">
        <v>14</v>
      </c>
      <c r="J4078" t="s">
        <v>242</v>
      </c>
      <c r="K4078" t="s">
        <v>14</v>
      </c>
      <c r="L4078" t="s">
        <v>20</v>
      </c>
      <c r="M4078" t="s">
        <v>8640</v>
      </c>
      <c r="N4078" t="s">
        <v>14</v>
      </c>
    </row>
    <row r="4079" x14ac:dyDescent="0.25">
      <c r="A4079" t="n">
        <v>25</v>
      </c>
      <c r="B4079" t="s">
        <v>14</v>
      </c>
      <c r="C4079" t="s">
        <v>51</v>
      </c>
      <c r="D4079" s="2" t="s">
        <f>=HYPERLINK("https://main.knesset.gov.il/APPS/legislation/main/bills/2207884", "הצעת חוק ביטוח בריאות ממלכתי (תיקון - זמן סביר לעניין שירות רפואי), התשפ""ג-2023")</f>
        <v>8362</v>
      </c>
      <c r="E4079" t="s">
        <v>8362</v>
      </c>
      <c r="F4079" t="s">
        <v>8684</v>
      </c>
      <c r="G4079" t="s">
        <v>14</v>
      </c>
      <c r="H4079">
             </c>
      <c r="I4079" t="s">
        <v>14</v>
      </c>
      <c r="J4079" t="s">
        <v>242</v>
      </c>
      <c r="K4079" t="s">
        <v>14</v>
      </c>
      <c r="L4079" t="s">
        <v>20</v>
      </c>
      <c r="M4079" t="s">
        <v>8640</v>
      </c>
      <c r="N4079" t="s">
        <v>14</v>
      </c>
    </row>
    <row r="4080" x14ac:dyDescent="0.25">
      <c r="A4080" t="n">
        <v>25</v>
      </c>
      <c r="B4080" t="s">
        <v>14</v>
      </c>
      <c r="C4080" t="s">
        <v>51</v>
      </c>
      <c r="D4080" s="2" t="s">
        <f>=HYPERLINK("https://main.knesset.gov.il/APPS/legislation/main/bills/2208105", "הצעת חוק מאבק בנטילת דמי חסות (אכיפה וענישה) (תיקוני חקיקה והוראת שעה), התשפ""ג-2023")</f>
        <v>8685</v>
      </c>
      <c r="E4080" t="s">
        <v>8685</v>
      </c>
      <c r="F4080" t="s">
        <v>8686</v>
      </c>
      <c r="G4080" t="s">
        <v>14</v>
      </c>
      <c r="H4080">
             </c>
      <c r="I4080" t="s">
        <v>14</v>
      </c>
      <c r="J4080" t="s">
        <v>242</v>
      </c>
      <c r="K4080" t="s">
        <v>14</v>
      </c>
      <c r="L4080" t="s">
        <v>20</v>
      </c>
      <c r="M4080" t="s">
        <v>8640</v>
      </c>
      <c r="N4080" t="s">
        <v>14</v>
      </c>
    </row>
    <row r="4081" x14ac:dyDescent="0.25">
      <c r="A4081" t="n">
        <v>25</v>
      </c>
      <c r="B4081" t="s">
        <v>14</v>
      </c>
      <c r="C4081" t="s">
        <v>51</v>
      </c>
      <c r="D4081" s="2" t="s">
        <f>=HYPERLINK("https://main.knesset.gov.il/APPS/legislation/main/bills/2208083", "הצעת חוק הכשרות המשפטית והאפוטרופסות (תיקון - שלילת אפוטרופסות בשל עבירת מעשה מגונה בנסיבות מחמירות), התשפ""ג-2023")</f>
        <v>8687</v>
      </c>
      <c r="E4081" t="s">
        <v>8687</v>
      </c>
      <c r="F4081" t="s">
        <v>8688</v>
      </c>
      <c r="G4081" t="s">
        <v>14</v>
      </c>
      <c r="H4081">
             </c>
      <c r="I4081" t="s">
        <v>14</v>
      </c>
      <c r="J4081" t="s">
        <v>242</v>
      </c>
      <c r="K4081" t="s">
        <v>14</v>
      </c>
      <c r="L4081" t="s">
        <v>20</v>
      </c>
      <c r="M4081" t="s">
        <v>8640</v>
      </c>
      <c r="N4081" t="s">
        <v>14</v>
      </c>
    </row>
    <row r="4082" x14ac:dyDescent="0.25">
      <c r="A4082" t="n">
        <v>25</v>
      </c>
      <c r="B4082" t="s">
        <v>14</v>
      </c>
      <c r="C4082" t="s">
        <v>51</v>
      </c>
      <c r="D4082" s="2" t="s">
        <f>=HYPERLINK("https://main.knesset.gov.il/APPS/legislation/main/bills/2207893", "הצעת חוק ההוצאה לפועל (תיקון - החרגת עיקול ביטוח רפואי בידי צד שלישי), התשפ""ג-2023")</f>
        <v>8307</v>
      </c>
      <c r="E4082" t="s">
        <v>8307</v>
      </c>
      <c r="F4082" t="s">
        <v>8689</v>
      </c>
      <c r="G4082" t="s">
        <v>14</v>
      </c>
      <c r="H4082">
             </c>
      <c r="I4082" t="s">
        <v>14</v>
      </c>
      <c r="J4082" t="s">
        <v>242</v>
      </c>
      <c r="K4082" t="s">
        <v>14</v>
      </c>
      <c r="L4082" t="s">
        <v>20</v>
      </c>
      <c r="M4082" t="s">
        <v>8640</v>
      </c>
      <c r="N4082" t="s">
        <v>14</v>
      </c>
    </row>
    <row r="4083" x14ac:dyDescent="0.25">
      <c r="A4083" t="n">
        <v>25</v>
      </c>
      <c r="B4083" t="s">
        <v>14</v>
      </c>
      <c r="C4083" t="s">
        <v>51</v>
      </c>
      <c r="D4083" s="2" t="s">
        <f>=HYPERLINK("https://main.knesset.gov.il/APPS/legislation/main/bills/2207667", "הצעת חוק אסדרת שוק הקנאביס לצריכה עצמית, התשפ""ג-2023")</f>
        <v>8690</v>
      </c>
      <c r="E4083" t="s">
        <v>8690</v>
      </c>
      <c r="F4083" t="s">
        <v>8691</v>
      </c>
      <c r="G4083" t="s">
        <v>14</v>
      </c>
      <c r="H4083">
             </c>
      <c r="I4083" t="s">
        <v>14</v>
      </c>
      <c r="J4083" t="s">
        <v>242</v>
      </c>
      <c r="K4083" t="s">
        <v>14</v>
      </c>
      <c r="L4083" t="s">
        <v>20</v>
      </c>
      <c r="M4083" t="s">
        <v>8640</v>
      </c>
      <c r="N4083" t="s">
        <v>14</v>
      </c>
    </row>
    <row r="4084" x14ac:dyDescent="0.25">
      <c r="A4084" t="n">
        <v>25</v>
      </c>
      <c r="B4084" t="s">
        <v>14</v>
      </c>
      <c r="C4084" t="s">
        <v>51</v>
      </c>
      <c r="D4084" s="2" t="s">
        <f>=HYPERLINK("https://main.knesset.gov.il/APPS/legislation/main/bills/2207856", "הצעת חוק הביטוח הלאומי (תיקון - הארכת המועד להגשת תביעות ליקוי שמיעה), התשפ""ג-2023")</f>
        <v>8692</v>
      </c>
      <c r="E4084" t="s">
        <v>8692</v>
      </c>
      <c r="F4084" t="s">
        <v>8693</v>
      </c>
      <c r="G4084" t="s">
        <v>14</v>
      </c>
      <c r="H4084">
             </c>
      <c r="I4084" t="s">
        <v>14</v>
      </c>
      <c r="J4084" t="s">
        <v>242</v>
      </c>
      <c r="K4084" t="s">
        <v>14</v>
      </c>
      <c r="L4084" t="s">
        <v>20</v>
      </c>
      <c r="M4084" t="s">
        <v>8640</v>
      </c>
      <c r="N4084" t="s">
        <v>14</v>
      </c>
    </row>
    <row r="4085" x14ac:dyDescent="0.25">
      <c r="A4085" t="n">
        <v>25</v>
      </c>
      <c r="B4085" t="s">
        <v>14</v>
      </c>
      <c r="C4085" t="s">
        <v>51</v>
      </c>
      <c r="D4085" s="2" t="s">
        <f>=HYPERLINK("https://main.knesset.gov.il/APPS/legislation/main/bills/2199142", "הצעת חוק עבודת נשים (תיקון - הפרשות לקופת גמל בתקופת שמירת היריון, לידה והורות), התשפ""ג-2023")</f>
        <v>8694</v>
      </c>
      <c r="E4085" t="s">
        <v>8694</v>
      </c>
      <c r="F4085" t="s">
        <v>8695</v>
      </c>
      <c r="G4085" t="s">
        <v>14</v>
      </c>
      <c r="H4085">
             </c>
      <c r="I4085" t="s">
        <v>14</v>
      </c>
      <c r="J4085" t="s">
        <v>242</v>
      </c>
      <c r="K4085" t="s">
        <v>14</v>
      </c>
      <c r="L4085" t="s">
        <v>20</v>
      </c>
      <c r="M4085" t="s">
        <v>8640</v>
      </c>
      <c r="N4085" t="s">
        <v>14</v>
      </c>
    </row>
    <row r="4086" x14ac:dyDescent="0.25">
      <c r="A4086" t="n">
        <v>25</v>
      </c>
      <c r="B4086" t="s">
        <v>14</v>
      </c>
      <c r="C4086" t="s">
        <v>51</v>
      </c>
      <c r="D4086" s="2" t="s">
        <f>=HYPERLINK("https://main.knesset.gov.il/APPS/legislation/main/bills/2206978", "הצעת חוק מימון טיפול בקנאביס רפואי לילדים חולי אפילפסיה, התשפ""ג-2023")</f>
        <v>8696</v>
      </c>
      <c r="E4086" t="s">
        <v>8696</v>
      </c>
      <c r="F4086" t="s">
        <v>8697</v>
      </c>
      <c r="G4086" t="s">
        <v>14</v>
      </c>
      <c r="H4086">
             </c>
      <c r="I4086" t="s">
        <v>14</v>
      </c>
      <c r="J4086" t="s">
        <v>242</v>
      </c>
      <c r="K4086" t="s">
        <v>14</v>
      </c>
      <c r="L4086" t="s">
        <v>20</v>
      </c>
      <c r="M4086" t="s">
        <v>8640</v>
      </c>
      <c r="N4086" t="s">
        <v>14</v>
      </c>
    </row>
    <row r="4087" x14ac:dyDescent="0.25">
      <c r="A4087" t="n">
        <v>25</v>
      </c>
      <c r="B4087" t="s">
        <v>14</v>
      </c>
      <c r="C4087" t="s">
        <v>51</v>
      </c>
      <c r="D4087" s="2" t="s">
        <f>=HYPERLINK("https://main.knesset.gov.il/APPS/legislation/main/bills/2206971", "הצעת חוק הפעלת מוקד טלפוני לטיפול בקנאביס רפואי, התשפ""ג-2023")</f>
        <v>8698</v>
      </c>
      <c r="E4087" t="s">
        <v>8698</v>
      </c>
      <c r="F4087" t="s">
        <v>8699</v>
      </c>
      <c r="G4087" t="s">
        <v>14</v>
      </c>
      <c r="H4087">
             </c>
      <c r="I4087" t="s">
        <v>14</v>
      </c>
      <c r="J4087" t="s">
        <v>242</v>
      </c>
      <c r="K4087" t="s">
        <v>14</v>
      </c>
      <c r="L4087" t="s">
        <v>20</v>
      </c>
      <c r="M4087" t="s">
        <v>8640</v>
      </c>
      <c r="N4087" t="s">
        <v>14</v>
      </c>
    </row>
    <row r="4088" x14ac:dyDescent="0.25">
      <c r="A4088" t="n">
        <v>25</v>
      </c>
      <c r="B4088" t="s">
        <v>14</v>
      </c>
      <c r="C4088" t="s">
        <v>51</v>
      </c>
      <c r="D4088" s="2" t="s">
        <f>=HYPERLINK("https://main.knesset.gov.il/APPS/legislation/main/bills/2206938", "הצעת חוק העברת מידע בין רשויות, התשפ""ג-2023")</f>
        <v>8700</v>
      </c>
      <c r="E4088" t="s">
        <v>8700</v>
      </c>
      <c r="F4088" t="s">
        <v>8701</v>
      </c>
      <c r="G4088" t="s">
        <v>14</v>
      </c>
      <c r="H4088">
             </c>
      <c r="I4088" t="s">
        <v>14</v>
      </c>
      <c r="J4088" t="s">
        <v>242</v>
      </c>
      <c r="K4088" t="s">
        <v>14</v>
      </c>
      <c r="L4088" t="s">
        <v>20</v>
      </c>
      <c r="M4088" t="s">
        <v>8640</v>
      </c>
      <c r="N4088" t="s">
        <v>14</v>
      </c>
    </row>
    <row r="4089" x14ac:dyDescent="0.25">
      <c r="A4089" t="n">
        <v>25</v>
      </c>
      <c r="B4089" t="s">
        <v>14</v>
      </c>
      <c r="C4089" t="s">
        <v>51</v>
      </c>
      <c r="D4089" s="2" t="s">
        <f>=HYPERLINK("https://main.knesset.gov.il/APPS/legislation/main/bills/2207857", "הצעת חוק האזרחים הוותיקים (תיקון - הנחה בארנונה לאזרח ותיק המתגורר בדירה שאינה בהחזקתו), התשפ""ג-2023")</f>
        <v>8702</v>
      </c>
      <c r="E4089" t="s">
        <v>8702</v>
      </c>
      <c r="F4089" t="s">
        <v>8703</v>
      </c>
      <c r="G4089" t="s">
        <v>14</v>
      </c>
      <c r="H4089">
             </c>
      <c r="I4089" t="s">
        <v>14</v>
      </c>
      <c r="J4089" t="s">
        <v>242</v>
      </c>
      <c r="K4089" t="s">
        <v>14</v>
      </c>
      <c r="L4089" t="s">
        <v>20</v>
      </c>
      <c r="M4089" t="s">
        <v>8640</v>
      </c>
      <c r="N4089" t="s">
        <v>14</v>
      </c>
    </row>
    <row r="4090" x14ac:dyDescent="0.25">
      <c r="A4090" t="n">
        <v>25</v>
      </c>
      <c r="B4090" t="s">
        <v>14</v>
      </c>
      <c r="C4090" t="s">
        <v>51</v>
      </c>
      <c r="D4090" s="2" t="s">
        <f>=HYPERLINK("https://main.knesset.gov.il/APPS/legislation/main/bills/2207021", "הצעת חוק עובדים בתעשיית הקנאביס, התשפ""ג-2023")</f>
        <v>8704</v>
      </c>
      <c r="E4090" t="s">
        <v>8704</v>
      </c>
      <c r="F4090" t="s">
        <v>8705</v>
      </c>
      <c r="G4090" t="s">
        <v>14</v>
      </c>
      <c r="H4090">
             </c>
      <c r="I4090" t="s">
        <v>14</v>
      </c>
      <c r="J4090" t="s">
        <v>242</v>
      </c>
      <c r="K4090" t="s">
        <v>14</v>
      </c>
      <c r="L4090" t="s">
        <v>20</v>
      </c>
      <c r="M4090" t="s">
        <v>8640</v>
      </c>
      <c r="N4090" t="s">
        <v>14</v>
      </c>
    </row>
    <row r="4091" x14ac:dyDescent="0.25">
      <c r="A4091" t="n">
        <v>25</v>
      </c>
      <c r="B4091" t="s">
        <v>14</v>
      </c>
      <c r="C4091" t="s">
        <v>51</v>
      </c>
      <c r="D4091" s="2" t="s">
        <f>=HYPERLINK("https://main.knesset.gov.il/APPS/legislation/main/bills/2198890", "הצעת חוק להרחבת הייצוג ההולם של קבוצות שונות בתאגידים ציבוריים וברשויות מקומיות (תיקוני חקיקה), התשפ""ג–2023")</f>
        <v>8706</v>
      </c>
      <c r="E4091" t="s">
        <v>8706</v>
      </c>
      <c r="F4091" t="s">
        <v>8707</v>
      </c>
      <c r="G4091" t="s">
        <v>8708</v>
      </c>
      <c r="H4091">
             </c>
      <c r="I4091" t="s">
        <v>14</v>
      </c>
      <c r="J4091" t="s">
        <v>334</v>
      </c>
      <c r="K4091" t="s">
        <v>46</v>
      </c>
      <c r="L4091" t="s">
        <v>20</v>
      </c>
      <c r="M4091" t="s">
        <v>8640</v>
      </c>
      <c r="N4091" t="s">
        <v>14</v>
      </c>
    </row>
    <row r="4092" x14ac:dyDescent="0.25">
      <c r="A4092" t="n">
        <v>25</v>
      </c>
      <c r="B4092" t="s">
        <v>14</v>
      </c>
      <c r="C4092" t="s">
        <v>15</v>
      </c>
      <c r="D4092" s="2" t="s">
        <f>=HYPERLINK("https://main.knesset.gov.il/APPS/legislation/main/bills/2204664", "חוק הכניסה לישראל (תיקון מס' 37 – הוראת שעה – נגיף הקורונה החדש), התשפ""ג-2023")</f>
        <v>8709</v>
      </c>
      <c r="E4092" t="s">
        <v>8709</v>
      </c>
      <c r="F4092" t="s">
        <v>14</v>
      </c>
      <c r="G4092" t="s">
        <v>8710</v>
      </c>
      <c r="H4092" t="n">
        <v>3058</v>
      </c>
      <c r="I4092" t="s">
        <v>14</v>
      </c>
      <c r="J4092" t="s">
        <v>18</v>
      </c>
      <c r="K4092" t="s">
        <v>30</v>
      </c>
      <c r="L4092" t="s">
        <v>20</v>
      </c>
      <c r="M4092" t="s">
        <v>8711</v>
      </c>
      <c r="N4092" t="s">
        <v>8712</v>
      </c>
    </row>
    <row r="4093" x14ac:dyDescent="0.25">
      <c r="A4093" t="n">
        <v>25</v>
      </c>
      <c r="B4093" t="s">
        <v>14</v>
      </c>
      <c r="C4093" t="s">
        <v>51</v>
      </c>
      <c r="D4093" s="2" t="s">
        <f>=HYPERLINK("https://main.knesset.gov.il/APPS/legislation/main/bills/2199885", "הצעת חוק הביטוח הלאומי (תיקון - ביטוח שאירים לאלמן), התשפ""ג-2023")</f>
        <v>8231</v>
      </c>
      <c r="E4093" t="s">
        <v>8231</v>
      </c>
      <c r="F4093" t="s">
        <v>8713</v>
      </c>
      <c r="G4093" t="s">
        <v>14</v>
      </c>
      <c r="H4093">
             </c>
      <c r="I4093" t="s">
        <v>14</v>
      </c>
      <c r="J4093" t="s">
        <v>193</v>
      </c>
      <c r="K4093" t="s">
        <v>14</v>
      </c>
      <c r="L4093" t="s">
        <v>20</v>
      </c>
      <c r="M4093" t="s">
        <v>8711</v>
      </c>
      <c r="N4093" t="s">
        <v>14</v>
      </c>
    </row>
    <row r="4094" x14ac:dyDescent="0.25">
      <c r="A4094" t="n">
        <v>25</v>
      </c>
      <c r="B4094" t="s">
        <v>14</v>
      </c>
      <c r="C4094" t="s">
        <v>51</v>
      </c>
      <c r="D4094" s="2" t="s">
        <f>=HYPERLINK("https://main.knesset.gov.il/APPS/legislation/main/bills/2204742", "הצעת חוק-יסוד: הכנסת (תיקון - ייצוג הולם לנשים ברשימת מועמדים לכנסת)")</f>
        <v>292</v>
      </c>
      <c r="E4094" t="s">
        <v>292</v>
      </c>
      <c r="F4094" t="s">
        <v>8714</v>
      </c>
      <c r="G4094" t="s">
        <v>14</v>
      </c>
      <c r="H4094">
             </c>
      <c r="I4094" t="s">
        <v>14</v>
      </c>
      <c r="J4094" t="s">
        <v>193</v>
      </c>
      <c r="K4094" t="s">
        <v>14</v>
      </c>
      <c r="L4094" t="s">
        <v>20</v>
      </c>
      <c r="M4094" t="s">
        <v>8711</v>
      </c>
      <c r="N4094" t="s">
        <v>14</v>
      </c>
    </row>
    <row r="4095" x14ac:dyDescent="0.25">
      <c r="A4095" t="n">
        <v>25</v>
      </c>
      <c r="B4095" t="s">
        <v>14</v>
      </c>
      <c r="C4095" t="s">
        <v>51</v>
      </c>
      <c r="D4095" s="2" t="s">
        <f>=HYPERLINK("https://main.knesset.gov.il/APPS/legislation/main/bills/2195992", "הצעת חוק-יסוד: ישראל - מדינת הלאום של העם היהודי (תיקון - הוספת עקרון השוויון בפני החוק ועיגון מעמדה של מגילת העצמאות)")</f>
        <v>5641</v>
      </c>
      <c r="E4095" t="s">
        <v>5641</v>
      </c>
      <c r="F4095" t="s">
        <v>8715</v>
      </c>
      <c r="G4095" t="s">
        <v>14</v>
      </c>
      <c r="H4095">
             </c>
      <c r="I4095" t="s">
        <v>14</v>
      </c>
      <c r="J4095" t="s">
        <v>193</v>
      </c>
      <c r="K4095" t="s">
        <v>14</v>
      </c>
      <c r="L4095" t="s">
        <v>20</v>
      </c>
      <c r="M4095" t="s">
        <v>8711</v>
      </c>
      <c r="N4095" t="s">
        <v>14</v>
      </c>
    </row>
    <row r="4096" x14ac:dyDescent="0.25">
      <c r="A4096" t="n">
        <v>25</v>
      </c>
      <c r="B4096" t="s">
        <v>14</v>
      </c>
      <c r="C4096" t="s">
        <v>51</v>
      </c>
      <c r="D4096" s="2" t="s">
        <f>=HYPERLINK("https://main.knesset.gov.il/APPS/legislation/main/bills/2203727", "הצעת חוק הסדרת העיסוק במקצועות הבריאות (תיקון - טיפול באמצעות אמנויות), התשפ""ג-2023")</f>
        <v>8716</v>
      </c>
      <c r="E4096" t="s">
        <v>8716</v>
      </c>
      <c r="F4096" t="s">
        <v>8717</v>
      </c>
      <c r="G4096" t="s">
        <v>14</v>
      </c>
      <c r="H4096">
             </c>
      <c r="I4096" t="s">
        <v>14</v>
      </c>
      <c r="J4096" t="s">
        <v>152</v>
      </c>
      <c r="K4096" t="s">
        <v>361</v>
      </c>
      <c r="L4096" t="s">
        <v>20</v>
      </c>
      <c r="M4096" t="s">
        <v>8711</v>
      </c>
      <c r="N4096" t="s">
        <v>14</v>
      </c>
    </row>
    <row r="4097" x14ac:dyDescent="0.25">
      <c r="A4097" t="n">
        <v>25</v>
      </c>
      <c r="B4097" t="s">
        <v>14</v>
      </c>
      <c r="C4097" t="s">
        <v>51</v>
      </c>
      <c r="D4097" s="2" t="s">
        <f>=HYPERLINK("https://main.knesset.gov.il/APPS/legislation/main/bills/2202653", "הצעת חוק הגבלת הפרסומת והשיווק של משקאות אלכוהוליים (תיקון - אזהרת שתיית אלכוהול לנשים הרות), התשפ""ג-2023")</f>
        <v>8718</v>
      </c>
      <c r="E4097" t="s">
        <v>8718</v>
      </c>
      <c r="F4097" t="s">
        <v>8719</v>
      </c>
      <c r="G4097" t="s">
        <v>14</v>
      </c>
      <c r="H4097">
             </c>
      <c r="I4097" t="s">
        <v>14</v>
      </c>
      <c r="J4097" t="s">
        <v>202</v>
      </c>
      <c r="K4097" t="s">
        <v>14</v>
      </c>
      <c r="L4097" t="s">
        <v>20</v>
      </c>
      <c r="M4097" t="s">
        <v>8711</v>
      </c>
      <c r="N4097" t="s">
        <v>14</v>
      </c>
    </row>
    <row r="4098" x14ac:dyDescent="0.25">
      <c r="A4098" t="n">
        <v>25</v>
      </c>
      <c r="B4098" t="s">
        <v>14</v>
      </c>
      <c r="C4098" t="s">
        <v>51</v>
      </c>
      <c r="D4098" s="2" t="s">
        <f>=HYPERLINK("https://main.knesset.gov.il/APPS/legislation/main/bills/2198973", "הצעת חוק-יסוד: מגילת העצמאות")</f>
        <v>220</v>
      </c>
      <c r="E4098" t="s">
        <v>220</v>
      </c>
      <c r="F4098" t="s">
        <v>8720</v>
      </c>
      <c r="G4098" t="s">
        <v>14</v>
      </c>
      <c r="H4098">
             </c>
      <c r="I4098" t="s">
        <v>14</v>
      </c>
      <c r="J4098" t="s">
        <v>193</v>
      </c>
      <c r="K4098" t="s">
        <v>14</v>
      </c>
      <c r="L4098" t="s">
        <v>20</v>
      </c>
      <c r="M4098" t="s">
        <v>8711</v>
      </c>
      <c r="N4098" t="s">
        <v>14</v>
      </c>
    </row>
    <row r="4099" x14ac:dyDescent="0.25">
      <c r="A4099" t="n">
        <v>25</v>
      </c>
      <c r="B4099" t="s">
        <v>14</v>
      </c>
      <c r="C4099" t="s">
        <v>51</v>
      </c>
      <c r="D4099" s="2" t="s">
        <f>=HYPERLINK("https://main.knesset.gov.il/APPS/legislation/main/bills/2199257", "הצעת חוק הביטוח הלאומי (תיקון - השוואת זכויות אלמן ואלמנה), התשפ""ג-2023")</f>
        <v>8249</v>
      </c>
      <c r="E4099" t="s">
        <v>8249</v>
      </c>
      <c r="F4099" t="s">
        <v>8721</v>
      </c>
      <c r="G4099" t="s">
        <v>14</v>
      </c>
      <c r="H4099">
             </c>
      <c r="I4099" t="s">
        <v>14</v>
      </c>
      <c r="J4099" t="s">
        <v>193</v>
      </c>
      <c r="K4099" t="s">
        <v>14</v>
      </c>
      <c r="L4099" t="s">
        <v>20</v>
      </c>
      <c r="M4099" t="s">
        <v>8711</v>
      </c>
      <c r="N4099" t="s">
        <v>14</v>
      </c>
    </row>
    <row r="4100" x14ac:dyDescent="0.25">
      <c r="A4100" t="n">
        <v>25</v>
      </c>
      <c r="B4100" t="s">
        <v>14</v>
      </c>
      <c r="C4100" t="s">
        <v>51</v>
      </c>
      <c r="D4100" s="2" t="s">
        <f>=HYPERLINK("https://main.knesset.gov.il/APPS/legislation/main/bills/2199958", "הצעת חוק-יסוד: הכנסת (תיקון - ייצוג מינימלי לשני המינים ברשימת מועמדים לכנסת)")</f>
        <v>2068</v>
      </c>
      <c r="E4100" t="s">
        <v>2068</v>
      </c>
      <c r="F4100" t="s">
        <v>8722</v>
      </c>
      <c r="G4100" t="s">
        <v>14</v>
      </c>
      <c r="H4100">
             </c>
      <c r="I4100" t="s">
        <v>14</v>
      </c>
      <c r="J4100" t="s">
        <v>193</v>
      </c>
      <c r="K4100" t="s">
        <v>14</v>
      </c>
      <c r="L4100" t="s">
        <v>20</v>
      </c>
      <c r="M4100" t="s">
        <v>8711</v>
      </c>
      <c r="N4100" t="s">
        <v>14</v>
      </c>
    </row>
    <row r="4101" x14ac:dyDescent="0.25">
      <c r="A4101" t="n">
        <v>25</v>
      </c>
      <c r="B4101" t="s">
        <v>14</v>
      </c>
      <c r="C4101" t="s">
        <v>51</v>
      </c>
      <c r="D4101" s="2" t="s">
        <f>=HYPERLINK("https://main.knesset.gov.il/APPS/legislation/main/bills/2198794", "הצעת חוק הסדרת העיסוק במקצועות הבריאות (תיקון - טיפול באמצעות אמנויות), התשפ""ג-2023")</f>
        <v>8716</v>
      </c>
      <c r="E4101" t="s">
        <v>8716</v>
      </c>
      <c r="F4101" t="s">
        <v>8723</v>
      </c>
      <c r="G4101" t="s">
        <v>14</v>
      </c>
      <c r="H4101">
             </c>
      <c r="I4101" t="s">
        <v>14</v>
      </c>
      <c r="J4101" t="s">
        <v>152</v>
      </c>
      <c r="K4101" t="s">
        <v>361</v>
      </c>
      <c r="L4101" t="s">
        <v>20</v>
      </c>
      <c r="M4101" t="s">
        <v>8711</v>
      </c>
      <c r="N4101" t="s">
        <v>14</v>
      </c>
    </row>
    <row r="4102" x14ac:dyDescent="0.25">
      <c r="A4102" t="n">
        <v>25</v>
      </c>
      <c r="B4102" t="s">
        <v>14</v>
      </c>
      <c r="C4102" t="s">
        <v>51</v>
      </c>
      <c r="D4102" s="2" t="s">
        <f>=HYPERLINK("https://main.knesset.gov.il/APPS/legislation/main/bills/2198893", "הצעת חוק הסדרת העיסוק במקצועות הבריאות (תיקון - טיפול באמצעות אמנויות), התשפ""ג-2023")</f>
        <v>8716</v>
      </c>
      <c r="E4102" t="s">
        <v>8716</v>
      </c>
      <c r="F4102" t="s">
        <v>8724</v>
      </c>
      <c r="G4102" t="s">
        <v>14</v>
      </c>
      <c r="H4102">
             </c>
      <c r="I4102" t="s">
        <v>14</v>
      </c>
      <c r="J4102" t="s">
        <v>152</v>
      </c>
      <c r="K4102" t="s">
        <v>361</v>
      </c>
      <c r="L4102" t="s">
        <v>20</v>
      </c>
      <c r="M4102" t="s">
        <v>8711</v>
      </c>
      <c r="N4102" t="s">
        <v>14</v>
      </c>
    </row>
    <row r="4103" x14ac:dyDescent="0.25">
      <c r="A4103" t="n">
        <v>25</v>
      </c>
      <c r="B4103" t="s">
        <v>14</v>
      </c>
      <c r="C4103" t="s">
        <v>51</v>
      </c>
      <c r="D4103" s="2" t="s">
        <f>=HYPERLINK("https://main.knesset.gov.il/APPS/legislation/main/bills/2198950", "הצעת חוק תאגידי מים וביוב (תיקון - הפעלת שירותי מים וביוב על ידי רשות מקומית), התשפ""ג-2023")</f>
        <v>8725</v>
      </c>
      <c r="E4103" t="s">
        <v>8725</v>
      </c>
      <c r="F4103" t="s">
        <v>8726</v>
      </c>
      <c r="G4103" t="s">
        <v>14</v>
      </c>
      <c r="H4103">
             </c>
      <c r="I4103" t="s">
        <v>14</v>
      </c>
      <c r="J4103" t="s">
        <v>193</v>
      </c>
      <c r="K4103" t="s">
        <v>14</v>
      </c>
      <c r="L4103" t="s">
        <v>20</v>
      </c>
      <c r="M4103" t="s">
        <v>8711</v>
      </c>
      <c r="N4103" t="s">
        <v>14</v>
      </c>
    </row>
    <row r="4104" x14ac:dyDescent="0.25">
      <c r="A4104" t="n">
        <v>25</v>
      </c>
      <c r="B4104" t="s">
        <v>14</v>
      </c>
      <c r="C4104" t="s">
        <v>51</v>
      </c>
      <c r="D4104" s="2" t="s">
        <f>=HYPERLINK("https://main.knesset.gov.il/APPS/legislation/main/bills/2197469", "הצעת חוק שירות המדינה (מינויים) (תיקון - ייצוג הולם לבני החברה הערבית, לרבות הדרוזית והצ'רקסית), התשפ""ג-2023")</f>
        <v>8727</v>
      </c>
      <c r="E4104" t="s">
        <v>8727</v>
      </c>
      <c r="F4104" t="s">
        <v>8728</v>
      </c>
      <c r="G4104" t="s">
        <v>14</v>
      </c>
      <c r="H4104">
             </c>
      <c r="I4104" t="s">
        <v>14</v>
      </c>
      <c r="J4104" t="s">
        <v>202</v>
      </c>
      <c r="K4104" t="s">
        <v>14</v>
      </c>
      <c r="L4104" t="s">
        <v>20</v>
      </c>
      <c r="M4104" t="s">
        <v>8711</v>
      </c>
      <c r="N4104" t="s">
        <v>14</v>
      </c>
    </row>
    <row r="4105" x14ac:dyDescent="0.25">
      <c r="A4105" t="n">
        <v>25</v>
      </c>
      <c r="B4105" t="s">
        <v>14</v>
      </c>
      <c r="C4105" t="s">
        <v>51</v>
      </c>
      <c r="D4105" s="2" t="s">
        <f>=HYPERLINK("https://main.knesset.gov.il/APPS/legislation/main/bills/2197259", "הצעת חוק הסדרת העיסוק במקצועות הבריאות (תיקון - טיפול באמצעות אמנויות), התשפ""ג-2022")</f>
        <v>8729</v>
      </c>
      <c r="E4105" t="s">
        <v>8729</v>
      </c>
      <c r="F4105" t="s">
        <v>8730</v>
      </c>
      <c r="G4105" t="s">
        <v>14</v>
      </c>
      <c r="H4105">
             </c>
      <c r="I4105" t="s">
        <v>14</v>
      </c>
      <c r="J4105" t="s">
        <v>152</v>
      </c>
      <c r="K4105" t="s">
        <v>361</v>
      </c>
      <c r="L4105" t="s">
        <v>20</v>
      </c>
      <c r="M4105" t="s">
        <v>8711</v>
      </c>
      <c r="N4105" t="s">
        <v>14</v>
      </c>
    </row>
    <row r="4106" x14ac:dyDescent="0.25">
      <c r="A4106" t="n">
        <v>25</v>
      </c>
      <c r="B4106" t="s">
        <v>14</v>
      </c>
      <c r="C4106" t="s">
        <v>51</v>
      </c>
      <c r="D4106" s="2" t="s">
        <f>=HYPERLINK("https://main.knesset.gov.il/APPS/legislation/main/bills/2196116", "הצעת חוק הסדרת העיסוק במקצועות הבריאות (תיקון - טיפול באמצעות אמנויות), התשפ""ג-2022")</f>
        <v>8729</v>
      </c>
      <c r="E4106" t="s">
        <v>8729</v>
      </c>
      <c r="F4106" t="s">
        <v>8731</v>
      </c>
      <c r="G4106" t="s">
        <v>14</v>
      </c>
      <c r="H4106">
             </c>
      <c r="I4106" t="s">
        <v>14</v>
      </c>
      <c r="J4106" t="s">
        <v>152</v>
      </c>
      <c r="K4106" t="s">
        <v>361</v>
      </c>
      <c r="L4106" t="s">
        <v>20</v>
      </c>
      <c r="M4106" t="s">
        <v>8711</v>
      </c>
      <c r="N4106" t="s">
        <v>14</v>
      </c>
    </row>
    <row r="4107" x14ac:dyDescent="0.25">
      <c r="A4107" t="n">
        <v>25</v>
      </c>
      <c r="B4107" t="s">
        <v>14</v>
      </c>
      <c r="C4107" t="s">
        <v>51</v>
      </c>
      <c r="D4107" s="2" t="s">
        <f>=HYPERLINK("https://main.knesset.gov.il/APPS/legislation/main/bills/2195837", "הצעת חוק הסדרת העיסוק במקצועות הבריאות (תיקון - טיפול באמצעות אמנויות), התשפ""ג-2022")</f>
        <v>8729</v>
      </c>
      <c r="E4107" t="s">
        <v>8729</v>
      </c>
      <c r="F4107" t="s">
        <v>8732</v>
      </c>
      <c r="G4107" t="s">
        <v>14</v>
      </c>
      <c r="H4107">
             </c>
      <c r="I4107" t="s">
        <v>14</v>
      </c>
      <c r="J4107" t="s">
        <v>152</v>
      </c>
      <c r="K4107" t="s">
        <v>361</v>
      </c>
      <c r="L4107" t="s">
        <v>20</v>
      </c>
      <c r="M4107" t="s">
        <v>8711</v>
      </c>
      <c r="N4107" t="s">
        <v>14</v>
      </c>
    </row>
    <row r="4108" x14ac:dyDescent="0.25">
      <c r="A4108" t="n">
        <v>25</v>
      </c>
      <c r="B4108" t="s">
        <v>14</v>
      </c>
      <c r="C4108" t="s">
        <v>51</v>
      </c>
      <c r="D4108" s="2" t="s">
        <f>=HYPERLINK("https://main.knesset.gov.il/APPS/legislation/main/bills/2204887", "חוק הרשויות המקומיות (בחירות) (תיקון מס' 53), התשפ""ג-2023 ")</f>
        <v>8733</v>
      </c>
      <c r="E4108" t="s">
        <v>8733</v>
      </c>
      <c r="F4108" t="s">
        <v>8734</v>
      </c>
      <c r="G4108" t="s">
        <v>8735</v>
      </c>
      <c r="H4108" t="n">
        <v>3057</v>
      </c>
      <c r="I4108" t="s">
        <v>14</v>
      </c>
      <c r="J4108" t="s">
        <v>18</v>
      </c>
      <c r="K4108" t="s">
        <v>30</v>
      </c>
      <c r="L4108" t="s">
        <v>20</v>
      </c>
      <c r="M4108" t="s">
        <v>8736</v>
      </c>
      <c r="N4108" t="s">
        <v>8737</v>
      </c>
    </row>
    <row r="4109" x14ac:dyDescent="0.25">
      <c r="A4109" t="n">
        <v>25</v>
      </c>
      <c r="B4109" t="s">
        <v>14</v>
      </c>
      <c r="C4109" t="s">
        <v>51</v>
      </c>
      <c r="D4109" s="2" t="s">
        <f>=HYPERLINK("https://main.knesset.gov.il/APPS/legislation/main/bills/2203342", "הצעת חוק פיקוח על בתי ספר (תיקון - איסור העסקת מורשעי ותומכי טרור ופיקוח על תכני הלימוד למניעת הסתה), התשפ""ג-2023")</f>
        <v>8738</v>
      </c>
      <c r="E4109" t="s">
        <v>8738</v>
      </c>
      <c r="F4109" t="s">
        <v>8739</v>
      </c>
      <c r="G4109" t="s">
        <v>14</v>
      </c>
      <c r="H4109">
             </c>
      <c r="I4109" t="s">
        <v>14</v>
      </c>
      <c r="J4109" t="s">
        <v>183</v>
      </c>
      <c r="K4109" t="s">
        <v>79</v>
      </c>
      <c r="L4109" t="s">
        <v>20</v>
      </c>
      <c r="M4109" t="s">
        <v>8736</v>
      </c>
      <c r="N4109" t="s">
        <v>14</v>
      </c>
    </row>
    <row r="4110" x14ac:dyDescent="0.25">
      <c r="A4110" t="n">
        <v>25</v>
      </c>
      <c r="B4110" t="s">
        <v>14</v>
      </c>
      <c r="C4110" t="s">
        <v>51</v>
      </c>
      <c r="D4110" s="2" t="s">
        <f>=HYPERLINK("https://main.knesset.gov.il/APPS/legislation/main/bills/2201046", "הצעת חוק למניעת הטרדה מינית (תיקון - החמרת ענישה בעבירות טרור לאומני), התשפ""ג-2023")</f>
        <v>8740</v>
      </c>
      <c r="E4110" t="s">
        <v>8740</v>
      </c>
      <c r="F4110" t="s">
        <v>8741</v>
      </c>
      <c r="G4110" t="s">
        <v>14</v>
      </c>
      <c r="H4110">
             </c>
      <c r="I4110" t="s">
        <v>14</v>
      </c>
      <c r="J4110" t="s">
        <v>183</v>
      </c>
      <c r="K4110" t="s">
        <v>14</v>
      </c>
      <c r="L4110" t="s">
        <v>20</v>
      </c>
      <c r="M4110" t="s">
        <v>8742</v>
      </c>
      <c r="N4110" t="s">
        <v>14</v>
      </c>
    </row>
    <row r="4111" x14ac:dyDescent="0.25">
      <c r="A4111" t="n">
        <v>25</v>
      </c>
      <c r="B4111" t="s">
        <v>14</v>
      </c>
      <c r="C4111" t="s">
        <v>15</v>
      </c>
      <c r="D4111" s="2" t="s">
        <f>=HYPERLINK("https://main.knesset.gov.il/APPS/legislation/main/bills/2207377", "חוק הרבנות הראשית לישראל (הארכת כהונה של הרבנים הראשיים לישראל ושל חברי מועצת הרבנות הראשית לישראל) (הוראת שעה), התשפ""ג-2023")</f>
        <v>8743</v>
      </c>
      <c r="E4111" t="s">
        <v>8743</v>
      </c>
      <c r="F4111" t="s">
        <v>14</v>
      </c>
      <c r="G4111" t="s">
        <v>8744</v>
      </c>
      <c r="H4111" t="n">
        <v>3056</v>
      </c>
      <c r="I4111" t="s">
        <v>14</v>
      </c>
      <c r="J4111" t="s">
        <v>18</v>
      </c>
      <c r="K4111" t="s">
        <v>27</v>
      </c>
      <c r="L4111" t="s">
        <v>20</v>
      </c>
      <c r="M4111" t="s">
        <v>8742</v>
      </c>
      <c r="N4111" t="s">
        <v>8745</v>
      </c>
    </row>
    <row r="4112" x14ac:dyDescent="0.25">
      <c r="A4112" t="n">
        <v>25</v>
      </c>
      <c r="B4112" t="s">
        <v>14</v>
      </c>
      <c r="C4112" t="s">
        <v>51</v>
      </c>
      <c r="D4112" s="2" t="s">
        <f>=HYPERLINK("https://main.knesset.gov.il/APPS/legislation/main/bills/2207757", "הצעת חוק הביטוח הלאומי (תיקון - תשלום גמלה בעד תקופה שקדמה להגשת התביעה), התשפ""ג-2023")</f>
        <v>8271</v>
      </c>
      <c r="E4112" t="s">
        <v>8271</v>
      </c>
      <c r="F4112" t="s">
        <v>8746</v>
      </c>
      <c r="G4112" t="s">
        <v>14</v>
      </c>
      <c r="H4112">
             </c>
      <c r="I4112" t="s">
        <v>14</v>
      </c>
      <c r="J4112" t="s">
        <v>242</v>
      </c>
      <c r="K4112" t="s">
        <v>14</v>
      </c>
      <c r="L4112" t="s">
        <v>20</v>
      </c>
      <c r="M4112" t="s">
        <v>8742</v>
      </c>
      <c r="N4112" t="s">
        <v>14</v>
      </c>
    </row>
    <row r="4113" x14ac:dyDescent="0.25">
      <c r="A4113" t="n">
        <v>25</v>
      </c>
      <c r="B4113" t="s">
        <v>14</v>
      </c>
      <c r="C4113" t="s">
        <v>51</v>
      </c>
      <c r="D4113" s="2" t="s">
        <f>=HYPERLINK("https://main.knesset.gov.il/APPS/legislation/main/bills/2207497", "הצעת חוק עובדים זרים (תיקון - אי-תחולת הסדר פנסיוני על עובד זר המועסק בחקלאות), התשפ""ג-2023")</f>
        <v>8747</v>
      </c>
      <c r="E4113" t="s">
        <v>8747</v>
      </c>
      <c r="F4113" t="s">
        <v>8748</v>
      </c>
      <c r="G4113" t="s">
        <v>14</v>
      </c>
      <c r="H4113">
             </c>
      <c r="I4113" t="s">
        <v>14</v>
      </c>
      <c r="J4113" t="s">
        <v>242</v>
      </c>
      <c r="K4113" t="s">
        <v>14</v>
      </c>
      <c r="L4113" t="s">
        <v>20</v>
      </c>
      <c r="M4113" t="s">
        <v>8742</v>
      </c>
      <c r="N4113" t="s">
        <v>14</v>
      </c>
    </row>
    <row r="4114" x14ac:dyDescent="0.25">
      <c r="A4114" t="n">
        <v>25</v>
      </c>
      <c r="B4114" t="s">
        <v>14</v>
      </c>
      <c r="C4114" t="s">
        <v>51</v>
      </c>
      <c r="D4114" s="2" t="s">
        <f>=HYPERLINK("https://main.knesset.gov.il/APPS/legislation/main/bills/2205551", "הצעת חוק לתיקון פקודת מס הכנסה (דחיית מימוש נקודות זיכוי לחיילים משוחררים), התשפ""ג-2023")</f>
        <v>8749</v>
      </c>
      <c r="E4114" t="s">
        <v>8749</v>
      </c>
      <c r="F4114" t="s">
        <v>8750</v>
      </c>
      <c r="G4114" t="s">
        <v>14</v>
      </c>
      <c r="H4114">
             </c>
      <c r="I4114" t="s">
        <v>14</v>
      </c>
      <c r="J4114" t="s">
        <v>242</v>
      </c>
      <c r="K4114" t="s">
        <v>14</v>
      </c>
      <c r="L4114" t="s">
        <v>20</v>
      </c>
      <c r="M4114" t="s">
        <v>8742</v>
      </c>
      <c r="N4114" t="s">
        <v>14</v>
      </c>
    </row>
    <row r="4115" x14ac:dyDescent="0.25">
      <c r="A4115" t="n">
        <v>25</v>
      </c>
      <c r="B4115" t="s">
        <v>14</v>
      </c>
      <c r="C4115" t="s">
        <v>51</v>
      </c>
      <c r="D4115" s="2" t="s">
        <f>=HYPERLINK("https://main.knesset.gov.il/APPS/legislation/main/bills/2207882", "הצעת חוק הבנקאות (שירות ללקוח) (תיקון - ריבית על יתרת זכות), התשפ""ג-2023")</f>
        <v>2536</v>
      </c>
      <c r="E4115" t="s">
        <v>2536</v>
      </c>
      <c r="F4115" t="s">
        <v>8751</v>
      </c>
      <c r="G4115" t="s">
        <v>14</v>
      </c>
      <c r="H4115">
             </c>
      <c r="I4115" t="s">
        <v>14</v>
      </c>
      <c r="J4115" t="s">
        <v>242</v>
      </c>
      <c r="K4115" t="s">
        <v>14</v>
      </c>
      <c r="L4115" t="s">
        <v>20</v>
      </c>
      <c r="M4115" t="s">
        <v>8742</v>
      </c>
      <c r="N4115" t="s">
        <v>14</v>
      </c>
    </row>
    <row r="4116" x14ac:dyDescent="0.25">
      <c r="A4116" t="n">
        <v>25</v>
      </c>
      <c r="B4116" t="s">
        <v>14</v>
      </c>
      <c r="C4116" t="s">
        <v>51</v>
      </c>
      <c r="D4116" s="2" t="s">
        <f>=HYPERLINK("https://main.knesset.gov.il/APPS/legislation/main/bills/2207435", "הצעת חוק לקידום התחרות ולצמצום הריכוזיות (תיקון - שירותי בנקאות כתחום תשתית חיונית), התשפ""ג-2023")</f>
        <v>8752</v>
      </c>
      <c r="E4116" t="s">
        <v>8752</v>
      </c>
      <c r="F4116" t="s">
        <v>8753</v>
      </c>
      <c r="G4116" t="s">
        <v>14</v>
      </c>
      <c r="H4116">
             </c>
      <c r="I4116" t="s">
        <v>14</v>
      </c>
      <c r="J4116" t="s">
        <v>242</v>
      </c>
      <c r="K4116" t="s">
        <v>14</v>
      </c>
      <c r="L4116" t="s">
        <v>20</v>
      </c>
      <c r="M4116" t="s">
        <v>8742</v>
      </c>
      <c r="N4116" t="s">
        <v>14</v>
      </c>
    </row>
    <row r="4117" x14ac:dyDescent="0.25">
      <c r="A4117" t="n">
        <v>25</v>
      </c>
      <c r="B4117" t="s">
        <v>14</v>
      </c>
      <c r="C4117" t="s">
        <v>51</v>
      </c>
      <c r="D4117" s="2" t="s">
        <f>=HYPERLINK("https://main.knesset.gov.il/APPS/legislation/main/bills/2207240", "הצעת חוק מס ערך מוסף (תיקון - מס בשיעור אפס על מוצרי היגיינה נשית), התשפ""ג-2023")</f>
        <v>8754</v>
      </c>
      <c r="E4117" t="s">
        <v>8754</v>
      </c>
      <c r="F4117" t="s">
        <v>8755</v>
      </c>
      <c r="G4117" t="s">
        <v>14</v>
      </c>
      <c r="H4117">
             </c>
      <c r="I4117" t="s">
        <v>14</v>
      </c>
      <c r="J4117" t="s">
        <v>242</v>
      </c>
      <c r="K4117" t="s">
        <v>14</v>
      </c>
      <c r="L4117" t="s">
        <v>20</v>
      </c>
      <c r="M4117" t="s">
        <v>8742</v>
      </c>
      <c r="N4117" t="s">
        <v>14</v>
      </c>
    </row>
    <row r="4118" x14ac:dyDescent="0.25">
      <c r="A4118" t="n">
        <v>25</v>
      </c>
      <c r="B4118" t="s">
        <v>14</v>
      </c>
      <c r="C4118" t="s">
        <v>51</v>
      </c>
      <c r="D4118" s="2" t="s">
        <f>=HYPERLINK("https://main.knesset.gov.il/APPS/legislation/main/bills/2207069", "הצעת חוק מס ערך מוסף (תיקון - מס בשיעור אפס על תרופות), התשפ""ג-2023")</f>
        <v>8233</v>
      </c>
      <c r="E4118" t="s">
        <v>8233</v>
      </c>
      <c r="F4118" t="s">
        <v>8756</v>
      </c>
      <c r="G4118" t="s">
        <v>14</v>
      </c>
      <c r="H4118">
             </c>
      <c r="I4118" t="s">
        <v>14</v>
      </c>
      <c r="J4118" t="s">
        <v>242</v>
      </c>
      <c r="K4118" t="s">
        <v>14</v>
      </c>
      <c r="L4118" t="s">
        <v>20</v>
      </c>
      <c r="M4118" t="s">
        <v>8742</v>
      </c>
      <c r="N4118" t="s">
        <v>14</v>
      </c>
    </row>
    <row r="4119" x14ac:dyDescent="0.25">
      <c r="A4119" t="n">
        <v>25</v>
      </c>
      <c r="B4119" t="s">
        <v>14</v>
      </c>
      <c r="C4119" t="s">
        <v>51</v>
      </c>
      <c r="D4119" s="2" t="s">
        <f>=HYPERLINK("https://main.knesset.gov.il/APPS/legislation/main/bills/2206413", "הצעת חוק סדר הדין הפלילי (תיקון - הגבלת משך זמן החקירה המשטרתית וטיפול התביעה בתיק החקירה עד להגשת כתב אישום), התשפ""ג-2023")</f>
        <v>8757</v>
      </c>
      <c r="E4119" t="s">
        <v>8757</v>
      </c>
      <c r="F4119" t="s">
        <v>8758</v>
      </c>
      <c r="G4119" t="s">
        <v>14</v>
      </c>
      <c r="H4119">
             </c>
      <c r="I4119" t="s">
        <v>14</v>
      </c>
      <c r="J4119" t="s">
        <v>242</v>
      </c>
      <c r="K4119" t="s">
        <v>14</v>
      </c>
      <c r="L4119" t="s">
        <v>20</v>
      </c>
      <c r="M4119" t="s">
        <v>8742</v>
      </c>
      <c r="N4119" t="s">
        <v>14</v>
      </c>
    </row>
    <row r="4120" x14ac:dyDescent="0.25">
      <c r="A4120" t="n">
        <v>25</v>
      </c>
      <c r="B4120" t="s">
        <v>14</v>
      </c>
      <c r="C4120" t="s">
        <v>51</v>
      </c>
      <c r="D4120" s="2" t="s">
        <f>=HYPERLINK("https://main.knesset.gov.il/APPS/legislation/main/bills/2207173", "הצעת חוק לשכת עורכי הדין (תיקון - התמחות ומבחני הסמכה), התשפ""ג-2023")</f>
        <v>8759</v>
      </c>
      <c r="E4120" t="s">
        <v>8759</v>
      </c>
      <c r="F4120" t="s">
        <v>8760</v>
      </c>
      <c r="G4120" t="s">
        <v>14</v>
      </c>
      <c r="H4120">
             </c>
      <c r="I4120" t="s">
        <v>14</v>
      </c>
      <c r="J4120" t="s">
        <v>242</v>
      </c>
      <c r="K4120" t="s">
        <v>14</v>
      </c>
      <c r="L4120" t="s">
        <v>20</v>
      </c>
      <c r="M4120" t="s">
        <v>8742</v>
      </c>
      <c r="N4120" t="s">
        <v>14</v>
      </c>
    </row>
    <row r="4121" x14ac:dyDescent="0.25">
      <c r="A4121" t="n">
        <v>25</v>
      </c>
      <c r="B4121" t="s">
        <v>14</v>
      </c>
      <c r="C4121" t="s">
        <v>51</v>
      </c>
      <c r="D4121" s="2" t="s">
        <f>=HYPERLINK("https://main.knesset.gov.il/APPS/legislation/main/bills/2206648", "הצעת חוק צער בעלי חיים (הגנה על בעלי חיים) (תיקון - איסור שימוש באביזרים חשמליים), התשפ""ג-2023")</f>
        <v>8761</v>
      </c>
      <c r="E4121" t="s">
        <v>8761</v>
      </c>
      <c r="F4121" t="s">
        <v>8762</v>
      </c>
      <c r="G4121" t="s">
        <v>14</v>
      </c>
      <c r="H4121">
             </c>
      <c r="I4121" t="s">
        <v>14</v>
      </c>
      <c r="J4121" t="s">
        <v>242</v>
      </c>
      <c r="K4121" t="s">
        <v>14</v>
      </c>
      <c r="L4121" t="s">
        <v>20</v>
      </c>
      <c r="M4121" t="s">
        <v>8742</v>
      </c>
      <c r="N4121" t="s">
        <v>14</v>
      </c>
    </row>
    <row r="4122" x14ac:dyDescent="0.25">
      <c r="A4122" t="n">
        <v>25</v>
      </c>
      <c r="B4122" t="s">
        <v>14</v>
      </c>
      <c r="C4122" t="s">
        <v>51</v>
      </c>
      <c r="D4122" s="2" t="s">
        <f>=HYPERLINK("https://main.knesset.gov.il/APPS/legislation/main/bills/2207050", "הצעת חוק יום הרבי מלובביץ' (ציון זכרו ופועלו), התשפ""ג-2023")</f>
        <v>8763</v>
      </c>
      <c r="E4122" t="s">
        <v>8763</v>
      </c>
      <c r="F4122" t="s">
        <v>8764</v>
      </c>
      <c r="G4122" t="s">
        <v>14</v>
      </c>
      <c r="H4122">
             </c>
      <c r="I4122" t="s">
        <v>14</v>
      </c>
      <c r="J4122" t="s">
        <v>242</v>
      </c>
      <c r="K4122" t="s">
        <v>14</v>
      </c>
      <c r="L4122" t="s">
        <v>20</v>
      </c>
      <c r="M4122" t="s">
        <v>8742</v>
      </c>
      <c r="N4122" t="s">
        <v>14</v>
      </c>
    </row>
    <row r="4123" x14ac:dyDescent="0.25">
      <c r="A4123" t="n">
        <v>25</v>
      </c>
      <c r="B4123" t="s">
        <v>14</v>
      </c>
      <c r="C4123" t="s">
        <v>51</v>
      </c>
      <c r="D4123" s="2" t="s">
        <f>=HYPERLINK("https://main.knesset.gov.il/APPS/legislation/main/bills/2207411", "הצעת חוק זכאות לאבחון לקויות למידה לילדים ממשפחות מעוטות יכולת, התשפ""ג-2023")</f>
        <v>4245</v>
      </c>
      <c r="E4123" t="s">
        <v>4245</v>
      </c>
      <c r="F4123" t="s">
        <v>8765</v>
      </c>
      <c r="G4123" t="s">
        <v>14</v>
      </c>
      <c r="H4123">
             </c>
      <c r="I4123" t="s">
        <v>14</v>
      </c>
      <c r="J4123" t="s">
        <v>242</v>
      </c>
      <c r="K4123" t="s">
        <v>14</v>
      </c>
      <c r="L4123" t="s">
        <v>20</v>
      </c>
      <c r="M4123" t="s">
        <v>8742</v>
      </c>
      <c r="N4123" t="s">
        <v>14</v>
      </c>
    </row>
    <row r="4124" x14ac:dyDescent="0.25">
      <c r="A4124" t="n">
        <v>25</v>
      </c>
      <c r="B4124" t="s">
        <v>14</v>
      </c>
      <c r="C4124" t="s">
        <v>51</v>
      </c>
      <c r="D4124" s="2" t="s">
        <f>=HYPERLINK("https://main.knesset.gov.il/APPS/legislation/main/bills/2207079", "הצעת חוק מעונות סטודנטים, התשפ""ג-2023")</f>
        <v>8766</v>
      </c>
      <c r="E4124" t="s">
        <v>8766</v>
      </c>
      <c r="F4124" t="s">
        <v>8767</v>
      </c>
      <c r="G4124" t="s">
        <v>14</v>
      </c>
      <c r="H4124">
             </c>
      <c r="I4124" t="s">
        <v>14</v>
      </c>
      <c r="J4124" t="s">
        <v>242</v>
      </c>
      <c r="K4124" t="s">
        <v>14</v>
      </c>
      <c r="L4124" t="s">
        <v>20</v>
      </c>
      <c r="M4124" t="s">
        <v>8742</v>
      </c>
      <c r="N4124" t="s">
        <v>14</v>
      </c>
    </row>
    <row r="4125" x14ac:dyDescent="0.25">
      <c r="A4125" t="n">
        <v>25</v>
      </c>
      <c r="B4125" t="s">
        <v>14</v>
      </c>
      <c r="C4125" t="s">
        <v>51</v>
      </c>
      <c r="D4125" s="2" t="s">
        <f>=HYPERLINK("https://main.knesset.gov.il/APPS/legislation/main/bills/2207865", "הצעת חוק המועצה הלאומית לשפת הסימנים, התשפ""ג-2023")</f>
        <v>8768</v>
      </c>
      <c r="E4125" t="s">
        <v>8768</v>
      </c>
      <c r="F4125" t="s">
        <v>8769</v>
      </c>
      <c r="G4125" t="s">
        <v>14</v>
      </c>
      <c r="H4125">
             </c>
      <c r="I4125" t="s">
        <v>14</v>
      </c>
      <c r="J4125" t="s">
        <v>242</v>
      </c>
      <c r="K4125" t="s">
        <v>14</v>
      </c>
      <c r="L4125" t="s">
        <v>20</v>
      </c>
      <c r="M4125" t="s">
        <v>8742</v>
      </c>
      <c r="N4125" t="s">
        <v>14</v>
      </c>
    </row>
    <row r="4126" x14ac:dyDescent="0.25">
      <c r="A4126" t="n">
        <v>25</v>
      </c>
      <c r="B4126" t="s">
        <v>14</v>
      </c>
      <c r="C4126" t="s">
        <v>51</v>
      </c>
      <c r="D4126" s="2" t="s">
        <f>=HYPERLINK("https://main.knesset.gov.il/APPS/legislation/main/bills/2207660", "הצעת חוק להקמת טכניון בנגב, התשפ""ג-2023")</f>
        <v>8770</v>
      </c>
      <c r="E4126" t="s">
        <v>8770</v>
      </c>
      <c r="F4126" t="s">
        <v>8771</v>
      </c>
      <c r="G4126" t="s">
        <v>14</v>
      </c>
      <c r="H4126">
             </c>
      <c r="I4126" t="s">
        <v>14</v>
      </c>
      <c r="J4126" t="s">
        <v>242</v>
      </c>
      <c r="K4126" t="s">
        <v>14</v>
      </c>
      <c r="L4126" t="s">
        <v>20</v>
      </c>
      <c r="M4126" t="s">
        <v>8742</v>
      </c>
      <c r="N4126" t="s">
        <v>14</v>
      </c>
    </row>
    <row r="4127" x14ac:dyDescent="0.25">
      <c r="A4127" t="n">
        <v>25</v>
      </c>
      <c r="B4127" t="s">
        <v>14</v>
      </c>
      <c r="C4127" t="s">
        <v>51</v>
      </c>
      <c r="D4127" s="2" t="s">
        <f>=HYPERLINK("https://main.knesset.gov.il/APPS/legislation/main/bills/2206215", "הצעת חוק לתיקון פקודת התעבורה (הוראות לעניין סככות המתנה בתחנות אוטובוס), התשפ""ג-2023")</f>
        <v>8772</v>
      </c>
      <c r="E4127" t="s">
        <v>8772</v>
      </c>
      <c r="F4127" t="s">
        <v>8773</v>
      </c>
      <c r="G4127" t="s">
        <v>14</v>
      </c>
      <c r="H4127">
             </c>
      <c r="I4127" t="s">
        <v>14</v>
      </c>
      <c r="J4127" t="s">
        <v>242</v>
      </c>
      <c r="K4127" t="s">
        <v>14</v>
      </c>
      <c r="L4127" t="s">
        <v>20</v>
      </c>
      <c r="M4127" t="s">
        <v>8742</v>
      </c>
      <c r="N4127" t="s">
        <v>14</v>
      </c>
    </row>
    <row r="4128" x14ac:dyDescent="0.25">
      <c r="A4128" t="n">
        <v>25</v>
      </c>
      <c r="B4128" t="s">
        <v>14</v>
      </c>
      <c r="C4128" t="s">
        <v>51</v>
      </c>
      <c r="D4128" s="2" t="s">
        <f>=HYPERLINK("https://main.knesset.gov.il/APPS/legislation/main/bills/2207844", "הצעת חוק לתיקון פקודת התעבורה (ביטול קנס בשל רכישת מערכות בטיחות מתקדמות), התשפ""ג-2023")</f>
        <v>8774</v>
      </c>
      <c r="E4128" t="s">
        <v>8774</v>
      </c>
      <c r="F4128" t="s">
        <v>8775</v>
      </c>
      <c r="G4128" t="s">
        <v>14</v>
      </c>
      <c r="H4128">
             </c>
      <c r="I4128" t="s">
        <v>14</v>
      </c>
      <c r="J4128" t="s">
        <v>242</v>
      </c>
      <c r="K4128" t="s">
        <v>14</v>
      </c>
      <c r="L4128" t="s">
        <v>20</v>
      </c>
      <c r="M4128" t="s">
        <v>8742</v>
      </c>
      <c r="N4128" t="s">
        <v>14</v>
      </c>
    </row>
    <row r="4129" x14ac:dyDescent="0.25">
      <c r="A4129" t="n">
        <v>25</v>
      </c>
      <c r="B4129" t="s">
        <v>14</v>
      </c>
      <c r="C4129" t="s">
        <v>51</v>
      </c>
      <c r="D4129" s="2" t="s">
        <f>=HYPERLINK("https://main.knesset.gov.il/APPS/legislation/main/bills/2206340", "הצעת חוק להפחתת סכום הפיצוי הכספי בשל נסיעה ללא תיקוף כרטיס בתחבורה ציבורית (תיקוני חקיקה), התשפ""ג-2023")</f>
        <v>4452</v>
      </c>
      <c r="E4129" t="s">
        <v>4452</v>
      </c>
      <c r="F4129" t="s">
        <v>8776</v>
      </c>
      <c r="G4129" t="s">
        <v>14</v>
      </c>
      <c r="H4129">
             </c>
      <c r="I4129" t="s">
        <v>14</v>
      </c>
      <c r="J4129" t="s">
        <v>242</v>
      </c>
      <c r="K4129" t="s">
        <v>14</v>
      </c>
      <c r="L4129" t="s">
        <v>20</v>
      </c>
      <c r="M4129" t="s">
        <v>8742</v>
      </c>
      <c r="N4129" t="s">
        <v>14</v>
      </c>
    </row>
    <row r="4130" x14ac:dyDescent="0.25">
      <c r="A4130" t="n">
        <v>25</v>
      </c>
      <c r="B4130" t="s">
        <v>14</v>
      </c>
      <c r="C4130" t="s">
        <v>51</v>
      </c>
      <c r="D4130" s="2" t="s">
        <f>=HYPERLINK("https://main.knesset.gov.il/APPS/legislation/main/bills/2206815", "הצעת חוק-יסוד: השפיטה (תיקון - הגבלת זכות העמידה לתאגידים המקבלים מימון מישות מדינית זרה) ")</f>
        <v>8777</v>
      </c>
      <c r="E4130" t="s">
        <v>8777</v>
      </c>
      <c r="F4130" t="s">
        <v>8778</v>
      </c>
      <c r="G4130" t="s">
        <v>14</v>
      </c>
      <c r="H4130">
             </c>
      <c r="I4130" t="s">
        <v>14</v>
      </c>
      <c r="J4130" t="s">
        <v>242</v>
      </c>
      <c r="K4130" t="s">
        <v>14</v>
      </c>
      <c r="L4130" t="s">
        <v>20</v>
      </c>
      <c r="M4130" t="s">
        <v>8742</v>
      </c>
      <c r="N4130" t="s">
        <v>14</v>
      </c>
    </row>
    <row r="4131" x14ac:dyDescent="0.25">
      <c r="A4131" t="n">
        <v>25</v>
      </c>
      <c r="B4131" t="s">
        <v>14</v>
      </c>
      <c r="C4131" t="s">
        <v>51</v>
      </c>
      <c r="D4131" s="2" t="s">
        <f>=HYPERLINK("https://main.knesset.gov.il/APPS/legislation/main/bills/2207354", "הצעת חוק הצבעה גלויה בכנסת (תיקוני חקיקה), התשפ""ג-2023")</f>
        <v>8779</v>
      </c>
      <c r="E4131" t="s">
        <v>8779</v>
      </c>
      <c r="F4131" t="s">
        <v>8780</v>
      </c>
      <c r="G4131" t="s">
        <v>14</v>
      </c>
      <c r="H4131">
             </c>
      <c r="I4131" t="s">
        <v>14</v>
      </c>
      <c r="J4131" t="s">
        <v>242</v>
      </c>
      <c r="K4131" t="s">
        <v>14</v>
      </c>
      <c r="L4131" t="s">
        <v>20</v>
      </c>
      <c r="M4131" t="s">
        <v>8742</v>
      </c>
      <c r="N4131" t="s">
        <v>14</v>
      </c>
    </row>
    <row r="4132" x14ac:dyDescent="0.25">
      <c r="A4132" t="n">
        <v>25</v>
      </c>
      <c r="B4132" t="s">
        <v>14</v>
      </c>
      <c r="C4132" t="s">
        <v>51</v>
      </c>
      <c r="D4132" s="2" t="s">
        <f>=HYPERLINK("https://main.knesset.gov.il/APPS/legislation/main/bills/2207345", "הצעת חוק בתי המשפט (תיקון - בחירות גלויות לוועדה לבחירת שופטים), התשפ""ג-2023")</f>
        <v>8781</v>
      </c>
      <c r="E4132" t="s">
        <v>8781</v>
      </c>
      <c r="F4132" t="s">
        <v>8782</v>
      </c>
      <c r="G4132" t="s">
        <v>14</v>
      </c>
      <c r="H4132">
             </c>
      <c r="I4132" t="s">
        <v>14</v>
      </c>
      <c r="J4132" t="s">
        <v>242</v>
      </c>
      <c r="K4132" t="s">
        <v>14</v>
      </c>
      <c r="L4132" t="s">
        <v>20</v>
      </c>
      <c r="M4132" t="s">
        <v>8742</v>
      </c>
      <c r="N4132" t="s">
        <v>14</v>
      </c>
    </row>
    <row r="4133" x14ac:dyDescent="0.25">
      <c r="A4133" t="n">
        <v>25</v>
      </c>
      <c r="B4133" t="s">
        <v>14</v>
      </c>
      <c r="C4133" t="s">
        <v>51</v>
      </c>
      <c r="D4133" s="2" t="s">
        <f>=HYPERLINK("https://main.knesset.gov.il/APPS/legislation/main/bills/2206073", "הצעת חוק איסור אלימות בספורט (תיקון - החמרת ענישה על כניסה לשדה משחק), התשפ""ג-2023")</f>
        <v>8783</v>
      </c>
      <c r="E4133" t="s">
        <v>8783</v>
      </c>
      <c r="F4133" t="s">
        <v>8784</v>
      </c>
      <c r="G4133" t="s">
        <v>14</v>
      </c>
      <c r="H4133">
             </c>
      <c r="I4133" t="s">
        <v>14</v>
      </c>
      <c r="J4133" t="s">
        <v>242</v>
      </c>
      <c r="K4133" t="s">
        <v>14</v>
      </c>
      <c r="L4133" t="s">
        <v>20</v>
      </c>
      <c r="M4133" t="s">
        <v>8742</v>
      </c>
      <c r="N4133" t="s">
        <v>14</v>
      </c>
    </row>
    <row r="4134" x14ac:dyDescent="0.25">
      <c r="A4134" t="n">
        <v>25</v>
      </c>
      <c r="B4134" t="s">
        <v>14</v>
      </c>
      <c r="C4134" t="s">
        <v>51</v>
      </c>
      <c r="D4134" s="2" t="s">
        <f>=HYPERLINK("https://main.knesset.gov.il/APPS/legislation/main/bills/2207384", "הצעת חוק שיפוט בתי דין רבניים (נישואין וגירושין) (תיקון - מינוי נציגות ציבור), התשפ""ג-2023 ")</f>
        <v>8785</v>
      </c>
      <c r="E4134" t="s">
        <v>8785</v>
      </c>
      <c r="F4134" t="s">
        <v>8786</v>
      </c>
      <c r="G4134" t="s">
        <v>14</v>
      </c>
      <c r="H4134">
             </c>
      <c r="I4134" t="s">
        <v>14</v>
      </c>
      <c r="J4134" t="s">
        <v>242</v>
      </c>
      <c r="K4134" t="s">
        <v>14</v>
      </c>
      <c r="L4134" t="s">
        <v>20</v>
      </c>
      <c r="M4134" t="s">
        <v>8742</v>
      </c>
      <c r="N4134" t="s">
        <v>14</v>
      </c>
    </row>
    <row r="4135" x14ac:dyDescent="0.25">
      <c r="A4135" t="n">
        <v>25</v>
      </c>
      <c r="B4135" t="s">
        <v>14</v>
      </c>
      <c r="C4135" t="s">
        <v>51</v>
      </c>
      <c r="D4135" s="2" t="s">
        <f>=HYPERLINK("https://main.knesset.gov.il/APPS/legislation/main/bills/2198762", "הצעת חוק הרשויות המקומיות (גמול השתתפות בישיבות והחזר הוצאות לחברי מועצה), התשפ""ג-2023")</f>
        <v>3064</v>
      </c>
      <c r="E4135" t="s">
        <v>3064</v>
      </c>
      <c r="F4135" t="s">
        <v>8787</v>
      </c>
      <c r="G4135" t="s">
        <v>14</v>
      </c>
      <c r="H4135">
             </c>
      <c r="I4135" t="s">
        <v>14</v>
      </c>
      <c r="J4135" t="s">
        <v>242</v>
      </c>
      <c r="K4135" t="s">
        <v>14</v>
      </c>
      <c r="L4135" t="s">
        <v>20</v>
      </c>
      <c r="M4135" t="s">
        <v>8742</v>
      </c>
      <c r="N4135" t="s">
        <v>14</v>
      </c>
    </row>
    <row r="4136" x14ac:dyDescent="0.25">
      <c r="A4136" t="n">
        <v>25</v>
      </c>
      <c r="B4136" t="s">
        <v>14</v>
      </c>
      <c r="C4136" t="s">
        <v>51</v>
      </c>
      <c r="D4136" s="2" t="s">
        <f>=HYPERLINK("https://main.knesset.gov.il/APPS/legislation/main/bills/2202472", "הצעת חוק זכויות הדייר בדיור הציבורי (תיקון - זכאות לאם יחידנית המקבלת תשלומי מזונות מהמוסד לביטוח לאומי), ‏התשפ""ג-2023")</f>
        <v>8788</v>
      </c>
      <c r="E4136" t="s">
        <v>8788</v>
      </c>
      <c r="F4136" t="s">
        <v>8789</v>
      </c>
      <c r="G4136" t="s">
        <v>14</v>
      </c>
      <c r="H4136">
             </c>
      <c r="I4136" t="s">
        <v>14</v>
      </c>
      <c r="J4136" t="s">
        <v>242</v>
      </c>
      <c r="K4136" t="s">
        <v>14</v>
      </c>
      <c r="L4136" t="s">
        <v>20</v>
      </c>
      <c r="M4136" t="s">
        <v>8742</v>
      </c>
      <c r="N4136" t="s">
        <v>14</v>
      </c>
    </row>
    <row r="4137" x14ac:dyDescent="0.25">
      <c r="A4137" t="n">
        <v>25</v>
      </c>
      <c r="B4137" t="s">
        <v>14</v>
      </c>
      <c r="C4137" t="s">
        <v>51</v>
      </c>
      <c r="D4137" s="2" t="s">
        <f>=HYPERLINK("https://main.knesset.gov.il/APPS/legislation/main/bills/2207151", "הצעת חוק הביטוח הלאומי (תיקון - דמי לידה לעצמאיות - מתן זכות לעבודה חלקית), התשפ""ג-2023")</f>
        <v>2022</v>
      </c>
      <c r="E4137" t="s">
        <v>2022</v>
      </c>
      <c r="F4137" t="s">
        <v>8790</v>
      </c>
      <c r="G4137" t="s">
        <v>14</v>
      </c>
      <c r="H4137">
             </c>
      <c r="I4137" t="s">
        <v>14</v>
      </c>
      <c r="J4137" t="s">
        <v>242</v>
      </c>
      <c r="K4137" t="s">
        <v>14</v>
      </c>
      <c r="L4137" t="s">
        <v>20</v>
      </c>
      <c r="M4137" t="s">
        <v>8742</v>
      </c>
      <c r="N4137" t="s">
        <v>14</v>
      </c>
    </row>
    <row r="4138" x14ac:dyDescent="0.25">
      <c r="A4138" t="n">
        <v>25</v>
      </c>
      <c r="B4138" t="s">
        <v>14</v>
      </c>
      <c r="C4138" t="s">
        <v>51</v>
      </c>
      <c r="D4138" s="2" t="s">
        <f>=HYPERLINK("https://main.knesset.gov.il/APPS/legislation/main/bills/2207852", "הצעת חוק הבטחת הכנסה (תיקון - תוספת לגמלה בעד הילד השלישי ואילך), התשפ""ג- 2023")</f>
        <v>8791</v>
      </c>
      <c r="E4138" t="s">
        <v>8791</v>
      </c>
      <c r="F4138" t="s">
        <v>8792</v>
      </c>
      <c r="G4138" t="s">
        <v>14</v>
      </c>
      <c r="H4138">
             </c>
      <c r="I4138" t="s">
        <v>14</v>
      </c>
      <c r="J4138" t="s">
        <v>242</v>
      </c>
      <c r="K4138" t="s">
        <v>14</v>
      </c>
      <c r="L4138" t="s">
        <v>20</v>
      </c>
      <c r="M4138" t="s">
        <v>8742</v>
      </c>
      <c r="N4138" t="s">
        <v>14</v>
      </c>
    </row>
    <row r="4139" x14ac:dyDescent="0.25">
      <c r="A4139" t="n">
        <v>25</v>
      </c>
      <c r="B4139" t="s">
        <v>14</v>
      </c>
      <c r="C4139" t="s">
        <v>51</v>
      </c>
      <c r="D4139" s="2" t="s">
        <f>=HYPERLINK("https://main.knesset.gov.il/APPS/legislation/main/bills/2207434", "הצעת חוק הביטוח הלאומי (תיקון - תנאי זכאות לדמי לידה), התשפ""ג-2023")</f>
        <v>8793</v>
      </c>
      <c r="E4139" t="s">
        <v>8793</v>
      </c>
      <c r="F4139" t="s">
        <v>8794</v>
      </c>
      <c r="G4139" t="s">
        <v>14</v>
      </c>
      <c r="H4139">
             </c>
      <c r="I4139" t="s">
        <v>14</v>
      </c>
      <c r="J4139" t="s">
        <v>242</v>
      </c>
      <c r="K4139" t="s">
        <v>14</v>
      </c>
      <c r="L4139" t="s">
        <v>20</v>
      </c>
      <c r="M4139" t="s">
        <v>8742</v>
      </c>
      <c r="N4139" t="s">
        <v>14</v>
      </c>
    </row>
    <row r="4140" x14ac:dyDescent="0.25">
      <c r="A4140" t="n">
        <v>25</v>
      </c>
      <c r="B4140" t="s">
        <v>14</v>
      </c>
      <c r="C4140" t="s">
        <v>51</v>
      </c>
      <c r="D4140" s="2" t="s">
        <f>=HYPERLINK("https://main.knesset.gov.il/APPS/legislation/main/bills/2200806", "הצעת חוק הסדרת העיסוק במקצועות הבריאות (תיקון - טיפול באמצעות אמנויות), התשפ""ג-2023")</f>
        <v>8716</v>
      </c>
      <c r="E4140" t="s">
        <v>8716</v>
      </c>
      <c r="F4140" t="s">
        <v>8795</v>
      </c>
      <c r="G4140" t="s">
        <v>14</v>
      </c>
      <c r="H4140">
             </c>
      <c r="I4140" t="s">
        <v>14</v>
      </c>
      <c r="J4140" t="s">
        <v>242</v>
      </c>
      <c r="K4140" t="s">
        <v>14</v>
      </c>
      <c r="L4140" t="s">
        <v>20</v>
      </c>
      <c r="M4140" t="s">
        <v>8742</v>
      </c>
      <c r="N4140" t="s">
        <v>14</v>
      </c>
    </row>
    <row r="4141" x14ac:dyDescent="0.25">
      <c r="A4141" t="n">
        <v>25</v>
      </c>
      <c r="B4141" t="s">
        <v>14</v>
      </c>
      <c r="C4141" t="s">
        <v>51</v>
      </c>
      <c r="D4141" s="2" t="s">
        <f>=HYPERLINK("https://main.knesset.gov.il/APPS/legislation/main/bills/2207534", "הצעת חוק העונשין (תיקון - הוספת עבירה של גביית דמי חסות), התשפ""ג-2023")</f>
        <v>8796</v>
      </c>
      <c r="E4141" t="s">
        <v>8796</v>
      </c>
      <c r="F4141" t="s">
        <v>8797</v>
      </c>
      <c r="G4141" t="s">
        <v>14</v>
      </c>
      <c r="H4141">
             </c>
      <c r="I4141" t="s">
        <v>14</v>
      </c>
      <c r="J4141" t="s">
        <v>242</v>
      </c>
      <c r="K4141" t="s">
        <v>14</v>
      </c>
      <c r="L4141" t="s">
        <v>20</v>
      </c>
      <c r="M4141" t="s">
        <v>8742</v>
      </c>
      <c r="N4141" t="s">
        <v>14</v>
      </c>
    </row>
    <row r="4142" x14ac:dyDescent="0.25">
      <c r="A4142" t="n">
        <v>25</v>
      </c>
      <c r="B4142" t="s">
        <v>14</v>
      </c>
      <c r="C4142" t="s">
        <v>51</v>
      </c>
      <c r="D4142" s="2" t="s">
        <f>=HYPERLINK("https://main.knesset.gov.il/APPS/legislation/main/bills/2207245", "הצעת חוק הביטוח הלאומי (תיקון - שמירת היריון חלקית), התשפ""ג-2023")</f>
        <v>8798</v>
      </c>
      <c r="E4142" t="s">
        <v>8798</v>
      </c>
      <c r="F4142" t="s">
        <v>8799</v>
      </c>
      <c r="G4142" t="s">
        <v>14</v>
      </c>
      <c r="H4142">
             </c>
      <c r="I4142" t="s">
        <v>14</v>
      </c>
      <c r="J4142" t="s">
        <v>242</v>
      </c>
      <c r="K4142" t="s">
        <v>14</v>
      </c>
      <c r="L4142" t="s">
        <v>20</v>
      </c>
      <c r="M4142" t="s">
        <v>8742</v>
      </c>
      <c r="N4142" t="s">
        <v>14</v>
      </c>
    </row>
    <row r="4143" x14ac:dyDescent="0.25">
      <c r="A4143" t="n">
        <v>25</v>
      </c>
      <c r="B4143" t="s">
        <v>14</v>
      </c>
      <c r="C4143" t="s">
        <v>51</v>
      </c>
      <c r="D4143" s="2" t="s">
        <f>=HYPERLINK("https://main.knesset.gov.il/APPS/legislation/main/bills/2207028", "הצעת חוק ייצוא קנאביס למטרות רפואיות, התשפ""ג-2023")</f>
        <v>8800</v>
      </c>
      <c r="E4143" t="s">
        <v>8800</v>
      </c>
      <c r="F4143" t="s">
        <v>8801</v>
      </c>
      <c r="G4143" t="s">
        <v>14</v>
      </c>
      <c r="H4143">
             </c>
      <c r="I4143" t="s">
        <v>14</v>
      </c>
      <c r="J4143" t="s">
        <v>242</v>
      </c>
      <c r="K4143" t="s">
        <v>14</v>
      </c>
      <c r="L4143" t="s">
        <v>20</v>
      </c>
      <c r="M4143" t="s">
        <v>8742</v>
      </c>
      <c r="N4143" t="s">
        <v>14</v>
      </c>
    </row>
    <row r="4144" x14ac:dyDescent="0.25">
      <c r="A4144" t="n">
        <v>25</v>
      </c>
      <c r="B4144" t="s">
        <v>14</v>
      </c>
      <c r="C4144" t="s">
        <v>51</v>
      </c>
      <c r="D4144" s="2" t="s">
        <f>=HYPERLINK("https://main.knesset.gov.il/APPS/legislation/main/bills/2207692", "הצעת חוק התפזרות הכנסת העשרים וחמש, התשפ""ג-2023")</f>
        <v>691</v>
      </c>
      <c r="E4144" t="s">
        <v>691</v>
      </c>
      <c r="F4144" t="s">
        <v>8802</v>
      </c>
      <c r="G4144" t="s">
        <v>14</v>
      </c>
      <c r="H4144">
             </c>
      <c r="I4144" t="s">
        <v>14</v>
      </c>
      <c r="J4144" t="s">
        <v>242</v>
      </c>
      <c r="K4144" t="s">
        <v>14</v>
      </c>
      <c r="L4144" t="s">
        <v>20</v>
      </c>
      <c r="M4144" t="s">
        <v>8742</v>
      </c>
      <c r="N4144" t="s">
        <v>14</v>
      </c>
    </row>
    <row r="4145" x14ac:dyDescent="0.25">
      <c r="A4145" t="n">
        <v>25</v>
      </c>
      <c r="B4145" t="s">
        <v>14</v>
      </c>
      <c r="C4145" t="s">
        <v>51</v>
      </c>
      <c r="D4145" s="2" t="s">
        <f>=HYPERLINK("https://main.knesset.gov.il/APPS/legislation/main/bills/2207855", "הצעת חוק העונשין (תיקון - תקיפת עובד מערך בריאות), התשפ""ג-2023")</f>
        <v>8803</v>
      </c>
      <c r="E4145" t="s">
        <v>8803</v>
      </c>
      <c r="F4145" t="s">
        <v>8804</v>
      </c>
      <c r="G4145" t="s">
        <v>14</v>
      </c>
      <c r="H4145">
             </c>
      <c r="I4145" t="s">
        <v>14</v>
      </c>
      <c r="J4145" t="s">
        <v>242</v>
      </c>
      <c r="K4145" t="s">
        <v>14</v>
      </c>
      <c r="L4145" t="s">
        <v>20</v>
      </c>
      <c r="M4145" t="s">
        <v>8742</v>
      </c>
      <c r="N4145" t="s">
        <v>14</v>
      </c>
    </row>
    <row r="4146" x14ac:dyDescent="0.25">
      <c r="A4146" t="n">
        <v>25</v>
      </c>
      <c r="B4146" t="s">
        <v>14</v>
      </c>
      <c r="C4146" t="s">
        <v>51</v>
      </c>
      <c r="D4146" s="2" t="s">
        <f>=HYPERLINK("https://main.knesset.gov.il/APPS/legislation/main/bills/2206261", "הצעת חוק זכויות הסטודנט (תיקון - החזר תשלום שכר לימוד לסטודנטים בגין שביתה), התשפ""ג-2023")</f>
        <v>8805</v>
      </c>
      <c r="E4146" t="s">
        <v>8805</v>
      </c>
      <c r="F4146" t="s">
        <v>8806</v>
      </c>
      <c r="G4146" t="s">
        <v>14</v>
      </c>
      <c r="H4146">
             </c>
      <c r="I4146" t="s">
        <v>14</v>
      </c>
      <c r="J4146" t="s">
        <v>242</v>
      </c>
      <c r="K4146" t="s">
        <v>14</v>
      </c>
      <c r="L4146" t="s">
        <v>20</v>
      </c>
      <c r="M4146" t="s">
        <v>8742</v>
      </c>
      <c r="N4146" t="s">
        <v>14</v>
      </c>
    </row>
    <row r="4147" x14ac:dyDescent="0.25">
      <c r="A4147" t="n">
        <v>25</v>
      </c>
      <c r="B4147" t="s">
        <v>14</v>
      </c>
      <c r="C4147" t="s">
        <v>51</v>
      </c>
      <c r="D4147" s="2" t="s">
        <f>=HYPERLINK("https://main.knesset.gov.il/APPS/legislation/main/bills/2207027", "הצעת חוק לתיקון פקודת המשטרה (התקהלות בלתי חוקית מול ביתו של איש ציבור), התשפ""ג-2023")</f>
        <v>8807</v>
      </c>
      <c r="E4147" t="s">
        <v>8807</v>
      </c>
      <c r="F4147" t="s">
        <v>8808</v>
      </c>
      <c r="G4147" t="s">
        <v>14</v>
      </c>
      <c r="H4147">
             </c>
      <c r="I4147" t="s">
        <v>14</v>
      </c>
      <c r="J4147" t="s">
        <v>242</v>
      </c>
      <c r="K4147" t="s">
        <v>14</v>
      </c>
      <c r="L4147" t="s">
        <v>20</v>
      </c>
      <c r="M4147" t="s">
        <v>8742</v>
      </c>
      <c r="N4147" t="s">
        <v>14</v>
      </c>
    </row>
    <row r="4148" x14ac:dyDescent="0.25">
      <c r="A4148" t="n">
        <v>25</v>
      </c>
      <c r="B4148" t="s">
        <v>14</v>
      </c>
      <c r="C4148" t="s">
        <v>51</v>
      </c>
      <c r="D4148" s="2" t="s">
        <f>=HYPERLINK("https://main.knesset.gov.il/APPS/legislation/main/bills/2205512", "הצעת חוק חתימה אלקטרונית (תיקון - הגבלת הנפקת תעודות אלקטרוניות מאושרות בידי המדינה), התשפ""ג-2023")</f>
        <v>8809</v>
      </c>
      <c r="E4148" t="s">
        <v>8809</v>
      </c>
      <c r="F4148" t="s">
        <v>8810</v>
      </c>
      <c r="G4148" t="s">
        <v>14</v>
      </c>
      <c r="H4148">
             </c>
      <c r="I4148" t="s">
        <v>14</v>
      </c>
      <c r="J4148" t="s">
        <v>242</v>
      </c>
      <c r="K4148" t="s">
        <v>14</v>
      </c>
      <c r="L4148" t="s">
        <v>20</v>
      </c>
      <c r="M4148" t="s">
        <v>8742</v>
      </c>
      <c r="N4148" t="s">
        <v>14</v>
      </c>
    </row>
    <row r="4149" x14ac:dyDescent="0.25">
      <c r="A4149" t="n">
        <v>25</v>
      </c>
      <c r="B4149" t="s">
        <v>14</v>
      </c>
      <c r="C4149" t="s">
        <v>51</v>
      </c>
      <c r="D4149" s="2" t="s">
        <f>=HYPERLINK("https://main.knesset.gov.il/APPS/legislation/main/bills/2207859", "הצעת חוק העונשין (תיקון - תקיפת עורך דין כתקיפת עובד ציבור), התשפ""ג-2023")</f>
        <v>8811</v>
      </c>
      <c r="E4149" t="s">
        <v>8811</v>
      </c>
      <c r="F4149" t="s">
        <v>8812</v>
      </c>
      <c r="G4149" t="s">
        <v>14</v>
      </c>
      <c r="H4149">
             </c>
      <c r="I4149" t="s">
        <v>14</v>
      </c>
      <c r="J4149" t="s">
        <v>242</v>
      </c>
      <c r="K4149" t="s">
        <v>14</v>
      </c>
      <c r="L4149" t="s">
        <v>20</v>
      </c>
      <c r="M4149" t="s">
        <v>8742</v>
      </c>
      <c r="N4149" t="s">
        <v>14</v>
      </c>
    </row>
    <row r="4150" x14ac:dyDescent="0.25">
      <c r="A4150" t="n">
        <v>25</v>
      </c>
      <c r="B4150" t="s">
        <v>14</v>
      </c>
      <c r="C4150" t="s">
        <v>51</v>
      </c>
      <c r="D4150" s="2" t="s">
        <f>=HYPERLINK("https://main.knesset.gov.il/APPS/legislation/main/bills/2206861", "הצעת חוק מרשם האוכלוסין (תיקון - רישום ילד שנפטר), התשפ""ג-2023")</f>
        <v>8813</v>
      </c>
      <c r="E4150" t="s">
        <v>8813</v>
      </c>
      <c r="F4150" t="s">
        <v>8814</v>
      </c>
      <c r="G4150" t="s">
        <v>14</v>
      </c>
      <c r="H4150">
             </c>
      <c r="I4150" t="s">
        <v>14</v>
      </c>
      <c r="J4150" t="s">
        <v>242</v>
      </c>
      <c r="K4150" t="s">
        <v>14</v>
      </c>
      <c r="L4150" t="s">
        <v>20</v>
      </c>
      <c r="M4150" t="s">
        <v>8742</v>
      </c>
      <c r="N4150" t="s">
        <v>14</v>
      </c>
    </row>
    <row r="4151" x14ac:dyDescent="0.25">
      <c r="A4151" t="n">
        <v>25</v>
      </c>
      <c r="B4151" t="s">
        <v>14</v>
      </c>
      <c r="C4151" t="s">
        <v>51</v>
      </c>
      <c r="D4151" s="2" t="s">
        <f>=HYPERLINK("https://main.knesset.gov.il/APPS/legislation/main/bills/2206789", "הצעת חוק הרשויות המקומיות (בחירת ראש הרשות וסגניו וכהונתם) (תיקון - שכר לסגן ראש רשות), התשפ""ג-2023")</f>
        <v>8815</v>
      </c>
      <c r="E4151" t="s">
        <v>8815</v>
      </c>
      <c r="F4151" t="s">
        <v>8816</v>
      </c>
      <c r="G4151" t="s">
        <v>14</v>
      </c>
      <c r="H4151">
             </c>
      <c r="I4151" t="s">
        <v>14</v>
      </c>
      <c r="J4151" t="s">
        <v>242</v>
      </c>
      <c r="K4151" t="s">
        <v>14</v>
      </c>
      <c r="L4151" t="s">
        <v>20</v>
      </c>
      <c r="M4151" t="s">
        <v>8742</v>
      </c>
      <c r="N4151" t="s">
        <v>14</v>
      </c>
    </row>
    <row r="4152" x14ac:dyDescent="0.25">
      <c r="A4152" t="n">
        <v>25</v>
      </c>
      <c r="B4152" t="s">
        <v>14</v>
      </c>
      <c r="C4152" t="s">
        <v>51</v>
      </c>
      <c r="D4152" s="2" t="s">
        <f>=HYPERLINK("https://main.knesset.gov.il/APPS/legislation/main/bills/2206362", "הצעת חוק הבנקאות (שירות ללקוח) (תיקון - יידוע על חלופות השקעה), התשפ""ג-2023")</f>
        <v>8817</v>
      </c>
      <c r="E4152" t="s">
        <v>8817</v>
      </c>
      <c r="F4152" t="s">
        <v>8818</v>
      </c>
      <c r="G4152" t="s">
        <v>14</v>
      </c>
      <c r="H4152">
             </c>
      <c r="I4152" t="s">
        <v>14</v>
      </c>
      <c r="J4152" t="s">
        <v>242</v>
      </c>
      <c r="K4152" t="s">
        <v>14</v>
      </c>
      <c r="L4152" t="s">
        <v>20</v>
      </c>
      <c r="M4152" t="s">
        <v>8742</v>
      </c>
      <c r="N4152" t="s">
        <v>14</v>
      </c>
    </row>
    <row r="4153" x14ac:dyDescent="0.25">
      <c r="A4153" t="n">
        <v>25</v>
      </c>
      <c r="B4153" t="s">
        <v>14</v>
      </c>
      <c r="C4153" t="s">
        <v>51</v>
      </c>
      <c r="D4153" s="2" t="s">
        <f>=HYPERLINK("https://main.knesset.gov.il/APPS/legislation/main/bills/2206852", "הצעת חוק הבנקאות (שירות ללקוח) (תיקון - מידע ללקוח אודות סכומי יתרה בחשבון עובר ושב וחלופות השקעה), התשפ""ג-2023")</f>
        <v>8819</v>
      </c>
      <c r="E4153" t="s">
        <v>8819</v>
      </c>
      <c r="F4153" t="s">
        <v>8820</v>
      </c>
      <c r="G4153" t="s">
        <v>14</v>
      </c>
      <c r="H4153">
             </c>
      <c r="I4153" t="s">
        <v>14</v>
      </c>
      <c r="J4153" t="s">
        <v>242</v>
      </c>
      <c r="K4153" t="s">
        <v>14</v>
      </c>
      <c r="L4153" t="s">
        <v>20</v>
      </c>
      <c r="M4153" t="s">
        <v>8742</v>
      </c>
      <c r="N4153" t="s">
        <v>14</v>
      </c>
    </row>
    <row r="4154" x14ac:dyDescent="0.25">
      <c r="A4154" t="n">
        <v>25</v>
      </c>
      <c r="B4154" t="s">
        <v>14</v>
      </c>
      <c r="C4154" t="s">
        <v>51</v>
      </c>
      <c r="D4154" s="2" t="s">
        <f>=HYPERLINK("https://main.knesset.gov.il/APPS/legislation/main/bills/2205063", "הצעת חוק לתיקון פקודת הבנקאות (הגבלת עמלת פירעון מוקדם בהלוואה לרכישת דירה), התשפ""ג-2023")</f>
        <v>8821</v>
      </c>
      <c r="E4154" t="s">
        <v>8821</v>
      </c>
      <c r="F4154" t="s">
        <v>8822</v>
      </c>
      <c r="G4154" t="s">
        <v>14</v>
      </c>
      <c r="H4154">
             </c>
      <c r="I4154" t="s">
        <v>14</v>
      </c>
      <c r="J4154" t="s">
        <v>242</v>
      </c>
      <c r="K4154" t="s">
        <v>14</v>
      </c>
      <c r="L4154" t="s">
        <v>20</v>
      </c>
      <c r="M4154" t="s">
        <v>8742</v>
      </c>
      <c r="N4154" t="s">
        <v>14</v>
      </c>
    </row>
    <row r="4155" x14ac:dyDescent="0.25">
      <c r="A4155" t="n">
        <v>25</v>
      </c>
      <c r="B4155" t="s">
        <v>14</v>
      </c>
      <c r="C4155" t="s">
        <v>51</v>
      </c>
      <c r="D4155" s="2" t="s">
        <f>=HYPERLINK("https://main.knesset.gov.il/APPS/legislation/main/bills/2207182", "הצעת חוק שיפוט בתי דין רבניים (נישואין וגירושין) (תיקון - מתן פסק דין במקרי אלימות קשים), התשפ""ג-2023")</f>
        <v>1869</v>
      </c>
      <c r="E4155" t="s">
        <v>1869</v>
      </c>
      <c r="F4155" t="s">
        <v>8823</v>
      </c>
      <c r="G4155" t="s">
        <v>14</v>
      </c>
      <c r="H4155">
             </c>
      <c r="I4155" t="s">
        <v>14</v>
      </c>
      <c r="J4155" t="s">
        <v>242</v>
      </c>
      <c r="K4155" t="s">
        <v>14</v>
      </c>
      <c r="L4155" t="s">
        <v>20</v>
      </c>
      <c r="M4155" t="s">
        <v>8742</v>
      </c>
      <c r="N4155" t="s">
        <v>14</v>
      </c>
    </row>
    <row r="4156" x14ac:dyDescent="0.25">
      <c r="A4156" t="n">
        <v>25</v>
      </c>
      <c r="B4156" t="s">
        <v>14</v>
      </c>
      <c r="C4156" t="s">
        <v>51</v>
      </c>
      <c r="D4156" s="2" t="s">
        <f>=HYPERLINK("https://main.knesset.gov.il/APPS/legislation/main/bills/2206795", "הצעת חוק עובדים זרים (תיקון - אגרה מופחתת בסיעוד המוסדי) (הוראת שעה), התשפ""ג-2023")</f>
        <v>8824</v>
      </c>
      <c r="E4156" t="s">
        <v>8824</v>
      </c>
      <c r="F4156" t="s">
        <v>8825</v>
      </c>
      <c r="G4156" t="s">
        <v>14</v>
      </c>
      <c r="H4156">
             </c>
      <c r="I4156" t="s">
        <v>14</v>
      </c>
      <c r="J4156" t="s">
        <v>242</v>
      </c>
      <c r="K4156" t="s">
        <v>14</v>
      </c>
      <c r="L4156" t="s">
        <v>20</v>
      </c>
      <c r="M4156" t="s">
        <v>8742</v>
      </c>
      <c r="N4156" t="s">
        <v>14</v>
      </c>
    </row>
    <row r="4157" x14ac:dyDescent="0.25">
      <c r="A4157" t="n">
        <v>25</v>
      </c>
      <c r="B4157" t="s">
        <v>14</v>
      </c>
      <c r="C4157" t="s">
        <v>51</v>
      </c>
      <c r="D4157" s="2" t="s">
        <f>=HYPERLINK("https://main.knesset.gov.il/APPS/legislation/main/bills/2204139", "הצעת חוק הגנה על עיתונאים (תיקוני חקיקה), התשפ""ג-2023")</f>
        <v>8680</v>
      </c>
      <c r="E4157" t="s">
        <v>8680</v>
      </c>
      <c r="F4157" t="s">
        <v>8826</v>
      </c>
      <c r="G4157" t="s">
        <v>14</v>
      </c>
      <c r="H4157">
             </c>
      <c r="I4157" t="s">
        <v>14</v>
      </c>
      <c r="J4157" t="s">
        <v>193</v>
      </c>
      <c r="K4157" t="s">
        <v>14</v>
      </c>
      <c r="L4157" t="s">
        <v>20</v>
      </c>
      <c r="M4157" t="s">
        <v>8827</v>
      </c>
      <c r="N4157" t="s">
        <v>14</v>
      </c>
    </row>
    <row r="4158" x14ac:dyDescent="0.25">
      <c r="A4158" t="n">
        <v>25</v>
      </c>
      <c r="B4158" t="s">
        <v>14</v>
      </c>
      <c r="C4158" t="s">
        <v>51</v>
      </c>
      <c r="D4158" s="2" t="s">
        <f>=HYPERLINK("https://main.knesset.gov.il/APPS/legislation/main/bills/2203602", "הצעת חוק אימוץ ילדים (תיקון - איסור הפרדה בין אחים בהליך אימוץ), התשפ""ג-2023")</f>
        <v>8828</v>
      </c>
      <c r="E4158" t="s">
        <v>8828</v>
      </c>
      <c r="F4158" t="s">
        <v>8829</v>
      </c>
      <c r="G4158" t="s">
        <v>14</v>
      </c>
      <c r="H4158">
             </c>
      <c r="I4158" t="s">
        <v>14</v>
      </c>
      <c r="J4158" t="s">
        <v>152</v>
      </c>
      <c r="K4158" t="s">
        <v>27</v>
      </c>
      <c r="L4158" t="s">
        <v>20</v>
      </c>
      <c r="M4158" t="s">
        <v>8827</v>
      </c>
      <c r="N4158" t="s">
        <v>14</v>
      </c>
    </row>
    <row r="4159" x14ac:dyDescent="0.25">
      <c r="A4159" t="n">
        <v>25</v>
      </c>
      <c r="B4159" t="s">
        <v>14</v>
      </c>
      <c r="C4159" t="s">
        <v>51</v>
      </c>
      <c r="D4159" s="2" t="s">
        <f>=HYPERLINK("https://main.knesset.gov.il/APPS/legislation/main/bills/2200316", "הצעת חוק הפרשנות (תיקון - הגדרת הפליה על רקע זהות מגדרית, נטייה מינית או אמונה דתית), התשפ""ג-2023")</f>
        <v>8830</v>
      </c>
      <c r="E4159" t="s">
        <v>8830</v>
      </c>
      <c r="F4159" t="s">
        <v>8831</v>
      </c>
      <c r="G4159" t="s">
        <v>14</v>
      </c>
      <c r="H4159">
             </c>
      <c r="I4159" t="s">
        <v>14</v>
      </c>
      <c r="J4159" t="s">
        <v>193</v>
      </c>
      <c r="K4159" t="s">
        <v>14</v>
      </c>
      <c r="L4159" t="s">
        <v>20</v>
      </c>
      <c r="M4159" t="s">
        <v>8827</v>
      </c>
      <c r="N4159" t="s">
        <v>14</v>
      </c>
    </row>
    <row r="4160" x14ac:dyDescent="0.25">
      <c r="A4160" t="n">
        <v>25</v>
      </c>
      <c r="B4160" t="s">
        <v>14</v>
      </c>
      <c r="C4160" t="s">
        <v>51</v>
      </c>
      <c r="D4160" s="2" t="s">
        <f>=HYPERLINK("https://main.knesset.gov.il/APPS/legislation/main/bills/2200245", "הצעת חוק הגנה על עיתונאים (תיקוני חקיקה), התשפ""ג-2023")</f>
        <v>8680</v>
      </c>
      <c r="E4160" t="s">
        <v>8680</v>
      </c>
      <c r="F4160" t="s">
        <v>8832</v>
      </c>
      <c r="G4160" t="s">
        <v>14</v>
      </c>
      <c r="H4160">
             </c>
      <c r="I4160" t="s">
        <v>14</v>
      </c>
      <c r="J4160" t="s">
        <v>193</v>
      </c>
      <c r="K4160" t="s">
        <v>14</v>
      </c>
      <c r="L4160" t="s">
        <v>20</v>
      </c>
      <c r="M4160" t="s">
        <v>8827</v>
      </c>
      <c r="N4160" t="s">
        <v>14</v>
      </c>
    </row>
    <row r="4161" x14ac:dyDescent="0.25">
      <c r="A4161" t="n">
        <v>25</v>
      </c>
      <c r="B4161" t="s">
        <v>14</v>
      </c>
      <c r="C4161" t="s">
        <v>51</v>
      </c>
      <c r="D4161" s="2" t="s">
        <f>=HYPERLINK("https://main.knesset.gov.il/APPS/legislation/main/bills/2199072", "הצעת חוק ארוחה יומית לתלמיד (תיקון – ארוחת כריך יומית בבית ספר על יסודי), התשפ""ג–2023")</f>
        <v>8833</v>
      </c>
      <c r="E4161" t="s">
        <v>8833</v>
      </c>
      <c r="F4161" t="s">
        <v>8834</v>
      </c>
      <c r="G4161" t="s">
        <v>14</v>
      </c>
      <c r="H4161">
             </c>
      <c r="I4161" t="s">
        <v>14</v>
      </c>
      <c r="J4161" t="s">
        <v>202</v>
      </c>
      <c r="K4161" t="s">
        <v>14</v>
      </c>
      <c r="L4161" t="s">
        <v>20</v>
      </c>
      <c r="M4161" t="s">
        <v>8827</v>
      </c>
      <c r="N4161" t="s">
        <v>14</v>
      </c>
    </row>
    <row r="4162" x14ac:dyDescent="0.25">
      <c r="A4162" t="n">
        <v>25</v>
      </c>
      <c r="B4162" t="s">
        <v>14</v>
      </c>
      <c r="C4162" t="s">
        <v>51</v>
      </c>
      <c r="D4162" s="2" t="s">
        <f>=HYPERLINK("https://main.knesset.gov.il/APPS/legislation/main/bills/2198066", "הצעת חוק הסיוע הניתן מטעם המדינה לסטודנטים במוסדות להשכלה גבוהה, התשפ""ג-2023")</f>
        <v>8533</v>
      </c>
      <c r="E4162" t="s">
        <v>8533</v>
      </c>
      <c r="F4162" t="s">
        <v>8835</v>
      </c>
      <c r="G4162" t="s">
        <v>14</v>
      </c>
      <c r="H4162">
             </c>
      <c r="I4162" t="s">
        <v>14</v>
      </c>
      <c r="J4162" t="s">
        <v>193</v>
      </c>
      <c r="K4162" t="s">
        <v>14</v>
      </c>
      <c r="L4162" t="s">
        <v>20</v>
      </c>
      <c r="M4162" t="s">
        <v>8827</v>
      </c>
      <c r="N4162" t="s">
        <v>14</v>
      </c>
    </row>
    <row r="4163" x14ac:dyDescent="0.25">
      <c r="A4163" t="n">
        <v>25</v>
      </c>
      <c r="B4163" t="s">
        <v>14</v>
      </c>
      <c r="C4163" t="s">
        <v>51</v>
      </c>
      <c r="D4163" s="2" t="s">
        <f>=HYPERLINK("https://main.knesset.gov.il/APPS/legislation/main/bills/2199392", "הצעת חוק לתיקון פקודת האגודות השיתופיות (מספר בתי אב ביישוב קהילתי), התשפ""ג-2023")</f>
        <v>8836</v>
      </c>
      <c r="E4163" t="s">
        <v>8836</v>
      </c>
      <c r="F4163" t="s">
        <v>8837</v>
      </c>
      <c r="G4163" t="s">
        <v>14</v>
      </c>
      <c r="H4163">
             </c>
      <c r="I4163" t="s">
        <v>14</v>
      </c>
      <c r="J4163" t="s">
        <v>183</v>
      </c>
      <c r="K4163" t="s">
        <v>75</v>
      </c>
      <c r="L4163" t="s">
        <v>20</v>
      </c>
      <c r="M4163" t="s">
        <v>8838</v>
      </c>
      <c r="N4163" t="s">
        <v>14</v>
      </c>
    </row>
    <row r="4164" x14ac:dyDescent="0.25">
      <c r="A4164" t="n">
        <v>25</v>
      </c>
      <c r="B4164" t="s">
        <v>14</v>
      </c>
      <c r="C4164" t="s">
        <v>51</v>
      </c>
      <c r="D4164" s="2" t="s">
        <f>=HYPERLINK("https://main.knesset.gov.il/APPS/legislation/main/bills/2197896", "חוק ההתייעלות הכלכלית (תיקוני חקיקה להשגת יעדי התקציב לשנות התקציב 2017 ו-2018) (תיקון מס' 9), התשפ""ג-2023")</f>
        <v>8839</v>
      </c>
      <c r="E4164" t="s">
        <v>8839</v>
      </c>
      <c r="F4164" t="s">
        <v>8840</v>
      </c>
      <c r="G4164" t="s">
        <v>8841</v>
      </c>
      <c r="H4164" t="n">
        <v>3055</v>
      </c>
      <c r="I4164" t="s">
        <v>14</v>
      </c>
      <c r="J4164" t="s">
        <v>18</v>
      </c>
      <c r="K4164" t="s">
        <v>24</v>
      </c>
      <c r="L4164" t="s">
        <v>20</v>
      </c>
      <c r="M4164" t="s">
        <v>8838</v>
      </c>
      <c r="N4164" t="s">
        <v>8842</v>
      </c>
    </row>
    <row r="4165" x14ac:dyDescent="0.25">
      <c r="A4165" t="n">
        <v>25</v>
      </c>
      <c r="B4165" t="s">
        <v>14</v>
      </c>
      <c r="C4165" t="s">
        <v>51</v>
      </c>
      <c r="D4165" s="2" t="s">
        <f>=HYPERLINK("https://main.knesset.gov.il/APPS/legislation/main/bills/2200261", "הצעת חוק הגנת הצרכן (תיקון מס' 68) (שירות טלפוני לביטול עסקה עם חברת תעופה), התשפ""ג–2023")</f>
        <v>8843</v>
      </c>
      <c r="E4165" t="s">
        <v>8843</v>
      </c>
      <c r="F4165" t="s">
        <v>8844</v>
      </c>
      <c r="G4165" t="s">
        <v>8845</v>
      </c>
      <c r="H4165">
             </c>
      <c r="I4165" t="s">
        <v>14</v>
      </c>
      <c r="J4165" t="s">
        <v>38</v>
      </c>
      <c r="K4165" t="s">
        <v>84</v>
      </c>
      <c r="L4165" t="s">
        <v>20</v>
      </c>
      <c r="M4165" t="s">
        <v>8838</v>
      </c>
      <c r="N4165" t="s">
        <v>14</v>
      </c>
    </row>
    <row r="4166" x14ac:dyDescent="0.25">
      <c r="A4166" t="n">
        <v>25</v>
      </c>
      <c r="B4166" t="s">
        <v>14</v>
      </c>
      <c r="C4166" t="s">
        <v>51</v>
      </c>
      <c r="D4166" s="2" t="s">
        <f>=HYPERLINK("https://main.knesset.gov.il/APPS/legislation/main/bills/2196721", "הצעת חוק לתיקון פקודת המועצות המקומיות (מס' 79) (אחוז החסימה בבחירות לוועד מקומי), התשפ""ג–2023")</f>
        <v>8846</v>
      </c>
      <c r="E4166" t="s">
        <v>8846</v>
      </c>
      <c r="F4166" t="s">
        <v>8847</v>
      </c>
      <c r="G4166" t="s">
        <v>8848</v>
      </c>
      <c r="H4166">
             </c>
      <c r="I4166" t="s">
        <v>166</v>
      </c>
      <c r="J4166" t="s">
        <v>38</v>
      </c>
      <c r="K4166" t="s">
        <v>30</v>
      </c>
      <c r="L4166" t="s">
        <v>20</v>
      </c>
      <c r="M4166" t="s">
        <v>8838</v>
      </c>
      <c r="N4166" t="s">
        <v>14</v>
      </c>
    </row>
    <row r="4167" x14ac:dyDescent="0.25">
      <c r="A4167" t="n">
        <v>25</v>
      </c>
      <c r="B4167" t="s">
        <v>14</v>
      </c>
      <c r="C4167" t="s">
        <v>15</v>
      </c>
      <c r="D4167" s="2" t="s">
        <f>=HYPERLINK("https://main.knesset.gov.il/APPS/legislation/main/bills/2201576", "חוק לייעול האכיפה והפיקוח העירוניים ברשויות המקומיות (הוראת שעה) (תיקון מס' 10), התשפ""ג-2023")</f>
        <v>8849</v>
      </c>
      <c r="E4167" t="s">
        <v>8849</v>
      </c>
      <c r="F4167" t="s">
        <v>14</v>
      </c>
      <c r="G4167" t="s">
        <v>8850</v>
      </c>
      <c r="H4167" t="n">
        <v>3053</v>
      </c>
      <c r="I4167" t="s">
        <v>14</v>
      </c>
      <c r="J4167" t="s">
        <v>18</v>
      </c>
      <c r="K4167" t="s">
        <v>19</v>
      </c>
      <c r="L4167" t="s">
        <v>20</v>
      </c>
      <c r="M4167" t="s">
        <v>8851</v>
      </c>
      <c r="N4167" t="s">
        <v>8852</v>
      </c>
    </row>
    <row r="4168" x14ac:dyDescent="0.25">
      <c r="A4168" t="n">
        <v>25</v>
      </c>
      <c r="B4168" t="s">
        <v>14</v>
      </c>
      <c r="C4168" t="s">
        <v>51</v>
      </c>
      <c r="D4168" s="2" t="s">
        <f>=HYPERLINK("https://main.knesset.gov.il/APPS/legislation/main/bills/2205915", "הצעת חוק ביטוח בריאות ממלכתי (תיקון - בחירת נותן שירותים על ידי מבוטח), התשפ""ג-2023")</f>
        <v>8200</v>
      </c>
      <c r="E4168" t="s">
        <v>8200</v>
      </c>
      <c r="F4168" t="s">
        <v>8853</v>
      </c>
      <c r="G4168" t="s">
        <v>14</v>
      </c>
      <c r="H4168">
             </c>
      <c r="I4168" t="s">
        <v>14</v>
      </c>
      <c r="J4168" t="s">
        <v>242</v>
      </c>
      <c r="K4168" t="s">
        <v>14</v>
      </c>
      <c r="L4168" t="s">
        <v>20</v>
      </c>
      <c r="M4168" t="s">
        <v>8851</v>
      </c>
      <c r="N4168" t="s">
        <v>14</v>
      </c>
    </row>
    <row r="4169" x14ac:dyDescent="0.25">
      <c r="A4169" t="n">
        <v>25</v>
      </c>
      <c r="B4169" t="s">
        <v>14</v>
      </c>
      <c r="C4169" t="s">
        <v>51</v>
      </c>
      <c r="D4169" s="2" t="s">
        <f>=HYPERLINK("https://main.knesset.gov.il/APPS/legislation/main/bills/2205284", "הצעת חוק הביטוח הלאומי (תיקון - שעות סיעוד עובדים זרים), התשפ""ג-2023")</f>
        <v>8854</v>
      </c>
      <c r="E4169" t="s">
        <v>8854</v>
      </c>
      <c r="F4169" t="s">
        <v>8855</v>
      </c>
      <c r="G4169" t="s">
        <v>14</v>
      </c>
      <c r="H4169">
             </c>
      <c r="I4169" t="s">
        <v>14</v>
      </c>
      <c r="J4169" t="s">
        <v>242</v>
      </c>
      <c r="K4169" t="s">
        <v>14</v>
      </c>
      <c r="L4169" t="s">
        <v>20</v>
      </c>
      <c r="M4169" t="s">
        <v>8851</v>
      </c>
      <c r="N4169" t="s">
        <v>14</v>
      </c>
    </row>
    <row r="4170" x14ac:dyDescent="0.25">
      <c r="A4170" t="n">
        <v>25</v>
      </c>
      <c r="B4170" t="s">
        <v>14</v>
      </c>
      <c r="C4170" t="s">
        <v>51</v>
      </c>
      <c r="D4170" s="2" t="s">
        <f>=HYPERLINK("https://main.knesset.gov.il/APPS/legislation/main/bills/2207259", "הצעת חוק מאבק בארגוני פשיעה (תיקון - הרחבת הנסיבה המחמירה לזיקה לארגון פשיעה), התשפ""ג-2023")</f>
        <v>8856</v>
      </c>
      <c r="E4170" t="s">
        <v>8856</v>
      </c>
      <c r="F4170" t="s">
        <v>8857</v>
      </c>
      <c r="G4170" t="s">
        <v>14</v>
      </c>
      <c r="H4170">
             </c>
      <c r="I4170" t="s">
        <v>14</v>
      </c>
      <c r="J4170" t="s">
        <v>242</v>
      </c>
      <c r="K4170" t="s">
        <v>14</v>
      </c>
      <c r="L4170" t="s">
        <v>20</v>
      </c>
      <c r="M4170" t="s">
        <v>8851</v>
      </c>
      <c r="N4170" t="s">
        <v>14</v>
      </c>
    </row>
    <row r="4171" x14ac:dyDescent="0.25">
      <c r="A4171" t="n">
        <v>25</v>
      </c>
      <c r="B4171" t="s">
        <v>14</v>
      </c>
      <c r="C4171" t="s">
        <v>51</v>
      </c>
      <c r="D4171" s="2" t="s">
        <f>=HYPERLINK("https://main.knesset.gov.il/APPS/legislation/main/bills/2206346", "הצעת חוק העונשין (תיקון - תקיפת עובד מערך בריאות), התשפ""ג-2023")</f>
        <v>8803</v>
      </c>
      <c r="E4171" t="s">
        <v>8803</v>
      </c>
      <c r="F4171" t="s">
        <v>8858</v>
      </c>
      <c r="G4171" t="s">
        <v>14</v>
      </c>
      <c r="H4171">
             </c>
      <c r="I4171" t="s">
        <v>14</v>
      </c>
      <c r="J4171" t="s">
        <v>242</v>
      </c>
      <c r="K4171" t="s">
        <v>14</v>
      </c>
      <c r="L4171" t="s">
        <v>20</v>
      </c>
      <c r="M4171" t="s">
        <v>8851</v>
      </c>
      <c r="N4171" t="s">
        <v>14</v>
      </c>
    </row>
    <row r="4172" x14ac:dyDescent="0.25">
      <c r="A4172" t="n">
        <v>25</v>
      </c>
      <c r="B4172" t="s">
        <v>14</v>
      </c>
      <c r="C4172" t="s">
        <v>51</v>
      </c>
      <c r="D4172" s="2" t="s">
        <f>=HYPERLINK("https://main.knesset.gov.il/APPS/legislation/main/bills/2207261", "הצעת חוק לתיקון פקודת בתי הסוהר (שלילת זכויות יתר מאסיר ביטחוני המשתייך לארגון טרור), התשפ""ג-2023")</f>
        <v>8859</v>
      </c>
      <c r="E4172" t="s">
        <v>8859</v>
      </c>
      <c r="F4172" t="s">
        <v>8860</v>
      </c>
      <c r="G4172" t="s">
        <v>14</v>
      </c>
      <c r="H4172">
             </c>
      <c r="I4172" t="s">
        <v>14</v>
      </c>
      <c r="J4172" t="s">
        <v>242</v>
      </c>
      <c r="K4172" t="s">
        <v>14</v>
      </c>
      <c r="L4172" t="s">
        <v>20</v>
      </c>
      <c r="M4172" t="s">
        <v>8851</v>
      </c>
      <c r="N4172" t="s">
        <v>14</v>
      </c>
    </row>
    <row r="4173" x14ac:dyDescent="0.25">
      <c r="A4173" t="n">
        <v>25</v>
      </c>
      <c r="B4173" t="s">
        <v>14</v>
      </c>
      <c r="C4173" t="s">
        <v>51</v>
      </c>
      <c r="D4173" s="2" t="s">
        <f>=HYPERLINK("https://main.knesset.gov.il/APPS/legislation/main/bills/2204189", "הצעת חוק קליטת חיילים משוחררים (תיקון - הוקרת שירות הלוחם והלוחמת), התשפ""ג-2023")</f>
        <v>8861</v>
      </c>
      <c r="E4173" t="s">
        <v>8861</v>
      </c>
      <c r="F4173" t="s">
        <v>8862</v>
      </c>
      <c r="G4173" t="s">
        <v>14</v>
      </c>
      <c r="H4173">
             </c>
      <c r="I4173" t="s">
        <v>14</v>
      </c>
      <c r="J4173" t="s">
        <v>242</v>
      </c>
      <c r="K4173" t="s">
        <v>14</v>
      </c>
      <c r="L4173" t="s">
        <v>20</v>
      </c>
      <c r="M4173" t="s">
        <v>8851</v>
      </c>
      <c r="N4173" t="s">
        <v>14</v>
      </c>
    </row>
    <row r="4174" x14ac:dyDescent="0.25">
      <c r="A4174" t="n">
        <v>25</v>
      </c>
      <c r="B4174" t="s">
        <v>14</v>
      </c>
      <c r="C4174" t="s">
        <v>51</v>
      </c>
      <c r="D4174" s="2" t="s">
        <f>=HYPERLINK("https://main.knesset.gov.il/APPS/legislation/main/bills/2205960", "הצעת חוק לתיקון פקודת העיריות (הודעה מוקדמת לחייב), התשפ""ג-2023")</f>
        <v>8863</v>
      </c>
      <c r="E4174" t="s">
        <v>8863</v>
      </c>
      <c r="F4174" t="s">
        <v>8864</v>
      </c>
      <c r="G4174" t="s">
        <v>14</v>
      </c>
      <c r="H4174">
             </c>
      <c r="I4174" t="s">
        <v>14</v>
      </c>
      <c r="J4174" t="s">
        <v>242</v>
      </c>
      <c r="K4174" t="s">
        <v>14</v>
      </c>
      <c r="L4174" t="s">
        <v>20</v>
      </c>
      <c r="M4174" t="s">
        <v>8851</v>
      </c>
      <c r="N4174" t="s">
        <v>14</v>
      </c>
    </row>
    <row r="4175" x14ac:dyDescent="0.25">
      <c r="A4175" t="n">
        <v>25</v>
      </c>
      <c r="B4175" t="s">
        <v>14</v>
      </c>
      <c r="C4175" t="s">
        <v>51</v>
      </c>
      <c r="D4175" s="2" t="s">
        <f>=HYPERLINK("https://main.knesset.gov.il/APPS/legislation/main/bills/2206687", "הצעת חוק שירות מילואים בהצטיינות, התשפ""ג-2023")</f>
        <v>8865</v>
      </c>
      <c r="E4175" t="s">
        <v>8865</v>
      </c>
      <c r="F4175" t="s">
        <v>8866</v>
      </c>
      <c r="G4175" t="s">
        <v>14</v>
      </c>
      <c r="H4175">
             </c>
      <c r="I4175" t="s">
        <v>14</v>
      </c>
      <c r="J4175" t="s">
        <v>242</v>
      </c>
      <c r="K4175" t="s">
        <v>14</v>
      </c>
      <c r="L4175" t="s">
        <v>20</v>
      </c>
      <c r="M4175" t="s">
        <v>8851</v>
      </c>
      <c r="N4175" t="s">
        <v>14</v>
      </c>
    </row>
    <row r="4176" x14ac:dyDescent="0.25">
      <c r="A4176" t="n">
        <v>25</v>
      </c>
      <c r="B4176" t="s">
        <v>14</v>
      </c>
      <c r="C4176" t="s">
        <v>51</v>
      </c>
      <c r="D4176" s="2" t="s">
        <f>=HYPERLINK("https://main.knesset.gov.il/APPS/legislation/main/bills/2200312", "הצעת חוק עבודת נשים (תיקון - תקופת לידה והורות מיועדת לאב), התשפ""ג-2023")</f>
        <v>8867</v>
      </c>
      <c r="E4176" t="s">
        <v>8867</v>
      </c>
      <c r="F4176" t="s">
        <v>8868</v>
      </c>
      <c r="G4176" t="s">
        <v>14</v>
      </c>
      <c r="H4176">
             </c>
      <c r="I4176" t="s">
        <v>14</v>
      </c>
      <c r="J4176" t="s">
        <v>242</v>
      </c>
      <c r="K4176" t="s">
        <v>14</v>
      </c>
      <c r="L4176" t="s">
        <v>20</v>
      </c>
      <c r="M4176" t="s">
        <v>8851</v>
      </c>
      <c r="N4176" t="s">
        <v>14</v>
      </c>
    </row>
    <row r="4177" x14ac:dyDescent="0.25">
      <c r="A4177" t="n">
        <v>25</v>
      </c>
      <c r="B4177" t="s">
        <v>14</v>
      </c>
      <c r="C4177" t="s">
        <v>51</v>
      </c>
      <c r="D4177" s="2" t="s">
        <f>=HYPERLINK("https://main.knesset.gov.il/APPS/legislation/main/bills/2206831", "הצעת חוק עבודת נשים (תיקון - זכות להיעדר מעבודה בעת שירות מילואים של בן הזוג), התשפ""ג-2023")</f>
        <v>8869</v>
      </c>
      <c r="E4177" t="s">
        <v>8869</v>
      </c>
      <c r="F4177" t="s">
        <v>8870</v>
      </c>
      <c r="G4177" t="s">
        <v>14</v>
      </c>
      <c r="H4177">
             </c>
      <c r="I4177" t="s">
        <v>14</v>
      </c>
      <c r="J4177" t="s">
        <v>242</v>
      </c>
      <c r="K4177" t="s">
        <v>14</v>
      </c>
      <c r="L4177" t="s">
        <v>20</v>
      </c>
      <c r="M4177" t="s">
        <v>8851</v>
      </c>
      <c r="N4177" t="s">
        <v>14</v>
      </c>
    </row>
    <row r="4178" x14ac:dyDescent="0.25">
      <c r="A4178" t="n">
        <v>25</v>
      </c>
      <c r="B4178" t="s">
        <v>14</v>
      </c>
      <c r="C4178" t="s">
        <v>51</v>
      </c>
      <c r="D4178" s="2" t="s">
        <f>=HYPERLINK("https://main.knesset.gov.il/APPS/legislation/main/bills/2206752", "הצעת חוק להסדרת הפיקוח על כלבים (תיקון - כלבי הפקר), התשפ""ג-2023")</f>
        <v>8871</v>
      </c>
      <c r="E4178" t="s">
        <v>8871</v>
      </c>
      <c r="F4178" t="s">
        <v>8872</v>
      </c>
      <c r="G4178" t="s">
        <v>14</v>
      </c>
      <c r="H4178">
             </c>
      <c r="I4178" t="s">
        <v>14</v>
      </c>
      <c r="J4178" t="s">
        <v>242</v>
      </c>
      <c r="K4178" t="s">
        <v>14</v>
      </c>
      <c r="L4178" t="s">
        <v>20</v>
      </c>
      <c r="M4178" t="s">
        <v>8851</v>
      </c>
      <c r="N4178" t="s">
        <v>14</v>
      </c>
    </row>
    <row r="4179" x14ac:dyDescent="0.25">
      <c r="A4179" t="n">
        <v>25</v>
      </c>
      <c r="B4179" t="s">
        <v>14</v>
      </c>
      <c r="C4179" t="s">
        <v>51</v>
      </c>
      <c r="D4179" s="2" t="s">
        <f>=HYPERLINK("https://main.knesset.gov.il/APPS/legislation/main/bills/2206373", "הצעת חוק חובת לימודי ליבה וביטול מוסדות הפטור (תיקוני חקיקה), התשפ""ג-2023")</f>
        <v>8873</v>
      </c>
      <c r="E4179" t="s">
        <v>8873</v>
      </c>
      <c r="F4179" t="s">
        <v>8874</v>
      </c>
      <c r="G4179" t="s">
        <v>14</v>
      </c>
      <c r="H4179">
             </c>
      <c r="I4179" t="s">
        <v>14</v>
      </c>
      <c r="J4179" t="s">
        <v>242</v>
      </c>
      <c r="K4179" t="s">
        <v>14</v>
      </c>
      <c r="L4179" t="s">
        <v>20</v>
      </c>
      <c r="M4179" t="s">
        <v>8851</v>
      </c>
      <c r="N4179" t="s">
        <v>14</v>
      </c>
    </row>
    <row r="4180" x14ac:dyDescent="0.25">
      <c r="A4180" t="n">
        <v>25</v>
      </c>
      <c r="B4180" t="s">
        <v>14</v>
      </c>
      <c r="C4180" t="s">
        <v>51</v>
      </c>
      <c r="D4180" s="2" t="s">
        <f>=HYPERLINK("https://main.knesset.gov.il/APPS/legislation/main/bills/2204791", "הצעת חוק המועצה הלאומית לשפת הסימנים, התשפ""ג-2023")</f>
        <v>8768</v>
      </c>
      <c r="E4180" t="s">
        <v>8768</v>
      </c>
      <c r="F4180" t="s">
        <v>8875</v>
      </c>
      <c r="G4180" t="s">
        <v>14</v>
      </c>
      <c r="H4180">
             </c>
      <c r="I4180" t="s">
        <v>14</v>
      </c>
      <c r="J4180" t="s">
        <v>242</v>
      </c>
      <c r="K4180" t="s">
        <v>14</v>
      </c>
      <c r="L4180" t="s">
        <v>20</v>
      </c>
      <c r="M4180" t="s">
        <v>8851</v>
      </c>
      <c r="N4180" t="s">
        <v>14</v>
      </c>
    </row>
    <row r="4181" x14ac:dyDescent="0.25">
      <c r="A4181" t="n">
        <v>25</v>
      </c>
      <c r="B4181" t="s">
        <v>14</v>
      </c>
      <c r="C4181" t="s">
        <v>51</v>
      </c>
      <c r="D4181" s="2" t="s">
        <f>=HYPERLINK("https://main.knesset.gov.il/APPS/legislation/main/bills/2206605", "הצעת חוק חג המימונה, התשפ""ג-2023 ")</f>
        <v>8876</v>
      </c>
      <c r="E4181" t="s">
        <v>8876</v>
      </c>
      <c r="F4181" t="s">
        <v>8877</v>
      </c>
      <c r="G4181" t="s">
        <v>14</v>
      </c>
      <c r="H4181">
             </c>
      <c r="I4181" t="s">
        <v>14</v>
      </c>
      <c r="J4181" t="s">
        <v>242</v>
      </c>
      <c r="K4181" t="s">
        <v>14</v>
      </c>
      <c r="L4181" t="s">
        <v>20</v>
      </c>
      <c r="M4181" t="s">
        <v>8851</v>
      </c>
      <c r="N4181" t="s">
        <v>14</v>
      </c>
    </row>
    <row r="4182" x14ac:dyDescent="0.25">
      <c r="A4182" t="n">
        <v>25</v>
      </c>
      <c r="B4182" t="s">
        <v>14</v>
      </c>
      <c r="C4182" t="s">
        <v>51</v>
      </c>
      <c r="D4182" s="2" t="s">
        <f>=HYPERLINK("https://main.knesset.gov.il/APPS/legislation/main/bills/2206982", "הצעת חוק-יסוד: נשיא המדינה (תיקון - ביטול סמכות חנינה לאסירי עולם ביטחוניים)")</f>
        <v>8878</v>
      </c>
      <c r="E4182" t="s">
        <v>8878</v>
      </c>
      <c r="F4182" t="s">
        <v>8879</v>
      </c>
      <c r="G4182" t="s">
        <v>14</v>
      </c>
      <c r="H4182">
             </c>
      <c r="I4182" t="s">
        <v>14</v>
      </c>
      <c r="J4182" t="s">
        <v>242</v>
      </c>
      <c r="K4182" t="s">
        <v>14</v>
      </c>
      <c r="L4182" t="s">
        <v>20</v>
      </c>
      <c r="M4182" t="s">
        <v>8851</v>
      </c>
      <c r="N4182" t="s">
        <v>14</v>
      </c>
    </row>
    <row r="4183" x14ac:dyDescent="0.25">
      <c r="A4183" t="n">
        <v>25</v>
      </c>
      <c r="B4183" t="s">
        <v>14</v>
      </c>
      <c r="C4183" t="s">
        <v>51</v>
      </c>
      <c r="D4183" s="2" t="s">
        <f>=HYPERLINK("https://main.knesset.gov.il/APPS/legislation/main/bills/2206788", "הצעת חוק שוויון זכויות לאנשים עם מוגבלות (תיקון - חובת הנגשת אוטובוסים בין-עירוניים), התשפ""ג-2023")</f>
        <v>8556</v>
      </c>
      <c r="E4183" t="s">
        <v>8556</v>
      </c>
      <c r="F4183" t="s">
        <v>8880</v>
      </c>
      <c r="G4183" t="s">
        <v>14</v>
      </c>
      <c r="H4183">
             </c>
      <c r="I4183" t="s">
        <v>14</v>
      </c>
      <c r="J4183" t="s">
        <v>242</v>
      </c>
      <c r="K4183" t="s">
        <v>14</v>
      </c>
      <c r="L4183" t="s">
        <v>20</v>
      </c>
      <c r="M4183" t="s">
        <v>8851</v>
      </c>
      <c r="N4183" t="s">
        <v>14</v>
      </c>
    </row>
    <row r="4184" x14ac:dyDescent="0.25">
      <c r="A4184" t="n">
        <v>25</v>
      </c>
      <c r="B4184" t="s">
        <v>14</v>
      </c>
      <c r="C4184" t="s">
        <v>51</v>
      </c>
      <c r="D4184" s="2" t="s">
        <f>=HYPERLINK("https://main.knesset.gov.il/APPS/legislation/main/bills/2207369", "הצעת חוק יום לציון פרשת היעלמותם של ילדי תימן, המזרח והבלקן, התשפ""ג-2023")</f>
        <v>8881</v>
      </c>
      <c r="E4184" t="s">
        <v>8881</v>
      </c>
      <c r="F4184" t="s">
        <v>8882</v>
      </c>
      <c r="G4184" t="s">
        <v>14</v>
      </c>
      <c r="H4184">
             </c>
      <c r="I4184" t="s">
        <v>14</v>
      </c>
      <c r="J4184" t="s">
        <v>242</v>
      </c>
      <c r="K4184" t="s">
        <v>14</v>
      </c>
      <c r="L4184" t="s">
        <v>20</v>
      </c>
      <c r="M4184" t="s">
        <v>8851</v>
      </c>
      <c r="N4184" t="s">
        <v>14</v>
      </c>
    </row>
    <row r="4185" x14ac:dyDescent="0.25">
      <c r="A4185" t="n">
        <v>25</v>
      </c>
      <c r="B4185" t="s">
        <v>14</v>
      </c>
      <c r="C4185" t="s">
        <v>51</v>
      </c>
      <c r="D4185" s="2" t="s">
        <f>=HYPERLINK("https://main.knesset.gov.il/APPS/legislation/main/bills/2201592", "הצעת חוק המאבק בטרור (תיקון - הסתה לטרור), התשפ""ג-2023")</f>
        <v>8883</v>
      </c>
      <c r="E4185" t="s">
        <v>8883</v>
      </c>
      <c r="F4185" t="s">
        <v>8884</v>
      </c>
      <c r="G4185" t="s">
        <v>14</v>
      </c>
      <c r="H4185">
             </c>
      <c r="I4185" t="s">
        <v>14</v>
      </c>
      <c r="J4185" t="s">
        <v>242</v>
      </c>
      <c r="K4185" t="s">
        <v>14</v>
      </c>
      <c r="L4185" t="s">
        <v>20</v>
      </c>
      <c r="M4185" t="s">
        <v>8851</v>
      </c>
      <c r="N4185" t="s">
        <v>14</v>
      </c>
    </row>
    <row r="4186" x14ac:dyDescent="0.25">
      <c r="A4186" t="n">
        <v>25</v>
      </c>
      <c r="B4186" t="s">
        <v>14</v>
      </c>
      <c r="C4186" t="s">
        <v>51</v>
      </c>
      <c r="D4186" s="2" t="s">
        <f>=HYPERLINK("https://main.knesset.gov.il/APPS/legislation/main/bills/2207147", "הצעת חוק להסדרת מקצוע עוזר רופא, התשפ""ג-2023")</f>
        <v>8885</v>
      </c>
      <c r="E4186" t="s">
        <v>8885</v>
      </c>
      <c r="F4186" t="s">
        <v>8886</v>
      </c>
      <c r="G4186" t="s">
        <v>14</v>
      </c>
      <c r="H4186">
             </c>
      <c r="I4186" t="s">
        <v>14</v>
      </c>
      <c r="J4186" t="s">
        <v>242</v>
      </c>
      <c r="K4186" t="s">
        <v>14</v>
      </c>
      <c r="L4186" t="s">
        <v>20</v>
      </c>
      <c r="M4186" t="s">
        <v>8851</v>
      </c>
      <c r="N4186" t="s">
        <v>14</v>
      </c>
    </row>
    <row r="4187" x14ac:dyDescent="0.25">
      <c r="A4187" t="n">
        <v>25</v>
      </c>
      <c r="B4187" t="s">
        <v>14</v>
      </c>
      <c r="C4187" t="s">
        <v>51</v>
      </c>
      <c r="D4187" s="2" t="s">
        <f>=HYPERLINK("https://main.knesset.gov.il/APPS/legislation/main/bills/2207172", "הצעת חוק-יסוד: הממשלה (תיקון - סמכויות הממשלה בענייניה המשפטיים)")</f>
        <v>8887</v>
      </c>
      <c r="E4187" t="s">
        <v>8887</v>
      </c>
      <c r="F4187" t="s">
        <v>8888</v>
      </c>
      <c r="G4187" t="s">
        <v>14</v>
      </c>
      <c r="H4187">
             </c>
      <c r="I4187" t="s">
        <v>14</v>
      </c>
      <c r="J4187" t="s">
        <v>242</v>
      </c>
      <c r="K4187" t="s">
        <v>14</v>
      </c>
      <c r="L4187" t="s">
        <v>20</v>
      </c>
      <c r="M4187" t="s">
        <v>8851</v>
      </c>
      <c r="N4187" t="s">
        <v>14</v>
      </c>
    </row>
    <row r="4188" x14ac:dyDescent="0.25">
      <c r="A4188" t="n">
        <v>25</v>
      </c>
      <c r="B4188" t="s">
        <v>14</v>
      </c>
      <c r="C4188" t="s">
        <v>51</v>
      </c>
      <c r="D4188" s="2" t="s">
        <f>=HYPERLINK("https://main.knesset.gov.il/APPS/legislation/main/bills/2207258", "הצעת חוק עובדים זרים (תיקון - הפחתת אגרה לעובדים בענף המלונאות), התשפ""ג-2023")</f>
        <v>8889</v>
      </c>
      <c r="E4188" t="s">
        <v>8889</v>
      </c>
      <c r="F4188" t="s">
        <v>8890</v>
      </c>
      <c r="G4188" t="s">
        <v>14</v>
      </c>
      <c r="H4188">
             </c>
      <c r="I4188" t="s">
        <v>14</v>
      </c>
      <c r="J4188" t="s">
        <v>242</v>
      </c>
      <c r="K4188" t="s">
        <v>14</v>
      </c>
      <c r="L4188" t="s">
        <v>20</v>
      </c>
      <c r="M4188" t="s">
        <v>8851</v>
      </c>
      <c r="N4188" t="s">
        <v>14</v>
      </c>
    </row>
    <row r="4189" x14ac:dyDescent="0.25">
      <c r="A4189" t="n">
        <v>25</v>
      </c>
      <c r="B4189" t="s">
        <v>14</v>
      </c>
      <c r="C4189" t="s">
        <v>51</v>
      </c>
      <c r="D4189" s="2" t="s">
        <f>=HYPERLINK("https://main.knesset.gov.il/APPS/legislation/main/bills/2206183", "הצעת חוק התכנון והבנייה (תיקון - שינוי מדיניות ההתנגדויות), התשפ""ג-2023")</f>
        <v>8891</v>
      </c>
      <c r="E4189" t="s">
        <v>8891</v>
      </c>
      <c r="F4189" t="s">
        <v>8892</v>
      </c>
      <c r="G4189" t="s">
        <v>14</v>
      </c>
      <c r="H4189">
             </c>
      <c r="I4189" t="s">
        <v>14</v>
      </c>
      <c r="J4189" t="s">
        <v>242</v>
      </c>
      <c r="K4189" t="s">
        <v>14</v>
      </c>
      <c r="L4189" t="s">
        <v>20</v>
      </c>
      <c r="M4189" t="s">
        <v>8851</v>
      </c>
      <c r="N4189" t="s">
        <v>14</v>
      </c>
    </row>
    <row r="4190" x14ac:dyDescent="0.25">
      <c r="A4190" t="n">
        <v>25</v>
      </c>
      <c r="B4190" t="s">
        <v>14</v>
      </c>
      <c r="C4190" t="s">
        <v>51</v>
      </c>
      <c r="D4190" s="2" t="s">
        <f>=HYPERLINK("https://main.knesset.gov.il/APPS/legislation/main/bills/2207162", "הצעת חוק ביטוח בריאות ממלכתי (תיקון - העברת תיק רפואי במעבר בין קופות חולים), התשפ""ג-2023")</f>
        <v>8351</v>
      </c>
      <c r="E4190" t="s">
        <v>8351</v>
      </c>
      <c r="F4190" t="s">
        <v>8893</v>
      </c>
      <c r="G4190" t="s">
        <v>14</v>
      </c>
      <c r="H4190">
             </c>
      <c r="I4190" t="s">
        <v>14</v>
      </c>
      <c r="J4190" t="s">
        <v>242</v>
      </c>
      <c r="K4190" t="s">
        <v>14</v>
      </c>
      <c r="L4190" t="s">
        <v>20</v>
      </c>
      <c r="M4190" t="s">
        <v>8851</v>
      </c>
      <c r="N4190" t="s">
        <v>14</v>
      </c>
    </row>
    <row r="4191" x14ac:dyDescent="0.25">
      <c r="A4191" t="n">
        <v>25</v>
      </c>
      <c r="B4191" t="s">
        <v>14</v>
      </c>
      <c r="C4191" t="s">
        <v>51</v>
      </c>
      <c r="D4191" s="2" t="s">
        <f>=HYPERLINK("https://main.knesset.gov.il/APPS/legislation/main/bills/2207250", "הצעת חוק למניעת התנכלות תעסוקתית, התשפ""ג-2023")</f>
        <v>8894</v>
      </c>
      <c r="E4191" t="s">
        <v>8894</v>
      </c>
      <c r="F4191" t="s">
        <v>8895</v>
      </c>
      <c r="G4191" t="s">
        <v>14</v>
      </c>
      <c r="H4191">
             </c>
      <c r="I4191" t="s">
        <v>14</v>
      </c>
      <c r="J4191" t="s">
        <v>242</v>
      </c>
      <c r="K4191" t="s">
        <v>14</v>
      </c>
      <c r="L4191" t="s">
        <v>20</v>
      </c>
      <c r="M4191" t="s">
        <v>8851</v>
      </c>
      <c r="N4191" t="s">
        <v>14</v>
      </c>
    </row>
    <row r="4192" x14ac:dyDescent="0.25">
      <c r="A4192" t="n">
        <v>25</v>
      </c>
      <c r="B4192" t="s">
        <v>14</v>
      </c>
      <c r="C4192" t="s">
        <v>51</v>
      </c>
      <c r="D4192" s="2" t="s">
        <f>=HYPERLINK("https://main.knesset.gov.il/APPS/legislation/main/bills/2207620", "הצעת חוק קידום התחרות בענף המזון (תיקון - הפיכת הוראת שעה להוראה קבועה), התשפ''ג-2023")</f>
        <v>8896</v>
      </c>
      <c r="E4192" t="s">
        <v>8896</v>
      </c>
      <c r="F4192" t="s">
        <v>8897</v>
      </c>
      <c r="G4192" t="s">
        <v>14</v>
      </c>
      <c r="H4192">
             </c>
      <c r="I4192" t="s">
        <v>14</v>
      </c>
      <c r="J4192" t="s">
        <v>242</v>
      </c>
      <c r="K4192" t="s">
        <v>14</v>
      </c>
      <c r="L4192" t="s">
        <v>20</v>
      </c>
      <c r="M4192" t="s">
        <v>8851</v>
      </c>
      <c r="N4192" t="s">
        <v>14</v>
      </c>
    </row>
    <row r="4193" x14ac:dyDescent="0.25">
      <c r="A4193" t="n">
        <v>25</v>
      </c>
      <c r="B4193" t="s">
        <v>14</v>
      </c>
      <c r="C4193" t="s">
        <v>51</v>
      </c>
      <c r="D4193" s="2" t="s">
        <f>=HYPERLINK("https://main.knesset.gov.il/APPS/legislation/main/bills/2207164", "הצעת חוק ביטוח בריאות ממלכתי (תיקון - בחירה מבין נותני השירותים), התשפ""ג-2023")</f>
        <v>6584</v>
      </c>
      <c r="E4193" t="s">
        <v>6584</v>
      </c>
      <c r="F4193" t="s">
        <v>8898</v>
      </c>
      <c r="G4193" t="s">
        <v>14</v>
      </c>
      <c r="H4193">
             </c>
      <c r="I4193" t="s">
        <v>14</v>
      </c>
      <c r="J4193" t="s">
        <v>242</v>
      </c>
      <c r="K4193" t="s">
        <v>14</v>
      </c>
      <c r="L4193" t="s">
        <v>20</v>
      </c>
      <c r="M4193" t="s">
        <v>8851</v>
      </c>
      <c r="N4193" t="s">
        <v>14</v>
      </c>
    </row>
    <row r="4194" x14ac:dyDescent="0.25">
      <c r="A4194" t="n">
        <v>25</v>
      </c>
      <c r="B4194" t="s">
        <v>14</v>
      </c>
      <c r="C4194" t="s">
        <v>51</v>
      </c>
      <c r="D4194" s="2" t="s">
        <f>=HYPERLINK("https://main.knesset.gov.il/APPS/legislation/main/bills/2206803", "הצעת חוק הביטוח הלאומי (תיקון - הקמת מצבה לאדם ערירי), התשפ""ג-2023")</f>
        <v>8552</v>
      </c>
      <c r="E4194" t="s">
        <v>8552</v>
      </c>
      <c r="F4194" t="s">
        <v>8899</v>
      </c>
      <c r="G4194" t="s">
        <v>14</v>
      </c>
      <c r="H4194">
             </c>
      <c r="I4194" t="s">
        <v>14</v>
      </c>
      <c r="J4194" t="s">
        <v>242</v>
      </c>
      <c r="K4194" t="s">
        <v>14</v>
      </c>
      <c r="L4194" t="s">
        <v>20</v>
      </c>
      <c r="M4194" t="s">
        <v>8851</v>
      </c>
      <c r="N4194" t="s">
        <v>14</v>
      </c>
    </row>
    <row r="4195" x14ac:dyDescent="0.25">
      <c r="A4195" t="n">
        <v>25</v>
      </c>
      <c r="B4195" t="s">
        <v>14</v>
      </c>
      <c r="C4195" t="s">
        <v>51</v>
      </c>
      <c r="D4195" s="2" t="s">
        <f>=HYPERLINK("https://main.knesset.gov.il/APPS/legislation/main/bills/2207225", "הצעת חוק המועצה הישראלית לצרכנות (תיקון - ודאות תקציבית), התשפ""ג-2023")</f>
        <v>8900</v>
      </c>
      <c r="E4195" t="s">
        <v>8900</v>
      </c>
      <c r="F4195" t="s">
        <v>8901</v>
      </c>
      <c r="G4195" t="s">
        <v>14</v>
      </c>
      <c r="H4195">
             </c>
      <c r="I4195" t="s">
        <v>14</v>
      </c>
      <c r="J4195" t="s">
        <v>242</v>
      </c>
      <c r="K4195" t="s">
        <v>14</v>
      </c>
      <c r="L4195" t="s">
        <v>20</v>
      </c>
      <c r="M4195" t="s">
        <v>8851</v>
      </c>
      <c r="N4195" t="s">
        <v>14</v>
      </c>
    </row>
    <row r="4196" x14ac:dyDescent="0.25">
      <c r="A4196" t="n">
        <v>25</v>
      </c>
      <c r="B4196" t="s">
        <v>14</v>
      </c>
      <c r="C4196" t="s">
        <v>51</v>
      </c>
      <c r="D4196" s="2" t="s">
        <f>=HYPERLINK("https://main.knesset.gov.il/APPS/legislation/main/bills/2206981", "הצעת חוק לתיקון פקודת ביטוח רכב מנועי (פוליסה לשני כלי רכב של נהג יחיד), התשפ""ג-2023")</f>
        <v>8902</v>
      </c>
      <c r="E4196" t="s">
        <v>8902</v>
      </c>
      <c r="F4196" t="s">
        <v>8903</v>
      </c>
      <c r="G4196" t="s">
        <v>14</v>
      </c>
      <c r="H4196">
             </c>
      <c r="I4196" t="s">
        <v>14</v>
      </c>
      <c r="J4196" t="s">
        <v>242</v>
      </c>
      <c r="K4196" t="s">
        <v>14</v>
      </c>
      <c r="L4196" t="s">
        <v>20</v>
      </c>
      <c r="M4196" t="s">
        <v>8851</v>
      </c>
      <c r="N4196" t="s">
        <v>14</v>
      </c>
    </row>
    <row r="4197" x14ac:dyDescent="0.25">
      <c r="A4197" t="n">
        <v>25</v>
      </c>
      <c r="B4197" t="s">
        <v>14</v>
      </c>
      <c r="C4197" t="s">
        <v>51</v>
      </c>
      <c r="D4197" s="2" t="s">
        <f>=HYPERLINK("https://main.knesset.gov.il/APPS/legislation/main/bills/2206793", "הצעת חוק האזרחים הוותיקים (תיקון - הנחה ברכישת אמצעי לזיהוי מצב חירום רפואי), התשפ""ג-2023")</f>
        <v>8216</v>
      </c>
      <c r="E4197" t="s">
        <v>8216</v>
      </c>
      <c r="F4197" t="s">
        <v>8904</v>
      </c>
      <c r="G4197" t="s">
        <v>14</v>
      </c>
      <c r="H4197">
             </c>
      <c r="I4197" t="s">
        <v>14</v>
      </c>
      <c r="J4197" t="s">
        <v>242</v>
      </c>
      <c r="K4197" t="s">
        <v>14</v>
      </c>
      <c r="L4197" t="s">
        <v>20</v>
      </c>
      <c r="M4197" t="s">
        <v>8851</v>
      </c>
      <c r="N4197" t="s">
        <v>14</v>
      </c>
    </row>
    <row r="4198" x14ac:dyDescent="0.25">
      <c r="A4198" t="n">
        <v>25</v>
      </c>
      <c r="B4198" t="s">
        <v>14</v>
      </c>
      <c r="C4198" t="s">
        <v>51</v>
      </c>
      <c r="D4198" s="2" t="s">
        <f>=HYPERLINK("https://main.knesset.gov.il/APPS/legislation/main/bills/2205860", "הצעת חוק הביטוח הלאומי (תיקון - הוספה והסרה של עבודות מלוח ח'), התשפ""ג-2023")</f>
        <v>8905</v>
      </c>
      <c r="E4198" t="s">
        <v>8905</v>
      </c>
      <c r="F4198" t="s">
        <v>8906</v>
      </c>
      <c r="G4198" t="s">
        <v>14</v>
      </c>
      <c r="H4198">
             </c>
      <c r="I4198" t="s">
        <v>14</v>
      </c>
      <c r="J4198" t="s">
        <v>242</v>
      </c>
      <c r="K4198" t="s">
        <v>14</v>
      </c>
      <c r="L4198" t="s">
        <v>20</v>
      </c>
      <c r="M4198" t="s">
        <v>8851</v>
      </c>
      <c r="N4198" t="s">
        <v>14</v>
      </c>
    </row>
    <row r="4199" x14ac:dyDescent="0.25">
      <c r="A4199" t="n">
        <v>25</v>
      </c>
      <c r="B4199" t="s">
        <v>14</v>
      </c>
      <c r="C4199" t="s">
        <v>51</v>
      </c>
      <c r="D4199" s="2" t="s">
        <f>=HYPERLINK("https://main.knesset.gov.il/APPS/legislation/main/bills/2206805", "הצעת חוק הביטוח הלאומי (תיקון - תנאי זכאות לדמי לידה), התשפ""ג-2023")</f>
        <v>8793</v>
      </c>
      <c r="E4199" t="s">
        <v>8793</v>
      </c>
      <c r="F4199" t="s">
        <v>8907</v>
      </c>
      <c r="G4199" t="s">
        <v>14</v>
      </c>
      <c r="H4199">
             </c>
      <c r="I4199" t="s">
        <v>14</v>
      </c>
      <c r="J4199" t="s">
        <v>242</v>
      </c>
      <c r="K4199" t="s">
        <v>14</v>
      </c>
      <c r="L4199" t="s">
        <v>20</v>
      </c>
      <c r="M4199" t="s">
        <v>8851</v>
      </c>
      <c r="N4199" t="s">
        <v>14</v>
      </c>
    </row>
    <row r="4200" x14ac:dyDescent="0.25">
      <c r="A4200" t="n">
        <v>25</v>
      </c>
      <c r="B4200" t="s">
        <v>14</v>
      </c>
      <c r="C4200" t="s">
        <v>51</v>
      </c>
      <c r="D4200" s="2" t="s">
        <f>=HYPERLINK("https://main.knesset.gov.il/APPS/legislation/main/bills/2206966", "הצעת חוק התכנון והבנייה (תיקון - החלטה מקדמית לפי תוכנית החיזוק), התשפ""ג-2023")</f>
        <v>8908</v>
      </c>
      <c r="E4200" t="s">
        <v>8908</v>
      </c>
      <c r="F4200" t="s">
        <v>8909</v>
      </c>
      <c r="G4200" t="s">
        <v>14</v>
      </c>
      <c r="H4200">
             </c>
      <c r="I4200" t="s">
        <v>14</v>
      </c>
      <c r="J4200" t="s">
        <v>242</v>
      </c>
      <c r="K4200" t="s">
        <v>14</v>
      </c>
      <c r="L4200" t="s">
        <v>20</v>
      </c>
      <c r="M4200" t="s">
        <v>8851</v>
      </c>
      <c r="N4200" t="s">
        <v>14</v>
      </c>
    </row>
    <row r="4201" x14ac:dyDescent="0.25">
      <c r="A4201" t="n">
        <v>25</v>
      </c>
      <c r="B4201" t="s">
        <v>14</v>
      </c>
      <c r="C4201" t="s">
        <v>51</v>
      </c>
      <c r="D4201" s="2" t="s">
        <f>=HYPERLINK("https://main.knesset.gov.il/APPS/legislation/main/bills/2207171", "הצעת חוק עובדים זרים (תיקון - אי־תחולת הסדר פנסיוני על עובד זר המועסק אצל יחיד בענף הסיעוד), התשפ""ג-2023")</f>
        <v>6252</v>
      </c>
      <c r="E4201" t="s">
        <v>6252</v>
      </c>
      <c r="F4201" t="s">
        <v>8910</v>
      </c>
      <c r="G4201" t="s">
        <v>14</v>
      </c>
      <c r="H4201">
             </c>
      <c r="I4201" t="s">
        <v>14</v>
      </c>
      <c r="J4201" t="s">
        <v>242</v>
      </c>
      <c r="K4201" t="s">
        <v>14</v>
      </c>
      <c r="L4201" t="s">
        <v>20</v>
      </c>
      <c r="M4201" t="s">
        <v>8851</v>
      </c>
      <c r="N4201" t="s">
        <v>14</v>
      </c>
    </row>
    <row r="4202" x14ac:dyDescent="0.25">
      <c r="A4202" t="n">
        <v>25</v>
      </c>
      <c r="B4202" t="s">
        <v>14</v>
      </c>
      <c r="C4202" t="s">
        <v>51</v>
      </c>
      <c r="D4202" s="2" t="s">
        <f>=HYPERLINK("https://main.knesset.gov.il/APPS/legislation/main/bills/2205751", "הצעת חוק זכויות הסטודנט (תיקון - ביטול ארגון סטודנטים יציג), התשפ""ג-2023")</f>
        <v>8911</v>
      </c>
      <c r="E4202" t="s">
        <v>8911</v>
      </c>
      <c r="F4202" t="s">
        <v>8912</v>
      </c>
      <c r="G4202" t="s">
        <v>14</v>
      </c>
      <c r="H4202">
             </c>
      <c r="I4202" t="s">
        <v>14</v>
      </c>
      <c r="J4202" t="s">
        <v>242</v>
      </c>
      <c r="K4202" t="s">
        <v>14</v>
      </c>
      <c r="L4202" t="s">
        <v>20</v>
      </c>
      <c r="M4202" t="s">
        <v>8851</v>
      </c>
      <c r="N4202" t="s">
        <v>14</v>
      </c>
    </row>
    <row r="4203" x14ac:dyDescent="0.25">
      <c r="A4203" t="n">
        <v>25</v>
      </c>
      <c r="B4203" t="s">
        <v>14</v>
      </c>
      <c r="C4203" t="s">
        <v>51</v>
      </c>
      <c r="D4203" s="2" t="s">
        <f>=HYPERLINK("https://main.knesset.gov.il/APPS/legislation/main/bills/2206960", "הצעת חוק מבקר המדינה (תיקון - הגנה על חושפי שחיתויות במשטרת ישראל), התשפ''ג-2023")</f>
        <v>8913</v>
      </c>
      <c r="E4203" t="s">
        <v>8913</v>
      </c>
      <c r="F4203" t="s">
        <v>8914</v>
      </c>
      <c r="G4203" t="s">
        <v>14</v>
      </c>
      <c r="H4203">
             </c>
      <c r="I4203" t="s">
        <v>14</v>
      </c>
      <c r="J4203" t="s">
        <v>242</v>
      </c>
      <c r="K4203" t="s">
        <v>14</v>
      </c>
      <c r="L4203" t="s">
        <v>20</v>
      </c>
      <c r="M4203" t="s">
        <v>8851</v>
      </c>
      <c r="N4203" t="s">
        <v>14</v>
      </c>
    </row>
    <row r="4204" x14ac:dyDescent="0.25">
      <c r="A4204" t="n">
        <v>25</v>
      </c>
      <c r="B4204" t="s">
        <v>14</v>
      </c>
      <c r="C4204" t="s">
        <v>51</v>
      </c>
      <c r="D4204" s="2" t="s">
        <f>=HYPERLINK("https://main.knesset.gov.il/APPS/legislation/main/bills/2207140", "הצעת חוק העונשין (תיקון - הגנה על בסיסי צה""ל, שטחי אש, תחנות משטרה ומתקנים ביטחוניים), התשפ""ג-2023 ")</f>
        <v>6587</v>
      </c>
      <c r="E4204" t="s">
        <v>6587</v>
      </c>
      <c r="F4204" t="s">
        <v>8915</v>
      </c>
      <c r="G4204" t="s">
        <v>14</v>
      </c>
      <c r="H4204">
             </c>
      <c r="I4204" t="s">
        <v>14</v>
      </c>
      <c r="J4204" t="s">
        <v>242</v>
      </c>
      <c r="K4204" t="s">
        <v>14</v>
      </c>
      <c r="L4204" t="s">
        <v>20</v>
      </c>
      <c r="M4204" t="s">
        <v>8851</v>
      </c>
      <c r="N4204" t="s">
        <v>14</v>
      </c>
    </row>
    <row r="4205" x14ac:dyDescent="0.25">
      <c r="A4205" t="n">
        <v>25</v>
      </c>
      <c r="B4205" t="s">
        <v>14</v>
      </c>
      <c r="C4205" t="s">
        <v>51</v>
      </c>
      <c r="D4205" s="2" t="s">
        <f>=HYPERLINK("https://main.knesset.gov.il/APPS/legislation/main/bills/2207046", "הצעת חוק לתיקון פקודת העיריות (אבטחת גורמים מאוימים בתאגידים עירוניים), התשפ""ג-2023")</f>
        <v>8916</v>
      </c>
      <c r="E4205" t="s">
        <v>8916</v>
      </c>
      <c r="F4205" t="s">
        <v>8917</v>
      </c>
      <c r="G4205" t="s">
        <v>14</v>
      </c>
      <c r="H4205">
             </c>
      <c r="I4205" t="s">
        <v>14</v>
      </c>
      <c r="J4205" t="s">
        <v>242</v>
      </c>
      <c r="K4205" t="s">
        <v>14</v>
      </c>
      <c r="L4205" t="s">
        <v>20</v>
      </c>
      <c r="M4205" t="s">
        <v>8851</v>
      </c>
      <c r="N4205" t="s">
        <v>14</v>
      </c>
    </row>
    <row r="4206" x14ac:dyDescent="0.25">
      <c r="A4206" t="n">
        <v>25</v>
      </c>
      <c r="B4206" t="s">
        <v>14</v>
      </c>
      <c r="C4206" t="s">
        <v>51</v>
      </c>
      <c r="D4206" s="2" t="s">
        <f>=HYPERLINK("https://main.knesset.gov.il/APPS/legislation/main/bills/2206968", "הצעת חוק המועצות האזוריות (בחירת ראש המועצה) (תיקון - הגשת רשימה על ידי סיעה או מפלגה), התשפ""ג-2023")</f>
        <v>8918</v>
      </c>
      <c r="E4206" t="s">
        <v>8918</v>
      </c>
      <c r="F4206" t="s">
        <v>8919</v>
      </c>
      <c r="G4206" t="s">
        <v>14</v>
      </c>
      <c r="H4206">
             </c>
      <c r="I4206" t="s">
        <v>14</v>
      </c>
      <c r="J4206" t="s">
        <v>242</v>
      </c>
      <c r="K4206" t="s">
        <v>14</v>
      </c>
      <c r="L4206" t="s">
        <v>20</v>
      </c>
      <c r="M4206" t="s">
        <v>8851</v>
      </c>
      <c r="N4206" t="s">
        <v>14</v>
      </c>
    </row>
    <row r="4207" x14ac:dyDescent="0.25">
      <c r="A4207" t="n">
        <v>25</v>
      </c>
      <c r="B4207" t="s">
        <v>14</v>
      </c>
      <c r="C4207" t="s">
        <v>51</v>
      </c>
      <c r="D4207" s="2" t="s">
        <f>=HYPERLINK("https://main.knesset.gov.il/APPS/legislation/main/bills/2207246", "הצעת חוק החברות (תיקון - ייצוג הולם לבני שני המינים בדירקטוריונים של חברות ציבוריות), התשפ""ג-2023")</f>
        <v>8920</v>
      </c>
      <c r="E4207" t="s">
        <v>8920</v>
      </c>
      <c r="F4207" t="s">
        <v>8921</v>
      </c>
      <c r="G4207" t="s">
        <v>14</v>
      </c>
      <c r="H4207">
             </c>
      <c r="I4207" t="s">
        <v>14</v>
      </c>
      <c r="J4207" t="s">
        <v>242</v>
      </c>
      <c r="K4207" t="s">
        <v>14</v>
      </c>
      <c r="L4207" t="s">
        <v>20</v>
      </c>
      <c r="M4207" t="s">
        <v>8851</v>
      </c>
      <c r="N4207" t="s">
        <v>14</v>
      </c>
    </row>
    <row r="4208" x14ac:dyDescent="0.25">
      <c r="A4208" t="n">
        <v>25</v>
      </c>
      <c r="B4208" t="s">
        <v>14</v>
      </c>
      <c r="C4208" t="s">
        <v>51</v>
      </c>
      <c r="D4208" s="2" t="s">
        <f>=HYPERLINK("https://main.knesset.gov.il/APPS/legislation/main/bills/2207489", "הצעת חוק בתי דין רבניים (קיום פסקי דין של גירושין) (תיקון - הגבלת שימוש בכרטיסי אשראי לסרבני גט), התשפ""ג-2023")</f>
        <v>8922</v>
      </c>
      <c r="E4208" t="s">
        <v>8922</v>
      </c>
      <c r="F4208" t="s">
        <v>8923</v>
      </c>
      <c r="G4208" t="s">
        <v>14</v>
      </c>
      <c r="H4208">
             </c>
      <c r="I4208" t="s">
        <v>14</v>
      </c>
      <c r="J4208" t="s">
        <v>242</v>
      </c>
      <c r="K4208" t="s">
        <v>14</v>
      </c>
      <c r="L4208" t="s">
        <v>20</v>
      </c>
      <c r="M4208" t="s">
        <v>8851</v>
      </c>
      <c r="N4208" t="s">
        <v>14</v>
      </c>
    </row>
    <row r="4209" x14ac:dyDescent="0.25">
      <c r="A4209" t="n">
        <v>25</v>
      </c>
      <c r="B4209" t="s">
        <v>14</v>
      </c>
      <c r="C4209" t="s">
        <v>51</v>
      </c>
      <c r="D4209" s="2" t="s">
        <f>=HYPERLINK("https://main.knesset.gov.il/APPS/legislation/main/bills/2207067", "הצעת חוק העונשין (תיקון - קביעת עונש מינימום בגין נטילת דמי חסות), התשפ""ג-2023")</f>
        <v>8924</v>
      </c>
      <c r="E4209" t="s">
        <v>8924</v>
      </c>
      <c r="F4209" t="s">
        <v>8925</v>
      </c>
      <c r="G4209" t="s">
        <v>14</v>
      </c>
      <c r="H4209">
             </c>
      <c r="I4209" t="s">
        <v>14</v>
      </c>
      <c r="J4209" t="s">
        <v>242</v>
      </c>
      <c r="K4209" t="s">
        <v>14</v>
      </c>
      <c r="L4209" t="s">
        <v>20</v>
      </c>
      <c r="M4209" t="s">
        <v>8851</v>
      </c>
      <c r="N4209" t="s">
        <v>14</v>
      </c>
    </row>
    <row r="4210" x14ac:dyDescent="0.25">
      <c r="A4210" t="n">
        <v>25</v>
      </c>
      <c r="B4210" t="s">
        <v>14</v>
      </c>
      <c r="C4210" t="s">
        <v>51</v>
      </c>
      <c r="D4210" s="2" t="s">
        <f>=HYPERLINK("https://main.knesset.gov.il/APPS/legislation/main/bills/2206979", "הצעת חוק התכנון והבנייה (תיקון - שימוש חורג בקרקע חקלאית), התשפ""ג-2023")</f>
        <v>8926</v>
      </c>
      <c r="E4210" t="s">
        <v>8926</v>
      </c>
      <c r="F4210" t="s">
        <v>8927</v>
      </c>
      <c r="G4210" t="s">
        <v>14</v>
      </c>
      <c r="H4210">
             </c>
      <c r="I4210" t="s">
        <v>14</v>
      </c>
      <c r="J4210" t="s">
        <v>242</v>
      </c>
      <c r="K4210" t="s">
        <v>14</v>
      </c>
      <c r="L4210" t="s">
        <v>20</v>
      </c>
      <c r="M4210" t="s">
        <v>8851</v>
      </c>
      <c r="N4210" t="s">
        <v>14</v>
      </c>
    </row>
    <row r="4211" x14ac:dyDescent="0.25">
      <c r="A4211" t="n">
        <v>25</v>
      </c>
      <c r="B4211" t="s">
        <v>14</v>
      </c>
      <c r="C4211" t="s">
        <v>51</v>
      </c>
      <c r="D4211" s="2" t="s">
        <f>=HYPERLINK("https://main.knesset.gov.il/APPS/legislation/main/bills/2207238", "הצעת חוק העונשין (תיקון - חובת פיצוי נפגע עבירה וחובת הנמקה), התשפ""ג-2023")</f>
        <v>8928</v>
      </c>
      <c r="E4211" t="s">
        <v>8928</v>
      </c>
      <c r="F4211" t="s">
        <v>8929</v>
      </c>
      <c r="G4211" t="s">
        <v>14</v>
      </c>
      <c r="H4211">
             </c>
      <c r="I4211" t="s">
        <v>14</v>
      </c>
      <c r="J4211" t="s">
        <v>242</v>
      </c>
      <c r="K4211" t="s">
        <v>14</v>
      </c>
      <c r="L4211" t="s">
        <v>20</v>
      </c>
      <c r="M4211" t="s">
        <v>8851</v>
      </c>
      <c r="N4211" t="s">
        <v>14</v>
      </c>
    </row>
    <row r="4212" x14ac:dyDescent="0.25">
      <c r="A4212" t="n">
        <v>25</v>
      </c>
      <c r="B4212" t="s">
        <v>14</v>
      </c>
      <c r="C4212" t="s">
        <v>51</v>
      </c>
      <c r="D4212" s="2" t="s">
        <f>=HYPERLINK("https://main.knesset.gov.il/APPS/legislation/main/bills/2207216", "הצעת חוק מימון מפלגות (תיקון - ייצוג לנשים ברשימת המועמדים), התשפ""ג-2023")</f>
        <v>8930</v>
      </c>
      <c r="E4212" t="s">
        <v>8930</v>
      </c>
      <c r="F4212" t="s">
        <v>8931</v>
      </c>
      <c r="G4212" t="s">
        <v>14</v>
      </c>
      <c r="H4212">
             </c>
      <c r="I4212" t="s">
        <v>14</v>
      </c>
      <c r="J4212" t="s">
        <v>242</v>
      </c>
      <c r="K4212" t="s">
        <v>14</v>
      </c>
      <c r="L4212" t="s">
        <v>20</v>
      </c>
      <c r="M4212" t="s">
        <v>8851</v>
      </c>
      <c r="N4212" t="s">
        <v>14</v>
      </c>
    </row>
    <row r="4213" x14ac:dyDescent="0.25">
      <c r="A4213" t="n">
        <v>25</v>
      </c>
      <c r="B4213" t="s">
        <v>14</v>
      </c>
      <c r="C4213" t="s">
        <v>51</v>
      </c>
      <c r="D4213" s="2" t="s">
        <f>=HYPERLINK("https://main.knesset.gov.il/APPS/legislation/main/bills/2207047", "הצעת חוק מיסוי רווחי יתר של תאגידים בנקאיים, התשפ""ג-2023")</f>
        <v>8568</v>
      </c>
      <c r="E4213" t="s">
        <v>8568</v>
      </c>
      <c r="F4213" t="s">
        <v>8932</v>
      </c>
      <c r="G4213" t="s">
        <v>14</v>
      </c>
      <c r="H4213">
             </c>
      <c r="I4213" t="s">
        <v>14</v>
      </c>
      <c r="J4213" t="s">
        <v>242</v>
      </c>
      <c r="K4213" t="s">
        <v>14</v>
      </c>
      <c r="L4213" t="s">
        <v>20</v>
      </c>
      <c r="M4213" t="s">
        <v>8851</v>
      </c>
      <c r="N4213" t="s">
        <v>14</v>
      </c>
    </row>
    <row r="4214" x14ac:dyDescent="0.25">
      <c r="A4214" t="n">
        <v>25</v>
      </c>
      <c r="B4214" t="s">
        <v>14</v>
      </c>
      <c r="C4214" t="s">
        <v>51</v>
      </c>
      <c r="D4214" s="2" t="s">
        <f>=HYPERLINK("https://main.knesset.gov.il/APPS/legislation/main/bills/2206962", "הצעת חוק עיקול ותפיסה מידתיים של נכסים המוחזקים בידי צד שלישי (תיקוני חקיקה), התשפ""ג-2023")</f>
        <v>8933</v>
      </c>
      <c r="E4214" t="s">
        <v>8933</v>
      </c>
      <c r="F4214" t="s">
        <v>8934</v>
      </c>
      <c r="G4214" t="s">
        <v>14</v>
      </c>
      <c r="H4214">
             </c>
      <c r="I4214" t="s">
        <v>14</v>
      </c>
      <c r="J4214" t="s">
        <v>242</v>
      </c>
      <c r="K4214" t="s">
        <v>14</v>
      </c>
      <c r="L4214" t="s">
        <v>20</v>
      </c>
      <c r="M4214" t="s">
        <v>8851</v>
      </c>
      <c r="N4214" t="s">
        <v>14</v>
      </c>
    </row>
    <row r="4215" x14ac:dyDescent="0.25">
      <c r="A4215" t="n">
        <v>25</v>
      </c>
      <c r="B4215" t="s">
        <v>14</v>
      </c>
      <c r="C4215" t="s">
        <v>51</v>
      </c>
      <c r="D4215" s="2" t="s">
        <f>=HYPERLINK("https://main.knesset.gov.il/APPS/legislation/main/bills/2207228", "הצעת חוק בתי המשפט (תיקון - מחלקות לעבירות מין), התשפ""ג-2023")</f>
        <v>8935</v>
      </c>
      <c r="E4215" t="s">
        <v>8935</v>
      </c>
      <c r="F4215" t="s">
        <v>8936</v>
      </c>
      <c r="G4215" t="s">
        <v>14</v>
      </c>
      <c r="H4215">
             </c>
      <c r="I4215" t="s">
        <v>14</v>
      </c>
      <c r="J4215" t="s">
        <v>242</v>
      </c>
      <c r="K4215" t="s">
        <v>14</v>
      </c>
      <c r="L4215" t="s">
        <v>20</v>
      </c>
      <c r="M4215" t="s">
        <v>8851</v>
      </c>
      <c r="N4215" t="s">
        <v>14</v>
      </c>
    </row>
    <row r="4216" x14ac:dyDescent="0.25">
      <c r="A4216" t="n">
        <v>25</v>
      </c>
      <c r="B4216" t="s">
        <v>14</v>
      </c>
      <c r="C4216" t="s">
        <v>51</v>
      </c>
      <c r="D4216" s="2" t="s">
        <f>=HYPERLINK("https://main.knesset.gov.il/APPS/legislation/main/bills/2207044", "הצעת חוק לתיקון פקודת מס הכנסה (ניכוי ריבית על משכנתה וסיוע ברכישת דירה), התשפ""ג-2023")</f>
        <v>8937</v>
      </c>
      <c r="E4216" t="s">
        <v>8937</v>
      </c>
      <c r="F4216" t="s">
        <v>8938</v>
      </c>
      <c r="G4216" t="s">
        <v>14</v>
      </c>
      <c r="H4216">
             </c>
      <c r="I4216" t="s">
        <v>14</v>
      </c>
      <c r="J4216" t="s">
        <v>242</v>
      </c>
      <c r="K4216" t="s">
        <v>14</v>
      </c>
      <c r="L4216" t="s">
        <v>20</v>
      </c>
      <c r="M4216" t="s">
        <v>8851</v>
      </c>
      <c r="N4216" t="s">
        <v>14</v>
      </c>
    </row>
    <row r="4217" x14ac:dyDescent="0.25">
      <c r="A4217" t="n">
        <v>25</v>
      </c>
      <c r="B4217" t="s">
        <v>14</v>
      </c>
      <c r="C4217" t="s">
        <v>51</v>
      </c>
      <c r="D4217" s="2" t="s">
        <f>=HYPERLINK("https://main.knesset.gov.il/APPS/legislation/main/bills/2206932", "הצעת חוק מס ערך מוסף (תיקון - הגבלת שיעור מס שכר למלכ""רים בירושלים), התשפ""ג-2023")</f>
        <v>8939</v>
      </c>
      <c r="E4217" t="s">
        <v>8939</v>
      </c>
      <c r="F4217" t="s">
        <v>8940</v>
      </c>
      <c r="G4217" t="s">
        <v>14</v>
      </c>
      <c r="H4217">
             </c>
      <c r="I4217" t="s">
        <v>14</v>
      </c>
      <c r="J4217" t="s">
        <v>242</v>
      </c>
      <c r="K4217" t="s">
        <v>14</v>
      </c>
      <c r="L4217" t="s">
        <v>20</v>
      </c>
      <c r="M4217" t="s">
        <v>8851</v>
      </c>
      <c r="N4217" t="s">
        <v>14</v>
      </c>
    </row>
    <row r="4218" x14ac:dyDescent="0.25">
      <c r="A4218" t="n">
        <v>25</v>
      </c>
      <c r="B4218" t="s">
        <v>14</v>
      </c>
      <c r="C4218" t="s">
        <v>51</v>
      </c>
      <c r="D4218" s="2" t="s">
        <f>=HYPERLINK("https://main.knesset.gov.il/APPS/legislation/main/bills/2207153", "הצעת חוק תשלום קצבאות לחיילי מילואים ולבני משפחותיהם (תיקון - השוואת תנאי אלמנות חללי המילואים), התשפ""ג-2023")</f>
        <v>8941</v>
      </c>
      <c r="E4218" t="s">
        <v>8941</v>
      </c>
      <c r="F4218" t="s">
        <v>8942</v>
      </c>
      <c r="G4218" t="s">
        <v>14</v>
      </c>
      <c r="H4218">
             </c>
      <c r="I4218" t="s">
        <v>14</v>
      </c>
      <c r="J4218" t="s">
        <v>242</v>
      </c>
      <c r="K4218" t="s">
        <v>14</v>
      </c>
      <c r="L4218" t="s">
        <v>20</v>
      </c>
      <c r="M4218" t="s">
        <v>8851</v>
      </c>
      <c r="N4218" t="s">
        <v>14</v>
      </c>
    </row>
    <row r="4219" x14ac:dyDescent="0.25">
      <c r="A4219" t="n">
        <v>25</v>
      </c>
      <c r="B4219" t="s">
        <v>14</v>
      </c>
      <c r="C4219" t="s">
        <v>51</v>
      </c>
      <c r="D4219" s="2" t="s">
        <f>=HYPERLINK("https://main.knesset.gov.il/APPS/legislation/main/bills/2207386", "הצעת חוק חילוט תקבולי עבירה בפשיעה חקלאית, התשפ""ג-2023")</f>
        <v>8943</v>
      </c>
      <c r="E4219" t="s">
        <v>8943</v>
      </c>
      <c r="F4219" t="s">
        <v>8944</v>
      </c>
      <c r="G4219" t="s">
        <v>14</v>
      </c>
      <c r="H4219">
             </c>
      <c r="I4219" t="s">
        <v>14</v>
      </c>
      <c r="J4219" t="s">
        <v>242</v>
      </c>
      <c r="K4219" t="s">
        <v>14</v>
      </c>
      <c r="L4219" t="s">
        <v>20</v>
      </c>
      <c r="M4219" t="s">
        <v>8851</v>
      </c>
      <c r="N4219" t="s">
        <v>14</v>
      </c>
    </row>
    <row r="4220" x14ac:dyDescent="0.25">
      <c r="A4220" t="n">
        <v>25</v>
      </c>
      <c r="B4220" t="s">
        <v>14</v>
      </c>
      <c r="C4220" t="s">
        <v>51</v>
      </c>
      <c r="D4220" s="2" t="s">
        <f>=HYPERLINK("https://main.knesset.gov.il/APPS/legislation/main/bills/2206955", "הצעת חוק חילוט תקבולי עבירה בפשיעה חקלאית, התשפ""ג-2023")</f>
        <v>8943</v>
      </c>
      <c r="E4220" t="s">
        <v>8943</v>
      </c>
      <c r="F4220" t="s">
        <v>8945</v>
      </c>
      <c r="G4220" t="s">
        <v>14</v>
      </c>
      <c r="H4220">
             </c>
      <c r="I4220" t="s">
        <v>14</v>
      </c>
      <c r="J4220" t="s">
        <v>242</v>
      </c>
      <c r="K4220" t="s">
        <v>14</v>
      </c>
      <c r="L4220" t="s">
        <v>20</v>
      </c>
      <c r="M4220" t="s">
        <v>8851</v>
      </c>
      <c r="N4220" t="s">
        <v>14</v>
      </c>
    </row>
    <row r="4221" x14ac:dyDescent="0.25">
      <c r="A4221" t="n">
        <v>25</v>
      </c>
      <c r="B4221" t="s">
        <v>14</v>
      </c>
      <c r="C4221" t="s">
        <v>51</v>
      </c>
      <c r="D4221" s="2" t="s">
        <f>=HYPERLINK("https://main.knesset.gov.il/APPS/legislation/main/bills/2207155", "הצעת חוק המאבק בטרור (תיקון - פיצוי עונשי לנפגעי עבירה), התשפ""ג-2023")</f>
        <v>8599</v>
      </c>
      <c r="E4221" t="s">
        <v>8599</v>
      </c>
      <c r="F4221" t="s">
        <v>8946</v>
      </c>
      <c r="G4221" t="s">
        <v>14</v>
      </c>
      <c r="H4221">
             </c>
      <c r="I4221" t="s">
        <v>14</v>
      </c>
      <c r="J4221" t="s">
        <v>242</v>
      </c>
      <c r="K4221" t="s">
        <v>14</v>
      </c>
      <c r="L4221" t="s">
        <v>20</v>
      </c>
      <c r="M4221" t="s">
        <v>8851</v>
      </c>
      <c r="N4221" t="s">
        <v>14</v>
      </c>
    </row>
    <row r="4222" x14ac:dyDescent="0.25">
      <c r="A4222" t="n">
        <v>25</v>
      </c>
      <c r="B4222" t="s">
        <v>14</v>
      </c>
      <c r="C4222" t="s">
        <v>51</v>
      </c>
      <c r="D4222" s="2" t="s">
        <f>=HYPERLINK("https://main.knesset.gov.il/APPS/legislation/main/bills/2207161", "הצעת חוק התכנון והבנייה (תיקון - מכירה ישירה של תוצרת חקלאית), התשפ""ג-2023")</f>
        <v>8947</v>
      </c>
      <c r="E4222" t="s">
        <v>8947</v>
      </c>
      <c r="F4222" t="s">
        <v>8948</v>
      </c>
      <c r="G4222" t="s">
        <v>14</v>
      </c>
      <c r="H4222">
             </c>
      <c r="I4222" t="s">
        <v>14</v>
      </c>
      <c r="J4222" t="s">
        <v>242</v>
      </c>
      <c r="K4222" t="s">
        <v>14</v>
      </c>
      <c r="L4222" t="s">
        <v>20</v>
      </c>
      <c r="M4222" t="s">
        <v>8851</v>
      </c>
      <c r="N4222" t="s">
        <v>14</v>
      </c>
    </row>
    <row r="4223" x14ac:dyDescent="0.25">
      <c r="A4223" t="n">
        <v>25</v>
      </c>
      <c r="B4223" t="s">
        <v>14</v>
      </c>
      <c r="C4223" t="s">
        <v>51</v>
      </c>
      <c r="D4223" s="2" t="s">
        <f>=HYPERLINK("https://main.knesset.gov.il/APPS/legislation/main/bills/2207163", "הצעת חוק הכניסה לישראל (תיקון - איסור כניסת פעילי טרור), התשפ""ג-2023")</f>
        <v>8949</v>
      </c>
      <c r="E4223" t="s">
        <v>8949</v>
      </c>
      <c r="F4223" t="s">
        <v>8950</v>
      </c>
      <c r="G4223" t="s">
        <v>14</v>
      </c>
      <c r="H4223">
             </c>
      <c r="I4223" t="s">
        <v>14</v>
      </c>
      <c r="J4223" t="s">
        <v>242</v>
      </c>
      <c r="K4223" t="s">
        <v>14</v>
      </c>
      <c r="L4223" t="s">
        <v>20</v>
      </c>
      <c r="M4223" t="s">
        <v>8851</v>
      </c>
      <c r="N4223" t="s">
        <v>14</v>
      </c>
    </row>
    <row r="4224" x14ac:dyDescent="0.25">
      <c r="A4224" t="n">
        <v>25</v>
      </c>
      <c r="B4224" t="s">
        <v>14</v>
      </c>
      <c r="C4224" t="s">
        <v>51</v>
      </c>
      <c r="D4224" s="2" t="s">
        <f>=HYPERLINK("https://main.knesset.gov.il/APPS/legislation/main/bills/2199389", "הצעת חוק שירותי תשלום (תיקון - דיווח על ניצול כלכלי של אזרח ותיק או חסר ישע), התשפ""ג -2023")</f>
        <v>8951</v>
      </c>
      <c r="E4224" t="s">
        <v>8951</v>
      </c>
      <c r="F4224" t="s">
        <v>8952</v>
      </c>
      <c r="G4224" t="s">
        <v>14</v>
      </c>
      <c r="H4224">
             </c>
      <c r="I4224" t="s">
        <v>14</v>
      </c>
      <c r="J4224" t="s">
        <v>242</v>
      </c>
      <c r="K4224" t="s">
        <v>14</v>
      </c>
      <c r="L4224" t="s">
        <v>20</v>
      </c>
      <c r="M4224" t="s">
        <v>8851</v>
      </c>
      <c r="N4224" t="s">
        <v>14</v>
      </c>
    </row>
    <row r="4225" x14ac:dyDescent="0.25">
      <c r="A4225" t="n">
        <v>25</v>
      </c>
      <c r="B4225" t="s">
        <v>14</v>
      </c>
      <c r="C4225" t="s">
        <v>51</v>
      </c>
      <c r="D4225" s="2" t="s">
        <f>=HYPERLINK("https://main.knesset.gov.il/APPS/legislation/main/bills/2203695", "הצעת חוק אומנה לילדים (תיקון - העברת תשלומים להורה אומנה במקרים מיוחדים), התשפ""ג-2023")</f>
        <v>8953</v>
      </c>
      <c r="E4225" t="s">
        <v>8953</v>
      </c>
      <c r="F4225" t="s">
        <v>8954</v>
      </c>
      <c r="G4225" t="s">
        <v>14</v>
      </c>
      <c r="H4225">
             </c>
      <c r="I4225" t="s">
        <v>14</v>
      </c>
      <c r="J4225" t="s">
        <v>202</v>
      </c>
      <c r="K4225" t="s">
        <v>14</v>
      </c>
      <c r="L4225" t="s">
        <v>20</v>
      </c>
      <c r="M4225" t="s">
        <v>8955</v>
      </c>
      <c r="N4225" t="s">
        <v>14</v>
      </c>
    </row>
    <row r="4226" x14ac:dyDescent="0.25">
      <c r="A4226" t="n">
        <v>25</v>
      </c>
      <c r="B4226" t="s">
        <v>14</v>
      </c>
      <c r="C4226" t="s">
        <v>51</v>
      </c>
      <c r="D4226" s="2" t="s">
        <f>=HYPERLINK("https://main.knesset.gov.il/APPS/legislation/main/bills/2200328", "הצעת חוק איסור טיפול המרה לקטין, התשפ""ג-2023")</f>
        <v>8956</v>
      </c>
      <c r="E4226" t="s">
        <v>8956</v>
      </c>
      <c r="F4226" t="s">
        <v>8957</v>
      </c>
      <c r="G4226" t="s">
        <v>14</v>
      </c>
      <c r="H4226">
             </c>
      <c r="I4226" t="s">
        <v>14</v>
      </c>
      <c r="J4226" t="s">
        <v>193</v>
      </c>
      <c r="K4226" t="s">
        <v>14</v>
      </c>
      <c r="L4226" t="s">
        <v>20</v>
      </c>
      <c r="M4226" t="s">
        <v>8955</v>
      </c>
      <c r="N4226" t="s">
        <v>14</v>
      </c>
    </row>
    <row r="4227" x14ac:dyDescent="0.25">
      <c r="A4227" t="n">
        <v>25</v>
      </c>
      <c r="B4227" t="s">
        <v>14</v>
      </c>
      <c r="C4227" t="s">
        <v>51</v>
      </c>
      <c r="D4227" s="2" t="s">
        <f>=HYPERLINK("https://main.knesset.gov.il/APPS/legislation/main/bills/2199914", "הצעת חוק איסור טיפול המרה לקטין, התשפ""ג-2023")</f>
        <v>8956</v>
      </c>
      <c r="E4227" t="s">
        <v>8956</v>
      </c>
      <c r="F4227" t="s">
        <v>8958</v>
      </c>
      <c r="G4227" t="s">
        <v>14</v>
      </c>
      <c r="H4227">
             </c>
      <c r="I4227" t="s">
        <v>14</v>
      </c>
      <c r="J4227" t="s">
        <v>193</v>
      </c>
      <c r="K4227" t="s">
        <v>14</v>
      </c>
      <c r="L4227" t="s">
        <v>20</v>
      </c>
      <c r="M4227" t="s">
        <v>8955</v>
      </c>
      <c r="N4227" t="s">
        <v>14</v>
      </c>
    </row>
    <row r="4228" x14ac:dyDescent="0.25">
      <c r="A4228" t="n">
        <v>25</v>
      </c>
      <c r="B4228" t="s">
        <v>14</v>
      </c>
      <c r="C4228" t="s">
        <v>51</v>
      </c>
      <c r="D4228" s="2" t="s">
        <f>=HYPERLINK("https://main.knesset.gov.il/APPS/legislation/main/bills/2195856", "הצעת חוק הבחירות לכנסת (תיקון - הצבעת אנשי צוות אוויר), התשפ""ג-2022")</f>
        <v>8959</v>
      </c>
      <c r="E4228" t="s">
        <v>8959</v>
      </c>
      <c r="F4228" t="s">
        <v>8960</v>
      </c>
      <c r="G4228" t="s">
        <v>14</v>
      </c>
      <c r="H4228">
             </c>
      <c r="I4228" t="s">
        <v>14</v>
      </c>
      <c r="J4228" t="s">
        <v>193</v>
      </c>
      <c r="K4228" t="s">
        <v>14</v>
      </c>
      <c r="L4228" t="s">
        <v>20</v>
      </c>
      <c r="M4228" t="s">
        <v>8955</v>
      </c>
      <c r="N4228" t="s">
        <v>14</v>
      </c>
    </row>
    <row r="4229" x14ac:dyDescent="0.25">
      <c r="A4229" t="n">
        <v>25</v>
      </c>
      <c r="B4229" t="s">
        <v>14</v>
      </c>
      <c r="C4229" t="s">
        <v>51</v>
      </c>
      <c r="D4229" s="2" t="s">
        <f>=HYPERLINK("https://main.knesset.gov.il/APPS/legislation/main/bills/2196942", "חוק לביטול אזרחותו או תושבותו של פעיל טרור שמקבל תגמול עבור ביצוע מעשה הטרור (תיקוני חקיקה), התשפ""ג-2023")</f>
        <v>8961</v>
      </c>
      <c r="E4229" t="s">
        <v>8961</v>
      </c>
      <c r="F4229" t="s">
        <v>8962</v>
      </c>
      <c r="G4229" t="s">
        <v>8963</v>
      </c>
      <c r="H4229" t="n">
        <v>3024</v>
      </c>
      <c r="I4229" t="s">
        <v>14</v>
      </c>
      <c r="J4229" t="s">
        <v>18</v>
      </c>
      <c r="K4229" t="s">
        <v>14</v>
      </c>
      <c r="L4229" t="s">
        <v>20</v>
      </c>
      <c r="M4229" t="s">
        <v>8964</v>
      </c>
      <c r="N4229" t="s">
        <v>8965</v>
      </c>
    </row>
    <row r="4230" x14ac:dyDescent="0.25">
      <c r="A4230" t="n">
        <v>25</v>
      </c>
      <c r="B4230" t="s">
        <v>14</v>
      </c>
      <c r="C4230" t="s">
        <v>51</v>
      </c>
      <c r="D4230" s="2" t="s">
        <f>=HYPERLINK("https://main.knesset.gov.il/APPS/legislation/main/bills/2200755", "חוק תאגידי מים וביוב (תיקון מס' 15), התשפ""ג–2023")</f>
        <v>8966</v>
      </c>
      <c r="E4230" t="s">
        <v>8966</v>
      </c>
      <c r="F4230" t="s">
        <v>8967</v>
      </c>
      <c r="G4230" t="s">
        <v>8968</v>
      </c>
      <c r="H4230" t="n">
        <v>3052</v>
      </c>
      <c r="I4230" t="s">
        <v>14</v>
      </c>
      <c r="J4230" t="s">
        <v>18</v>
      </c>
      <c r="K4230" t="s">
        <v>84</v>
      </c>
      <c r="L4230" t="s">
        <v>20</v>
      </c>
      <c r="M4230" t="s">
        <v>8964</v>
      </c>
      <c r="N4230" t="s">
        <v>8969</v>
      </c>
    </row>
    <row r="4231" x14ac:dyDescent="0.25">
      <c r="A4231" t="n">
        <v>25</v>
      </c>
      <c r="B4231" t="s">
        <v>14</v>
      </c>
      <c r="C4231" t="s">
        <v>51</v>
      </c>
      <c r="D4231" s="2" t="s">
        <f>=HYPERLINK("https://main.knesset.gov.il/APPS/legislation/main/bills/2196344", "הצעת חוק העונשין (תיקון - הרחבת הגדרת הגזענות), התשפ""ג-2023")</f>
        <v>8446</v>
      </c>
      <c r="E4231" t="s">
        <v>8446</v>
      </c>
      <c r="F4231" t="s">
        <v>8970</v>
      </c>
      <c r="G4231" t="s">
        <v>14</v>
      </c>
      <c r="H4231">
             </c>
      <c r="I4231" t="s">
        <v>14</v>
      </c>
      <c r="J4231" t="s">
        <v>152</v>
      </c>
      <c r="K4231" t="s">
        <v>27</v>
      </c>
      <c r="L4231" t="s">
        <v>20</v>
      </c>
      <c r="M4231" t="s">
        <v>8971</v>
      </c>
      <c r="N4231" t="s">
        <v>14</v>
      </c>
    </row>
    <row r="4232" x14ac:dyDescent="0.25">
      <c r="A4232" t="n">
        <v>25</v>
      </c>
      <c r="B4232" t="s">
        <v>14</v>
      </c>
      <c r="C4232" t="s">
        <v>15</v>
      </c>
      <c r="D4232" s="2" t="s">
        <f>=HYPERLINK("https://main.knesset.gov.il/APPS/legislation/main/bills/2203992", "חוק טיפול בחולי נפש (תיקון מס' 12), התשפ""ג-2023")</f>
        <v>8972</v>
      </c>
      <c r="E4232" t="s">
        <v>8972</v>
      </c>
      <c r="F4232" t="s">
        <v>14</v>
      </c>
      <c r="G4232" t="s">
        <v>8973</v>
      </c>
      <c r="H4232" t="n">
        <v>3051</v>
      </c>
      <c r="I4232" t="s">
        <v>14</v>
      </c>
      <c r="J4232" t="s">
        <v>18</v>
      </c>
      <c r="K4232" t="s">
        <v>361</v>
      </c>
      <c r="L4232" t="s">
        <v>20</v>
      </c>
      <c r="M4232" t="s">
        <v>8971</v>
      </c>
      <c r="N4232" t="s">
        <v>8974</v>
      </c>
    </row>
    <row r="4233" x14ac:dyDescent="0.25">
      <c r="A4233" t="n">
        <v>25</v>
      </c>
      <c r="B4233" t="s">
        <v>14</v>
      </c>
      <c r="C4233" t="s">
        <v>15</v>
      </c>
      <c r="D4233" s="2" t="s">
        <f>=HYPERLINK("https://main.knesset.gov.il/APPS/legislation/main/bills/2193153", "חוק התחרות הכלכלית (תיקון מס' 23 והוראת שעה), התשפ""ג-2023")</f>
        <v>8975</v>
      </c>
      <c r="E4233" t="s">
        <v>8975</v>
      </c>
      <c r="F4233" t="s">
        <v>14</v>
      </c>
      <c r="G4233" t="s">
        <v>8976</v>
      </c>
      <c r="H4233" t="n">
        <v>3050</v>
      </c>
      <c r="I4233" t="s">
        <v>14</v>
      </c>
      <c r="J4233" t="s">
        <v>18</v>
      </c>
      <c r="K4233" t="s">
        <v>84</v>
      </c>
      <c r="L4233" t="s">
        <v>20</v>
      </c>
      <c r="M4233" t="s">
        <v>8971</v>
      </c>
      <c r="N4233" t="s">
        <v>8977</v>
      </c>
    </row>
    <row r="4234" x14ac:dyDescent="0.25">
      <c r="A4234" t="n">
        <v>25</v>
      </c>
      <c r="B4234" t="s">
        <v>14</v>
      </c>
      <c r="C4234" t="s">
        <v>51</v>
      </c>
      <c r="D4234" s="2" t="s">
        <f>=HYPERLINK("https://main.knesset.gov.il/APPS/legislation/main/bills/2206549", "הצעת חוק מס הכנסה (מיסוי הכנסה מפעילות בכלי שיט לפי תפוסה), התשפ""ג-2023")</f>
        <v>8978</v>
      </c>
      <c r="E4234" t="s">
        <v>8978</v>
      </c>
      <c r="F4234" t="s">
        <v>8979</v>
      </c>
      <c r="G4234" t="s">
        <v>14</v>
      </c>
      <c r="H4234">
             </c>
      <c r="I4234" t="s">
        <v>14</v>
      </c>
      <c r="J4234" t="s">
        <v>242</v>
      </c>
      <c r="K4234" t="s">
        <v>14</v>
      </c>
      <c r="L4234" t="s">
        <v>20</v>
      </c>
      <c r="M4234" t="s">
        <v>8971</v>
      </c>
      <c r="N4234" t="s">
        <v>14</v>
      </c>
    </row>
    <row r="4235" x14ac:dyDescent="0.25">
      <c r="A4235" t="n">
        <v>25</v>
      </c>
      <c r="B4235" t="s">
        <v>14</v>
      </c>
      <c r="C4235" t="s">
        <v>51</v>
      </c>
      <c r="D4235" s="2" t="s">
        <f>=HYPERLINK("https://main.knesset.gov.il/APPS/legislation/main/bills/2199393", "הצעת חוק לשכת עורכי הדין (תיקון - השעיה עד סיום ההליכים), התשפ""ג-2023")</f>
        <v>8980</v>
      </c>
      <c r="E4235" t="s">
        <v>8980</v>
      </c>
      <c r="F4235" t="s">
        <v>8981</v>
      </c>
      <c r="G4235" t="s">
        <v>14</v>
      </c>
      <c r="H4235">
             </c>
      <c r="I4235" t="s">
        <v>14</v>
      </c>
      <c r="J4235" t="s">
        <v>202</v>
      </c>
      <c r="K4235" t="s">
        <v>14</v>
      </c>
      <c r="L4235" t="s">
        <v>20</v>
      </c>
      <c r="M4235" t="s">
        <v>8971</v>
      </c>
      <c r="N4235" t="s">
        <v>14</v>
      </c>
    </row>
    <row r="4236" x14ac:dyDescent="0.25">
      <c r="A4236" t="n">
        <v>25</v>
      </c>
      <c r="B4236" t="s">
        <v>14</v>
      </c>
      <c r="C4236" t="s">
        <v>51</v>
      </c>
      <c r="D4236" s="2" t="s">
        <f>=HYPERLINK("https://main.knesset.gov.il/APPS/legislation/main/bills/2206384", "הצעת חוק לתיקון פקודת מס הכנסה (ידועים בציבור), התשפ""ג-2023")</f>
        <v>8982</v>
      </c>
      <c r="E4236" t="s">
        <v>8982</v>
      </c>
      <c r="F4236" t="s">
        <v>8983</v>
      </c>
      <c r="G4236" t="s">
        <v>14</v>
      </c>
      <c r="H4236">
             </c>
      <c r="I4236" t="s">
        <v>14</v>
      </c>
      <c r="J4236" t="s">
        <v>242</v>
      </c>
      <c r="K4236" t="s">
        <v>14</v>
      </c>
      <c r="L4236" t="s">
        <v>20</v>
      </c>
      <c r="M4236" t="s">
        <v>8971</v>
      </c>
      <c r="N4236" t="s">
        <v>14</v>
      </c>
    </row>
    <row r="4237" x14ac:dyDescent="0.25">
      <c r="A4237" t="n">
        <v>25</v>
      </c>
      <c r="B4237" t="s">
        <v>14</v>
      </c>
      <c r="C4237" t="s">
        <v>51</v>
      </c>
      <c r="D4237" s="2" t="s">
        <f>=HYPERLINK("https://main.knesset.gov.il/APPS/legislation/main/bills/2206677", "הצעת חוק ביטוח בריאות ממלכתי (תיקון - ביטול החרגת חיילים), התשפ""ג-2023")</f>
        <v>8984</v>
      </c>
      <c r="E4237" t="s">
        <v>8984</v>
      </c>
      <c r="F4237" t="s">
        <v>8985</v>
      </c>
      <c r="G4237" t="s">
        <v>14</v>
      </c>
      <c r="H4237">
             </c>
      <c r="I4237" t="s">
        <v>14</v>
      </c>
      <c r="J4237" t="s">
        <v>242</v>
      </c>
      <c r="K4237" t="s">
        <v>14</v>
      </c>
      <c r="L4237" t="s">
        <v>20</v>
      </c>
      <c r="M4237" t="s">
        <v>8971</v>
      </c>
      <c r="N4237" t="s">
        <v>14</v>
      </c>
    </row>
    <row r="4238" x14ac:dyDescent="0.25">
      <c r="A4238" t="n">
        <v>25</v>
      </c>
      <c r="B4238" t="s">
        <v>14</v>
      </c>
      <c r="C4238" t="s">
        <v>51</v>
      </c>
      <c r="D4238" s="2" t="s">
        <f>=HYPERLINK("https://main.knesset.gov.il/APPS/legislation/main/bills/2206790", "הצעת חוק לתיקון פקודת מס הכנסה (החזר בתשלום למעונות יום לאימהות), התשפ""ג-2023")</f>
        <v>8986</v>
      </c>
      <c r="E4238" t="s">
        <v>8986</v>
      </c>
      <c r="F4238" t="s">
        <v>8987</v>
      </c>
      <c r="G4238" t="s">
        <v>14</v>
      </c>
      <c r="H4238">
             </c>
      <c r="I4238" t="s">
        <v>14</v>
      </c>
      <c r="J4238" t="s">
        <v>242</v>
      </c>
      <c r="K4238" t="s">
        <v>14</v>
      </c>
      <c r="L4238" t="s">
        <v>20</v>
      </c>
      <c r="M4238" t="s">
        <v>8971</v>
      </c>
      <c r="N4238" t="s">
        <v>14</v>
      </c>
    </row>
    <row r="4239" x14ac:dyDescent="0.25">
      <c r="A4239" t="n">
        <v>25</v>
      </c>
      <c r="B4239" t="s">
        <v>14</v>
      </c>
      <c r="C4239" t="s">
        <v>51</v>
      </c>
      <c r="D4239" s="2" t="s">
        <f>=HYPERLINK("https://main.knesset.gov.il/APPS/legislation/main/bills/2204087", "הצעת חוק לתיקון פקודת מס הכנסה (חשבון השקעה), התשפ""ג-2023")</f>
        <v>8988</v>
      </c>
      <c r="E4239" t="s">
        <v>8988</v>
      </c>
      <c r="F4239" t="s">
        <v>8989</v>
      </c>
      <c r="G4239" t="s">
        <v>14</v>
      </c>
      <c r="H4239">
             </c>
      <c r="I4239" t="s">
        <v>14</v>
      </c>
      <c r="J4239" t="s">
        <v>242</v>
      </c>
      <c r="K4239" t="s">
        <v>14</v>
      </c>
      <c r="L4239" t="s">
        <v>20</v>
      </c>
      <c r="M4239" t="s">
        <v>8971</v>
      </c>
      <c r="N4239" t="s">
        <v>14</v>
      </c>
    </row>
    <row r="4240" x14ac:dyDescent="0.25">
      <c r="A4240" t="n">
        <v>25</v>
      </c>
      <c r="B4240" t="s">
        <v>14</v>
      </c>
      <c r="C4240" t="s">
        <v>51</v>
      </c>
      <c r="D4240" s="2" t="s">
        <f>=HYPERLINK("https://main.knesset.gov.il/APPS/legislation/main/bills/2206798", "הצעת חוק שוויון זכויות לאנשים עם מוגבלות (תיקון - מידע בדבר עמידת מעסיקים פרטיים גדולים ביעד הייצוג ההולם), התשפ""ג-2023")</f>
        <v>8990</v>
      </c>
      <c r="E4240" t="s">
        <v>8990</v>
      </c>
      <c r="F4240" t="s">
        <v>8991</v>
      </c>
      <c r="G4240" t="s">
        <v>14</v>
      </c>
      <c r="H4240">
             </c>
      <c r="I4240" t="s">
        <v>14</v>
      </c>
      <c r="J4240" t="s">
        <v>242</v>
      </c>
      <c r="K4240" t="s">
        <v>14</v>
      </c>
      <c r="L4240" t="s">
        <v>20</v>
      </c>
      <c r="M4240" t="s">
        <v>8971</v>
      </c>
      <c r="N4240" t="s">
        <v>14</v>
      </c>
    </row>
    <row r="4241" x14ac:dyDescent="0.25">
      <c r="A4241" t="n">
        <v>25</v>
      </c>
      <c r="B4241" t="s">
        <v>14</v>
      </c>
      <c r="C4241" t="s">
        <v>51</v>
      </c>
      <c r="D4241" s="2" t="s">
        <f>=HYPERLINK("https://main.knesset.gov.il/APPS/legislation/main/bills/2206679", "הצעת חוק לתיקון פקודת בריאות העם (העדפות מתן רישיון למכשור רפואי בפריפריה), התשפ""ג-2023")</f>
        <v>8185</v>
      </c>
      <c r="E4241" t="s">
        <v>8185</v>
      </c>
      <c r="F4241" t="s">
        <v>8992</v>
      </c>
      <c r="G4241" t="s">
        <v>14</v>
      </c>
      <c r="H4241">
             </c>
      <c r="I4241" t="s">
        <v>14</v>
      </c>
      <c r="J4241" t="s">
        <v>242</v>
      </c>
      <c r="K4241" t="s">
        <v>14</v>
      </c>
      <c r="L4241" t="s">
        <v>20</v>
      </c>
      <c r="M4241" t="s">
        <v>8971</v>
      </c>
      <c r="N4241" t="s">
        <v>14</v>
      </c>
    </row>
    <row r="4242" x14ac:dyDescent="0.25">
      <c r="A4242" t="n">
        <v>25</v>
      </c>
      <c r="B4242" t="s">
        <v>14</v>
      </c>
      <c r="C4242" t="s">
        <v>51</v>
      </c>
      <c r="D4242" s="2" t="s">
        <f>=HYPERLINK("https://main.knesset.gov.il/APPS/legislation/main/bills/2206816", "הצעת חוק הגנת השכר (תיקון - פירוט עלות מעסיק), התשפ""ג-2023")</f>
        <v>8993</v>
      </c>
      <c r="E4242" t="s">
        <v>8993</v>
      </c>
      <c r="F4242" t="s">
        <v>8994</v>
      </c>
      <c r="G4242" t="s">
        <v>14</v>
      </c>
      <c r="H4242">
             </c>
      <c r="I4242" t="s">
        <v>14</v>
      </c>
      <c r="J4242" t="s">
        <v>242</v>
      </c>
      <c r="K4242" t="s">
        <v>14</v>
      </c>
      <c r="L4242" t="s">
        <v>20</v>
      </c>
      <c r="M4242" t="s">
        <v>8971</v>
      </c>
      <c r="N4242" t="s">
        <v>14</v>
      </c>
    </row>
    <row r="4243" x14ac:dyDescent="0.25">
      <c r="A4243" t="n">
        <v>25</v>
      </c>
      <c r="B4243" t="s">
        <v>14</v>
      </c>
      <c r="C4243" t="s">
        <v>51</v>
      </c>
      <c r="D4243" s="2" t="s">
        <f>=HYPERLINK("https://main.knesset.gov.il/APPS/legislation/main/bills/2203955", "הצעת חוק עובדים זרים (תיקון - הפחתת אגרה לעובדים בענף המלונאות), התשפ""ג-2023")</f>
        <v>8889</v>
      </c>
      <c r="E4243" t="s">
        <v>8889</v>
      </c>
      <c r="F4243" t="s">
        <v>8995</v>
      </c>
      <c r="G4243" t="s">
        <v>14</v>
      </c>
      <c r="H4243">
             </c>
      <c r="I4243" t="s">
        <v>14</v>
      </c>
      <c r="J4243" t="s">
        <v>242</v>
      </c>
      <c r="K4243" t="s">
        <v>14</v>
      </c>
      <c r="L4243" t="s">
        <v>20</v>
      </c>
      <c r="M4243" t="s">
        <v>8971</v>
      </c>
      <c r="N4243" t="s">
        <v>14</v>
      </c>
    </row>
    <row r="4244" x14ac:dyDescent="0.25">
      <c r="A4244" t="n">
        <v>25</v>
      </c>
      <c r="B4244" t="s">
        <v>14</v>
      </c>
      <c r="C4244" t="s">
        <v>51</v>
      </c>
      <c r="D4244" s="2" t="s">
        <f>=HYPERLINK("https://main.knesset.gov.il/APPS/legislation/main/bills/2199135", "הצעת חוק החברות הממשלתיות (תיקון - ייצוג הולם בקרב עובדי החברות הממשלתיות), התשפ""ג-2023")</f>
        <v>8996</v>
      </c>
      <c r="E4244" t="s">
        <v>8996</v>
      </c>
      <c r="F4244" t="s">
        <v>8997</v>
      </c>
      <c r="G4244" t="s">
        <v>14</v>
      </c>
      <c r="H4244">
             </c>
      <c r="I4244" t="s">
        <v>14</v>
      </c>
      <c r="J4244" t="s">
        <v>242</v>
      </c>
      <c r="K4244" t="s">
        <v>14</v>
      </c>
      <c r="L4244" t="s">
        <v>20</v>
      </c>
      <c r="M4244" t="s">
        <v>8971</v>
      </c>
      <c r="N4244" t="s">
        <v>14</v>
      </c>
    </row>
    <row r="4245" x14ac:dyDescent="0.25">
      <c r="A4245" t="n">
        <v>25</v>
      </c>
      <c r="B4245" t="s">
        <v>14</v>
      </c>
      <c r="C4245" t="s">
        <v>51</v>
      </c>
      <c r="D4245" s="2" t="s">
        <f>=HYPERLINK("https://main.knesset.gov.il/APPS/legislation/main/bills/2206678", "הצעת חוק לתיקון פקודת בריאות העם (מכשירים רפואיים מיוחדים), התשפ""ג-2023")</f>
        <v>8998</v>
      </c>
      <c r="E4245" t="s">
        <v>8998</v>
      </c>
      <c r="F4245" t="s">
        <v>8999</v>
      </c>
      <c r="G4245" t="s">
        <v>14</v>
      </c>
      <c r="H4245">
             </c>
      <c r="I4245" t="s">
        <v>14</v>
      </c>
      <c r="J4245" t="s">
        <v>242</v>
      </c>
      <c r="K4245" t="s">
        <v>14</v>
      </c>
      <c r="L4245" t="s">
        <v>20</v>
      </c>
      <c r="M4245" t="s">
        <v>8971</v>
      </c>
      <c r="N4245" t="s">
        <v>14</v>
      </c>
    </row>
    <row r="4246" x14ac:dyDescent="0.25">
      <c r="A4246" t="n">
        <v>25</v>
      </c>
      <c r="B4246" t="s">
        <v>14</v>
      </c>
      <c r="C4246" t="s">
        <v>51</v>
      </c>
      <c r="D4246" s="2" t="s">
        <f>=HYPERLINK("https://main.knesset.gov.il/APPS/legislation/main/bills/2206897", "הצעת חוק צעירים חסרי עורף משפחתי, התשפ""ג-2023")</f>
        <v>9000</v>
      </c>
      <c r="E4246" t="s">
        <v>9000</v>
      </c>
      <c r="F4246" t="s">
        <v>9001</v>
      </c>
      <c r="G4246" t="s">
        <v>14</v>
      </c>
      <c r="H4246">
             </c>
      <c r="I4246" t="s">
        <v>14</v>
      </c>
      <c r="J4246" t="s">
        <v>242</v>
      </c>
      <c r="K4246" t="s">
        <v>14</v>
      </c>
      <c r="L4246" t="s">
        <v>20</v>
      </c>
      <c r="M4246" t="s">
        <v>8971</v>
      </c>
      <c r="N4246" t="s">
        <v>14</v>
      </c>
    </row>
    <row r="4247" x14ac:dyDescent="0.25">
      <c r="A4247" t="n">
        <v>25</v>
      </c>
      <c r="B4247" t="s">
        <v>14</v>
      </c>
      <c r="C4247" t="s">
        <v>51</v>
      </c>
      <c r="D4247" s="2" t="s">
        <f>=HYPERLINK("https://main.knesset.gov.il/APPS/legislation/main/bills/2206780", "הצעת חוק לתיקון פקודת הדיג (איכון ספינות דיג), התשפ""ג-2023")</f>
        <v>9002</v>
      </c>
      <c r="E4247" t="s">
        <v>9002</v>
      </c>
      <c r="F4247" t="s">
        <v>9003</v>
      </c>
      <c r="G4247" t="s">
        <v>14</v>
      </c>
      <c r="H4247">
             </c>
      <c r="I4247" t="s">
        <v>14</v>
      </c>
      <c r="J4247" t="s">
        <v>242</v>
      </c>
      <c r="K4247" t="s">
        <v>14</v>
      </c>
      <c r="L4247" t="s">
        <v>20</v>
      </c>
      <c r="M4247" t="s">
        <v>8971</v>
      </c>
      <c r="N4247" t="s">
        <v>14</v>
      </c>
    </row>
    <row r="4248" x14ac:dyDescent="0.25">
      <c r="A4248" t="n">
        <v>25</v>
      </c>
      <c r="B4248" t="s">
        <v>14</v>
      </c>
      <c r="C4248" t="s">
        <v>51</v>
      </c>
      <c r="D4248" s="2" t="s">
        <f>=HYPERLINK("https://main.knesset.gov.il/APPS/legislation/main/bills/2203681", "הצעת חוק איסור הפליה במוצרים, בשירותים ובכניסה למקומות בידור ולמקומות ציבוריים (תיקון - איסור הפרדה), התשפ""ג-2023")</f>
        <v>9004</v>
      </c>
      <c r="E4248" t="s">
        <v>9004</v>
      </c>
      <c r="F4248" t="s">
        <v>9005</v>
      </c>
      <c r="G4248" t="s">
        <v>14</v>
      </c>
      <c r="H4248">
             </c>
      <c r="I4248" t="s">
        <v>14</v>
      </c>
      <c r="J4248" t="s">
        <v>242</v>
      </c>
      <c r="K4248" t="s">
        <v>14</v>
      </c>
      <c r="L4248" t="s">
        <v>20</v>
      </c>
      <c r="M4248" t="s">
        <v>8971</v>
      </c>
      <c r="N4248" t="s">
        <v>14</v>
      </c>
    </row>
    <row r="4249" x14ac:dyDescent="0.25">
      <c r="A4249" t="n">
        <v>25</v>
      </c>
      <c r="B4249" t="s">
        <v>14</v>
      </c>
      <c r="C4249" t="s">
        <v>51</v>
      </c>
      <c r="D4249" s="2" t="s">
        <f>=HYPERLINK("https://main.knesset.gov.il/APPS/legislation/main/bills/2198312", "הצעת חוק העמותות (תיקון - הגבלת הכנסה ממדינות שאין לישראל יחסים רשמיים עימן), התשפ""ג-2023")</f>
        <v>9006</v>
      </c>
      <c r="E4249" t="s">
        <v>9006</v>
      </c>
      <c r="F4249" t="s">
        <v>9007</v>
      </c>
      <c r="G4249" t="s">
        <v>14</v>
      </c>
      <c r="H4249">
             </c>
      <c r="I4249" t="s">
        <v>14</v>
      </c>
      <c r="J4249" t="s">
        <v>242</v>
      </c>
      <c r="K4249" t="s">
        <v>14</v>
      </c>
      <c r="L4249" t="s">
        <v>20</v>
      </c>
      <c r="M4249" t="s">
        <v>8971</v>
      </c>
      <c r="N4249" t="s">
        <v>14</v>
      </c>
    </row>
    <row r="4250" x14ac:dyDescent="0.25">
      <c r="A4250" t="n">
        <v>25</v>
      </c>
      <c r="B4250" t="s">
        <v>14</v>
      </c>
      <c r="C4250" t="s">
        <v>51</v>
      </c>
      <c r="D4250" s="2" t="s">
        <f>=HYPERLINK("https://main.knesset.gov.il/APPS/legislation/main/bills/2206407", "הצעת חוק הגבלת משקל בתעשיית הדוגמנות (תיקון - פיקוח ואכיפה), התשפ""ג-2023")</f>
        <v>9008</v>
      </c>
      <c r="E4250" t="s">
        <v>9008</v>
      </c>
      <c r="F4250" t="s">
        <v>9009</v>
      </c>
      <c r="G4250" t="s">
        <v>14</v>
      </c>
      <c r="H4250">
             </c>
      <c r="I4250" t="s">
        <v>14</v>
      </c>
      <c r="J4250" t="s">
        <v>242</v>
      </c>
      <c r="K4250" t="s">
        <v>14</v>
      </c>
      <c r="L4250" t="s">
        <v>20</v>
      </c>
      <c r="M4250" t="s">
        <v>8971</v>
      </c>
      <c r="N4250" t="s">
        <v>14</v>
      </c>
    </row>
    <row r="4251" x14ac:dyDescent="0.25">
      <c r="A4251" t="n">
        <v>25</v>
      </c>
      <c r="B4251" t="s">
        <v>14</v>
      </c>
      <c r="C4251" t="s">
        <v>51</v>
      </c>
      <c r="D4251" s="2" t="s">
        <f>=HYPERLINK("https://main.knesset.gov.il/APPS/legislation/main/bills/2205593", "הצעת חוק שיפוט בתי דין רבניים (נישואין וגירושין) (תיקון - הסכם כבוד הדדי), התשפ""ג-2023")</f>
        <v>9010</v>
      </c>
      <c r="E4251" t="s">
        <v>9010</v>
      </c>
      <c r="F4251" t="s">
        <v>9011</v>
      </c>
      <c r="G4251" t="s">
        <v>14</v>
      </c>
      <c r="H4251">
             </c>
      <c r="I4251" t="s">
        <v>14</v>
      </c>
      <c r="J4251" t="s">
        <v>242</v>
      </c>
      <c r="K4251" t="s">
        <v>14</v>
      </c>
      <c r="L4251" t="s">
        <v>20</v>
      </c>
      <c r="M4251" t="s">
        <v>8971</v>
      </c>
      <c r="N4251" t="s">
        <v>14</v>
      </c>
    </row>
    <row r="4252" x14ac:dyDescent="0.25">
      <c r="A4252" t="n">
        <v>25</v>
      </c>
      <c r="B4252" t="s">
        <v>14</v>
      </c>
      <c r="C4252" t="s">
        <v>51</v>
      </c>
      <c r="D4252" s="2" t="s">
        <f>=HYPERLINK("https://main.knesset.gov.il/APPS/legislation/main/bills/2205477", "הצעת חוק העונשין (תיקון - עבירות בנשק), התשפ""ג-2023")</f>
        <v>9012</v>
      </c>
      <c r="E4252" t="s">
        <v>9012</v>
      </c>
      <c r="F4252" t="s">
        <v>9013</v>
      </c>
      <c r="G4252" t="s">
        <v>14</v>
      </c>
      <c r="H4252">
             </c>
      <c r="I4252" t="s">
        <v>14</v>
      </c>
      <c r="J4252" t="s">
        <v>242</v>
      </c>
      <c r="K4252" t="s">
        <v>14</v>
      </c>
      <c r="L4252" t="s">
        <v>20</v>
      </c>
      <c r="M4252" t="s">
        <v>8971</v>
      </c>
      <c r="N4252" t="s">
        <v>14</v>
      </c>
    </row>
    <row r="4253" x14ac:dyDescent="0.25">
      <c r="A4253" t="n">
        <v>25</v>
      </c>
      <c r="B4253" t="s">
        <v>14</v>
      </c>
      <c r="C4253" t="s">
        <v>51</v>
      </c>
      <c r="D4253" s="2" t="s">
        <f>=HYPERLINK("https://main.knesset.gov.il/APPS/legislation/main/bills/2206428", "הצעת חוק הרבנות הראשית לישראל (תיקון - כשירות להיבחר), התשפ""ג-2023 ")</f>
        <v>9014</v>
      </c>
      <c r="E4253" t="s">
        <v>9014</v>
      </c>
      <c r="F4253" t="s">
        <v>9015</v>
      </c>
      <c r="G4253" t="s">
        <v>14</v>
      </c>
      <c r="H4253">
             </c>
      <c r="I4253" t="s">
        <v>14</v>
      </c>
      <c r="J4253" t="s">
        <v>242</v>
      </c>
      <c r="K4253" t="s">
        <v>14</v>
      </c>
      <c r="L4253" t="s">
        <v>20</v>
      </c>
      <c r="M4253" t="s">
        <v>8971</v>
      </c>
      <c r="N4253" t="s">
        <v>14</v>
      </c>
    </row>
    <row r="4254" x14ac:dyDescent="0.25">
      <c r="A4254" t="n">
        <v>25</v>
      </c>
      <c r="B4254" t="s">
        <v>14</v>
      </c>
      <c r="C4254" t="s">
        <v>51</v>
      </c>
      <c r="D4254" s="2" t="s">
        <f>=HYPERLINK("https://main.knesset.gov.il/APPS/legislation/main/bills/2206674", "הצעת חוק הרשות לפיתוח הנגב (תיקון - שינוי הגדרת הנגב), התשפ""ג-2023")</f>
        <v>9016</v>
      </c>
      <c r="E4254" t="s">
        <v>9016</v>
      </c>
      <c r="F4254" t="s">
        <v>9017</v>
      </c>
      <c r="G4254" t="s">
        <v>14</v>
      </c>
      <c r="H4254">
             </c>
      <c r="I4254" t="s">
        <v>14</v>
      </c>
      <c r="J4254" t="s">
        <v>242</v>
      </c>
      <c r="K4254" t="s">
        <v>14</v>
      </c>
      <c r="L4254" t="s">
        <v>20</v>
      </c>
      <c r="M4254" t="s">
        <v>8971</v>
      </c>
      <c r="N4254" t="s">
        <v>14</v>
      </c>
    </row>
    <row r="4255" x14ac:dyDescent="0.25">
      <c r="A4255" t="n">
        <v>25</v>
      </c>
      <c r="B4255" t="s">
        <v>14</v>
      </c>
      <c r="C4255" t="s">
        <v>51</v>
      </c>
      <c r="D4255" s="2" t="s">
        <f>=HYPERLINK("https://main.knesset.gov.il/APPS/legislation/main/bills/2206931", "הצעת חוק הביטוח הלאומי (תיקון - גמלת סיעוד בכסף בשיעור מלא), התשפ""ג-2023")</f>
        <v>9018</v>
      </c>
      <c r="E4255" t="s">
        <v>9018</v>
      </c>
      <c r="F4255" t="s">
        <v>9019</v>
      </c>
      <c r="G4255" t="s">
        <v>14</v>
      </c>
      <c r="H4255">
             </c>
      <c r="I4255" t="s">
        <v>14</v>
      </c>
      <c r="J4255" t="s">
        <v>242</v>
      </c>
      <c r="K4255" t="s">
        <v>14</v>
      </c>
      <c r="L4255" t="s">
        <v>20</v>
      </c>
      <c r="M4255" t="s">
        <v>8971</v>
      </c>
      <c r="N4255" t="s">
        <v>14</v>
      </c>
    </row>
    <row r="4256" x14ac:dyDescent="0.25">
      <c r="A4256" t="n">
        <v>25</v>
      </c>
      <c r="B4256" t="s">
        <v>14</v>
      </c>
      <c r="C4256" t="s">
        <v>51</v>
      </c>
      <c r="D4256" s="2" t="s">
        <f>=HYPERLINK("https://main.knesset.gov.il/APPS/legislation/main/bills/2199087", "הצעת חוק למניעת הטרדה מינית (תיקון - פיטורי עובד עקב הטרדה מינית), התשפ""ג-2023")</f>
        <v>9020</v>
      </c>
      <c r="E4256" t="s">
        <v>9020</v>
      </c>
      <c r="F4256" t="s">
        <v>9021</v>
      </c>
      <c r="G4256" t="s">
        <v>14</v>
      </c>
      <c r="H4256">
             </c>
      <c r="I4256" t="s">
        <v>14</v>
      </c>
      <c r="J4256" t="s">
        <v>242</v>
      </c>
      <c r="K4256" t="s">
        <v>14</v>
      </c>
      <c r="L4256" t="s">
        <v>20</v>
      </c>
      <c r="M4256" t="s">
        <v>8971</v>
      </c>
      <c r="N4256" t="s">
        <v>14</v>
      </c>
    </row>
    <row r="4257" x14ac:dyDescent="0.25">
      <c r="A4257" t="n">
        <v>25</v>
      </c>
      <c r="B4257" t="s">
        <v>14</v>
      </c>
      <c r="C4257" t="s">
        <v>51</v>
      </c>
      <c r="D4257" s="2" t="s">
        <f>=HYPERLINK("https://main.knesset.gov.il/APPS/legislation/main/bills/2204782", "הצעת חוק האזרחות (תיקון - ויתור על אזרחות ישראלית), התשפ""ג-2023")</f>
        <v>9022</v>
      </c>
      <c r="E4257" t="s">
        <v>9022</v>
      </c>
      <c r="F4257" t="s">
        <v>9023</v>
      </c>
      <c r="G4257" t="s">
        <v>14</v>
      </c>
      <c r="H4257">
             </c>
      <c r="I4257" t="s">
        <v>14</v>
      </c>
      <c r="J4257" t="s">
        <v>242</v>
      </c>
      <c r="K4257" t="s">
        <v>14</v>
      </c>
      <c r="L4257" t="s">
        <v>20</v>
      </c>
      <c r="M4257" t="s">
        <v>8971</v>
      </c>
      <c r="N4257" t="s">
        <v>14</v>
      </c>
    </row>
    <row r="4258" x14ac:dyDescent="0.25">
      <c r="A4258" t="n">
        <v>25</v>
      </c>
      <c r="B4258" t="s">
        <v>14</v>
      </c>
      <c r="C4258" t="s">
        <v>51</v>
      </c>
      <c r="D4258" s="2" t="s">
        <f>=HYPERLINK("https://main.knesset.gov.il/APPS/legislation/main/bills/2205987", "הצעת חוק למניעת שחרור מוקדם של אדם שהורשע בביצוע מעשה טרור (תיקוני חקיקה), התשפ""ג- 2023 ")</f>
        <v>9024</v>
      </c>
      <c r="E4258" t="s">
        <v>9024</v>
      </c>
      <c r="F4258" t="s">
        <v>9025</v>
      </c>
      <c r="G4258" t="s">
        <v>14</v>
      </c>
      <c r="H4258">
             </c>
      <c r="I4258" t="s">
        <v>14</v>
      </c>
      <c r="J4258" t="s">
        <v>242</v>
      </c>
      <c r="K4258" t="s">
        <v>14</v>
      </c>
      <c r="L4258" t="s">
        <v>20</v>
      </c>
      <c r="M4258" t="s">
        <v>8971</v>
      </c>
      <c r="N4258" t="s">
        <v>14</v>
      </c>
    </row>
    <row r="4259" x14ac:dyDescent="0.25">
      <c r="A4259" t="n">
        <v>25</v>
      </c>
      <c r="B4259" t="s">
        <v>14</v>
      </c>
      <c r="C4259" t="s">
        <v>51</v>
      </c>
      <c r="D4259" s="2" t="s">
        <f>=HYPERLINK("https://main.knesset.gov.il/APPS/legislation/main/bills/2206727", "הצעת חוק התקשורת (בזק ושידורים) (תיקון - חובת בעל רישיון להעברת תכני חוזי-שמע להפקה או רכישה של הפקות מקומיות), התשפ""ג-2023")</f>
        <v>9026</v>
      </c>
      <c r="E4259" t="s">
        <v>9026</v>
      </c>
      <c r="F4259" t="s">
        <v>9027</v>
      </c>
      <c r="G4259" t="s">
        <v>14</v>
      </c>
      <c r="H4259">
             </c>
      <c r="I4259" t="s">
        <v>14</v>
      </c>
      <c r="J4259" t="s">
        <v>242</v>
      </c>
      <c r="K4259" t="s">
        <v>14</v>
      </c>
      <c r="L4259" t="s">
        <v>20</v>
      </c>
      <c r="M4259" t="s">
        <v>8971</v>
      </c>
      <c r="N4259" t="s">
        <v>14</v>
      </c>
    </row>
    <row r="4260" x14ac:dyDescent="0.25">
      <c r="A4260" t="n">
        <v>25</v>
      </c>
      <c r="B4260" t="s">
        <v>14</v>
      </c>
      <c r="C4260" t="s">
        <v>51</v>
      </c>
      <c r="D4260" s="2" t="s">
        <f>=HYPERLINK("https://main.knesset.gov.il/APPS/legislation/main/bills/2199143", "הצעת חוק הפסקת היריון, התשפ""ג-2023")</f>
        <v>9028</v>
      </c>
      <c r="E4260" t="s">
        <v>9028</v>
      </c>
      <c r="F4260" t="s">
        <v>9029</v>
      </c>
      <c r="G4260" t="s">
        <v>14</v>
      </c>
      <c r="H4260">
             </c>
      <c r="I4260" t="s">
        <v>14</v>
      </c>
      <c r="J4260" t="s">
        <v>242</v>
      </c>
      <c r="K4260" t="s">
        <v>14</v>
      </c>
      <c r="L4260" t="s">
        <v>20</v>
      </c>
      <c r="M4260" t="s">
        <v>8971</v>
      </c>
      <c r="N4260" t="s">
        <v>14</v>
      </c>
    </row>
    <row r="4261" x14ac:dyDescent="0.25">
      <c r="A4261" t="n">
        <v>25</v>
      </c>
      <c r="B4261" t="s">
        <v>14</v>
      </c>
      <c r="C4261" t="s">
        <v>51</v>
      </c>
      <c r="D4261" s="2" t="s">
        <f>=HYPERLINK("https://main.knesset.gov.il/APPS/legislation/main/bills/2205911", "הצעת חוק לתיקון פקודת הרוקחים (כתב ברייל), התשפ""ג-2023")</f>
        <v>9030</v>
      </c>
      <c r="E4261" t="s">
        <v>9030</v>
      </c>
      <c r="F4261" t="s">
        <v>9031</v>
      </c>
      <c r="G4261" t="s">
        <v>14</v>
      </c>
      <c r="H4261">
             </c>
      <c r="I4261" t="s">
        <v>14</v>
      </c>
      <c r="J4261" t="s">
        <v>242</v>
      </c>
      <c r="K4261" t="s">
        <v>14</v>
      </c>
      <c r="L4261" t="s">
        <v>20</v>
      </c>
      <c r="M4261" t="s">
        <v>8971</v>
      </c>
      <c r="N4261" t="s">
        <v>14</v>
      </c>
    </row>
    <row r="4262" x14ac:dyDescent="0.25">
      <c r="A4262" t="n">
        <v>25</v>
      </c>
      <c r="B4262" t="s">
        <v>14</v>
      </c>
      <c r="C4262" t="s">
        <v>51</v>
      </c>
      <c r="D4262" s="2" t="s">
        <f>=HYPERLINK("https://main.knesset.gov.il/APPS/legislation/main/bills/2206225",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התשפ""ג-2023")</f>
        <v>9032</v>
      </c>
      <c r="E4262" t="s">
        <v>9032</v>
      </c>
      <c r="F4262" t="s">
        <v>9033</v>
      </c>
      <c r="G4262" t="s">
        <v>14</v>
      </c>
      <c r="H4262">
             </c>
      <c r="I4262" t="s">
        <v>14</v>
      </c>
      <c r="J4262" t="s">
        <v>242</v>
      </c>
      <c r="K4262" t="s">
        <v>14</v>
      </c>
      <c r="L4262" t="s">
        <v>20</v>
      </c>
      <c r="M4262" t="s">
        <v>8971</v>
      </c>
      <c r="N4262" t="s">
        <v>14</v>
      </c>
    </row>
    <row r="4263" x14ac:dyDescent="0.25">
      <c r="A4263" t="n">
        <v>25</v>
      </c>
      <c r="B4263" t="s">
        <v>14</v>
      </c>
      <c r="C4263" t="s">
        <v>51</v>
      </c>
      <c r="D4263" s="2" t="s">
        <f>=HYPERLINK("https://main.knesset.gov.il/APPS/legislation/main/bills/2206359", "הצעת חוק מס ערך מוסף (תיקון - שיעור מס מופחת על מוצרי מזון בסיסיים), התשפג-2023")</f>
        <v>9034</v>
      </c>
      <c r="E4263" t="s">
        <v>9034</v>
      </c>
      <c r="F4263" t="s">
        <v>9035</v>
      </c>
      <c r="G4263" t="s">
        <v>14</v>
      </c>
      <c r="H4263">
             </c>
      <c r="I4263" t="s">
        <v>14</v>
      </c>
      <c r="J4263" t="s">
        <v>242</v>
      </c>
      <c r="K4263" t="s">
        <v>14</v>
      </c>
      <c r="L4263" t="s">
        <v>20</v>
      </c>
      <c r="M4263" t="s">
        <v>8971</v>
      </c>
      <c r="N4263" t="s">
        <v>14</v>
      </c>
    </row>
    <row r="4264" x14ac:dyDescent="0.25">
      <c r="A4264" t="n">
        <v>25</v>
      </c>
      <c r="B4264" t="s">
        <v>14</v>
      </c>
      <c r="C4264" t="s">
        <v>51</v>
      </c>
      <c r="D4264" s="2" t="s">
        <f>=HYPERLINK("https://main.knesset.gov.il/APPS/legislation/main/bills/2205677", "הצעת חוק התקנת מצלמות לשם הגנה על פעוטות במעונות יום לפעוטות (תיקון - הרחבת הגישה לצילומים), התשפ""ג-2023 ")</f>
        <v>9036</v>
      </c>
      <c r="E4264" t="s">
        <v>9036</v>
      </c>
      <c r="F4264" t="s">
        <v>9037</v>
      </c>
      <c r="G4264" t="s">
        <v>14</v>
      </c>
      <c r="H4264">
             </c>
      <c r="I4264" t="s">
        <v>14</v>
      </c>
      <c r="J4264" t="s">
        <v>242</v>
      </c>
      <c r="K4264" t="s">
        <v>14</v>
      </c>
      <c r="L4264" t="s">
        <v>20</v>
      </c>
      <c r="M4264" t="s">
        <v>8971</v>
      </c>
      <c r="N4264" t="s">
        <v>14</v>
      </c>
    </row>
    <row r="4265" x14ac:dyDescent="0.25">
      <c r="A4265" t="n">
        <v>25</v>
      </c>
      <c r="B4265" t="s">
        <v>14</v>
      </c>
      <c r="C4265" t="s">
        <v>51</v>
      </c>
      <c r="D4265" s="2" t="s">
        <f>=HYPERLINK("https://main.knesset.gov.il/APPS/legislation/main/bills/2199222", "הצעת חוק המקרקעין (תיקון - התקנת מעלית מטעמים מיוחדים), התשפ""ג-2023")</f>
        <v>9038</v>
      </c>
      <c r="E4265" t="s">
        <v>9038</v>
      </c>
      <c r="F4265" t="s">
        <v>9039</v>
      </c>
      <c r="G4265" t="s">
        <v>14</v>
      </c>
      <c r="H4265">
             </c>
      <c r="I4265" t="s">
        <v>14</v>
      </c>
      <c r="J4265" t="s">
        <v>242</v>
      </c>
      <c r="K4265" t="s">
        <v>14</v>
      </c>
      <c r="L4265" t="s">
        <v>20</v>
      </c>
      <c r="M4265" t="s">
        <v>8971</v>
      </c>
      <c r="N4265" t="s">
        <v>14</v>
      </c>
    </row>
    <row r="4266" x14ac:dyDescent="0.25">
      <c r="A4266" t="n">
        <v>25</v>
      </c>
      <c r="B4266" t="s">
        <v>14</v>
      </c>
      <c r="C4266" t="s">
        <v>51</v>
      </c>
      <c r="D4266" s="2" t="s">
        <f>=HYPERLINK("https://main.knesset.gov.il/APPS/legislation/main/bills/2206937", "הצעת חוק העונשין (תיקון - הארכת ההתיישנות בעבירות מין בקטינים), התשפ""ג-2023")</f>
        <v>9040</v>
      </c>
      <c r="E4266" t="s">
        <v>9040</v>
      </c>
      <c r="F4266" t="s">
        <v>9041</v>
      </c>
      <c r="G4266" t="s">
        <v>14</v>
      </c>
      <c r="H4266">
             </c>
      <c r="I4266" t="s">
        <v>14</v>
      </c>
      <c r="J4266" t="s">
        <v>242</v>
      </c>
      <c r="K4266" t="s">
        <v>14</v>
      </c>
      <c r="L4266" t="s">
        <v>20</v>
      </c>
      <c r="M4266" t="s">
        <v>8971</v>
      </c>
      <c r="N4266" t="s">
        <v>14</v>
      </c>
    </row>
    <row r="4267" x14ac:dyDescent="0.25">
      <c r="A4267" t="n">
        <v>25</v>
      </c>
      <c r="B4267" t="s">
        <v>14</v>
      </c>
      <c r="C4267" t="s">
        <v>51</v>
      </c>
      <c r="D4267" s="2" t="s">
        <f>=HYPERLINK("https://main.knesset.gov.il/APPS/legislation/main/bills/2205637", "הצעת חוק הביטוח הלאומי (תיקון - מאבטח מעברים כעבודה מועדפת), תשפ""ג-2023")</f>
        <v>9042</v>
      </c>
      <c r="E4267" t="s">
        <v>9042</v>
      </c>
      <c r="F4267" t="s">
        <v>9043</v>
      </c>
      <c r="G4267" t="s">
        <v>14</v>
      </c>
      <c r="H4267">
             </c>
      <c r="I4267" t="s">
        <v>14</v>
      </c>
      <c r="J4267" t="s">
        <v>242</v>
      </c>
      <c r="K4267" t="s">
        <v>14</v>
      </c>
      <c r="L4267" t="s">
        <v>20</v>
      </c>
      <c r="M4267" t="s">
        <v>8971</v>
      </c>
      <c r="N4267" t="s">
        <v>14</v>
      </c>
    </row>
    <row r="4268" x14ac:dyDescent="0.25">
      <c r="A4268" t="n">
        <v>25</v>
      </c>
      <c r="B4268" t="s">
        <v>14</v>
      </c>
      <c r="C4268" t="s">
        <v>51</v>
      </c>
      <c r="D4268" s="2" t="s">
        <f>=HYPERLINK("https://main.knesset.gov.il/APPS/legislation/main/bills/2203678", "הצעת חוק שיפוט בתי דין רבניים (נישואין וגירושין) (תיקון - החרגת שפיטה בענייני רכוש בעת גירושין), התשפ""ג-2023")</f>
        <v>9044</v>
      </c>
      <c r="E4268" t="s">
        <v>9044</v>
      </c>
      <c r="F4268" t="s">
        <v>9045</v>
      </c>
      <c r="G4268" t="s">
        <v>14</v>
      </c>
      <c r="H4268">
             </c>
      <c r="I4268" t="s">
        <v>14</v>
      </c>
      <c r="J4268" t="s">
        <v>242</v>
      </c>
      <c r="K4268" t="s">
        <v>14</v>
      </c>
      <c r="L4268" t="s">
        <v>20</v>
      </c>
      <c r="M4268" t="s">
        <v>8971</v>
      </c>
      <c r="N4268" t="s">
        <v>14</v>
      </c>
    </row>
    <row r="4269" x14ac:dyDescent="0.25">
      <c r="A4269" t="n">
        <v>25</v>
      </c>
      <c r="B4269" t="s">
        <v>14</v>
      </c>
      <c r="C4269" t="s">
        <v>51</v>
      </c>
      <c r="D4269" s="2" t="s">
        <f>=HYPERLINK("https://main.knesset.gov.il/APPS/legislation/main/bills/2206249", "הצעת חוק לתיקון פקודת מס הכנסה (מיסוי הכנסה מגורמים זרים), התשפ""ג-2023")</f>
        <v>9046</v>
      </c>
      <c r="E4269" t="s">
        <v>9046</v>
      </c>
      <c r="F4269" t="s">
        <v>9047</v>
      </c>
      <c r="G4269" t="s">
        <v>14</v>
      </c>
      <c r="H4269">
             </c>
      <c r="I4269" t="s">
        <v>14</v>
      </c>
      <c r="J4269" t="s">
        <v>242</v>
      </c>
      <c r="K4269" t="s">
        <v>14</v>
      </c>
      <c r="L4269" t="s">
        <v>20</v>
      </c>
      <c r="M4269" t="s">
        <v>8971</v>
      </c>
      <c r="N4269" t="s">
        <v>14</v>
      </c>
    </row>
    <row r="4270" x14ac:dyDescent="0.25">
      <c r="A4270" t="n">
        <v>25</v>
      </c>
      <c r="B4270" t="s">
        <v>14</v>
      </c>
      <c r="C4270" t="s">
        <v>51</v>
      </c>
      <c r="D4270" s="2" t="s">
        <f>=HYPERLINK("https://main.knesset.gov.il/APPS/legislation/main/bills/2206726", "הצעת חוק נישואין וגירושין, התשפ""ג-2023")</f>
        <v>9048</v>
      </c>
      <c r="E4270" t="s">
        <v>9048</v>
      </c>
      <c r="F4270" t="s">
        <v>9049</v>
      </c>
      <c r="G4270" t="s">
        <v>14</v>
      </c>
      <c r="H4270">
             </c>
      <c r="I4270" t="s">
        <v>14</v>
      </c>
      <c r="J4270" t="s">
        <v>242</v>
      </c>
      <c r="K4270" t="s">
        <v>14</v>
      </c>
      <c r="L4270" t="s">
        <v>20</v>
      </c>
      <c r="M4270" t="s">
        <v>8971</v>
      </c>
      <c r="N4270" t="s">
        <v>14</v>
      </c>
    </row>
    <row r="4271" x14ac:dyDescent="0.25">
      <c r="A4271" t="n">
        <v>25</v>
      </c>
      <c r="B4271" t="s">
        <v>14</v>
      </c>
      <c r="C4271" t="s">
        <v>51</v>
      </c>
      <c r="D4271" s="2" t="s">
        <f>=HYPERLINK("https://main.knesset.gov.il/APPS/legislation/main/bills/2203649", "הצעת חוק העונשין (תיקון - חילוט רווחי סרסרות), התשפ""ג-2023")</f>
        <v>9050</v>
      </c>
      <c r="E4271" t="s">
        <v>9050</v>
      </c>
      <c r="F4271" t="s">
        <v>9051</v>
      </c>
      <c r="G4271" t="s">
        <v>14</v>
      </c>
      <c r="H4271">
             </c>
      <c r="I4271" t="s">
        <v>14</v>
      </c>
      <c r="J4271" t="s">
        <v>242</v>
      </c>
      <c r="K4271" t="s">
        <v>14</v>
      </c>
      <c r="L4271" t="s">
        <v>20</v>
      </c>
      <c r="M4271" t="s">
        <v>8971</v>
      </c>
      <c r="N4271" t="s">
        <v>14</v>
      </c>
    </row>
    <row r="4272" x14ac:dyDescent="0.25">
      <c r="A4272" t="n">
        <v>25</v>
      </c>
      <c r="B4272" t="s">
        <v>14</v>
      </c>
      <c r="C4272" t="s">
        <v>51</v>
      </c>
      <c r="D4272" s="2" t="s">
        <f>=HYPERLINK("https://main.knesset.gov.il/APPS/legislation/main/bills/2199049", "הצעת חוק הרשות לקידום מעמד האישה (תיקון - שם הרשות ותיקונים במבנה הארגוני של הרשות), התשפ""ג-2023")</f>
        <v>9052</v>
      </c>
      <c r="E4272" t="s">
        <v>9052</v>
      </c>
      <c r="F4272" t="s">
        <v>9053</v>
      </c>
      <c r="G4272" t="s">
        <v>14</v>
      </c>
      <c r="H4272">
             </c>
      <c r="I4272" t="s">
        <v>14</v>
      </c>
      <c r="J4272" t="s">
        <v>242</v>
      </c>
      <c r="K4272" t="s">
        <v>14</v>
      </c>
      <c r="L4272" t="s">
        <v>20</v>
      </c>
      <c r="M4272" t="s">
        <v>8971</v>
      </c>
      <c r="N4272" t="s">
        <v>14</v>
      </c>
    </row>
    <row r="4273" x14ac:dyDescent="0.25">
      <c r="A4273" t="n">
        <v>25</v>
      </c>
      <c r="B4273" t="s">
        <v>14</v>
      </c>
      <c r="C4273" t="s">
        <v>51</v>
      </c>
      <c r="D4273" s="2" t="s">
        <f>=HYPERLINK("https://main.knesset.gov.il/APPS/legislation/main/bills/2203674", "הצעת חוק שיפוט בתי דין רבניים (נישואין וגירושין) (תיקון - כפיית גט), התשפ""ג-2023")</f>
        <v>9054</v>
      </c>
      <c r="E4273" t="s">
        <v>9054</v>
      </c>
      <c r="F4273" t="s">
        <v>9055</v>
      </c>
      <c r="G4273" t="s">
        <v>14</v>
      </c>
      <c r="H4273">
             </c>
      <c r="I4273" t="s">
        <v>14</v>
      </c>
      <c r="J4273" t="s">
        <v>242</v>
      </c>
      <c r="K4273" t="s">
        <v>14</v>
      </c>
      <c r="L4273" t="s">
        <v>20</v>
      </c>
      <c r="M4273" t="s">
        <v>8971</v>
      </c>
      <c r="N4273" t="s">
        <v>14</v>
      </c>
    </row>
    <row r="4274" x14ac:dyDescent="0.25">
      <c r="A4274" t="n">
        <v>25</v>
      </c>
      <c r="B4274" t="s">
        <v>14</v>
      </c>
      <c r="C4274" t="s">
        <v>51</v>
      </c>
      <c r="D4274" s="2" t="s">
        <f>=HYPERLINK("https://main.knesset.gov.il/APPS/legislation/main/bills/2203677", "הצעת חוק שיקום, פיצוי וסיוע משפטי לנפגעי עבירות מין, התשפ""ג-2023")</f>
        <v>9056</v>
      </c>
      <c r="E4274" t="s">
        <v>9056</v>
      </c>
      <c r="F4274" t="s">
        <v>9057</v>
      </c>
      <c r="G4274" t="s">
        <v>14</v>
      </c>
      <c r="H4274">
             </c>
      <c r="I4274" t="s">
        <v>14</v>
      </c>
      <c r="J4274" t="s">
        <v>242</v>
      </c>
      <c r="K4274" t="s">
        <v>14</v>
      </c>
      <c r="L4274" t="s">
        <v>20</v>
      </c>
      <c r="M4274" t="s">
        <v>8971</v>
      </c>
      <c r="N4274" t="s">
        <v>14</v>
      </c>
    </row>
    <row r="4275" x14ac:dyDescent="0.25">
      <c r="A4275" t="n">
        <v>25</v>
      </c>
      <c r="B4275" t="s">
        <v>14</v>
      </c>
      <c r="C4275" t="s">
        <v>51</v>
      </c>
      <c r="D4275" s="2" t="s">
        <f>=HYPERLINK("https://main.knesset.gov.il/APPS/legislation/main/bills/2206802", "הצעת חוק בתי דין רבניים (קיום פסקי דין של גירושין) (תיקון - הגבלת שימוש בכרטיסי אשראי לסרבני גט), התשפ""ג-2023")</f>
        <v>8922</v>
      </c>
      <c r="E4275" t="s">
        <v>8922</v>
      </c>
      <c r="F4275" t="s">
        <v>9058</v>
      </c>
      <c r="G4275" t="s">
        <v>14</v>
      </c>
      <c r="H4275">
             </c>
      <c r="I4275" t="s">
        <v>14</v>
      </c>
      <c r="J4275" t="s">
        <v>242</v>
      </c>
      <c r="K4275" t="s">
        <v>14</v>
      </c>
      <c r="L4275" t="s">
        <v>20</v>
      </c>
      <c r="M4275" t="s">
        <v>8971</v>
      </c>
      <c r="N4275" t="s">
        <v>14</v>
      </c>
    </row>
    <row r="4276" x14ac:dyDescent="0.25">
      <c r="A4276" t="n">
        <v>25</v>
      </c>
      <c r="B4276" t="s">
        <v>14</v>
      </c>
      <c r="C4276" t="s">
        <v>51</v>
      </c>
      <c r="D4276" s="2" t="s">
        <f>=HYPERLINK("https://main.knesset.gov.il/APPS/legislation/main/bills/2206774", "הצעת חוק העונשין (תיקון - הרחבת הגדרת הגזענות), התשפ""ג-2023")</f>
        <v>8446</v>
      </c>
      <c r="E4276" t="s">
        <v>8446</v>
      </c>
      <c r="F4276" t="s">
        <v>9059</v>
      </c>
      <c r="G4276" t="s">
        <v>14</v>
      </c>
      <c r="H4276">
             </c>
      <c r="I4276" t="s">
        <v>14</v>
      </c>
      <c r="J4276" t="s">
        <v>242</v>
      </c>
      <c r="K4276" t="s">
        <v>14</v>
      </c>
      <c r="L4276" t="s">
        <v>20</v>
      </c>
      <c r="M4276" t="s">
        <v>8971</v>
      </c>
      <c r="N4276" t="s">
        <v>14</v>
      </c>
    </row>
    <row r="4277" x14ac:dyDescent="0.25">
      <c r="A4277" t="n">
        <v>25</v>
      </c>
      <c r="B4277" t="s">
        <v>14</v>
      </c>
      <c r="C4277" t="s">
        <v>51</v>
      </c>
      <c r="D4277" s="2" t="s">
        <f>=HYPERLINK("https://main.knesset.gov.il/APPS/legislation/main/bills/2206808", "הצעת חוק שיפוט בתי דין רבניים (נישואין וגירושין) (תיקון - הגבלת משך זמן ההליך), התשפ""ג-2023")</f>
        <v>1871</v>
      </c>
      <c r="E4277" t="s">
        <v>1871</v>
      </c>
      <c r="F4277" t="s">
        <v>9060</v>
      </c>
      <c r="G4277" t="s">
        <v>14</v>
      </c>
      <c r="H4277">
             </c>
      <c r="I4277" t="s">
        <v>14</v>
      </c>
      <c r="J4277" t="s">
        <v>242</v>
      </c>
      <c r="K4277" t="s">
        <v>14</v>
      </c>
      <c r="L4277" t="s">
        <v>20</v>
      </c>
      <c r="M4277" t="s">
        <v>8971</v>
      </c>
      <c r="N4277" t="s">
        <v>14</v>
      </c>
    </row>
    <row r="4278" x14ac:dyDescent="0.25">
      <c r="A4278" t="n">
        <v>25</v>
      </c>
      <c r="B4278" t="s">
        <v>14</v>
      </c>
      <c r="C4278" t="s">
        <v>51</v>
      </c>
      <c r="D4278" s="2" t="s">
        <f>=HYPERLINK("https://main.knesset.gov.il/APPS/legislation/main/bills/2205538", "הצעת חוק סמכויות מינהליות (מעצרים והגבלות) (הוראת שעה), התשפ""ג-2023")</f>
        <v>9061</v>
      </c>
      <c r="E4278" t="s">
        <v>9061</v>
      </c>
      <c r="F4278" t="s">
        <v>9062</v>
      </c>
      <c r="G4278" t="s">
        <v>14</v>
      </c>
      <c r="H4278">
             </c>
      <c r="I4278" t="s">
        <v>14</v>
      </c>
      <c r="J4278" t="s">
        <v>242</v>
      </c>
      <c r="K4278" t="s">
        <v>14</v>
      </c>
      <c r="L4278" t="s">
        <v>20</v>
      </c>
      <c r="M4278" t="s">
        <v>8971</v>
      </c>
      <c r="N4278" t="s">
        <v>14</v>
      </c>
    </row>
    <row r="4279" x14ac:dyDescent="0.25">
      <c r="A4279" t="n">
        <v>25</v>
      </c>
      <c r="B4279" t="s">
        <v>14</v>
      </c>
      <c r="C4279" t="s">
        <v>51</v>
      </c>
      <c r="D4279" s="2" t="s">
        <f>=HYPERLINK("https://main.knesset.gov.il/APPS/legislation/main/bills/2205262", "הצעת חוק להקפאת כספים ששילמה הרשות הפלסטינית בזיקה לטרור מהכספים המועברים אליה מממשלת ישראל (תיקון - שיפוי המדינה על נזקי טרור), התשפ""ג-2023 ")</f>
        <v>9063</v>
      </c>
      <c r="E4279" t="s">
        <v>9063</v>
      </c>
      <c r="F4279" t="s">
        <v>9064</v>
      </c>
      <c r="G4279" t="s">
        <v>14</v>
      </c>
      <c r="H4279">
             </c>
      <c r="I4279" t="s">
        <v>14</v>
      </c>
      <c r="J4279" t="s">
        <v>242</v>
      </c>
      <c r="K4279" t="s">
        <v>14</v>
      </c>
      <c r="L4279" t="s">
        <v>20</v>
      </c>
      <c r="M4279" t="s">
        <v>8971</v>
      </c>
      <c r="N4279" t="s">
        <v>14</v>
      </c>
    </row>
    <row r="4280" x14ac:dyDescent="0.25">
      <c r="A4280" t="n">
        <v>25</v>
      </c>
      <c r="B4280" t="s">
        <v>14</v>
      </c>
      <c r="C4280" t="s">
        <v>51</v>
      </c>
      <c r="D4280" s="2" t="s">
        <f>=HYPERLINK("https://main.knesset.gov.il/APPS/legislation/main/bills/2199165", "הצעת חוק חוזה הביטוח (תיקון - התיישנות וריבית מיוחדת), התשפ""ג-2023")</f>
        <v>9065</v>
      </c>
      <c r="E4280" t="s">
        <v>9065</v>
      </c>
      <c r="F4280" t="s">
        <v>9066</v>
      </c>
      <c r="G4280" t="s">
        <v>14</v>
      </c>
      <c r="H4280">
             </c>
      <c r="I4280" t="s">
        <v>14</v>
      </c>
      <c r="J4280" t="s">
        <v>242</v>
      </c>
      <c r="K4280" t="s">
        <v>14</v>
      </c>
      <c r="L4280" t="s">
        <v>20</v>
      </c>
      <c r="M4280" t="s">
        <v>8971</v>
      </c>
      <c r="N4280" t="s">
        <v>14</v>
      </c>
    </row>
    <row r="4281" x14ac:dyDescent="0.25">
      <c r="A4281" t="n">
        <v>25</v>
      </c>
      <c r="B4281" t="s">
        <v>14</v>
      </c>
      <c r="C4281" t="s">
        <v>51</v>
      </c>
      <c r="D4281" s="2" t="s">
        <f>=HYPERLINK("https://main.knesset.gov.il/APPS/legislation/main/bills/2199876", "הצעת חוק הכשרות המשפטית והאפוטרופסות (תיקון - שלילת אפוטרופסות בשל עבירת מעשה מגונה בנסיבות מחמירות), התשפ""ג-2023")</f>
        <v>8687</v>
      </c>
      <c r="E4281" t="s">
        <v>8687</v>
      </c>
      <c r="F4281" t="s">
        <v>9067</v>
      </c>
      <c r="G4281" t="s">
        <v>14</v>
      </c>
      <c r="H4281">
             </c>
      <c r="I4281" t="s">
        <v>14</v>
      </c>
      <c r="J4281" t="s">
        <v>242</v>
      </c>
      <c r="K4281" t="s">
        <v>14</v>
      </c>
      <c r="L4281" t="s">
        <v>20</v>
      </c>
      <c r="M4281" t="s">
        <v>8971</v>
      </c>
      <c r="N4281" t="s">
        <v>14</v>
      </c>
    </row>
    <row r="4282" x14ac:dyDescent="0.25">
      <c r="A4282" t="n">
        <v>25</v>
      </c>
      <c r="B4282" t="s">
        <v>14</v>
      </c>
      <c r="C4282" t="s">
        <v>51</v>
      </c>
      <c r="D4282" s="2" t="s">
        <f>=HYPERLINK("https://main.knesset.gov.il/APPS/legislation/main/bills/2206358", "הצעת חוק-יסוד: השפיטה (תיקון - רשות ערעור למדינה על זיכוי אדם בפלילים)")</f>
        <v>1634</v>
      </c>
      <c r="E4282" t="s">
        <v>1634</v>
      </c>
      <c r="F4282" t="s">
        <v>9068</v>
      </c>
      <c r="G4282" t="s">
        <v>14</v>
      </c>
      <c r="H4282">
             </c>
      <c r="I4282" t="s">
        <v>14</v>
      </c>
      <c r="J4282" t="s">
        <v>242</v>
      </c>
      <c r="K4282" t="s">
        <v>14</v>
      </c>
      <c r="L4282" t="s">
        <v>20</v>
      </c>
      <c r="M4282" t="s">
        <v>8971</v>
      </c>
      <c r="N4282" t="s">
        <v>14</v>
      </c>
    </row>
    <row r="4283" x14ac:dyDescent="0.25">
      <c r="A4283" t="n">
        <v>25</v>
      </c>
      <c r="B4283" t="s">
        <v>14</v>
      </c>
      <c r="C4283" t="s">
        <v>51</v>
      </c>
      <c r="D4283" s="2" t="s">
        <f>=HYPERLINK("https://main.knesset.gov.il/APPS/legislation/main/bills/2202385", "הצעת חוק מאבק בארגוני פשיעה (תיקון - הרחבת הנסיבה המחמירה לזיקה בארגון פשיעה), התשפ""ג-2023")</f>
        <v>9069</v>
      </c>
      <c r="E4283" t="s">
        <v>9069</v>
      </c>
      <c r="F4283" t="s">
        <v>9070</v>
      </c>
      <c r="G4283" t="s">
        <v>14</v>
      </c>
      <c r="H4283">
             </c>
      <c r="I4283" t="s">
        <v>14</v>
      </c>
      <c r="J4283" t="s">
        <v>193</v>
      </c>
      <c r="K4283" t="s">
        <v>14</v>
      </c>
      <c r="L4283" t="s">
        <v>20</v>
      </c>
      <c r="M4283" t="s">
        <v>9071</v>
      </c>
      <c r="N4283" t="s">
        <v>14</v>
      </c>
    </row>
    <row r="4284" x14ac:dyDescent="0.25">
      <c r="A4284" t="n">
        <v>25</v>
      </c>
      <c r="B4284" t="s">
        <v>14</v>
      </c>
      <c r="C4284" t="s">
        <v>51</v>
      </c>
      <c r="D4284" s="2" t="s">
        <f>=HYPERLINK("https://main.knesset.gov.il/APPS/legislation/main/bills/2199854", "הצעת חוק לתיקון פקודת סדר הדין הפלילי (מעצר וחיפוש) (שלילת הסכמה כהיתר לחיפוש בחומר מחשב), התשפ""ג-2023")</f>
        <v>9072</v>
      </c>
      <c r="E4284" t="s">
        <v>9072</v>
      </c>
      <c r="F4284" t="s">
        <v>9073</v>
      </c>
      <c r="G4284" t="s">
        <v>14</v>
      </c>
      <c r="H4284">
             </c>
      <c r="I4284" t="s">
        <v>14</v>
      </c>
      <c r="J4284" t="s">
        <v>152</v>
      </c>
      <c r="K4284" t="s">
        <v>27</v>
      </c>
      <c r="L4284" t="s">
        <v>20</v>
      </c>
      <c r="M4284" t="s">
        <v>9071</v>
      </c>
      <c r="N4284" t="s">
        <v>14</v>
      </c>
    </row>
    <row r="4285" x14ac:dyDescent="0.25">
      <c r="A4285" t="n">
        <v>25</v>
      </c>
      <c r="B4285" t="s">
        <v>14</v>
      </c>
      <c r="C4285" t="s">
        <v>51</v>
      </c>
      <c r="D4285" s="2" t="s">
        <f>=HYPERLINK("https://main.knesset.gov.il/APPS/legislation/main/bills/2201038", "הצעת חוק הפיקוח על שירותים פיננסיים (קופות גמל) (תיקון - שלילת זכאות לקצבאות ולפיצויי פיטורים עקב ביצוע פעילות טרור), התשפ""ג-2023")</f>
        <v>9074</v>
      </c>
      <c r="E4285" t="s">
        <v>9074</v>
      </c>
      <c r="F4285" t="s">
        <v>9075</v>
      </c>
      <c r="G4285" t="s">
        <v>14</v>
      </c>
      <c r="H4285">
             </c>
      <c r="I4285" t="s">
        <v>14</v>
      </c>
      <c r="J4285" t="s">
        <v>152</v>
      </c>
      <c r="K4285" t="s">
        <v>46</v>
      </c>
      <c r="L4285" t="s">
        <v>20</v>
      </c>
      <c r="M4285" t="s">
        <v>9071</v>
      </c>
      <c r="N4285" t="s">
        <v>14</v>
      </c>
    </row>
    <row r="4286" x14ac:dyDescent="0.25">
      <c r="A4286" t="n">
        <v>25</v>
      </c>
      <c r="B4286" t="s">
        <v>14</v>
      </c>
      <c r="C4286" t="s">
        <v>51</v>
      </c>
      <c r="D4286" s="2" t="s">
        <f>=HYPERLINK("https://main.knesset.gov.il/APPS/legislation/main/bills/2198750", "הצעת חוק הרשויות המקומיות (מימון בחירות) (תיקון - עידוד התמודדות נשים לראשות רשות מקומית או מועצה אזורית), התשפ""ג-2023")</f>
        <v>9076</v>
      </c>
      <c r="E4286" t="s">
        <v>9076</v>
      </c>
      <c r="F4286" t="s">
        <v>9077</v>
      </c>
      <c r="G4286" t="s">
        <v>14</v>
      </c>
      <c r="H4286">
             </c>
      <c r="I4286" t="s">
        <v>14</v>
      </c>
      <c r="J4286" t="s">
        <v>193</v>
      </c>
      <c r="K4286" t="s">
        <v>14</v>
      </c>
      <c r="L4286" t="s">
        <v>20</v>
      </c>
      <c r="M4286" t="s">
        <v>9071</v>
      </c>
      <c r="N4286" t="s">
        <v>14</v>
      </c>
    </row>
    <row r="4287" x14ac:dyDescent="0.25">
      <c r="A4287" t="n">
        <v>25</v>
      </c>
      <c r="B4287" t="s">
        <v>14</v>
      </c>
      <c r="C4287" t="s">
        <v>51</v>
      </c>
      <c r="D4287" s="2" t="s">
        <f>=HYPERLINK("https://main.knesset.gov.il/APPS/legislation/main/bills/2198958", "הצעת חוק מאבק בארגוני פשיעה (תיקון - הרחבת הנסיבה המחמירה לזיקה לארגון פשיעה), התשפ""ג-2023")</f>
        <v>8856</v>
      </c>
      <c r="E4287" t="s">
        <v>8856</v>
      </c>
      <c r="F4287" t="s">
        <v>9078</v>
      </c>
      <c r="G4287" t="s">
        <v>14</v>
      </c>
      <c r="H4287">
             </c>
      <c r="I4287" t="s">
        <v>14</v>
      </c>
      <c r="J4287" t="s">
        <v>193</v>
      </c>
      <c r="K4287" t="s">
        <v>14</v>
      </c>
      <c r="L4287" t="s">
        <v>20</v>
      </c>
      <c r="M4287" t="s">
        <v>9071</v>
      </c>
      <c r="N4287" t="s">
        <v>14</v>
      </c>
    </row>
    <row r="4288" x14ac:dyDescent="0.25">
      <c r="A4288" t="n">
        <v>25</v>
      </c>
      <c r="B4288" t="s">
        <v>14</v>
      </c>
      <c r="C4288" t="s">
        <v>51</v>
      </c>
      <c r="D4288" s="2" t="s">
        <f>=HYPERLINK("https://main.knesset.gov.il/APPS/legislation/main/bills/2198666", "הצעת חוק העונשין (תיקון - קנס על החזקת נשק בלתי חוקי), התשפ""ג-2023")</f>
        <v>9079</v>
      </c>
      <c r="E4288" t="s">
        <v>9079</v>
      </c>
      <c r="F4288" t="s">
        <v>9080</v>
      </c>
      <c r="G4288" t="s">
        <v>14</v>
      </c>
      <c r="H4288">
             </c>
      <c r="I4288" t="s">
        <v>14</v>
      </c>
      <c r="J4288" t="s">
        <v>193</v>
      </c>
      <c r="K4288" t="s">
        <v>14</v>
      </c>
      <c r="L4288" t="s">
        <v>20</v>
      </c>
      <c r="M4288" t="s">
        <v>9071</v>
      </c>
      <c r="N4288" t="s">
        <v>14</v>
      </c>
    </row>
    <row r="4289" x14ac:dyDescent="0.25">
      <c r="A4289" t="n">
        <v>25</v>
      </c>
      <c r="B4289" t="s">
        <v>14</v>
      </c>
      <c r="C4289" t="s">
        <v>51</v>
      </c>
      <c r="D4289" s="2" t="s">
        <f>=HYPERLINK("https://main.knesset.gov.il/APPS/legislation/main/bills/2197688", "הצעת חוק לקידום שירותים פיננסיים חברתיים (תיקוני חקיקה), התשפ""ג-2022")</f>
        <v>9081</v>
      </c>
      <c r="E4289" t="s">
        <v>9081</v>
      </c>
      <c r="F4289" t="s">
        <v>9082</v>
      </c>
      <c r="G4289" t="s">
        <v>14</v>
      </c>
      <c r="H4289">
             </c>
      <c r="I4289" t="s">
        <v>14</v>
      </c>
      <c r="J4289" t="s">
        <v>193</v>
      </c>
      <c r="K4289" t="s">
        <v>14</v>
      </c>
      <c r="L4289" t="s">
        <v>20</v>
      </c>
      <c r="M4289" t="s">
        <v>9071</v>
      </c>
      <c r="N4289" t="s">
        <v>14</v>
      </c>
    </row>
    <row r="4290" x14ac:dyDescent="0.25">
      <c r="A4290" t="n">
        <v>25</v>
      </c>
      <c r="B4290" t="s">
        <v>14</v>
      </c>
      <c r="C4290" t="s">
        <v>51</v>
      </c>
      <c r="D4290" s="2" t="s">
        <f>=HYPERLINK("https://main.knesset.gov.il/APPS/legislation/main/bills/2195750", "הצעת חוק העונשין (תיקון - הרחבת הגדרת הגזענות), התשפ""ג-2022")</f>
        <v>9083</v>
      </c>
      <c r="E4290" t="s">
        <v>9083</v>
      </c>
      <c r="F4290" t="s">
        <v>9084</v>
      </c>
      <c r="G4290" t="s">
        <v>14</v>
      </c>
      <c r="H4290">
             </c>
      <c r="I4290" t="s">
        <v>14</v>
      </c>
      <c r="J4290" t="s">
        <v>152</v>
      </c>
      <c r="K4290" t="s">
        <v>27</v>
      </c>
      <c r="L4290" t="s">
        <v>20</v>
      </c>
      <c r="M4290" t="s">
        <v>9071</v>
      </c>
      <c r="N4290" t="s">
        <v>14</v>
      </c>
    </row>
    <row r="4291" x14ac:dyDescent="0.25">
      <c r="A4291" t="n">
        <v>25</v>
      </c>
      <c r="B4291" t="s">
        <v>14</v>
      </c>
      <c r="C4291" t="s">
        <v>15</v>
      </c>
      <c r="D4291" s="2" t="s">
        <f>=HYPERLINK("https://main.knesset.gov.il/APPS/legislation/main/bills/2204256", "פרק כ""ה (שונות), רק סעיפים 96(2) ו-97 (חוק רישוי שירותים ומקצועות בענף הרכב) מתוך הצעת חוק התכנית הכלכלית (תיקוני חקיקה ליישום המדיניות הכלכלית לשנות התקציב 2023 ו-2024), התשפ""ג-2023 [פוצלה לפי סעיף 84(ב) לתקנון]")</f>
        <v>9085</v>
      </c>
      <c r="E4291" t="s">
        <v>9085</v>
      </c>
      <c r="F4291" t="s">
        <v>14</v>
      </c>
      <c r="G4291" t="s">
        <v>81</v>
      </c>
      <c r="H4291">
             </c>
      <c r="I4291" t="s">
        <v>14</v>
      </c>
      <c r="J4291" t="s">
        <v>38</v>
      </c>
      <c r="K4291" t="s">
        <v>84</v>
      </c>
      <c r="L4291" t="s">
        <v>20</v>
      </c>
      <c r="M4291" t="s">
        <v>9086</v>
      </c>
      <c r="N4291" t="s">
        <v>14</v>
      </c>
    </row>
    <row r="4292" x14ac:dyDescent="0.25">
      <c r="A4292" t="n">
        <v>25</v>
      </c>
      <c r="B4292" t="s">
        <v>14</v>
      </c>
      <c r="C4292" t="s">
        <v>51</v>
      </c>
      <c r="D4292" s="2" t="s">
        <f>=HYPERLINK("https://main.knesset.gov.il/APPS/legislation/main/bills/2201190", "הצעת חוק לתיקון פקודת התעבורה (הגבלת דמי חניה במוסד רפואי), התשפ""ג-2023")</f>
        <v>9087</v>
      </c>
      <c r="E4292" t="s">
        <v>9087</v>
      </c>
      <c r="F4292" t="s">
        <v>9088</v>
      </c>
      <c r="G4292" t="s">
        <v>14</v>
      </c>
      <c r="H4292">
             </c>
      <c r="I4292" t="s">
        <v>14</v>
      </c>
      <c r="J4292" t="s">
        <v>183</v>
      </c>
      <c r="K4292" t="s">
        <v>361</v>
      </c>
      <c r="L4292" t="s">
        <v>20</v>
      </c>
      <c r="M4292" t="s">
        <v>9086</v>
      </c>
      <c r="N4292" t="s">
        <v>14</v>
      </c>
    </row>
    <row r="4293" x14ac:dyDescent="0.25">
      <c r="A4293" t="n">
        <v>25</v>
      </c>
      <c r="B4293" t="s">
        <v>14</v>
      </c>
      <c r="C4293" t="s">
        <v>51</v>
      </c>
      <c r="D4293" s="2" t="s">
        <f>=HYPERLINK("https://main.knesset.gov.il/APPS/legislation/main/bills/2200251", "הצעת חוק לתיקון פקודת התעבורה (הגבלת תשלום בעד חניה במוסד רפואי), התשפ""ג-2023")</f>
        <v>9089</v>
      </c>
      <c r="E4293" t="s">
        <v>9089</v>
      </c>
      <c r="F4293" t="s">
        <v>9090</v>
      </c>
      <c r="G4293" t="s">
        <v>14</v>
      </c>
      <c r="H4293">
             </c>
      <c r="I4293" t="s">
        <v>14</v>
      </c>
      <c r="J4293" t="s">
        <v>183</v>
      </c>
      <c r="K4293" t="s">
        <v>361</v>
      </c>
      <c r="L4293" t="s">
        <v>20</v>
      </c>
      <c r="M4293" t="s">
        <v>9086</v>
      </c>
      <c r="N4293" t="s">
        <v>14</v>
      </c>
    </row>
    <row r="4294" x14ac:dyDescent="0.25">
      <c r="A4294" t="n">
        <v>25</v>
      </c>
      <c r="B4294" t="s">
        <v>14</v>
      </c>
      <c r="C4294" t="s">
        <v>51</v>
      </c>
      <c r="D4294" s="2" t="s">
        <f>=HYPERLINK("https://main.knesset.gov.il/APPS/legislation/main/bills/2199540", "הצעת חוק לתיקון פקודת התעבורה (הגבלת תשלום דמי חניה במוסד רפואי), התשפ""ג-2023")</f>
        <v>9091</v>
      </c>
      <c r="E4294" t="s">
        <v>9091</v>
      </c>
      <c r="F4294" t="s">
        <v>9092</v>
      </c>
      <c r="G4294" t="s">
        <v>14</v>
      </c>
      <c r="H4294">
             </c>
      <c r="I4294" t="s">
        <v>14</v>
      </c>
      <c r="J4294" t="s">
        <v>183</v>
      </c>
      <c r="K4294" t="s">
        <v>361</v>
      </c>
      <c r="L4294" t="s">
        <v>20</v>
      </c>
      <c r="M4294" t="s">
        <v>9086</v>
      </c>
      <c r="N4294" t="s">
        <v>14</v>
      </c>
    </row>
    <row r="4295" x14ac:dyDescent="0.25">
      <c r="A4295" t="n">
        <v>25</v>
      </c>
      <c r="B4295" t="s">
        <v>14</v>
      </c>
      <c r="C4295" t="s">
        <v>51</v>
      </c>
      <c r="D4295" s="2" t="s">
        <f>=HYPERLINK("https://main.knesset.gov.il/APPS/legislation/main/bills/2198769", "הצעת חוק לתיקון פקודת התעבורה (הגבלת דמי חניה בחניוני בתי חולים), התשפ""ג-2023")</f>
        <v>9093</v>
      </c>
      <c r="E4295" t="s">
        <v>9093</v>
      </c>
      <c r="F4295" t="s">
        <v>9094</v>
      </c>
      <c r="G4295" t="s">
        <v>14</v>
      </c>
      <c r="H4295">
             </c>
      <c r="I4295" t="s">
        <v>14</v>
      </c>
      <c r="J4295" t="s">
        <v>183</v>
      </c>
      <c r="K4295" t="s">
        <v>361</v>
      </c>
      <c r="L4295" t="s">
        <v>20</v>
      </c>
      <c r="M4295" t="s">
        <v>9086</v>
      </c>
      <c r="N4295" t="s">
        <v>14</v>
      </c>
    </row>
    <row r="4296" x14ac:dyDescent="0.25">
      <c r="A4296" t="n">
        <v>25</v>
      </c>
      <c r="B4296" t="s">
        <v>14</v>
      </c>
      <c r="C4296" t="s">
        <v>51</v>
      </c>
      <c r="D4296" s="2" t="s">
        <f>=HYPERLINK("https://main.knesset.gov.il/APPS/legislation/main/bills/2197442", "הצעת חוק לתיקון פקודת התעבורה (הגבלת דמי חניה בחניוני בתי חולים), התשפ""ג-2023")</f>
        <v>9093</v>
      </c>
      <c r="E4296" t="s">
        <v>9093</v>
      </c>
      <c r="F4296" t="s">
        <v>9095</v>
      </c>
      <c r="G4296" t="s">
        <v>14</v>
      </c>
      <c r="H4296">
             </c>
      <c r="I4296" t="s">
        <v>14</v>
      </c>
      <c r="J4296" t="s">
        <v>183</v>
      </c>
      <c r="K4296" t="s">
        <v>361</v>
      </c>
      <c r="L4296" t="s">
        <v>20</v>
      </c>
      <c r="M4296" t="s">
        <v>9086</v>
      </c>
      <c r="N4296" t="s">
        <v>14</v>
      </c>
    </row>
    <row r="4297" x14ac:dyDescent="0.25">
      <c r="A4297" t="n">
        <v>25</v>
      </c>
      <c r="B4297" t="s">
        <v>14</v>
      </c>
      <c r="C4297" t="s">
        <v>51</v>
      </c>
      <c r="D4297" s="2" t="s">
        <f>=HYPERLINK("https://main.knesset.gov.il/APPS/legislation/main/bills/2198168", "הצעת חוק לתיקון פקודת התעבורה (הגבלת דמי חניה בחניוני בתי חולים), התשפ""ג-2022")</f>
        <v>9096</v>
      </c>
      <c r="E4297" t="s">
        <v>9096</v>
      </c>
      <c r="F4297" t="s">
        <v>9097</v>
      </c>
      <c r="G4297" t="s">
        <v>14</v>
      </c>
      <c r="H4297">
             </c>
      <c r="I4297" t="s">
        <v>14</v>
      </c>
      <c r="J4297" t="s">
        <v>183</v>
      </c>
      <c r="K4297" t="s">
        <v>361</v>
      </c>
      <c r="L4297" t="s">
        <v>20</v>
      </c>
      <c r="M4297" t="s">
        <v>9086</v>
      </c>
      <c r="N4297" t="s">
        <v>14</v>
      </c>
    </row>
    <row r="4298" x14ac:dyDescent="0.25">
      <c r="A4298" t="n">
        <v>25</v>
      </c>
      <c r="B4298" t="s">
        <v>14</v>
      </c>
      <c r="C4298" t="s">
        <v>51</v>
      </c>
      <c r="D4298" s="2" t="s">
        <f>=HYPERLINK("https://main.knesset.gov.il/APPS/legislation/main/bills/2197195", "הצעת חוק לתיקון פקודת התעבורה (הגבלת דמי חניה בחניוני בתי חולים), התשפ""ג-2022")</f>
        <v>9096</v>
      </c>
      <c r="E4298" t="s">
        <v>9096</v>
      </c>
      <c r="F4298" t="s">
        <v>9098</v>
      </c>
      <c r="G4298" t="s">
        <v>14</v>
      </c>
      <c r="H4298">
             </c>
      <c r="I4298" t="s">
        <v>14</v>
      </c>
      <c r="J4298" t="s">
        <v>183</v>
      </c>
      <c r="K4298" t="s">
        <v>361</v>
      </c>
      <c r="L4298" t="s">
        <v>20</v>
      </c>
      <c r="M4298" t="s">
        <v>9086</v>
      </c>
      <c r="N4298" t="s">
        <v>14</v>
      </c>
    </row>
    <row r="4299" x14ac:dyDescent="0.25">
      <c r="A4299" t="n">
        <v>25</v>
      </c>
      <c r="B4299" t="s">
        <v>14</v>
      </c>
      <c r="C4299" t="s">
        <v>51</v>
      </c>
      <c r="D4299" s="2" t="s">
        <f>=HYPERLINK("https://main.knesset.gov.il/APPS/legislation/main/bills/2196887", "הצעת חוק לתיקון פקודת התעבורה (הגבלת דמי חניה בחניוני בתי חולים), התשפ""ג-2022")</f>
        <v>9096</v>
      </c>
      <c r="E4299" t="s">
        <v>9096</v>
      </c>
      <c r="F4299" t="s">
        <v>9099</v>
      </c>
      <c r="G4299" t="s">
        <v>14</v>
      </c>
      <c r="H4299">
             </c>
      <c r="I4299" t="s">
        <v>14</v>
      </c>
      <c r="J4299" t="s">
        <v>183</v>
      </c>
      <c r="K4299" t="s">
        <v>361</v>
      </c>
      <c r="L4299" t="s">
        <v>20</v>
      </c>
      <c r="M4299" t="s">
        <v>9086</v>
      </c>
      <c r="N4299" t="s">
        <v>14</v>
      </c>
    </row>
    <row r="4300" x14ac:dyDescent="0.25">
      <c r="A4300" t="n">
        <v>25</v>
      </c>
      <c r="B4300" t="s">
        <v>14</v>
      </c>
      <c r="C4300" t="s">
        <v>51</v>
      </c>
      <c r="D4300" s="2" t="s">
        <f>=HYPERLINK("https://main.knesset.gov.il/APPS/legislation/main/bills/2196781", "הצעת חוק לתיקון פקודת התעבורה (הגבלת דמי חניה בחניוני בתי חולים), התשפ""ג-2022")</f>
        <v>9096</v>
      </c>
      <c r="E4300" t="s">
        <v>9096</v>
      </c>
      <c r="F4300" t="s">
        <v>9100</v>
      </c>
      <c r="G4300" t="s">
        <v>14</v>
      </c>
      <c r="H4300">
             </c>
      <c r="I4300" t="s">
        <v>14</v>
      </c>
      <c r="J4300" t="s">
        <v>183</v>
      </c>
      <c r="K4300" t="s">
        <v>361</v>
      </c>
      <c r="L4300" t="s">
        <v>20</v>
      </c>
      <c r="M4300" t="s">
        <v>9086</v>
      </c>
      <c r="N4300" t="s">
        <v>14</v>
      </c>
    </row>
    <row r="4301" x14ac:dyDescent="0.25">
      <c r="A4301" t="n">
        <v>25</v>
      </c>
      <c r="B4301" t="s">
        <v>14</v>
      </c>
      <c r="C4301" t="s">
        <v>51</v>
      </c>
      <c r="D4301" s="2" t="s">
        <f>=HYPERLINK("https://main.knesset.gov.il/APPS/legislation/main/bills/2196539", "הצעת חוק לתיקון פקודת התעבורה (הגבלת תשלום דמי חניה במוסד רפואי), התשפ""ג-2022")</f>
        <v>9101</v>
      </c>
      <c r="E4301" t="s">
        <v>9101</v>
      </c>
      <c r="F4301" t="s">
        <v>9102</v>
      </c>
      <c r="G4301" t="s">
        <v>14</v>
      </c>
      <c r="H4301">
             </c>
      <c r="I4301" t="s">
        <v>166</v>
      </c>
      <c r="J4301" t="s">
        <v>152</v>
      </c>
      <c r="K4301" t="s">
        <v>361</v>
      </c>
      <c r="L4301" t="s">
        <v>20</v>
      </c>
      <c r="M4301" t="s">
        <v>9086</v>
      </c>
      <c r="N4301" t="s">
        <v>14</v>
      </c>
    </row>
    <row r="4302" x14ac:dyDescent="0.25">
      <c r="A4302" t="n">
        <v>25</v>
      </c>
      <c r="B4302" t="s">
        <v>14</v>
      </c>
      <c r="C4302" t="s">
        <v>51</v>
      </c>
      <c r="D4302" s="2" t="s">
        <f>=HYPERLINK("https://main.knesset.gov.il/APPS/legislation/main/bills/2196386", "הצעת חוק התקשורת (בזק ושידורים) (תיקון - התראת חיוב בהתקשרות לחוץ לארץ), התשפ""ג-2023")</f>
        <v>9103</v>
      </c>
      <c r="E4302" t="s">
        <v>9103</v>
      </c>
      <c r="F4302" t="s">
        <v>9104</v>
      </c>
      <c r="G4302" t="s">
        <v>14</v>
      </c>
      <c r="H4302">
             </c>
      <c r="I4302" t="s">
        <v>14</v>
      </c>
      <c r="J4302" t="s">
        <v>152</v>
      </c>
      <c r="K4302" t="s">
        <v>84</v>
      </c>
      <c r="L4302" t="s">
        <v>20</v>
      </c>
      <c r="M4302" t="s">
        <v>9086</v>
      </c>
      <c r="N4302" t="s">
        <v>14</v>
      </c>
    </row>
    <row r="4303" x14ac:dyDescent="0.25">
      <c r="A4303" t="n">
        <v>25</v>
      </c>
      <c r="B4303" t="s">
        <v>14</v>
      </c>
      <c r="C4303" t="s">
        <v>51</v>
      </c>
      <c r="D4303" s="2" t="s">
        <f>=HYPERLINK("https://main.knesset.gov.il/APPS/legislation/main/bills/2200898", "הצעת חוק לתיקון פקודת המועצות המקומיות (בחירות לוועד מקומי במועצה אזורית), התשפ""ג-2023")</f>
        <v>9105</v>
      </c>
      <c r="E4303" t="s">
        <v>9105</v>
      </c>
      <c r="F4303" t="s">
        <v>9106</v>
      </c>
      <c r="G4303" t="s">
        <v>14</v>
      </c>
      <c r="H4303">
             </c>
      <c r="I4303" t="s">
        <v>14</v>
      </c>
      <c r="J4303" t="s">
        <v>183</v>
      </c>
      <c r="K4303" t="s">
        <v>30</v>
      </c>
      <c r="L4303" t="s">
        <v>20</v>
      </c>
      <c r="M4303" t="s">
        <v>9107</v>
      </c>
      <c r="N4303" t="s">
        <v>14</v>
      </c>
    </row>
    <row r="4304" x14ac:dyDescent="0.25">
      <c r="A4304" t="n">
        <v>25</v>
      </c>
      <c r="B4304" t="s">
        <v>14</v>
      </c>
      <c r="C4304" t="s">
        <v>15</v>
      </c>
      <c r="D4304" s="2" t="s">
        <f>=HYPERLINK("https://main.knesset.gov.il/APPS/legislation/main/bills/2205544", "חוק הדרכונים (תיקון מס' 10), התשפ""ג-2023")</f>
        <v>9108</v>
      </c>
      <c r="E4304" t="s">
        <v>9108</v>
      </c>
      <c r="F4304" t="s">
        <v>14</v>
      </c>
      <c r="G4304" t="s">
        <v>9109</v>
      </c>
      <c r="H4304" t="n">
        <v>3049</v>
      </c>
      <c r="I4304" t="s">
        <v>14</v>
      </c>
      <c r="J4304" t="s">
        <v>18</v>
      </c>
      <c r="K4304" t="s">
        <v>30</v>
      </c>
      <c r="L4304" t="s">
        <v>20</v>
      </c>
      <c r="M4304" t="s">
        <v>9107</v>
      </c>
      <c r="N4304" t="s">
        <v>9110</v>
      </c>
    </row>
    <row r="4305" x14ac:dyDescent="0.25">
      <c r="A4305" t="n">
        <v>25</v>
      </c>
      <c r="B4305" t="s">
        <v>14</v>
      </c>
      <c r="C4305" t="s">
        <v>51</v>
      </c>
      <c r="D4305" s="2" t="s">
        <f>=HYPERLINK("https://main.knesset.gov.il/APPS/legislation/main/bills/2206208", "הצעת חוק מס ערך מוסף (תיקון - שיעור מס מופחת על מוצרי מזון בסיסיים) (הוראת שעה), התשפ""ג-2023")</f>
        <v>9111</v>
      </c>
      <c r="E4305" t="s">
        <v>9111</v>
      </c>
      <c r="F4305" t="s">
        <v>9112</v>
      </c>
      <c r="G4305" t="s">
        <v>14</v>
      </c>
      <c r="H4305">
             </c>
      <c r="I4305" t="s">
        <v>14</v>
      </c>
      <c r="J4305" t="s">
        <v>242</v>
      </c>
      <c r="K4305" t="s">
        <v>14</v>
      </c>
      <c r="L4305" t="s">
        <v>20</v>
      </c>
      <c r="M4305" t="s">
        <v>9107</v>
      </c>
      <c r="N4305" t="s">
        <v>14</v>
      </c>
    </row>
    <row r="4306" x14ac:dyDescent="0.25">
      <c r="A4306" t="n">
        <v>25</v>
      </c>
      <c r="B4306" t="s">
        <v>14</v>
      </c>
      <c r="C4306" t="s">
        <v>51</v>
      </c>
      <c r="D4306" s="2" t="s">
        <f>=HYPERLINK("https://main.knesset.gov.il/APPS/legislation/main/bills/2206391", "הצעת חוק לתיקון פקודת התעבורה (מחירי חניה ברשויות מקומיות), התשפ""ג-2023")</f>
        <v>9113</v>
      </c>
      <c r="E4306" t="s">
        <v>9113</v>
      </c>
      <c r="F4306" t="s">
        <v>9114</v>
      </c>
      <c r="G4306" t="s">
        <v>14</v>
      </c>
      <c r="H4306">
             </c>
      <c r="I4306" t="s">
        <v>14</v>
      </c>
      <c r="J4306" t="s">
        <v>242</v>
      </c>
      <c r="K4306" t="s">
        <v>14</v>
      </c>
      <c r="L4306" t="s">
        <v>20</v>
      </c>
      <c r="M4306" t="s">
        <v>9107</v>
      </c>
      <c r="N4306" t="s">
        <v>14</v>
      </c>
    </row>
    <row r="4307" x14ac:dyDescent="0.25">
      <c r="A4307" t="n">
        <v>25</v>
      </c>
      <c r="B4307" t="s">
        <v>14</v>
      </c>
      <c r="C4307" t="s">
        <v>51</v>
      </c>
      <c r="D4307" s="2" t="s">
        <f>=HYPERLINK("https://main.knesset.gov.il/APPS/legislation/main/bills/2205830", "הצעת חוק סמכויות מינהליות (מעצרים והגבלות) (הוראת שעה), התשפ""ג-2023")</f>
        <v>9061</v>
      </c>
      <c r="E4307" t="s">
        <v>9061</v>
      </c>
      <c r="F4307" t="s">
        <v>9115</v>
      </c>
      <c r="G4307" t="s">
        <v>14</v>
      </c>
      <c r="H4307">
             </c>
      <c r="I4307" t="s">
        <v>14</v>
      </c>
      <c r="J4307" t="s">
        <v>242</v>
      </c>
      <c r="K4307" t="s">
        <v>14</v>
      </c>
      <c r="L4307" t="s">
        <v>20</v>
      </c>
      <c r="M4307" t="s">
        <v>9107</v>
      </c>
      <c r="N4307" t="s">
        <v>14</v>
      </c>
    </row>
    <row r="4308" x14ac:dyDescent="0.25">
      <c r="A4308" t="n">
        <v>25</v>
      </c>
      <c r="B4308" t="s">
        <v>14</v>
      </c>
      <c r="C4308" t="s">
        <v>51</v>
      </c>
      <c r="D4308" s="2" t="s">
        <f>=HYPERLINK("https://main.knesset.gov.il/APPS/legislation/main/bills/2206830", "הצעת חוק מיסוי רווחי יתר של תאגידים בנקאיים, התשפ""ג-2023")</f>
        <v>8568</v>
      </c>
      <c r="E4308" t="s">
        <v>8568</v>
      </c>
      <c r="F4308" t="s">
        <v>9116</v>
      </c>
      <c r="G4308" t="s">
        <v>14</v>
      </c>
      <c r="H4308">
             </c>
      <c r="I4308" t="s">
        <v>14</v>
      </c>
      <c r="J4308" t="s">
        <v>242</v>
      </c>
      <c r="K4308" t="s">
        <v>14</v>
      </c>
      <c r="L4308" t="s">
        <v>20</v>
      </c>
      <c r="M4308" t="s">
        <v>9107</v>
      </c>
      <c r="N4308" t="s">
        <v>14</v>
      </c>
    </row>
    <row r="4309" x14ac:dyDescent="0.25">
      <c r="A4309" t="n">
        <v>25</v>
      </c>
      <c r="B4309" t="s">
        <v>14</v>
      </c>
      <c r="C4309" t="s">
        <v>51</v>
      </c>
      <c r="D4309" s="2" t="s">
        <f>=HYPERLINK("https://main.knesset.gov.il/APPS/legislation/main/bills/2206616", "הצעת חוק התפזרות הכנסת העשרים וחמש, התשפ""ג-2023")</f>
        <v>691</v>
      </c>
      <c r="E4309" t="s">
        <v>691</v>
      </c>
      <c r="F4309" t="s">
        <v>9117</v>
      </c>
      <c r="G4309" t="s">
        <v>14</v>
      </c>
      <c r="H4309">
             </c>
      <c r="I4309" t="s">
        <v>14</v>
      </c>
      <c r="J4309" t="s">
        <v>242</v>
      </c>
      <c r="K4309" t="s">
        <v>14</v>
      </c>
      <c r="L4309" t="s">
        <v>20</v>
      </c>
      <c r="M4309" t="s">
        <v>9107</v>
      </c>
      <c r="N4309" t="s">
        <v>14</v>
      </c>
    </row>
    <row r="4310" x14ac:dyDescent="0.25">
      <c r="A4310" t="n">
        <v>25</v>
      </c>
      <c r="B4310" t="s">
        <v>14</v>
      </c>
      <c r="C4310" t="s">
        <v>51</v>
      </c>
      <c r="D4310" s="2" t="s">
        <f>=HYPERLINK("https://main.knesset.gov.il/APPS/legislation/main/bills/2205590", "הצעת חוק לתיקון פקודת העיריות (אבטחת גורמים מאוימים בתאגידים עירוניים), התשפ""ג-2023")</f>
        <v>8916</v>
      </c>
      <c r="E4310" t="s">
        <v>8916</v>
      </c>
      <c r="F4310" t="s">
        <v>9118</v>
      </c>
      <c r="G4310" t="s">
        <v>14</v>
      </c>
      <c r="H4310">
             </c>
      <c r="I4310" t="s">
        <v>14</v>
      </c>
      <c r="J4310" t="s">
        <v>242</v>
      </c>
      <c r="K4310" t="s">
        <v>14</v>
      </c>
      <c r="L4310" t="s">
        <v>20</v>
      </c>
      <c r="M4310" t="s">
        <v>9107</v>
      </c>
      <c r="N4310" t="s">
        <v>14</v>
      </c>
    </row>
    <row r="4311" x14ac:dyDescent="0.25">
      <c r="A4311" t="n">
        <v>25</v>
      </c>
      <c r="B4311" t="s">
        <v>14</v>
      </c>
      <c r="C4311" t="s">
        <v>51</v>
      </c>
      <c r="D4311" s="2" t="s">
        <f>=HYPERLINK("https://main.knesset.gov.il/APPS/legislation/main/bills/2206647", "הצעת חוק-יסוד: השפיטה (תיקון - הגבלת כהונתם של שופטי בית המשפט העליון)")</f>
        <v>9119</v>
      </c>
      <c r="E4311" t="s">
        <v>9119</v>
      </c>
      <c r="F4311" t="s">
        <v>9120</v>
      </c>
      <c r="G4311" t="s">
        <v>14</v>
      </c>
      <c r="H4311">
             </c>
      <c r="I4311" t="s">
        <v>14</v>
      </c>
      <c r="J4311" t="s">
        <v>242</v>
      </c>
      <c r="K4311" t="s">
        <v>14</v>
      </c>
      <c r="L4311" t="s">
        <v>20</v>
      </c>
      <c r="M4311" t="s">
        <v>9107</v>
      </c>
      <c r="N4311" t="s">
        <v>14</v>
      </c>
    </row>
    <row r="4312" x14ac:dyDescent="0.25">
      <c r="A4312" t="n">
        <v>25</v>
      </c>
      <c r="B4312" t="s">
        <v>14</v>
      </c>
      <c r="C4312" t="s">
        <v>51</v>
      </c>
      <c r="D4312" s="2" t="s">
        <f>=HYPERLINK("https://main.knesset.gov.il/APPS/legislation/main/bills/2206652", "הצעת חוק-יסוד: השפיטה (תיקון - הפרדת רשויות)")</f>
        <v>4545</v>
      </c>
      <c r="E4312" t="s">
        <v>4545</v>
      </c>
      <c r="F4312" t="s">
        <v>9121</v>
      </c>
      <c r="G4312" t="s">
        <v>14</v>
      </c>
      <c r="H4312">
             </c>
      <c r="I4312" t="s">
        <v>14</v>
      </c>
      <c r="J4312" t="s">
        <v>242</v>
      </c>
      <c r="K4312" t="s">
        <v>14</v>
      </c>
      <c r="L4312" t="s">
        <v>20</v>
      </c>
      <c r="M4312" t="s">
        <v>9107</v>
      </c>
      <c r="N4312" t="s">
        <v>14</v>
      </c>
    </row>
    <row r="4313" x14ac:dyDescent="0.25">
      <c r="A4313" t="n">
        <v>25</v>
      </c>
      <c r="B4313" t="s">
        <v>14</v>
      </c>
      <c r="C4313" t="s">
        <v>51</v>
      </c>
      <c r="D4313" s="2" t="s">
        <f>=HYPERLINK("https://main.knesset.gov.il/APPS/legislation/main/bills/2206374", "הצעת חוק הסעד (טיפול באנשים עם מוגבלות שכלית-התפתחותית) (תיקון - דיווח לכנסת לעניין פגיעה באדם עם מוגבלות שכלית-התפתחותית), התשפ""ג-2023")</f>
        <v>9122</v>
      </c>
      <c r="E4313" t="s">
        <v>9122</v>
      </c>
      <c r="F4313" t="s">
        <v>9123</v>
      </c>
      <c r="G4313" t="s">
        <v>14</v>
      </c>
      <c r="H4313">
             </c>
      <c r="I4313" t="s">
        <v>14</v>
      </c>
      <c r="J4313" t="s">
        <v>242</v>
      </c>
      <c r="K4313" t="s">
        <v>14</v>
      </c>
      <c r="L4313" t="s">
        <v>20</v>
      </c>
      <c r="M4313" t="s">
        <v>9107</v>
      </c>
      <c r="N4313" t="s">
        <v>14</v>
      </c>
    </row>
    <row r="4314" x14ac:dyDescent="0.25">
      <c r="A4314" t="n">
        <v>25</v>
      </c>
      <c r="B4314" t="s">
        <v>14</v>
      </c>
      <c r="C4314" t="s">
        <v>51</v>
      </c>
      <c r="D4314" s="2" t="s">
        <f>=HYPERLINK("https://main.knesset.gov.il/APPS/legislation/main/bills/2206371", "הצעת חוק הביטוח הלאומי (תיקון - גמלת סיעוד בכסף בשיעור מלא), התשפ""ג-2023")</f>
        <v>9018</v>
      </c>
      <c r="E4314" t="s">
        <v>9018</v>
      </c>
      <c r="F4314" t="s">
        <v>9124</v>
      </c>
      <c r="G4314" t="s">
        <v>14</v>
      </c>
      <c r="H4314">
             </c>
      <c r="I4314" t="s">
        <v>14</v>
      </c>
      <c r="J4314" t="s">
        <v>242</v>
      </c>
      <c r="K4314" t="s">
        <v>14</v>
      </c>
      <c r="L4314" t="s">
        <v>20</v>
      </c>
      <c r="M4314" t="s">
        <v>9107</v>
      </c>
      <c r="N4314" t="s">
        <v>14</v>
      </c>
    </row>
    <row r="4315" x14ac:dyDescent="0.25">
      <c r="A4315" t="n">
        <v>25</v>
      </c>
      <c r="B4315" t="s">
        <v>14</v>
      </c>
      <c r="C4315" t="s">
        <v>51</v>
      </c>
      <c r="D4315" s="2" t="s">
        <f>=HYPERLINK("https://main.knesset.gov.il/APPS/legislation/main/bills/2204719", "הצעת חוק איסור הכחשת השואה (תיקון - איסור השוואה למעשיהם או למשטרם של הנאצים), התשפ""ג-2023")</f>
        <v>9125</v>
      </c>
      <c r="E4315" t="s">
        <v>9125</v>
      </c>
      <c r="F4315" t="s">
        <v>9126</v>
      </c>
      <c r="G4315" t="s">
        <v>14</v>
      </c>
      <c r="H4315">
             </c>
      <c r="I4315" t="s">
        <v>14</v>
      </c>
      <c r="J4315" t="s">
        <v>242</v>
      </c>
      <c r="K4315" t="s">
        <v>14</v>
      </c>
      <c r="L4315" t="s">
        <v>20</v>
      </c>
      <c r="M4315" t="s">
        <v>9107</v>
      </c>
      <c r="N4315" t="s">
        <v>14</v>
      </c>
    </row>
    <row r="4316" x14ac:dyDescent="0.25">
      <c r="A4316" t="n">
        <v>25</v>
      </c>
      <c r="B4316" t="s">
        <v>14</v>
      </c>
      <c r="C4316" t="s">
        <v>51</v>
      </c>
      <c r="D4316" s="2" t="s">
        <f>=HYPERLINK("https://main.knesset.gov.il/APPS/legislation/main/bills/2206395", "הצעת חוק עובדים זרים (תיקון - אגרה מופחתת בסיעוד המוסדי) (הוראת שעה), התשפ""ג-2023")</f>
        <v>8824</v>
      </c>
      <c r="E4316" t="s">
        <v>8824</v>
      </c>
      <c r="F4316" t="s">
        <v>9127</v>
      </c>
      <c r="G4316" t="s">
        <v>14</v>
      </c>
      <c r="H4316">
             </c>
      <c r="I4316" t="s">
        <v>14</v>
      </c>
      <c r="J4316" t="s">
        <v>242</v>
      </c>
      <c r="K4316" t="s">
        <v>14</v>
      </c>
      <c r="L4316" t="s">
        <v>20</v>
      </c>
      <c r="M4316" t="s">
        <v>9107</v>
      </c>
      <c r="N4316" t="s">
        <v>14</v>
      </c>
    </row>
    <row r="4317" x14ac:dyDescent="0.25">
      <c r="A4317" t="n">
        <v>25</v>
      </c>
      <c r="B4317" t="s">
        <v>14</v>
      </c>
      <c r="C4317" t="s">
        <v>51</v>
      </c>
      <c r="D4317" s="2" t="s">
        <f>=HYPERLINK("https://main.knesset.gov.il/APPS/legislation/main/bills/2205283", "הצעת חוק סדר הדין הפלילי (תיקון - הפחתת תוספת הפיגור על אי-תשלום קנס), התשפ""ג-2023")</f>
        <v>9128</v>
      </c>
      <c r="E4317" t="s">
        <v>9128</v>
      </c>
      <c r="F4317" t="s">
        <v>9129</v>
      </c>
      <c r="G4317" t="s">
        <v>14</v>
      </c>
      <c r="H4317">
             </c>
      <c r="I4317" t="s">
        <v>14</v>
      </c>
      <c r="J4317" t="s">
        <v>242</v>
      </c>
      <c r="K4317" t="s">
        <v>14</v>
      </c>
      <c r="L4317" t="s">
        <v>20</v>
      </c>
      <c r="M4317" t="s">
        <v>9107</v>
      </c>
      <c r="N4317" t="s">
        <v>14</v>
      </c>
    </row>
    <row r="4318" x14ac:dyDescent="0.25">
      <c r="A4318" t="n">
        <v>25</v>
      </c>
      <c r="B4318" t="s">
        <v>14</v>
      </c>
      <c r="C4318" t="s">
        <v>51</v>
      </c>
      <c r="D4318" s="2" t="s">
        <f>=HYPERLINK("https://main.knesset.gov.il/APPS/legislation/main/bills/2205366", "הצעת חוק לתיקון דיני המשפחה (מזונות) (תיקון - ביטול חלות הדין האישי), התשפ""ג-2023")</f>
        <v>9130</v>
      </c>
      <c r="E4318" t="s">
        <v>9130</v>
      </c>
      <c r="F4318" t="s">
        <v>9131</v>
      </c>
      <c r="G4318" t="s">
        <v>14</v>
      </c>
      <c r="H4318">
             </c>
      <c r="I4318" t="s">
        <v>14</v>
      </c>
      <c r="J4318" t="s">
        <v>242</v>
      </c>
      <c r="K4318" t="s">
        <v>14</v>
      </c>
      <c r="L4318" t="s">
        <v>20</v>
      </c>
      <c r="M4318" t="s">
        <v>9107</v>
      </c>
      <c r="N4318" t="s">
        <v>14</v>
      </c>
    </row>
    <row r="4319" x14ac:dyDescent="0.25">
      <c r="A4319" t="n">
        <v>25</v>
      </c>
      <c r="B4319" t="s">
        <v>14</v>
      </c>
      <c r="C4319" t="s">
        <v>51</v>
      </c>
      <c r="D4319" s="2" t="s">
        <f>=HYPERLINK("https://main.knesset.gov.il/APPS/legislation/main/bills/2199968", "הצעת חוק זכרון השואה והגבורה - יד ושם (תיקון - עידוד יצירה להנצחת זיכרון השואה והגבורה), התשפ""ג-2023")</f>
        <v>9132</v>
      </c>
      <c r="E4319" t="s">
        <v>9132</v>
      </c>
      <c r="F4319" t="s">
        <v>9133</v>
      </c>
      <c r="G4319" t="s">
        <v>14</v>
      </c>
      <c r="H4319">
             </c>
      <c r="I4319" t="s">
        <v>14</v>
      </c>
      <c r="J4319" t="s">
        <v>242</v>
      </c>
      <c r="K4319" t="s">
        <v>14</v>
      </c>
      <c r="L4319" t="s">
        <v>20</v>
      </c>
      <c r="M4319" t="s">
        <v>9107</v>
      </c>
      <c r="N4319" t="s">
        <v>14</v>
      </c>
    </row>
    <row r="4320" x14ac:dyDescent="0.25">
      <c r="A4320" t="n">
        <v>25</v>
      </c>
      <c r="B4320" t="s">
        <v>14</v>
      </c>
      <c r="C4320" t="s">
        <v>51</v>
      </c>
      <c r="D4320" s="2" t="s">
        <f>=HYPERLINK("https://main.knesset.gov.il/APPS/legislation/main/bills/2206188", "הצעת חוק לתיקון פקודת מס הכנסה (ניכוי ריבית על משכנתה וסיוע ברכישת דירה), התשפ""ג-2023")</f>
        <v>8937</v>
      </c>
      <c r="E4320" t="s">
        <v>8937</v>
      </c>
      <c r="F4320" t="s">
        <v>9134</v>
      </c>
      <c r="G4320" t="s">
        <v>14</v>
      </c>
      <c r="H4320">
             </c>
      <c r="I4320" t="s">
        <v>14</v>
      </c>
      <c r="J4320" t="s">
        <v>242</v>
      </c>
      <c r="K4320" t="s">
        <v>14</v>
      </c>
      <c r="L4320" t="s">
        <v>20</v>
      </c>
      <c r="M4320" t="s">
        <v>9107</v>
      </c>
      <c r="N4320" t="s">
        <v>14</v>
      </c>
    </row>
    <row r="4321" x14ac:dyDescent="0.25">
      <c r="A4321" t="n">
        <v>25</v>
      </c>
      <c r="B4321" t="s">
        <v>14</v>
      </c>
      <c r="C4321" t="s">
        <v>51</v>
      </c>
      <c r="D4321" s="2" t="s">
        <f>=HYPERLINK("https://main.knesset.gov.il/APPS/legislation/main/bills/2206622", "הצעת חוק בתי המשפט (תיקון - שקיפות בהליכי מינוי שופטים לבית המשפט העליון ובמינוי הנשיא והמשנה לנשיא בית המשפט העליון), התשפ""ג-2023")</f>
        <v>9135</v>
      </c>
      <c r="E4321" t="s">
        <v>9135</v>
      </c>
      <c r="F4321" t="s">
        <v>9136</v>
      </c>
      <c r="G4321" t="s">
        <v>14</v>
      </c>
      <c r="H4321">
             </c>
      <c r="I4321" t="s">
        <v>14</v>
      </c>
      <c r="J4321" t="s">
        <v>242</v>
      </c>
      <c r="K4321" t="s">
        <v>14</v>
      </c>
      <c r="L4321" t="s">
        <v>20</v>
      </c>
      <c r="M4321" t="s">
        <v>9107</v>
      </c>
      <c r="N4321" t="s">
        <v>14</v>
      </c>
    </row>
    <row r="4322" x14ac:dyDescent="0.25">
      <c r="A4322" t="n">
        <v>25</v>
      </c>
      <c r="B4322" t="s">
        <v>14</v>
      </c>
      <c r="C4322" t="s">
        <v>51</v>
      </c>
      <c r="D4322" s="2" t="s">
        <f>=HYPERLINK("https://main.knesset.gov.il/APPS/legislation/main/bills/2206650", "הצעת חוק-יסוד: השפיטה (תיקון - סמכות להכרזה על אי-התאמה בין הוראות חוק רגיל ובין הוראות חוק-יסוד)")</f>
        <v>9137</v>
      </c>
      <c r="E4322" t="s">
        <v>9137</v>
      </c>
      <c r="F4322" t="s">
        <v>9138</v>
      </c>
      <c r="G4322" t="s">
        <v>14</v>
      </c>
      <c r="H4322">
             </c>
      <c r="I4322" t="s">
        <v>14</v>
      </c>
      <c r="J4322" t="s">
        <v>242</v>
      </c>
      <c r="K4322" t="s">
        <v>14</v>
      </c>
      <c r="L4322" t="s">
        <v>20</v>
      </c>
      <c r="M4322" t="s">
        <v>9107</v>
      </c>
      <c r="N4322" t="s">
        <v>14</v>
      </c>
    </row>
    <row r="4323" x14ac:dyDescent="0.25">
      <c r="A4323" t="n">
        <v>25</v>
      </c>
      <c r="B4323" t="s">
        <v>14</v>
      </c>
      <c r="C4323" t="s">
        <v>51</v>
      </c>
      <c r="D4323" s="2" t="s">
        <f>=HYPERLINK("https://main.knesset.gov.il/APPS/legislation/main/bills/2206649", "הצעת חוק-יסוד: הכנסת (תיקון - שלילת סמכותו של בית המשפט העליון מלהתערב בהחלטות ועדת הבחירות המרכזית לעניין אישור או פסילה של מועמד או רשימה מלהשתתף בבחירות)")</f>
        <v>9139</v>
      </c>
      <c r="E4323" t="s">
        <v>9139</v>
      </c>
      <c r="F4323" t="s">
        <v>9140</v>
      </c>
      <c r="G4323" t="s">
        <v>14</v>
      </c>
      <c r="H4323">
             </c>
      <c r="I4323" t="s">
        <v>14</v>
      </c>
      <c r="J4323" t="s">
        <v>242</v>
      </c>
      <c r="K4323" t="s">
        <v>14</v>
      </c>
      <c r="L4323" t="s">
        <v>20</v>
      </c>
      <c r="M4323" t="s">
        <v>9107</v>
      </c>
      <c r="N4323" t="s">
        <v>14</v>
      </c>
    </row>
    <row r="4324" x14ac:dyDescent="0.25">
      <c r="A4324" t="n">
        <v>25</v>
      </c>
      <c r="B4324" t="s">
        <v>14</v>
      </c>
      <c r="C4324" t="s">
        <v>51</v>
      </c>
      <c r="D4324" s="2" t="s">
        <f>=HYPERLINK("https://main.knesset.gov.il/APPS/legislation/main/bills/2206554", "הצעת חוק להסדרת רעיית דבורים וייצור דבש, התשפ""ג-2023")</f>
        <v>9141</v>
      </c>
      <c r="E4324" t="s">
        <v>9141</v>
      </c>
      <c r="F4324" t="s">
        <v>9142</v>
      </c>
      <c r="G4324" t="s">
        <v>14</v>
      </c>
      <c r="H4324">
             </c>
      <c r="I4324" t="s">
        <v>14</v>
      </c>
      <c r="J4324" t="s">
        <v>242</v>
      </c>
      <c r="K4324" t="s">
        <v>14</v>
      </c>
      <c r="L4324" t="s">
        <v>20</v>
      </c>
      <c r="M4324" t="s">
        <v>9107</v>
      </c>
      <c r="N4324" t="s">
        <v>14</v>
      </c>
    </row>
    <row r="4325" x14ac:dyDescent="0.25">
      <c r="A4325" t="n">
        <v>25</v>
      </c>
      <c r="B4325" t="s">
        <v>14</v>
      </c>
      <c r="C4325" t="s">
        <v>51</v>
      </c>
      <c r="D4325" s="2" t="s">
        <f>=HYPERLINK("https://main.knesset.gov.il/APPS/legislation/main/bills/2203389", "הצעת חוק למניעת הטרדה מינית (תיקון - הרחבת תחולה על עובד של קבלן שירות המועסק אצל מזמין השירות), התשפ""ג-2023")</f>
        <v>6529</v>
      </c>
      <c r="E4325" t="s">
        <v>6529</v>
      </c>
      <c r="F4325" t="s">
        <v>9143</v>
      </c>
      <c r="G4325" t="s">
        <v>14</v>
      </c>
      <c r="H4325">
             </c>
      <c r="I4325" t="s">
        <v>14</v>
      </c>
      <c r="J4325" t="s">
        <v>1372</v>
      </c>
      <c r="K4325" t="s">
        <v>14</v>
      </c>
      <c r="L4325" t="s">
        <v>20</v>
      </c>
      <c r="M4325" t="s">
        <v>9107</v>
      </c>
      <c r="N4325" t="s">
        <v>14</v>
      </c>
    </row>
    <row r="4326" x14ac:dyDescent="0.25">
      <c r="A4326" t="n">
        <v>25</v>
      </c>
      <c r="B4326" t="s">
        <v>14</v>
      </c>
      <c r="C4326" t="s">
        <v>51</v>
      </c>
      <c r="D4326" s="2" t="s">
        <f>=HYPERLINK("https://main.knesset.gov.il/APPS/legislation/main/bills/2205789", "הצעת חוק למניעת הטרדה מינית (תיקון - הרחבת תחולה על עובדים עצמאים, מתנדבים ועובדי כלכלת הפלטפורמה), התשפ""ג-2023")</f>
        <v>8317</v>
      </c>
      <c r="E4326" t="s">
        <v>8317</v>
      </c>
      <c r="F4326" t="s">
        <v>9144</v>
      </c>
      <c r="G4326" t="s">
        <v>14</v>
      </c>
      <c r="H4326">
             </c>
      <c r="I4326" t="s">
        <v>14</v>
      </c>
      <c r="J4326" t="s">
        <v>242</v>
      </c>
      <c r="K4326" t="s">
        <v>14</v>
      </c>
      <c r="L4326" t="s">
        <v>20</v>
      </c>
      <c r="M4326" t="s">
        <v>9107</v>
      </c>
      <c r="N4326" t="s">
        <v>14</v>
      </c>
    </row>
    <row r="4327" x14ac:dyDescent="0.25">
      <c r="A4327" t="n">
        <v>25</v>
      </c>
      <c r="B4327" t="s">
        <v>14</v>
      </c>
      <c r="C4327" t="s">
        <v>51</v>
      </c>
      <c r="D4327" s="2" t="s">
        <f>=HYPERLINK("https://main.knesset.gov.il/APPS/legislation/main/bills/2206282", "הצעת חוק העונשין (תיקון - עבירות אלימות במתחם הר הבית), התשפ""ג-2023")</f>
        <v>9145</v>
      </c>
      <c r="E4327" t="s">
        <v>9145</v>
      </c>
      <c r="F4327" t="s">
        <v>9146</v>
      </c>
      <c r="G4327" t="s">
        <v>14</v>
      </c>
      <c r="H4327">
             </c>
      <c r="I4327" t="s">
        <v>14</v>
      </c>
      <c r="J4327" t="s">
        <v>242</v>
      </c>
      <c r="K4327" t="s">
        <v>14</v>
      </c>
      <c r="L4327" t="s">
        <v>20</v>
      </c>
      <c r="M4327" t="s">
        <v>9107</v>
      </c>
      <c r="N4327" t="s">
        <v>14</v>
      </c>
    </row>
    <row r="4328" x14ac:dyDescent="0.25">
      <c r="A4328" t="n">
        <v>25</v>
      </c>
      <c r="B4328" t="s">
        <v>14</v>
      </c>
      <c r="C4328" t="s">
        <v>51</v>
      </c>
      <c r="D4328" s="2" t="s">
        <f>=HYPERLINK("https://main.knesset.gov.il/APPS/legislation/main/bills/2206449", "הצעת חוק שיקום, פיצוי וסיוע משפטי לנפגעי עבירות מין, התשפ""ג-2023")</f>
        <v>9056</v>
      </c>
      <c r="E4328" t="s">
        <v>9056</v>
      </c>
      <c r="F4328" t="s">
        <v>9147</v>
      </c>
      <c r="G4328" t="s">
        <v>14</v>
      </c>
      <c r="H4328">
             </c>
      <c r="I4328" t="s">
        <v>14</v>
      </c>
      <c r="J4328" t="s">
        <v>242</v>
      </c>
      <c r="K4328" t="s">
        <v>14</v>
      </c>
      <c r="L4328" t="s">
        <v>20</v>
      </c>
      <c r="M4328" t="s">
        <v>9107</v>
      </c>
      <c r="N4328" t="s">
        <v>14</v>
      </c>
    </row>
    <row r="4329" x14ac:dyDescent="0.25">
      <c r="A4329" t="n">
        <v>25</v>
      </c>
      <c r="B4329" t="s">
        <v>14</v>
      </c>
      <c r="C4329" t="s">
        <v>51</v>
      </c>
      <c r="D4329" s="2" t="s">
        <f>=HYPERLINK("https://main.knesset.gov.il/APPS/legislation/main/bills/2203984", "הצעת חוק התכנון והבנייה (תיקון - ביטול התניית חיבור לחשמל, מים וטלפון באישור תאגיד המים), התשפ""ג-2023")</f>
        <v>9148</v>
      </c>
      <c r="E4329" t="s">
        <v>9148</v>
      </c>
      <c r="F4329" t="s">
        <v>9149</v>
      </c>
      <c r="G4329" t="s">
        <v>14</v>
      </c>
      <c r="H4329">
             </c>
      <c r="I4329" t="s">
        <v>14</v>
      </c>
      <c r="J4329" t="s">
        <v>242</v>
      </c>
      <c r="K4329" t="s">
        <v>14</v>
      </c>
      <c r="L4329" t="s">
        <v>20</v>
      </c>
      <c r="M4329" t="s">
        <v>9107</v>
      </c>
      <c r="N4329" t="s">
        <v>14</v>
      </c>
    </row>
    <row r="4330" x14ac:dyDescent="0.25">
      <c r="A4330" t="n">
        <v>25</v>
      </c>
      <c r="B4330" t="s">
        <v>14</v>
      </c>
      <c r="C4330" t="s">
        <v>51</v>
      </c>
      <c r="D4330" s="2" t="s">
        <f>=HYPERLINK("https://main.knesset.gov.il/APPS/legislation/main/bills/2204028", "הצעת החוק לתיקון פקודת העיריות (חובת גילוי מסמכי תאגיד עירוני), התשפ""ג-2023")</f>
        <v>9150</v>
      </c>
      <c r="E4330" t="s">
        <v>9150</v>
      </c>
      <c r="F4330" t="s">
        <v>9151</v>
      </c>
      <c r="G4330" t="s">
        <v>14</v>
      </c>
      <c r="H4330">
             </c>
      <c r="I4330" t="s">
        <v>14</v>
      </c>
      <c r="J4330" t="s">
        <v>242</v>
      </c>
      <c r="K4330" t="s">
        <v>14</v>
      </c>
      <c r="L4330" t="s">
        <v>20</v>
      </c>
      <c r="M4330" t="s">
        <v>9107</v>
      </c>
      <c r="N4330" t="s">
        <v>14</v>
      </c>
    </row>
    <row r="4331" x14ac:dyDescent="0.25">
      <c r="A4331" t="n">
        <v>25</v>
      </c>
      <c r="B4331" t="s">
        <v>14</v>
      </c>
      <c r="C4331" t="s">
        <v>51</v>
      </c>
      <c r="D4331" s="2" t="s">
        <f>=HYPERLINK("https://main.knesset.gov.il/APPS/legislation/main/bills/2202782", "הצעת חוק להנצחת זכרם של קורבנות הטבח בחברון, התשפ""ג-2023")</f>
        <v>9152</v>
      </c>
      <c r="E4331" t="s">
        <v>9152</v>
      </c>
      <c r="F4331" t="s">
        <v>9153</v>
      </c>
      <c r="G4331" t="s">
        <v>14</v>
      </c>
      <c r="H4331">
             </c>
      <c r="I4331" t="s">
        <v>14</v>
      </c>
      <c r="J4331" t="s">
        <v>242</v>
      </c>
      <c r="K4331" t="s">
        <v>14</v>
      </c>
      <c r="L4331" t="s">
        <v>20</v>
      </c>
      <c r="M4331" t="s">
        <v>9107</v>
      </c>
      <c r="N4331" t="s">
        <v>14</v>
      </c>
    </row>
    <row r="4332" x14ac:dyDescent="0.25">
      <c r="A4332" t="n">
        <v>25</v>
      </c>
      <c r="B4332" t="s">
        <v>14</v>
      </c>
      <c r="C4332" t="s">
        <v>51</v>
      </c>
      <c r="D4332" s="2" t="s">
        <f>=HYPERLINK("https://main.knesset.gov.il/APPS/legislation/main/bills/2205784", "הצעת חוק זכויות החולה (תיקון - שמירת דגימות שנלקחו מנפגעי עבירות מין), התשפ""ג-2023")</f>
        <v>9154</v>
      </c>
      <c r="E4332" t="s">
        <v>9154</v>
      </c>
      <c r="F4332" t="s">
        <v>9155</v>
      </c>
      <c r="G4332" t="s">
        <v>14</v>
      </c>
      <c r="H4332">
             </c>
      <c r="I4332" t="s">
        <v>14</v>
      </c>
      <c r="J4332" t="s">
        <v>242</v>
      </c>
      <c r="K4332" t="s">
        <v>14</v>
      </c>
      <c r="L4332" t="s">
        <v>20</v>
      </c>
      <c r="M4332" t="s">
        <v>9107</v>
      </c>
      <c r="N4332" t="s">
        <v>14</v>
      </c>
    </row>
    <row r="4333" x14ac:dyDescent="0.25">
      <c r="A4333" t="n">
        <v>25</v>
      </c>
      <c r="B4333" t="s">
        <v>14</v>
      </c>
      <c r="C4333" t="s">
        <v>51</v>
      </c>
      <c r="D4333" s="2" t="s">
        <f>=HYPERLINK("https://main.knesset.gov.il/APPS/legislation/main/bills/2206638", "הצעת חוק בתי המשפט (תיקון - תקופת צינון במועמדות חבר כנסת או שר למשרת שופט), התשפ""ג-2023")</f>
        <v>9156</v>
      </c>
      <c r="E4333" t="s">
        <v>9156</v>
      </c>
      <c r="F4333" t="s">
        <v>9157</v>
      </c>
      <c r="G4333" t="s">
        <v>14</v>
      </c>
      <c r="H4333">
             </c>
      <c r="I4333" t="s">
        <v>14</v>
      </c>
      <c r="J4333" t="s">
        <v>242</v>
      </c>
      <c r="K4333" t="s">
        <v>14</v>
      </c>
      <c r="L4333" t="s">
        <v>20</v>
      </c>
      <c r="M4333" t="s">
        <v>9107</v>
      </c>
      <c r="N4333" t="s">
        <v>14</v>
      </c>
    </row>
    <row r="4334" x14ac:dyDescent="0.25">
      <c r="A4334" t="n">
        <v>25</v>
      </c>
      <c r="B4334" t="s">
        <v>14</v>
      </c>
      <c r="C4334" t="s">
        <v>51</v>
      </c>
      <c r="D4334" s="2" t="s">
        <f>=HYPERLINK("https://main.knesset.gov.il/APPS/legislation/main/bills/2206651", "הצעת חוק בתי המשפט (תיקון - רוב רגיל למינוי שופט בית המשפט העליון), התשפ""ג-2023")</f>
        <v>9158</v>
      </c>
      <c r="E4334" t="s">
        <v>9158</v>
      </c>
      <c r="F4334" t="s">
        <v>9159</v>
      </c>
      <c r="G4334" t="s">
        <v>14</v>
      </c>
      <c r="H4334">
             </c>
      <c r="I4334" t="s">
        <v>14</v>
      </c>
      <c r="J4334" t="s">
        <v>242</v>
      </c>
      <c r="K4334" t="s">
        <v>14</v>
      </c>
      <c r="L4334" t="s">
        <v>20</v>
      </c>
      <c r="M4334" t="s">
        <v>9107</v>
      </c>
      <c r="N4334" t="s">
        <v>14</v>
      </c>
    </row>
    <row r="4335" x14ac:dyDescent="0.25">
      <c r="A4335" t="n">
        <v>25</v>
      </c>
      <c r="B4335" t="s">
        <v>14</v>
      </c>
      <c r="C4335" t="s">
        <v>51</v>
      </c>
      <c r="D4335" s="2" t="s">
        <f>=HYPERLINK("https://main.knesset.gov.il/APPS/legislation/main/bills/2206634", "הצעת חוק בתי המשפט (תיקון - שימוע ובחירות חשאיות לשופטי בית המשפט העליון), התשפ""ג-2023")</f>
        <v>9160</v>
      </c>
      <c r="E4335" t="s">
        <v>9160</v>
      </c>
      <c r="F4335" t="s">
        <v>9161</v>
      </c>
      <c r="G4335" t="s">
        <v>14</v>
      </c>
      <c r="H4335">
             </c>
      <c r="I4335" t="s">
        <v>14</v>
      </c>
      <c r="J4335" t="s">
        <v>242</v>
      </c>
      <c r="K4335" t="s">
        <v>14</v>
      </c>
      <c r="L4335" t="s">
        <v>20</v>
      </c>
      <c r="M4335" t="s">
        <v>9107</v>
      </c>
      <c r="N4335" t="s">
        <v>14</v>
      </c>
    </row>
    <row r="4336" x14ac:dyDescent="0.25">
      <c r="A4336" t="n">
        <v>25</v>
      </c>
      <c r="B4336" t="s">
        <v>14</v>
      </c>
      <c r="C4336" t="s">
        <v>51</v>
      </c>
      <c r="D4336" s="2" t="s">
        <f>=HYPERLINK("https://main.knesset.gov.il/APPS/legislation/main/bills/2206632", "הצעת חוק-יסוד: השפיטה (תיקון - הגבלת זכות העמידה)")</f>
        <v>4540</v>
      </c>
      <c r="E4336" t="s">
        <v>4540</v>
      </c>
      <c r="F4336" t="s">
        <v>9162</v>
      </c>
      <c r="G4336" t="s">
        <v>14</v>
      </c>
      <c r="H4336">
             </c>
      <c r="I4336" t="s">
        <v>14</v>
      </c>
      <c r="J4336" t="s">
        <v>242</v>
      </c>
      <c r="K4336" t="s">
        <v>14</v>
      </c>
      <c r="L4336" t="s">
        <v>20</v>
      </c>
      <c r="M4336" t="s">
        <v>9107</v>
      </c>
      <c r="N4336" t="s">
        <v>14</v>
      </c>
    </row>
    <row r="4337" x14ac:dyDescent="0.25">
      <c r="A4337" t="n">
        <v>25</v>
      </c>
      <c r="B4337" t="s">
        <v>14</v>
      </c>
      <c r="C4337" t="s">
        <v>51</v>
      </c>
      <c r="D4337" s="2" t="s">
        <f>=HYPERLINK("https://main.knesset.gov.il/APPS/legislation/main/bills/2206631", "הצעת חוק-יסוד: השפיטה (תיקון - סמכויות שיפוט ותקנות סדרי דין באישור ועדה)")</f>
        <v>2129</v>
      </c>
      <c r="E4337" t="s">
        <v>2129</v>
      </c>
      <c r="F4337" t="s">
        <v>9163</v>
      </c>
      <c r="G4337" t="s">
        <v>14</v>
      </c>
      <c r="H4337">
             </c>
      <c r="I4337" t="s">
        <v>14</v>
      </c>
      <c r="J4337" t="s">
        <v>242</v>
      </c>
      <c r="K4337" t="s">
        <v>14</v>
      </c>
      <c r="L4337" t="s">
        <v>20</v>
      </c>
      <c r="M4337" t="s">
        <v>9107</v>
      </c>
      <c r="N4337" t="s">
        <v>14</v>
      </c>
    </row>
    <row r="4338" x14ac:dyDescent="0.25">
      <c r="A4338" t="n">
        <v>25</v>
      </c>
      <c r="B4338" t="s">
        <v>14</v>
      </c>
      <c r="C4338" t="s">
        <v>51</v>
      </c>
      <c r="D4338" s="2" t="s">
        <f>=HYPERLINK("https://main.knesset.gov.il/APPS/legislation/main/bills/2206645", "הצעת חוק התובע הכללי, התשפ""ג-2023")</f>
        <v>709</v>
      </c>
      <c r="E4338" t="s">
        <v>709</v>
      </c>
      <c r="F4338" t="s">
        <v>9164</v>
      </c>
      <c r="G4338" t="s">
        <v>14</v>
      </c>
      <c r="H4338">
             </c>
      <c r="I4338" t="s">
        <v>14</v>
      </c>
      <c r="J4338" t="s">
        <v>242</v>
      </c>
      <c r="K4338" t="s">
        <v>14</v>
      </c>
      <c r="L4338" t="s">
        <v>20</v>
      </c>
      <c r="M4338" t="s">
        <v>9107</v>
      </c>
      <c r="N4338" t="s">
        <v>14</v>
      </c>
    </row>
    <row r="4339" x14ac:dyDescent="0.25">
      <c r="A4339" t="n">
        <v>25</v>
      </c>
      <c r="B4339" t="s">
        <v>14</v>
      </c>
      <c r="C4339" t="s">
        <v>51</v>
      </c>
      <c r="D4339" s="2" t="s">
        <f>=HYPERLINK("https://main.knesset.gov.il/APPS/legislation/main/bills/2206636", "הצעת חוק-יסוד: השפיטה (תיקון - פסקת התגברות) ")</f>
        <v>9165</v>
      </c>
      <c r="E4339" t="s">
        <v>9165</v>
      </c>
      <c r="F4339" t="s">
        <v>9166</v>
      </c>
      <c r="G4339" t="s">
        <v>14</v>
      </c>
      <c r="H4339">
             </c>
      <c r="I4339" t="s">
        <v>14</v>
      </c>
      <c r="J4339" t="s">
        <v>242</v>
      </c>
      <c r="K4339" t="s">
        <v>14</v>
      </c>
      <c r="L4339" t="s">
        <v>20</v>
      </c>
      <c r="M4339" t="s">
        <v>9107</v>
      </c>
      <c r="N4339" t="s">
        <v>14</v>
      </c>
    </row>
    <row r="4340" x14ac:dyDescent="0.25">
      <c r="A4340" t="n">
        <v>25</v>
      </c>
      <c r="B4340" t="s">
        <v>14</v>
      </c>
      <c r="C4340" t="s">
        <v>15</v>
      </c>
      <c r="D4340" s="2" t="s">
        <f>=HYPERLINK("https://main.knesset.gov.il/APPS/legislation/main/bills/2204243", "פרק ג' (ייעול הליכי רישוי סביבתי), סעיפים 8-5, 14-13 (בעניין רישוי לפי חוק חומרים מסוכנים; חוק מניעת זיהום הים ממקורות יבשתיים; חוק המים) מהצעת חוק התכנית הכלכלית (תיקוני חקיקה ...לשנות התקציב 2023 ו-2024), התשפ""ג-2023[פוצלה לפי סעיף 84(ב) לתקנון]")</f>
        <v>9167</v>
      </c>
      <c r="E4340" t="s">
        <v>9167</v>
      </c>
      <c r="F4340" t="s">
        <v>14</v>
      </c>
      <c r="G4340" t="s">
        <v>81</v>
      </c>
      <c r="H4340">
             </c>
      <c r="I4340" t="s">
        <v>14</v>
      </c>
      <c r="J4340" t="s">
        <v>183</v>
      </c>
      <c r="K4340" t="s">
        <v>30</v>
      </c>
      <c r="L4340" t="s">
        <v>20</v>
      </c>
      <c r="M4340" t="s">
        <v>9168</v>
      </c>
      <c r="N4340" t="s">
        <v>14</v>
      </c>
    </row>
    <row r="4341" x14ac:dyDescent="0.25">
      <c r="A4341" t="n">
        <v>25</v>
      </c>
      <c r="B4341" t="s">
        <v>14</v>
      </c>
      <c r="C4341" t="s">
        <v>51</v>
      </c>
      <c r="D4341" s="2" t="s">
        <f>=HYPERLINK("https://main.knesset.gov.il/APPS/legislation/main/bills/2203809", "הצעת חוק שמירת הניקיון (תיקון - טיפול בפסולת בניין), התשפ""ג-2023")</f>
        <v>9169</v>
      </c>
      <c r="E4341" t="s">
        <v>9169</v>
      </c>
      <c r="F4341" t="s">
        <v>9170</v>
      </c>
      <c r="G4341" t="s">
        <v>14</v>
      </c>
      <c r="H4341">
             </c>
      <c r="I4341" t="s">
        <v>14</v>
      </c>
      <c r="J4341" t="s">
        <v>183</v>
      </c>
      <c r="K4341" t="s">
        <v>30</v>
      </c>
      <c r="L4341" t="s">
        <v>20</v>
      </c>
      <c r="M4341" t="s">
        <v>9168</v>
      </c>
      <c r="N4341" t="s">
        <v>14</v>
      </c>
    </row>
    <row r="4342" x14ac:dyDescent="0.25">
      <c r="A4342" t="n">
        <v>25</v>
      </c>
      <c r="B4342" t="s">
        <v>14</v>
      </c>
      <c r="C4342" t="s">
        <v>51</v>
      </c>
      <c r="D4342" s="2" t="s">
        <f>=HYPERLINK("https://main.knesset.gov.il/APPS/legislation/main/bills/2196157", "הצעת חוק להקפאת קצבאות שמשולמות לפעיל טרור ומשפחתו מקופת המדינה, התשפ""ג-2022")</f>
        <v>9171</v>
      </c>
      <c r="E4342" t="s">
        <v>9171</v>
      </c>
      <c r="F4342" t="s">
        <v>9172</v>
      </c>
      <c r="G4342" t="s">
        <v>14</v>
      </c>
      <c r="H4342">
             </c>
      <c r="I4342" t="s">
        <v>14</v>
      </c>
      <c r="J4342" t="s">
        <v>152</v>
      </c>
      <c r="K4342" t="s">
        <v>39</v>
      </c>
      <c r="L4342" t="s">
        <v>20</v>
      </c>
      <c r="M4342" t="s">
        <v>9173</v>
      </c>
      <c r="N4342" t="s">
        <v>14</v>
      </c>
    </row>
    <row r="4343" x14ac:dyDescent="0.25">
      <c r="A4343" t="n">
        <v>25</v>
      </c>
      <c r="B4343" t="s">
        <v>14</v>
      </c>
      <c r="C4343" t="s">
        <v>51</v>
      </c>
      <c r="D4343" s="2" t="s">
        <f>=HYPERLINK("https://main.knesset.gov.il/APPS/legislation/main/bills/2202387", "הצעת חוק מס ערך מוסף (תיקון - תשלום המס במתן שירותי כוח אדם ועבודות בנייה), התשפ""ג-2023")</f>
        <v>9174</v>
      </c>
      <c r="E4343" t="s">
        <v>9174</v>
      </c>
      <c r="F4343" t="s">
        <v>9175</v>
      </c>
      <c r="G4343" t="s">
        <v>14</v>
      </c>
      <c r="H4343">
             </c>
      <c r="I4343" t="s">
        <v>14</v>
      </c>
      <c r="J4343" t="s">
        <v>193</v>
      </c>
      <c r="K4343" t="s">
        <v>14</v>
      </c>
      <c r="L4343" t="s">
        <v>20</v>
      </c>
      <c r="M4343" t="s">
        <v>9173</v>
      </c>
      <c r="N4343" t="s">
        <v>14</v>
      </c>
    </row>
    <row r="4344" x14ac:dyDescent="0.25">
      <c r="A4344" t="n">
        <v>25</v>
      </c>
      <c r="B4344" t="s">
        <v>14</v>
      </c>
      <c r="C4344" t="s">
        <v>51</v>
      </c>
      <c r="D4344" s="2" t="s">
        <f>=HYPERLINK("https://main.knesset.gov.il/APPS/legislation/main/bills/2199019", "הצעת חוק להקמת אוניברסיטה במחוז הצפון, התשפ""ג-2023")</f>
        <v>9176</v>
      </c>
      <c r="E4344" t="s">
        <v>9176</v>
      </c>
      <c r="F4344" t="s">
        <v>9177</v>
      </c>
      <c r="G4344" t="s">
        <v>14</v>
      </c>
      <c r="H4344">
             </c>
      <c r="I4344" t="s">
        <v>14</v>
      </c>
      <c r="J4344" t="s">
        <v>193</v>
      </c>
      <c r="K4344" t="s">
        <v>14</v>
      </c>
      <c r="L4344" t="s">
        <v>20</v>
      </c>
      <c r="M4344" t="s">
        <v>9173</v>
      </c>
      <c r="N4344" t="s">
        <v>14</v>
      </c>
    </row>
    <row r="4345" x14ac:dyDescent="0.25">
      <c r="A4345" t="n">
        <v>25</v>
      </c>
      <c r="B4345" t="s">
        <v>14</v>
      </c>
      <c r="C4345" t="s">
        <v>51</v>
      </c>
      <c r="D4345" s="2" t="s">
        <f>=HYPERLINK("https://main.knesset.gov.il/APPS/legislation/main/bills/2198726", "הצעת חוק חינוך ממלכתי (תיקון - חינוך ממלכתי חרדי), התשפ""ג-2023")</f>
        <v>4715</v>
      </c>
      <c r="E4345" t="s">
        <v>4715</v>
      </c>
      <c r="F4345" t="s">
        <v>9178</v>
      </c>
      <c r="G4345" t="s">
        <v>14</v>
      </c>
      <c r="H4345">
             </c>
      <c r="I4345" t="s">
        <v>14</v>
      </c>
      <c r="J4345" t="s">
        <v>193</v>
      </c>
      <c r="K4345" t="s">
        <v>14</v>
      </c>
      <c r="L4345" t="s">
        <v>20</v>
      </c>
      <c r="M4345" t="s">
        <v>9173</v>
      </c>
      <c r="N4345" t="s">
        <v>14</v>
      </c>
    </row>
    <row r="4346" x14ac:dyDescent="0.25">
      <c r="A4346" t="n">
        <v>25</v>
      </c>
      <c r="B4346" t="s">
        <v>14</v>
      </c>
      <c r="C4346" t="s">
        <v>51</v>
      </c>
      <c r="D4346" s="2" t="s">
        <f>=HYPERLINK("https://main.knesset.gov.il/APPS/legislation/main/bills/2196011", "הצעת חוק נישואין וגירושין, התשפ""ג-2022")</f>
        <v>9179</v>
      </c>
      <c r="E4346" t="s">
        <v>9179</v>
      </c>
      <c r="F4346" t="s">
        <v>9180</v>
      </c>
      <c r="G4346" t="s">
        <v>14</v>
      </c>
      <c r="H4346">
             </c>
      <c r="I4346" t="s">
        <v>14</v>
      </c>
      <c r="J4346" t="s">
        <v>193</v>
      </c>
      <c r="K4346" t="s">
        <v>14</v>
      </c>
      <c r="L4346" t="s">
        <v>20</v>
      </c>
      <c r="M4346" t="s">
        <v>9173</v>
      </c>
      <c r="N4346" t="s">
        <v>14</v>
      </c>
    </row>
    <row r="4347" x14ac:dyDescent="0.25">
      <c r="A4347" t="n">
        <v>25</v>
      </c>
      <c r="B4347" t="s">
        <v>14</v>
      </c>
      <c r="C4347" t="s">
        <v>51</v>
      </c>
      <c r="D4347" s="2" t="s">
        <f>=HYPERLINK("https://main.knesset.gov.il/APPS/legislation/main/bills/2195760", "הצעת חוק איסור הלבנת הון (תיקון - איסור גביית דמי שמירה בלא רישיון), התשפ""ג-2022")</f>
        <v>9181</v>
      </c>
      <c r="E4347" t="s">
        <v>9181</v>
      </c>
      <c r="F4347" t="s">
        <v>9182</v>
      </c>
      <c r="G4347" t="s">
        <v>14</v>
      </c>
      <c r="H4347">
             </c>
      <c r="I4347" t="s">
        <v>14</v>
      </c>
      <c r="J4347" t="s">
        <v>152</v>
      </c>
      <c r="K4347" t="s">
        <v>27</v>
      </c>
      <c r="L4347" t="s">
        <v>20</v>
      </c>
      <c r="M4347" t="s">
        <v>9173</v>
      </c>
      <c r="N4347" t="s">
        <v>14</v>
      </c>
    </row>
    <row r="4348" x14ac:dyDescent="0.25">
      <c r="A4348" t="n">
        <v>25</v>
      </c>
      <c r="B4348" t="s">
        <v>14</v>
      </c>
      <c r="C4348" t="s">
        <v>51</v>
      </c>
      <c r="D4348" s="2" t="s">
        <f>=HYPERLINK("https://main.knesset.gov.il/APPS/legislation/main/bills/2197203", "הצעת חוק הדרכונים (תיקון - מתן דרכון לעולה), התשפ""ג-2022")</f>
        <v>9183</v>
      </c>
      <c r="E4348" t="s">
        <v>9183</v>
      </c>
      <c r="F4348" t="s">
        <v>9184</v>
      </c>
      <c r="G4348" t="s">
        <v>14</v>
      </c>
      <c r="H4348">
             </c>
      <c r="I4348" t="s">
        <v>14</v>
      </c>
      <c r="J4348" t="s">
        <v>183</v>
      </c>
      <c r="K4348" t="s">
        <v>30</v>
      </c>
      <c r="L4348" t="s">
        <v>20</v>
      </c>
      <c r="M4348" t="s">
        <v>9185</v>
      </c>
      <c r="N4348" t="s">
        <v>14</v>
      </c>
    </row>
    <row r="4349" x14ac:dyDescent="0.25">
      <c r="A4349" t="n">
        <v>25</v>
      </c>
      <c r="B4349" t="s">
        <v>14</v>
      </c>
      <c r="C4349" t="s">
        <v>15</v>
      </c>
      <c r="D4349" s="2" t="s">
        <f>=HYPERLINK("https://main.knesset.gov.il/APPS/legislation/main/bills/2203895", "חוק הגדלת נקודות זיכוי להורים במס הכנסה והרחבת מענק עבודה, התשפ""ג-2023")</f>
        <v>9186</v>
      </c>
      <c r="E4349" t="s">
        <v>9186</v>
      </c>
      <c r="F4349" t="s">
        <v>14</v>
      </c>
      <c r="G4349" t="s">
        <v>9187</v>
      </c>
      <c r="H4349" t="n">
        <v>3048</v>
      </c>
      <c r="I4349" t="s">
        <v>14</v>
      </c>
      <c r="J4349" t="s">
        <v>18</v>
      </c>
      <c r="K4349" t="s">
        <v>24</v>
      </c>
      <c r="L4349" t="s">
        <v>20</v>
      </c>
      <c r="M4349" t="s">
        <v>9185</v>
      </c>
      <c r="N4349" t="s">
        <v>9188</v>
      </c>
    </row>
    <row r="4350" x14ac:dyDescent="0.25">
      <c r="A4350" t="n">
        <v>25</v>
      </c>
      <c r="B4350" t="s">
        <v>14</v>
      </c>
      <c r="C4350" t="s">
        <v>51</v>
      </c>
      <c r="D4350" s="2" t="s">
        <f>=HYPERLINK("https://main.knesset.gov.il/APPS/legislation/main/bills/2204133", "הצעת חוק מרשם האוכלוסין (תיקון - רישום בת זוג או בן זוג כהורה), התשפ""ג-2023")</f>
        <v>9189</v>
      </c>
      <c r="E4350" t="s">
        <v>9189</v>
      </c>
      <c r="F4350" t="s">
        <v>9190</v>
      </c>
      <c r="G4350" t="s">
        <v>14</v>
      </c>
      <c r="H4350">
             </c>
      <c r="I4350" t="s">
        <v>14</v>
      </c>
      <c r="J4350" t="s">
        <v>242</v>
      </c>
      <c r="K4350" t="s">
        <v>14</v>
      </c>
      <c r="L4350" t="s">
        <v>20</v>
      </c>
      <c r="M4350" t="s">
        <v>9185</v>
      </c>
      <c r="N4350" t="s">
        <v>14</v>
      </c>
    </row>
    <row r="4351" x14ac:dyDescent="0.25">
      <c r="A4351" t="n">
        <v>25</v>
      </c>
      <c r="B4351" t="s">
        <v>14</v>
      </c>
      <c r="C4351" t="s">
        <v>51</v>
      </c>
      <c r="D4351" s="2" t="s">
        <f>=HYPERLINK("https://main.knesset.gov.il/APPS/legislation/main/bills/2205729", "הצעת חוק מיסוי רווחי יתר של תאגידים בנקאיים, התשפ""ג-2023")</f>
        <v>8568</v>
      </c>
      <c r="E4351" t="s">
        <v>8568</v>
      </c>
      <c r="F4351" t="s">
        <v>9191</v>
      </c>
      <c r="G4351" t="s">
        <v>14</v>
      </c>
      <c r="H4351">
             </c>
      <c r="I4351" t="s">
        <v>14</v>
      </c>
      <c r="J4351" t="s">
        <v>202</v>
      </c>
      <c r="K4351" t="s">
        <v>14</v>
      </c>
      <c r="L4351" t="s">
        <v>20</v>
      </c>
      <c r="M4351" t="s">
        <v>9185</v>
      </c>
      <c r="N4351" t="s">
        <v>14</v>
      </c>
    </row>
    <row r="4352" x14ac:dyDescent="0.25">
      <c r="A4352" t="n">
        <v>25</v>
      </c>
      <c r="B4352" t="s">
        <v>14</v>
      </c>
      <c r="C4352" t="s">
        <v>51</v>
      </c>
      <c r="D4352" s="2" t="s">
        <f>=HYPERLINK("https://main.knesset.gov.il/APPS/legislation/main/bills/2205459", "הצעת חוק הביטוח הלאומי (תיקון - מסלול ברירת מחדל בהפקדות לחיסכון ארוך טווח לילד), התשפ""ג-2023")</f>
        <v>9192</v>
      </c>
      <c r="E4352" t="s">
        <v>9192</v>
      </c>
      <c r="F4352" t="s">
        <v>9193</v>
      </c>
      <c r="G4352" t="s">
        <v>14</v>
      </c>
      <c r="H4352">
             </c>
      <c r="I4352" t="s">
        <v>14</v>
      </c>
      <c r="J4352" t="s">
        <v>242</v>
      </c>
      <c r="K4352" t="s">
        <v>14</v>
      </c>
      <c r="L4352" t="s">
        <v>20</v>
      </c>
      <c r="M4352" t="s">
        <v>9185</v>
      </c>
      <c r="N4352" t="s">
        <v>14</v>
      </c>
    </row>
    <row r="4353" x14ac:dyDescent="0.25">
      <c r="A4353" t="n">
        <v>25</v>
      </c>
      <c r="B4353" t="s">
        <v>14</v>
      </c>
      <c r="C4353" t="s">
        <v>51</v>
      </c>
      <c r="D4353" s="2" t="s">
        <f>=HYPERLINK("https://main.knesset.gov.il/APPS/legislation/main/bills/2205933", "הצעת חוק לתיקון פקודת מס הכנסה (פטור ממס הכנסה לנכים), התשפ""ג-2023")</f>
        <v>9194</v>
      </c>
      <c r="E4353" t="s">
        <v>9194</v>
      </c>
      <c r="F4353" t="s">
        <v>9195</v>
      </c>
      <c r="G4353" t="s">
        <v>14</v>
      </c>
      <c r="H4353">
             </c>
      <c r="I4353" t="s">
        <v>14</v>
      </c>
      <c r="J4353" t="s">
        <v>242</v>
      </c>
      <c r="K4353" t="s">
        <v>14</v>
      </c>
      <c r="L4353" t="s">
        <v>20</v>
      </c>
      <c r="M4353" t="s">
        <v>9185</v>
      </c>
      <c r="N4353" t="s">
        <v>14</v>
      </c>
    </row>
    <row r="4354" x14ac:dyDescent="0.25">
      <c r="A4354" t="n">
        <v>25</v>
      </c>
      <c r="B4354" t="s">
        <v>14</v>
      </c>
      <c r="C4354" t="s">
        <v>51</v>
      </c>
      <c r="D4354" s="2" t="s">
        <f>=HYPERLINK("https://main.knesset.gov.il/APPS/legislation/main/bills/2205172", "הצעת חוק השיפוט הצבאי (תיקון - הגבלה על פרסום של פרטי חייל, צילום פניו או כל פרט מזהה אחר בעת מילוי תפקידו), התשפ""ג-2023 ")</f>
        <v>9196</v>
      </c>
      <c r="E4354" t="s">
        <v>9196</v>
      </c>
      <c r="F4354" t="s">
        <v>9197</v>
      </c>
      <c r="G4354" t="s">
        <v>14</v>
      </c>
      <c r="H4354">
             </c>
      <c r="I4354" t="s">
        <v>14</v>
      </c>
      <c r="J4354" t="s">
        <v>242</v>
      </c>
      <c r="K4354" t="s">
        <v>14</v>
      </c>
      <c r="L4354" t="s">
        <v>20</v>
      </c>
      <c r="M4354" t="s">
        <v>9185</v>
      </c>
      <c r="N4354" t="s">
        <v>14</v>
      </c>
    </row>
    <row r="4355" x14ac:dyDescent="0.25">
      <c r="A4355" t="n">
        <v>25</v>
      </c>
      <c r="B4355" t="s">
        <v>14</v>
      </c>
      <c r="C4355" t="s">
        <v>51</v>
      </c>
      <c r="D4355" s="2" t="s">
        <f>=HYPERLINK("https://main.knesset.gov.il/APPS/legislation/main/bills/2205738", "הצעת חוק הביטוח הלאומי (תיקון - ביטול דרישה לחתימת הורים כתנאי למשיכת כספי החיסכון), התשפ""ג-2023")</f>
        <v>9198</v>
      </c>
      <c r="E4355" t="s">
        <v>9198</v>
      </c>
      <c r="F4355" t="s">
        <v>9199</v>
      </c>
      <c r="G4355" t="s">
        <v>14</v>
      </c>
      <c r="H4355">
             </c>
      <c r="I4355" t="s">
        <v>14</v>
      </c>
      <c r="J4355" t="s">
        <v>242</v>
      </c>
      <c r="K4355" t="s">
        <v>14</v>
      </c>
      <c r="L4355" t="s">
        <v>20</v>
      </c>
      <c r="M4355" t="s">
        <v>9185</v>
      </c>
      <c r="N4355" t="s">
        <v>14</v>
      </c>
    </row>
    <row r="4356" x14ac:dyDescent="0.25">
      <c r="A4356" t="n">
        <v>25</v>
      </c>
      <c r="B4356" t="s">
        <v>14</v>
      </c>
      <c r="C4356" t="s">
        <v>51</v>
      </c>
      <c r="D4356" s="2" t="s">
        <f>=HYPERLINK("https://main.knesset.gov.il/APPS/legislation/main/bills/2199946", "הצעת חוק בתי המשפט (תיקון - הרשעה בפלילים פה אחד), התשפ""ג-2023")</f>
        <v>9200</v>
      </c>
      <c r="E4356" t="s">
        <v>9200</v>
      </c>
      <c r="F4356" t="s">
        <v>9201</v>
      </c>
      <c r="G4356" t="s">
        <v>14</v>
      </c>
      <c r="H4356">
             </c>
      <c r="I4356" t="s">
        <v>14</v>
      </c>
      <c r="J4356" t="s">
        <v>242</v>
      </c>
      <c r="K4356" t="s">
        <v>14</v>
      </c>
      <c r="L4356" t="s">
        <v>20</v>
      </c>
      <c r="M4356" t="s">
        <v>9185</v>
      </c>
      <c r="N4356" t="s">
        <v>14</v>
      </c>
    </row>
    <row r="4357" x14ac:dyDescent="0.25">
      <c r="A4357" t="n">
        <v>25</v>
      </c>
      <c r="B4357" t="s">
        <v>14</v>
      </c>
      <c r="C4357" t="s">
        <v>51</v>
      </c>
      <c r="D4357" s="2" t="s">
        <f>=HYPERLINK("https://main.knesset.gov.il/APPS/legislation/main/bills/2202829", "הצעת חוק פיטורי עובד ציבור שקרוב משפחתו מדרגה ראשונה פעיל טרור, התשפ""ג-2023")</f>
        <v>9202</v>
      </c>
      <c r="E4357" t="s">
        <v>9202</v>
      </c>
      <c r="F4357" t="s">
        <v>9203</v>
      </c>
      <c r="G4357" t="s">
        <v>14</v>
      </c>
      <c r="H4357">
             </c>
      <c r="I4357" t="s">
        <v>14</v>
      </c>
      <c r="J4357" t="s">
        <v>202</v>
      </c>
      <c r="K4357" t="s">
        <v>14</v>
      </c>
      <c r="L4357" t="s">
        <v>20</v>
      </c>
      <c r="M4357" t="s">
        <v>9185</v>
      </c>
      <c r="N4357" t="s">
        <v>14</v>
      </c>
    </row>
    <row r="4358" x14ac:dyDescent="0.25">
      <c r="A4358" t="n">
        <v>25</v>
      </c>
      <c r="B4358" t="s">
        <v>14</v>
      </c>
      <c r="C4358" t="s">
        <v>51</v>
      </c>
      <c r="D4358" s="2" t="s">
        <f>=HYPERLINK("https://main.knesset.gov.il/APPS/legislation/main/bills/2203842", "הצעת חוק-יסוד: הממשלה (תיקון - ייעוץ משפטי אינו מחייב)")</f>
        <v>9204</v>
      </c>
      <c r="E4358" t="s">
        <v>9204</v>
      </c>
      <c r="F4358" t="s">
        <v>9205</v>
      </c>
      <c r="G4358" t="s">
        <v>14</v>
      </c>
      <c r="H4358">
             </c>
      <c r="I4358" t="s">
        <v>14</v>
      </c>
      <c r="J4358" t="s">
        <v>242</v>
      </c>
      <c r="K4358" t="s">
        <v>14</v>
      </c>
      <c r="L4358" t="s">
        <v>20</v>
      </c>
      <c r="M4358" t="s">
        <v>9185</v>
      </c>
      <c r="N4358" t="s">
        <v>14</v>
      </c>
    </row>
    <row r="4359" x14ac:dyDescent="0.25">
      <c r="A4359" t="n">
        <v>25</v>
      </c>
      <c r="B4359" t="s">
        <v>14</v>
      </c>
      <c r="C4359" t="s">
        <v>51</v>
      </c>
      <c r="D4359" s="2" t="s">
        <f>=HYPERLINK("https://main.knesset.gov.il/APPS/legislation/main/bills/2197965", "הצעת חוק העונשין (תיקון - העלבת חייל והפרעה לחייל במילוי תפקידו), התשפ""ג-2023")</f>
        <v>9206</v>
      </c>
      <c r="E4359" t="s">
        <v>9206</v>
      </c>
      <c r="F4359" t="s">
        <v>9207</v>
      </c>
      <c r="G4359" t="s">
        <v>14</v>
      </c>
      <c r="H4359">
             </c>
      <c r="I4359" t="s">
        <v>14</v>
      </c>
      <c r="J4359" t="s">
        <v>242</v>
      </c>
      <c r="K4359" t="s">
        <v>14</v>
      </c>
      <c r="L4359" t="s">
        <v>20</v>
      </c>
      <c r="M4359" t="s">
        <v>9185</v>
      </c>
      <c r="N4359" t="s">
        <v>14</v>
      </c>
    </row>
    <row r="4360" x14ac:dyDescent="0.25">
      <c r="A4360" t="n">
        <v>25</v>
      </c>
      <c r="B4360" t="s">
        <v>14</v>
      </c>
      <c r="C4360" t="s">
        <v>51</v>
      </c>
      <c r="D4360" s="2" t="s">
        <f>=HYPERLINK("https://main.knesset.gov.il/APPS/legislation/main/bills/2205313", "הצעת חוק בתי המשפט (תיקון - הקלטה בבית משפט לענייני משפחה), התשפ""ג-2023")</f>
        <v>9208</v>
      </c>
      <c r="E4360" t="s">
        <v>9208</v>
      </c>
      <c r="F4360" t="s">
        <v>9209</v>
      </c>
      <c r="G4360" t="s">
        <v>14</v>
      </c>
      <c r="H4360">
             </c>
      <c r="I4360" t="s">
        <v>14</v>
      </c>
      <c r="J4360" t="s">
        <v>202</v>
      </c>
      <c r="K4360" t="s">
        <v>14</v>
      </c>
      <c r="L4360" t="s">
        <v>20</v>
      </c>
      <c r="M4360" t="s">
        <v>9185</v>
      </c>
      <c r="N4360" t="s">
        <v>14</v>
      </c>
    </row>
    <row r="4361" x14ac:dyDescent="0.25">
      <c r="A4361" t="n">
        <v>25</v>
      </c>
      <c r="B4361" t="s">
        <v>14</v>
      </c>
      <c r="C4361" t="s">
        <v>51</v>
      </c>
      <c r="D4361" s="2" t="s">
        <f>=HYPERLINK("https://main.knesset.gov.il/APPS/legislation/main/bills/2205131", "הצעת חוק לתיקון פקודת הסמים המסוכנים (שימוש עצמי בקנבוס), התשפ""ג-2023")</f>
        <v>9210</v>
      </c>
      <c r="E4361" t="s">
        <v>9210</v>
      </c>
      <c r="F4361" t="s">
        <v>9211</v>
      </c>
      <c r="G4361" t="s">
        <v>14</v>
      </c>
      <c r="H4361">
             </c>
      <c r="I4361" t="s">
        <v>14</v>
      </c>
      <c r="J4361" t="s">
        <v>242</v>
      </c>
      <c r="K4361" t="s">
        <v>14</v>
      </c>
      <c r="L4361" t="s">
        <v>20</v>
      </c>
      <c r="M4361" t="s">
        <v>9185</v>
      </c>
      <c r="N4361" t="s">
        <v>14</v>
      </c>
    </row>
    <row r="4362" x14ac:dyDescent="0.25">
      <c r="A4362" t="n">
        <v>25</v>
      </c>
      <c r="B4362" t="s">
        <v>14</v>
      </c>
      <c r="C4362" t="s">
        <v>51</v>
      </c>
      <c r="D4362" s="2" t="s">
        <f>=HYPERLINK("https://main.knesset.gov.il/APPS/legislation/main/bills/2205826", "הצעת חוק זכויות החולה (תיקון - מסירת מידע למניעת פגיעה), התשפ""ג-2023")</f>
        <v>9212</v>
      </c>
      <c r="E4362" t="s">
        <v>9212</v>
      </c>
      <c r="F4362" t="s">
        <v>9213</v>
      </c>
      <c r="G4362" t="s">
        <v>14</v>
      </c>
      <c r="H4362">
             </c>
      <c r="I4362" t="s">
        <v>14</v>
      </c>
      <c r="J4362" t="s">
        <v>242</v>
      </c>
      <c r="K4362" t="s">
        <v>14</v>
      </c>
      <c r="L4362" t="s">
        <v>20</v>
      </c>
      <c r="M4362" t="s">
        <v>9185</v>
      </c>
      <c r="N4362" t="s">
        <v>14</v>
      </c>
    </row>
    <row r="4363" x14ac:dyDescent="0.25">
      <c r="A4363" t="n">
        <v>25</v>
      </c>
      <c r="B4363" t="s">
        <v>14</v>
      </c>
      <c r="C4363" t="s">
        <v>51</v>
      </c>
      <c r="D4363" s="2" t="s">
        <f>=HYPERLINK("https://main.knesset.gov.il/APPS/legislation/main/bills/2205468", "הצעת חוק זכויות החולה (תיקון - מסירת מידע למניעת פגיעה), התשפ""ג -2023")</f>
        <v>9214</v>
      </c>
      <c r="E4363" t="s">
        <v>9214</v>
      </c>
      <c r="F4363" t="s">
        <v>9215</v>
      </c>
      <c r="G4363" t="s">
        <v>14</v>
      </c>
      <c r="H4363">
             </c>
      <c r="I4363" t="s">
        <v>14</v>
      </c>
      <c r="J4363" t="s">
        <v>242</v>
      </c>
      <c r="K4363" t="s">
        <v>14</v>
      </c>
      <c r="L4363" t="s">
        <v>20</v>
      </c>
      <c r="M4363" t="s">
        <v>9185</v>
      </c>
      <c r="N4363" t="s">
        <v>14</v>
      </c>
    </row>
    <row r="4364" x14ac:dyDescent="0.25">
      <c r="A4364" t="n">
        <v>25</v>
      </c>
      <c r="B4364" t="s">
        <v>14</v>
      </c>
      <c r="C4364" t="s">
        <v>51</v>
      </c>
      <c r="D4364" s="2" t="s">
        <f>=HYPERLINK("https://main.knesset.gov.il/APPS/legislation/main/bills/2205926", "הצעת חוק חוזה עבודה (הגבלות לעניין סיום העסקה של עובד), התשפ""ג-2023 ")</f>
        <v>9216</v>
      </c>
      <c r="E4364" t="s">
        <v>9216</v>
      </c>
      <c r="F4364" t="s">
        <v>9217</v>
      </c>
      <c r="G4364" t="s">
        <v>14</v>
      </c>
      <c r="H4364">
             </c>
      <c r="I4364" t="s">
        <v>14</v>
      </c>
      <c r="J4364" t="s">
        <v>242</v>
      </c>
      <c r="K4364" t="s">
        <v>14</v>
      </c>
      <c r="L4364" t="s">
        <v>20</v>
      </c>
      <c r="M4364" t="s">
        <v>9185</v>
      </c>
      <c r="N4364" t="s">
        <v>14</v>
      </c>
    </row>
    <row r="4365" x14ac:dyDescent="0.25">
      <c r="A4365" t="n">
        <v>25</v>
      </c>
      <c r="B4365" t="s">
        <v>14</v>
      </c>
      <c r="C4365" t="s">
        <v>51</v>
      </c>
      <c r="D4365" s="2" t="s">
        <f>=HYPERLINK("https://main.knesset.gov.il/APPS/legislation/main/bills/2205862", "הצעת חוק שוויון זכויות לאנשים עם מוגבלות (תיקון - מידע בדבר עמידת מעסיקים פרטיים גדולים ביעד הייצוג ההולם), התשפ""ג-2023")</f>
        <v>8990</v>
      </c>
      <c r="E4365" t="s">
        <v>8990</v>
      </c>
      <c r="F4365" t="s">
        <v>9218</v>
      </c>
      <c r="G4365" t="s">
        <v>14</v>
      </c>
      <c r="H4365">
             </c>
      <c r="I4365" t="s">
        <v>14</v>
      </c>
      <c r="J4365" t="s">
        <v>242</v>
      </c>
      <c r="K4365" t="s">
        <v>14</v>
      </c>
      <c r="L4365" t="s">
        <v>20</v>
      </c>
      <c r="M4365" t="s">
        <v>9185</v>
      </c>
      <c r="N4365" t="s">
        <v>14</v>
      </c>
    </row>
    <row r="4366" x14ac:dyDescent="0.25">
      <c r="A4366" t="n">
        <v>25</v>
      </c>
      <c r="B4366" t="s">
        <v>14</v>
      </c>
      <c r="C4366" t="s">
        <v>51</v>
      </c>
      <c r="D4366" s="2" t="s">
        <f>=HYPERLINK("https://main.knesset.gov.il/APPS/legislation/main/bills/2205935", "הצעת חוק הביטוח הלאומי (תיקון - הארכת הזכאות של חולה במחלה ממארת), התשפ""ג-2023")</f>
        <v>9219</v>
      </c>
      <c r="E4366" t="s">
        <v>9219</v>
      </c>
      <c r="F4366" t="s">
        <v>9220</v>
      </c>
      <c r="G4366" t="s">
        <v>14</v>
      </c>
      <c r="H4366">
             </c>
      <c r="I4366" t="s">
        <v>14</v>
      </c>
      <c r="J4366" t="s">
        <v>242</v>
      </c>
      <c r="K4366" t="s">
        <v>14</v>
      </c>
      <c r="L4366" t="s">
        <v>20</v>
      </c>
      <c r="M4366" t="s">
        <v>9185</v>
      </c>
      <c r="N4366" t="s">
        <v>14</v>
      </c>
    </row>
    <row r="4367" x14ac:dyDescent="0.25">
      <c r="A4367" t="n">
        <v>25</v>
      </c>
      <c r="B4367" t="s">
        <v>14</v>
      </c>
      <c r="C4367" t="s">
        <v>51</v>
      </c>
      <c r="D4367" s="2" t="s">
        <f>=HYPERLINK("https://main.knesset.gov.il/APPS/legislation/main/bills/2205936", "הצעת חוק ביטוח בריאות ממלכתי (תיקון - פטור מתקופת המתנה לסטודנטים הלומדים בחו""ל), התשפ""ג-2023")</f>
        <v>9221</v>
      </c>
      <c r="E4367" t="s">
        <v>9221</v>
      </c>
      <c r="F4367" t="s">
        <v>9222</v>
      </c>
      <c r="G4367" t="s">
        <v>14</v>
      </c>
      <c r="H4367">
             </c>
      <c r="I4367" t="s">
        <v>14</v>
      </c>
      <c r="J4367" t="s">
        <v>202</v>
      </c>
      <c r="K4367" t="s">
        <v>14</v>
      </c>
      <c r="L4367" t="s">
        <v>20</v>
      </c>
      <c r="M4367" t="s">
        <v>9185</v>
      </c>
      <c r="N4367" t="s">
        <v>14</v>
      </c>
    </row>
    <row r="4368" x14ac:dyDescent="0.25">
      <c r="A4368" t="n">
        <v>25</v>
      </c>
      <c r="B4368" t="s">
        <v>14</v>
      </c>
      <c r="C4368" t="s">
        <v>51</v>
      </c>
      <c r="D4368" s="2" t="s">
        <f>=HYPERLINK("https://main.knesset.gov.il/APPS/legislation/main/bills/2204039", "הצעת חוק-יסוד: הכנסת (תיקון - השעיית חבר הכנסת שהוגש נגדו כתב אישום)")</f>
        <v>9223</v>
      </c>
      <c r="E4368" t="s">
        <v>9223</v>
      </c>
      <c r="F4368" t="s">
        <v>9224</v>
      </c>
      <c r="G4368" t="s">
        <v>14</v>
      </c>
      <c r="H4368">
             </c>
      <c r="I4368" t="s">
        <v>14</v>
      </c>
      <c r="J4368" t="s">
        <v>242</v>
      </c>
      <c r="K4368" t="s">
        <v>14</v>
      </c>
      <c r="L4368" t="s">
        <v>20</v>
      </c>
      <c r="M4368" t="s">
        <v>9185</v>
      </c>
      <c r="N4368" t="s">
        <v>14</v>
      </c>
    </row>
    <row r="4369" x14ac:dyDescent="0.25">
      <c r="A4369" t="n">
        <v>25</v>
      </c>
      <c r="B4369" t="s">
        <v>14</v>
      </c>
      <c r="C4369" t="s">
        <v>51</v>
      </c>
      <c r="D4369" s="2" t="s">
        <f>=HYPERLINK("https://main.knesset.gov.il/APPS/legislation/main/bills/2206231", "הצעת חוק תרומת זרע, התשפ""ג-2023")</f>
        <v>9225</v>
      </c>
      <c r="E4369" t="s">
        <v>9225</v>
      </c>
      <c r="F4369" t="s">
        <v>9226</v>
      </c>
      <c r="G4369" t="s">
        <v>14</v>
      </c>
      <c r="H4369">
             </c>
      <c r="I4369" t="s">
        <v>14</v>
      </c>
      <c r="J4369" t="s">
        <v>242</v>
      </c>
      <c r="K4369" t="s">
        <v>14</v>
      </c>
      <c r="L4369" t="s">
        <v>20</v>
      </c>
      <c r="M4369" t="s">
        <v>9185</v>
      </c>
      <c r="N4369" t="s">
        <v>14</v>
      </c>
    </row>
    <row r="4370" x14ac:dyDescent="0.25">
      <c r="A4370" t="n">
        <v>25</v>
      </c>
      <c r="B4370" t="s">
        <v>14</v>
      </c>
      <c r="C4370" t="s">
        <v>51</v>
      </c>
      <c r="D4370" s="2" t="s">
        <f>=HYPERLINK("https://main.knesset.gov.il/APPS/legislation/main/bills/2206235", "הצעת חוק התגמולים לנפגעי פעולות איבה (תיקון - פשעי שנאה), התשפ""ג-2023")</f>
        <v>1693</v>
      </c>
      <c r="E4370" t="s">
        <v>1693</v>
      </c>
      <c r="F4370" t="s">
        <v>9227</v>
      </c>
      <c r="G4370" t="s">
        <v>14</v>
      </c>
      <c r="H4370">
             </c>
      <c r="I4370" t="s">
        <v>14</v>
      </c>
      <c r="J4370" t="s">
        <v>242</v>
      </c>
      <c r="K4370" t="s">
        <v>14</v>
      </c>
      <c r="L4370" t="s">
        <v>20</v>
      </c>
      <c r="M4370" t="s">
        <v>9185</v>
      </c>
      <c r="N4370" t="s">
        <v>14</v>
      </c>
    </row>
    <row r="4371" x14ac:dyDescent="0.25">
      <c r="A4371" t="n">
        <v>25</v>
      </c>
      <c r="B4371" t="s">
        <v>14</v>
      </c>
      <c r="C4371" t="s">
        <v>51</v>
      </c>
      <c r="D4371" s="2" t="s">
        <f>=HYPERLINK("https://main.knesset.gov.il/APPS/legislation/main/bills/2205930", "הצעת חוק הבטחת הכנסה (תיקון - תוספת לגמלה בעד הילד השלישי ואילך), התשפ""ג-2023")</f>
        <v>9228</v>
      </c>
      <c r="E4371" t="s">
        <v>9228</v>
      </c>
      <c r="F4371" t="s">
        <v>9229</v>
      </c>
      <c r="G4371" t="s">
        <v>14</v>
      </c>
      <c r="H4371">
             </c>
      <c r="I4371" t="s">
        <v>14</v>
      </c>
      <c r="J4371" t="s">
        <v>242</v>
      </c>
      <c r="K4371" t="s">
        <v>14</v>
      </c>
      <c r="L4371" t="s">
        <v>20</v>
      </c>
      <c r="M4371" t="s">
        <v>9185</v>
      </c>
      <c r="N4371" t="s">
        <v>14</v>
      </c>
    </row>
    <row r="4372" x14ac:dyDescent="0.25">
      <c r="A4372" t="n">
        <v>25</v>
      </c>
      <c r="B4372" t="s">
        <v>14</v>
      </c>
      <c r="C4372" t="s">
        <v>51</v>
      </c>
      <c r="D4372" s="2" t="s">
        <f>=HYPERLINK("https://main.knesset.gov.il/APPS/legislation/main/bills/2205913", "הצעת חוק צמצום פערי שכר מגדריים (תיקוני חקיקה), התשפ""ג-2023")</f>
        <v>9230</v>
      </c>
      <c r="E4372" t="s">
        <v>9230</v>
      </c>
      <c r="F4372" t="s">
        <v>9231</v>
      </c>
      <c r="G4372" t="s">
        <v>14</v>
      </c>
      <c r="H4372">
             </c>
      <c r="I4372" t="s">
        <v>14</v>
      </c>
      <c r="J4372" t="s">
        <v>242</v>
      </c>
      <c r="K4372" t="s">
        <v>14</v>
      </c>
      <c r="L4372" t="s">
        <v>20</v>
      </c>
      <c r="M4372" t="s">
        <v>9185</v>
      </c>
      <c r="N4372" t="s">
        <v>14</v>
      </c>
    </row>
    <row r="4373" x14ac:dyDescent="0.25">
      <c r="A4373" t="n">
        <v>25</v>
      </c>
      <c r="B4373" t="s">
        <v>14</v>
      </c>
      <c r="C4373" t="s">
        <v>51</v>
      </c>
      <c r="D4373" s="2" t="s">
        <f>=HYPERLINK("https://main.knesset.gov.il/APPS/legislation/main/bills/2205109", "הצעת חוק לתיקון פקודת בריאות העם (מכשירים רפואיים מיוחדים), התשפ""ג-2023")</f>
        <v>8998</v>
      </c>
      <c r="E4373" t="s">
        <v>8998</v>
      </c>
      <c r="F4373" t="s">
        <v>9232</v>
      </c>
      <c r="G4373" t="s">
        <v>14</v>
      </c>
      <c r="H4373">
             </c>
      <c r="I4373" t="s">
        <v>14</v>
      </c>
      <c r="J4373" t="s">
        <v>242</v>
      </c>
      <c r="K4373" t="s">
        <v>14</v>
      </c>
      <c r="L4373" t="s">
        <v>20</v>
      </c>
      <c r="M4373" t="s">
        <v>9185</v>
      </c>
      <c r="N4373" t="s">
        <v>14</v>
      </c>
    </row>
    <row r="4374" x14ac:dyDescent="0.25">
      <c r="A4374" t="n">
        <v>25</v>
      </c>
      <c r="B4374" t="s">
        <v>14</v>
      </c>
      <c r="C4374" t="s">
        <v>51</v>
      </c>
      <c r="D4374" s="2" t="s">
        <f>=HYPERLINK("https://main.knesset.gov.il/APPS/legislation/main/bills/2205927", "הצעת חוק הביטוח הלאומי (תיקון - הרחבת הזכאות למענק לימודים), התשפ""ג-2023")</f>
        <v>9233</v>
      </c>
      <c r="E4374" t="s">
        <v>9233</v>
      </c>
      <c r="F4374" t="s">
        <v>9234</v>
      </c>
      <c r="G4374" t="s">
        <v>14</v>
      </c>
      <c r="H4374">
             </c>
      <c r="I4374" t="s">
        <v>14</v>
      </c>
      <c r="J4374" t="s">
        <v>242</v>
      </c>
      <c r="K4374" t="s">
        <v>14</v>
      </c>
      <c r="L4374" t="s">
        <v>20</v>
      </c>
      <c r="M4374" t="s">
        <v>9185</v>
      </c>
      <c r="N4374" t="s">
        <v>14</v>
      </c>
    </row>
    <row r="4375" x14ac:dyDescent="0.25">
      <c r="A4375" t="n">
        <v>25</v>
      </c>
      <c r="B4375" t="s">
        <v>14</v>
      </c>
      <c r="C4375" t="s">
        <v>51</v>
      </c>
      <c r="D4375" s="2" t="s">
        <f>=HYPERLINK("https://main.knesset.gov.il/APPS/legislation/main/bills/2206198", "הצעת חוק לתיקון פקודת התעבורה (הגבלת הפעלת רכב ציבורי בימי מנוחה), התשפ""ג-2023")</f>
        <v>9235</v>
      </c>
      <c r="E4375" t="s">
        <v>9235</v>
      </c>
      <c r="F4375" t="s">
        <v>9236</v>
      </c>
      <c r="G4375" t="s">
        <v>14</v>
      </c>
      <c r="H4375">
             </c>
      <c r="I4375" t="s">
        <v>14</v>
      </c>
      <c r="J4375" t="s">
        <v>1372</v>
      </c>
      <c r="K4375" t="s">
        <v>14</v>
      </c>
      <c r="L4375" t="s">
        <v>20</v>
      </c>
      <c r="M4375" t="s">
        <v>9185</v>
      </c>
      <c r="N4375" t="s">
        <v>14</v>
      </c>
    </row>
    <row r="4376" x14ac:dyDescent="0.25">
      <c r="A4376" t="n">
        <v>25</v>
      </c>
      <c r="B4376" t="s">
        <v>14</v>
      </c>
      <c r="C4376" t="s">
        <v>51</v>
      </c>
      <c r="D4376" s="2" t="s">
        <f>=HYPERLINK("https://main.knesset.gov.il/APPS/legislation/main/bills/2205806", "הצעת חוק הכשרות המשפטית והאפוטרופסות (תיקון - שלילת האפוטרופסות הטבעית עבור נאשמים ומורשעים בעבירות אלימות במשפחה), התשפ""ג-2023")</f>
        <v>9237</v>
      </c>
      <c r="E4376" t="s">
        <v>9237</v>
      </c>
      <c r="F4376" t="s">
        <v>9238</v>
      </c>
      <c r="G4376" t="s">
        <v>14</v>
      </c>
      <c r="H4376">
             </c>
      <c r="I4376" t="s">
        <v>14</v>
      </c>
      <c r="J4376" t="s">
        <v>242</v>
      </c>
      <c r="K4376" t="s">
        <v>14</v>
      </c>
      <c r="L4376" t="s">
        <v>20</v>
      </c>
      <c r="M4376" t="s">
        <v>9185</v>
      </c>
      <c r="N4376" t="s">
        <v>14</v>
      </c>
    </row>
    <row r="4377" x14ac:dyDescent="0.25">
      <c r="A4377" t="n">
        <v>25</v>
      </c>
      <c r="B4377" t="s">
        <v>14</v>
      </c>
      <c r="C4377" t="s">
        <v>51</v>
      </c>
      <c r="D4377" s="2" t="s">
        <f>=HYPERLINK("https://main.knesset.gov.il/APPS/legislation/main/bills/2206187", "הצעת חוק העונשין (תיקון - הגדרת בן דוד כאחראי על קטין או על חסר ישע), התשפ""ג-2023")</f>
        <v>9239</v>
      </c>
      <c r="E4377" t="s">
        <v>9239</v>
      </c>
      <c r="F4377" t="s">
        <v>9240</v>
      </c>
      <c r="G4377" t="s">
        <v>14</v>
      </c>
      <c r="H4377">
             </c>
      <c r="I4377" t="s">
        <v>14</v>
      </c>
      <c r="J4377" t="s">
        <v>242</v>
      </c>
      <c r="K4377" t="s">
        <v>14</v>
      </c>
      <c r="L4377" t="s">
        <v>20</v>
      </c>
      <c r="M4377" t="s">
        <v>9185</v>
      </c>
      <c r="N4377" t="s">
        <v>14</v>
      </c>
    </row>
    <row r="4378" x14ac:dyDescent="0.25">
      <c r="A4378" t="n">
        <v>25</v>
      </c>
      <c r="B4378" t="s">
        <v>14</v>
      </c>
      <c r="C4378" t="s">
        <v>51</v>
      </c>
      <c r="D4378" s="2" t="s">
        <f>=HYPERLINK("https://main.knesset.gov.il/APPS/legislation/main/bills/2204769", "הצעת חוק הגנת השכר (תיקון - פירוט עלות מעסיק), התשפ""ג-2023")</f>
        <v>8993</v>
      </c>
      <c r="E4378" t="s">
        <v>8993</v>
      </c>
      <c r="F4378" t="s">
        <v>9241</v>
      </c>
      <c r="G4378" t="s">
        <v>14</v>
      </c>
      <c r="H4378">
             </c>
      <c r="I4378" t="s">
        <v>14</v>
      </c>
      <c r="J4378" t="s">
        <v>242</v>
      </c>
      <c r="K4378" t="s">
        <v>14</v>
      </c>
      <c r="L4378" t="s">
        <v>20</v>
      </c>
      <c r="M4378" t="s">
        <v>9185</v>
      </c>
      <c r="N4378" t="s">
        <v>14</v>
      </c>
    </row>
    <row r="4379" x14ac:dyDescent="0.25">
      <c r="A4379" t="n">
        <v>25</v>
      </c>
      <c r="B4379" t="s">
        <v>14</v>
      </c>
      <c r="C4379" t="s">
        <v>51</v>
      </c>
      <c r="D4379" s="2" t="s">
        <f>=HYPERLINK("https://main.knesset.gov.il/APPS/legislation/main/bills/2205681", "הצעת חוק הביטוח הלאומי (תיקון - תנאי זכאות לדמי לידה), התשפ""ג-2023")</f>
        <v>8793</v>
      </c>
      <c r="E4379" t="s">
        <v>8793</v>
      </c>
      <c r="F4379" t="s">
        <v>9242</v>
      </c>
      <c r="G4379" t="s">
        <v>14</v>
      </c>
      <c r="H4379">
             </c>
      <c r="I4379" t="s">
        <v>14</v>
      </c>
      <c r="J4379" t="s">
        <v>242</v>
      </c>
      <c r="K4379" t="s">
        <v>14</v>
      </c>
      <c r="L4379" t="s">
        <v>20</v>
      </c>
      <c r="M4379" t="s">
        <v>9185</v>
      </c>
      <c r="N4379" t="s">
        <v>14</v>
      </c>
    </row>
    <row r="4380" x14ac:dyDescent="0.25">
      <c r="A4380" t="n">
        <v>25</v>
      </c>
      <c r="B4380" t="s">
        <v>14</v>
      </c>
      <c r="C4380" t="s">
        <v>51</v>
      </c>
      <c r="D4380" s="2" t="s">
        <f>=HYPERLINK("https://main.knesset.gov.il/APPS/legislation/main/bills/2205929", "הצעת חוק הרשויות המקומיות (גמול השתתפות בישיבות והחזר הוצאות לחברי מועצה), התשפ""ג-2023")</f>
        <v>3064</v>
      </c>
      <c r="E4380" t="s">
        <v>3064</v>
      </c>
      <c r="F4380" t="s">
        <v>9243</v>
      </c>
      <c r="G4380" t="s">
        <v>14</v>
      </c>
      <c r="H4380">
             </c>
      <c r="I4380" t="s">
        <v>14</v>
      </c>
      <c r="J4380" t="s">
        <v>242</v>
      </c>
      <c r="K4380" t="s">
        <v>14</v>
      </c>
      <c r="L4380" t="s">
        <v>20</v>
      </c>
      <c r="M4380" t="s">
        <v>9185</v>
      </c>
      <c r="N4380" t="s">
        <v>14</v>
      </c>
    </row>
    <row r="4381" x14ac:dyDescent="0.25">
      <c r="A4381" t="n">
        <v>25</v>
      </c>
      <c r="B4381" t="s">
        <v>14</v>
      </c>
      <c r="C4381" t="s">
        <v>51</v>
      </c>
      <c r="D4381" s="2" t="s">
        <f>=HYPERLINK("https://main.knesset.gov.il/APPS/legislation/main/bills/2205934", "הצעת חוק לתיקון פקודת התעבורה (תשלום דמי חניה), התשפ""ג-2023")</f>
        <v>7427</v>
      </c>
      <c r="E4381" t="s">
        <v>7427</v>
      </c>
      <c r="F4381" t="s">
        <v>9244</v>
      </c>
      <c r="G4381" t="s">
        <v>14</v>
      </c>
      <c r="H4381">
             </c>
      <c r="I4381" t="s">
        <v>14</v>
      </c>
      <c r="J4381" t="s">
        <v>242</v>
      </c>
      <c r="K4381" t="s">
        <v>14</v>
      </c>
      <c r="L4381" t="s">
        <v>20</v>
      </c>
      <c r="M4381" t="s">
        <v>9185</v>
      </c>
      <c r="N4381" t="s">
        <v>14</v>
      </c>
    </row>
    <row r="4382" x14ac:dyDescent="0.25">
      <c r="A4382" t="n">
        <v>25</v>
      </c>
      <c r="B4382" t="s">
        <v>14</v>
      </c>
      <c r="C4382" t="s">
        <v>51</v>
      </c>
      <c r="D4382" s="2" t="s">
        <f>=HYPERLINK("https://main.knesset.gov.il/APPS/legislation/main/bills/2205928", "הצעת חוק כביש אגרה (כביש ארצי לישראל) (תיקון - תנאי לגביית אגרה), התשפ""ג-2023")</f>
        <v>9245</v>
      </c>
      <c r="E4382" t="s">
        <v>9245</v>
      </c>
      <c r="F4382" t="s">
        <v>9246</v>
      </c>
      <c r="G4382" t="s">
        <v>14</v>
      </c>
      <c r="H4382">
             </c>
      <c r="I4382" t="s">
        <v>14</v>
      </c>
      <c r="J4382" t="s">
        <v>242</v>
      </c>
      <c r="K4382" t="s">
        <v>14</v>
      </c>
      <c r="L4382" t="s">
        <v>20</v>
      </c>
      <c r="M4382" t="s">
        <v>9185</v>
      </c>
      <c r="N4382" t="s">
        <v>14</v>
      </c>
    </row>
    <row r="4383" x14ac:dyDescent="0.25">
      <c r="A4383" t="n">
        <v>25</v>
      </c>
      <c r="B4383" t="s">
        <v>14</v>
      </c>
      <c r="C4383" t="s">
        <v>51</v>
      </c>
      <c r="D4383" s="2" t="s">
        <f>=HYPERLINK("https://main.knesset.gov.il/APPS/legislation/main/bills/2205931", "הצעת חוק בתי המשפט (תיקון - שופט משנה), התשפ""ג-2023")</f>
        <v>9247</v>
      </c>
      <c r="E4383" t="s">
        <v>9247</v>
      </c>
      <c r="F4383" t="s">
        <v>9248</v>
      </c>
      <c r="G4383" t="s">
        <v>14</v>
      </c>
      <c r="H4383">
             </c>
      <c r="I4383" t="s">
        <v>14</v>
      </c>
      <c r="J4383" t="s">
        <v>242</v>
      </c>
      <c r="K4383" t="s">
        <v>14</v>
      </c>
      <c r="L4383" t="s">
        <v>20</v>
      </c>
      <c r="M4383" t="s">
        <v>9185</v>
      </c>
      <c r="N4383" t="s">
        <v>14</v>
      </c>
    </row>
    <row r="4384" x14ac:dyDescent="0.25">
      <c r="A4384" t="n">
        <v>25</v>
      </c>
      <c r="B4384" t="s">
        <v>14</v>
      </c>
      <c r="C4384" t="s">
        <v>51</v>
      </c>
      <c r="D4384" s="2" t="s">
        <f>=HYPERLINK("https://main.knesset.gov.il/APPS/legislation/main/bills/2205787", "הצעת חוק הרשויות המקומיות (מימון בחירות) (תיקון - עידוד התמודדות נשים לראשות רשות מקומית או מועצה אזורית), התשפ""ג-2023")</f>
        <v>9076</v>
      </c>
      <c r="E4384" t="s">
        <v>9076</v>
      </c>
      <c r="F4384" t="s">
        <v>9249</v>
      </c>
      <c r="G4384" t="s">
        <v>14</v>
      </c>
      <c r="H4384">
             </c>
      <c r="I4384" t="s">
        <v>14</v>
      </c>
      <c r="J4384" t="s">
        <v>242</v>
      </c>
      <c r="K4384" t="s">
        <v>14</v>
      </c>
      <c r="L4384" t="s">
        <v>20</v>
      </c>
      <c r="M4384" t="s">
        <v>9185</v>
      </c>
      <c r="N4384" t="s">
        <v>14</v>
      </c>
    </row>
    <row r="4385" x14ac:dyDescent="0.25">
      <c r="A4385" t="n">
        <v>25</v>
      </c>
      <c r="B4385" t="s">
        <v>14</v>
      </c>
      <c r="C4385" t="s">
        <v>51</v>
      </c>
      <c r="D4385" s="2" t="s">
        <f>=HYPERLINK("https://main.knesset.gov.il/APPS/legislation/main/bills/2204099", "הצעת חוק הביטוח הלאומי (תיקון - הקמת מצבה לאדם ערירי), התשפ""ג-2023")</f>
        <v>8552</v>
      </c>
      <c r="E4385" t="s">
        <v>8552</v>
      </c>
      <c r="F4385" t="s">
        <v>9250</v>
      </c>
      <c r="G4385" t="s">
        <v>14</v>
      </c>
      <c r="H4385">
             </c>
      <c r="I4385" t="s">
        <v>14</v>
      </c>
      <c r="J4385" t="s">
        <v>242</v>
      </c>
      <c r="K4385" t="s">
        <v>14</v>
      </c>
      <c r="L4385" t="s">
        <v>20</v>
      </c>
      <c r="M4385" t="s">
        <v>9185</v>
      </c>
      <c r="N4385" t="s">
        <v>14</v>
      </c>
    </row>
    <row r="4386" x14ac:dyDescent="0.25">
      <c r="A4386" t="n">
        <v>25</v>
      </c>
      <c r="B4386" t="s">
        <v>14</v>
      </c>
      <c r="C4386" t="s">
        <v>51</v>
      </c>
      <c r="D4386" s="2" t="s">
        <f>=HYPERLINK("https://main.knesset.gov.il/APPS/legislation/main/bills/2205848", "הצעת חוק המכר (דירות) (תיקון - חובת מסירת תוכניות הדירה לקונה), התשפ""ג-2023")</f>
        <v>9251</v>
      </c>
      <c r="E4386" t="s">
        <v>9251</v>
      </c>
      <c r="F4386" t="s">
        <v>9252</v>
      </c>
      <c r="G4386" t="s">
        <v>14</v>
      </c>
      <c r="H4386">
             </c>
      <c r="I4386" t="s">
        <v>14</v>
      </c>
      <c r="J4386" t="s">
        <v>242</v>
      </c>
      <c r="K4386" t="s">
        <v>14</v>
      </c>
      <c r="L4386" t="s">
        <v>20</v>
      </c>
      <c r="M4386" t="s">
        <v>9185</v>
      </c>
      <c r="N4386" t="s">
        <v>14</v>
      </c>
    </row>
    <row r="4387" x14ac:dyDescent="0.25">
      <c r="A4387" t="n">
        <v>25</v>
      </c>
      <c r="B4387" t="s">
        <v>14</v>
      </c>
      <c r="C4387" t="s">
        <v>51</v>
      </c>
      <c r="D4387" s="2" t="s">
        <f>=HYPERLINK("https://main.knesset.gov.il/APPS/legislation/main/bills/2205844", "הצעת חוק בתי דין רבניים (קיום פסקי דין של גירושין) (תיקון - הגבלת שימוש בכרטיסי אשראי לסרבני גט), התשפ""ג-2023")</f>
        <v>8922</v>
      </c>
      <c r="E4387" t="s">
        <v>8922</v>
      </c>
      <c r="F4387" t="s">
        <v>9253</v>
      </c>
      <c r="G4387" t="s">
        <v>14</v>
      </c>
      <c r="H4387">
             </c>
      <c r="I4387" t="s">
        <v>14</v>
      </c>
      <c r="J4387" t="s">
        <v>242</v>
      </c>
      <c r="K4387" t="s">
        <v>14</v>
      </c>
      <c r="L4387" t="s">
        <v>20</v>
      </c>
      <c r="M4387" t="s">
        <v>9185</v>
      </c>
      <c r="N4387" t="s">
        <v>14</v>
      </c>
    </row>
    <row r="4388" x14ac:dyDescent="0.25">
      <c r="A4388" t="n">
        <v>25</v>
      </c>
      <c r="B4388" t="s">
        <v>14</v>
      </c>
      <c r="C4388" t="s">
        <v>51</v>
      </c>
      <c r="D4388" s="2" t="s">
        <f>=HYPERLINK("https://main.knesset.gov.il/APPS/legislation/main/bills/2205861", "הצעת חוק לתיקון פקודת הסמים המסוכנים (שידול לייבוא או ייצוא חומר הנחשב לסם בחו""ל), התשפ""ג-2023")</f>
        <v>9254</v>
      </c>
      <c r="E4388" t="s">
        <v>9254</v>
      </c>
      <c r="F4388" t="s">
        <v>9255</v>
      </c>
      <c r="G4388" t="s">
        <v>14</v>
      </c>
      <c r="H4388">
             </c>
      <c r="I4388" t="s">
        <v>14</v>
      </c>
      <c r="J4388" t="s">
        <v>242</v>
      </c>
      <c r="K4388" t="s">
        <v>14</v>
      </c>
      <c r="L4388" t="s">
        <v>20</v>
      </c>
      <c r="M4388" t="s">
        <v>9185</v>
      </c>
      <c r="N4388" t="s">
        <v>14</v>
      </c>
    </row>
    <row r="4389" x14ac:dyDescent="0.25">
      <c r="A4389" t="n">
        <v>25</v>
      </c>
      <c r="B4389" t="s">
        <v>14</v>
      </c>
      <c r="C4389" t="s">
        <v>51</v>
      </c>
      <c r="D4389" s="2" t="s">
        <f>=HYPERLINK("https://main.knesset.gov.il/APPS/legislation/main/bills/2205318", "הצעת חוק הפחתת רגולציה (רישום בפנקסי המקרקעין) (תיקוני חקיקה), התשפ""ג-2023")</f>
        <v>9256</v>
      </c>
      <c r="E4389" t="s">
        <v>9256</v>
      </c>
      <c r="F4389" t="s">
        <v>9257</v>
      </c>
      <c r="G4389" t="s">
        <v>14</v>
      </c>
      <c r="H4389">
             </c>
      <c r="I4389" t="s">
        <v>14</v>
      </c>
      <c r="J4389" t="s">
        <v>242</v>
      </c>
      <c r="K4389" t="s">
        <v>14</v>
      </c>
      <c r="L4389" t="s">
        <v>20</v>
      </c>
      <c r="M4389" t="s">
        <v>9185</v>
      </c>
      <c r="N4389" t="s">
        <v>14</v>
      </c>
    </row>
    <row r="4390" x14ac:dyDescent="0.25">
      <c r="A4390" t="n">
        <v>25</v>
      </c>
      <c r="B4390" t="s">
        <v>14</v>
      </c>
      <c r="C4390" t="s">
        <v>51</v>
      </c>
      <c r="D4390" s="2" t="s">
        <f>=HYPERLINK("https://main.knesset.gov.il/APPS/legislation/main/bills/2205296", "הצעת חוק לתיקון פקודת מס הכנסה (יישוב מוטב), התשפ""ג-2023")</f>
        <v>9258</v>
      </c>
      <c r="E4390" t="s">
        <v>9258</v>
      </c>
      <c r="F4390" t="s">
        <v>9259</v>
      </c>
      <c r="G4390" t="s">
        <v>14</v>
      </c>
      <c r="H4390">
             </c>
      <c r="I4390" t="s">
        <v>14</v>
      </c>
      <c r="J4390" t="s">
        <v>242</v>
      </c>
      <c r="K4390" t="s">
        <v>14</v>
      </c>
      <c r="L4390" t="s">
        <v>20</v>
      </c>
      <c r="M4390" t="s">
        <v>9185</v>
      </c>
      <c r="N4390" t="s">
        <v>14</v>
      </c>
    </row>
    <row r="4391" x14ac:dyDescent="0.25">
      <c r="A4391" t="n">
        <v>25</v>
      </c>
      <c r="B4391" t="s">
        <v>14</v>
      </c>
      <c r="C4391" t="s">
        <v>51</v>
      </c>
      <c r="D4391" s="2" t="s">
        <f>=HYPERLINK("https://main.knesset.gov.il/APPS/legislation/main/bills/2204992", "הצעת חוק לתיקון פקודת הקרקעות (רכישה לצורכי ציבור) (מס' 3) (תיקון - קרקע שנרכשה לצורכי ציבור בהרשאה), התשפ""ג-2023")</f>
        <v>9260</v>
      </c>
      <c r="E4391" t="s">
        <v>9260</v>
      </c>
      <c r="F4391" t="s">
        <v>9261</v>
      </c>
      <c r="G4391" t="s">
        <v>14</v>
      </c>
      <c r="H4391">
             </c>
      <c r="I4391" t="s">
        <v>14</v>
      </c>
      <c r="J4391" t="s">
        <v>242</v>
      </c>
      <c r="K4391" t="s">
        <v>14</v>
      </c>
      <c r="L4391" t="s">
        <v>20</v>
      </c>
      <c r="M4391" t="s">
        <v>9185</v>
      </c>
      <c r="N4391" t="s">
        <v>14</v>
      </c>
    </row>
    <row r="4392" x14ac:dyDescent="0.25">
      <c r="A4392" t="n">
        <v>25</v>
      </c>
      <c r="B4392" t="s">
        <v>14</v>
      </c>
      <c r="C4392" t="s">
        <v>51</v>
      </c>
      <c r="D4392" s="2" t="s">
        <f>=HYPERLINK("https://main.knesset.gov.il/APPS/legislation/main/bills/2203963", "הצעת חוק איסור שימוש בתקשורת בביטויים מעודדי אלימות, התשפ""ג-2023")</f>
        <v>9262</v>
      </c>
      <c r="E4392" t="s">
        <v>9262</v>
      </c>
      <c r="F4392" t="s">
        <v>9263</v>
      </c>
      <c r="G4392" t="s">
        <v>14</v>
      </c>
      <c r="H4392">
             </c>
      <c r="I4392" t="s">
        <v>14</v>
      </c>
      <c r="J4392" t="s">
        <v>242</v>
      </c>
      <c r="K4392" t="s">
        <v>14</v>
      </c>
      <c r="L4392" t="s">
        <v>20</v>
      </c>
      <c r="M4392" t="s">
        <v>9185</v>
      </c>
      <c r="N4392" t="s">
        <v>14</v>
      </c>
    </row>
    <row r="4393" x14ac:dyDescent="0.25">
      <c r="A4393" t="n">
        <v>25</v>
      </c>
      <c r="B4393" t="s">
        <v>14</v>
      </c>
      <c r="C4393" t="s">
        <v>51</v>
      </c>
      <c r="D4393" s="2" t="s">
        <f>=HYPERLINK("https://main.knesset.gov.il/APPS/legislation/main/bills/2205842", "הצעת חוק חובת המכרזים (תיקון - עידוד עסקים להעסקת בני החברה הערבית והחרדית), התשפ""ג-2023")</f>
        <v>8358</v>
      </c>
      <c r="E4393" t="s">
        <v>8358</v>
      </c>
      <c r="F4393" t="s">
        <v>9264</v>
      </c>
      <c r="G4393" t="s">
        <v>14</v>
      </c>
      <c r="H4393">
             </c>
      <c r="I4393" t="s">
        <v>14</v>
      </c>
      <c r="J4393" t="s">
        <v>242</v>
      </c>
      <c r="K4393" t="s">
        <v>14</v>
      </c>
      <c r="L4393" t="s">
        <v>20</v>
      </c>
      <c r="M4393" t="s">
        <v>9185</v>
      </c>
      <c r="N4393" t="s">
        <v>14</v>
      </c>
    </row>
    <row r="4394" x14ac:dyDescent="0.25">
      <c r="A4394" t="n">
        <v>25</v>
      </c>
      <c r="B4394" t="s">
        <v>14</v>
      </c>
      <c r="C4394" t="s">
        <v>51</v>
      </c>
      <c r="D4394" s="2" t="s">
        <f>=HYPERLINK("https://main.knesset.gov.il/APPS/legislation/main/bills/2201634", "הצעת חוק חובת לימודי ליבה וביטול מוסדות הפטור (תיקוני חקיקה), התשפ""ג-2023")</f>
        <v>8873</v>
      </c>
      <c r="E4394" t="s">
        <v>8873</v>
      </c>
      <c r="F4394" t="s">
        <v>9265</v>
      </c>
      <c r="G4394" t="s">
        <v>14</v>
      </c>
      <c r="H4394">
             </c>
      <c r="I4394" t="s">
        <v>14</v>
      </c>
      <c r="J4394" t="s">
        <v>193</v>
      </c>
      <c r="K4394" t="s">
        <v>14</v>
      </c>
      <c r="L4394" t="s">
        <v>20</v>
      </c>
      <c r="M4394" t="s">
        <v>9266</v>
      </c>
      <c r="N4394" t="s">
        <v>14</v>
      </c>
    </row>
    <row r="4395" x14ac:dyDescent="0.25">
      <c r="A4395" t="n">
        <v>25</v>
      </c>
      <c r="B4395" t="s">
        <v>14</v>
      </c>
      <c r="C4395" t="s">
        <v>51</v>
      </c>
      <c r="D4395" s="2" t="s">
        <f>=HYPERLINK("https://main.knesset.gov.il/APPS/legislation/main/bills/2200336", "הצעת חוק הכרה ברישיונות מקצועיים על בסיס הנחיות האיחוד האירופי (תיקוני חקיקה), התשפ""ג-2023")</f>
        <v>9267</v>
      </c>
      <c r="E4395" t="s">
        <v>9267</v>
      </c>
      <c r="F4395" t="s">
        <v>9268</v>
      </c>
      <c r="G4395" t="s">
        <v>14</v>
      </c>
      <c r="H4395">
             </c>
      <c r="I4395" t="s">
        <v>14</v>
      </c>
      <c r="J4395" t="s">
        <v>152</v>
      </c>
      <c r="K4395" t="s">
        <v>361</v>
      </c>
      <c r="L4395" t="s">
        <v>20</v>
      </c>
      <c r="M4395" t="s">
        <v>9266</v>
      </c>
      <c r="N4395" t="s">
        <v>14</v>
      </c>
    </row>
    <row r="4396" x14ac:dyDescent="0.25">
      <c r="A4396" t="n">
        <v>25</v>
      </c>
      <c r="B4396" t="s">
        <v>14</v>
      </c>
      <c r="C4396" t="s">
        <v>51</v>
      </c>
      <c r="D4396" s="2" t="s">
        <f>=HYPERLINK("https://main.knesset.gov.il/APPS/legislation/main/bills/2200692", "הצעת חוק הקמת חדרי מיון בשדרות ובקריית שמונה, התשפ""ג-2023")</f>
        <v>8278</v>
      </c>
      <c r="E4396" t="s">
        <v>8278</v>
      </c>
      <c r="F4396" t="s">
        <v>9269</v>
      </c>
      <c r="G4396" t="s">
        <v>14</v>
      </c>
      <c r="H4396">
             </c>
      <c r="I4396" t="s">
        <v>14</v>
      </c>
      <c r="J4396" t="s">
        <v>193</v>
      </c>
      <c r="K4396" t="s">
        <v>14</v>
      </c>
      <c r="L4396" t="s">
        <v>20</v>
      </c>
      <c r="M4396" t="s">
        <v>9266</v>
      </c>
      <c r="N4396" t="s">
        <v>14</v>
      </c>
    </row>
    <row r="4397" x14ac:dyDescent="0.25">
      <c r="A4397" t="n">
        <v>25</v>
      </c>
      <c r="B4397" t="s">
        <v>14</v>
      </c>
      <c r="C4397" t="s">
        <v>51</v>
      </c>
      <c r="D4397" s="2" t="s">
        <f>=HYPERLINK("https://main.knesset.gov.il/APPS/legislation/main/bills/2199044", "הצעת חוק-יסוד: כבוד האדם וחירותו (תיקון - הזכות לשוויון)")</f>
        <v>2894</v>
      </c>
      <c r="E4397" t="s">
        <v>2894</v>
      </c>
      <c r="F4397" t="s">
        <v>9270</v>
      </c>
      <c r="G4397" t="s">
        <v>14</v>
      </c>
      <c r="H4397">
             </c>
      <c r="I4397" t="s">
        <v>14</v>
      </c>
      <c r="J4397" t="s">
        <v>193</v>
      </c>
      <c r="K4397" t="s">
        <v>14</v>
      </c>
      <c r="L4397" t="s">
        <v>20</v>
      </c>
      <c r="M4397" t="s">
        <v>9266</v>
      </c>
      <c r="N4397" t="s">
        <v>14</v>
      </c>
    </row>
    <row r="4398" x14ac:dyDescent="0.25">
      <c r="A4398" t="n">
        <v>25</v>
      </c>
      <c r="B4398" t="s">
        <v>14</v>
      </c>
      <c r="C4398" t="s">
        <v>51</v>
      </c>
      <c r="D4398" s="2" t="s">
        <f>=HYPERLINK("https://main.knesset.gov.il/APPS/legislation/main/bills/2198303", "הצעת חוק שיקים ללא כיסוי (תיקון - הקלות בהגבלת חשבון), התשפ""ג-2023")</f>
        <v>9271</v>
      </c>
      <c r="E4398" t="s">
        <v>9271</v>
      </c>
      <c r="F4398" t="s">
        <v>9272</v>
      </c>
      <c r="G4398" t="s">
        <v>14</v>
      </c>
      <c r="H4398">
             </c>
      <c r="I4398" t="s">
        <v>14</v>
      </c>
      <c r="J4398" t="s">
        <v>152</v>
      </c>
      <c r="K4398" t="s">
        <v>27</v>
      </c>
      <c r="L4398" t="s">
        <v>20</v>
      </c>
      <c r="M4398" t="s">
        <v>9266</v>
      </c>
      <c r="N4398" t="s">
        <v>14</v>
      </c>
    </row>
    <row r="4399" x14ac:dyDescent="0.25">
      <c r="A4399" t="n">
        <v>25</v>
      </c>
      <c r="B4399" t="s">
        <v>14</v>
      </c>
      <c r="C4399" t="s">
        <v>51</v>
      </c>
      <c r="D4399" s="2" t="s">
        <f>=HYPERLINK("https://main.knesset.gov.il/APPS/legislation/main/bills/2198000", "הצעת חוק שיקים ללא כיסוי (תיקון - הקלות בהגבלת חשבון), התשפ""ג-2023")</f>
        <v>9271</v>
      </c>
      <c r="E4399" t="s">
        <v>9271</v>
      </c>
      <c r="F4399" t="s">
        <v>9273</v>
      </c>
      <c r="G4399" t="s">
        <v>14</v>
      </c>
      <c r="H4399">
             </c>
      <c r="I4399" t="s">
        <v>14</v>
      </c>
      <c r="J4399" t="s">
        <v>152</v>
      </c>
      <c r="K4399" t="s">
        <v>27</v>
      </c>
      <c r="L4399" t="s">
        <v>20</v>
      </c>
      <c r="M4399" t="s">
        <v>9266</v>
      </c>
      <c r="N4399" t="s">
        <v>14</v>
      </c>
    </row>
    <row r="4400" x14ac:dyDescent="0.25">
      <c r="A4400" t="n">
        <v>25</v>
      </c>
      <c r="B4400" t="s">
        <v>14</v>
      </c>
      <c r="C4400" t="s">
        <v>51</v>
      </c>
      <c r="D4400" s="2" t="s">
        <f>=HYPERLINK("https://main.knesset.gov.il/APPS/legislation/main/bills/2196966", "הצעת חוק סדר הדין הפלילי (סמכויות אכיפה - מעצרים) (תיקון - מעצר עד תום ההליכים בגין עבירה של החזקת נשק שלא כדין), התשפ""ג-2023")</f>
        <v>9274</v>
      </c>
      <c r="E4400" t="s">
        <v>9274</v>
      </c>
      <c r="F4400" t="s">
        <v>9275</v>
      </c>
      <c r="G4400" t="s">
        <v>14</v>
      </c>
      <c r="H4400">
             </c>
      <c r="I4400" t="s">
        <v>14</v>
      </c>
      <c r="J4400" t="s">
        <v>152</v>
      </c>
      <c r="K4400" t="s">
        <v>27</v>
      </c>
      <c r="L4400" t="s">
        <v>20</v>
      </c>
      <c r="M4400" t="s">
        <v>9266</v>
      </c>
      <c r="N4400" t="s">
        <v>14</v>
      </c>
    </row>
    <row r="4401" x14ac:dyDescent="0.25">
      <c r="A4401" t="n">
        <v>25</v>
      </c>
      <c r="B4401" t="s">
        <v>14</v>
      </c>
      <c r="C4401" t="s">
        <v>51</v>
      </c>
      <c r="D4401" s="2" t="s">
        <f>=HYPERLINK("https://main.knesset.gov.il/APPS/legislation/main/bills/2198169", "הצעת חוק שיקים ללא כיסוי (תיקון - הקלות בהגבלת חשבון), התשפ""ג-2023")</f>
        <v>9271</v>
      </c>
      <c r="E4401" t="s">
        <v>9271</v>
      </c>
      <c r="F4401" t="s">
        <v>9276</v>
      </c>
      <c r="G4401" t="s">
        <v>14</v>
      </c>
      <c r="H4401">
             </c>
      <c r="I4401" t="s">
        <v>14</v>
      </c>
      <c r="J4401" t="s">
        <v>152</v>
      </c>
      <c r="K4401" t="s">
        <v>27</v>
      </c>
      <c r="L4401" t="s">
        <v>20</v>
      </c>
      <c r="M4401" t="s">
        <v>9266</v>
      </c>
      <c r="N4401" t="s">
        <v>14</v>
      </c>
    </row>
    <row r="4402" x14ac:dyDescent="0.25">
      <c r="A4402" t="n">
        <v>25</v>
      </c>
      <c r="B4402" t="s">
        <v>14</v>
      </c>
      <c r="C4402" t="s">
        <v>51</v>
      </c>
      <c r="D4402" s="2" t="s">
        <f>=HYPERLINK("https://main.knesset.gov.il/APPS/legislation/main/bills/2195990", "הצעת חוק-יסוד: כבוד האדם וחירותו (תיקון - שוויון בפני החוק ואיסור הפליה)")</f>
        <v>7409</v>
      </c>
      <c r="E4402" t="s">
        <v>7409</v>
      </c>
      <c r="F4402" t="s">
        <v>9277</v>
      </c>
      <c r="G4402" t="s">
        <v>14</v>
      </c>
      <c r="H4402">
             </c>
      <c r="I4402" t="s">
        <v>14</v>
      </c>
      <c r="J4402" t="s">
        <v>193</v>
      </c>
      <c r="K4402" t="s">
        <v>14</v>
      </c>
      <c r="L4402" t="s">
        <v>20</v>
      </c>
      <c r="M4402" t="s">
        <v>9266</v>
      </c>
      <c r="N4402" t="s">
        <v>14</v>
      </c>
    </row>
    <row r="4403" x14ac:dyDescent="0.25">
      <c r="A4403" t="n">
        <v>25</v>
      </c>
      <c r="B4403" t="s">
        <v>14</v>
      </c>
      <c r="C4403" t="s">
        <v>51</v>
      </c>
      <c r="D4403" s="2" t="s">
        <f>=HYPERLINK("https://main.knesset.gov.il/APPS/legislation/main/bills/2197190", "הצעת חוק אסדרת שוק הקנאביס לצריכה עצמית, התשפ""ג-2022")</f>
        <v>9278</v>
      </c>
      <c r="E4403" t="s">
        <v>9278</v>
      </c>
      <c r="F4403" t="s">
        <v>9279</v>
      </c>
      <c r="G4403" t="s">
        <v>14</v>
      </c>
      <c r="H4403">
             </c>
      <c r="I4403" t="s">
        <v>14</v>
      </c>
      <c r="J4403" t="s">
        <v>193</v>
      </c>
      <c r="K4403" t="s">
        <v>14</v>
      </c>
      <c r="L4403" t="s">
        <v>20</v>
      </c>
      <c r="M4403" t="s">
        <v>9266</v>
      </c>
      <c r="N4403" t="s">
        <v>14</v>
      </c>
    </row>
    <row r="4404" x14ac:dyDescent="0.25">
      <c r="A4404" t="n">
        <v>25</v>
      </c>
      <c r="B4404" t="s">
        <v>14</v>
      </c>
      <c r="C4404" t="s">
        <v>51</v>
      </c>
      <c r="D4404" s="2" t="s">
        <f>=HYPERLINK("https://main.knesset.gov.il/APPS/legislation/main/bills/2196356", "הצעת חוק אסדרת שוק הקנאביס לצריכה עצמית, התשפ""ג-2022")</f>
        <v>9278</v>
      </c>
      <c r="E4404" t="s">
        <v>9278</v>
      </c>
      <c r="F4404" t="s">
        <v>9280</v>
      </c>
      <c r="G4404" t="s">
        <v>14</v>
      </c>
      <c r="H4404">
             </c>
      <c r="I4404" t="s">
        <v>14</v>
      </c>
      <c r="J4404" t="s">
        <v>193</v>
      </c>
      <c r="K4404" t="s">
        <v>14</v>
      </c>
      <c r="L4404" t="s">
        <v>20</v>
      </c>
      <c r="M4404" t="s">
        <v>9266</v>
      </c>
      <c r="N4404" t="s">
        <v>14</v>
      </c>
    </row>
    <row r="4405" x14ac:dyDescent="0.25">
      <c r="A4405" t="n">
        <v>25</v>
      </c>
      <c r="B4405" t="s">
        <v>14</v>
      </c>
      <c r="C4405" t="s">
        <v>51</v>
      </c>
      <c r="D4405" s="2" t="s">
        <f>=HYPERLINK("https://main.knesset.gov.il/APPS/legislation/main/bills/2201735", "הצעת חוק הספורט (תיקון – הסדרת העיסוק באימון ספורט), התשפ""ג–2023")</f>
        <v>9281</v>
      </c>
      <c r="E4405" t="s">
        <v>9281</v>
      </c>
      <c r="F4405" t="s">
        <v>9282</v>
      </c>
      <c r="G4405" t="s">
        <v>14</v>
      </c>
      <c r="H4405">
             </c>
      <c r="I4405" t="s">
        <v>14</v>
      </c>
      <c r="J4405" t="s">
        <v>183</v>
      </c>
      <c r="K4405" t="s">
        <v>79</v>
      </c>
      <c r="L4405" t="s">
        <v>20</v>
      </c>
      <c r="M4405" t="s">
        <v>9283</v>
      </c>
      <c r="N4405" t="s">
        <v>14</v>
      </c>
    </row>
    <row r="4406" x14ac:dyDescent="0.25">
      <c r="A4406" t="n">
        <v>25</v>
      </c>
      <c r="B4406" t="s">
        <v>14</v>
      </c>
      <c r="C4406" t="s">
        <v>51</v>
      </c>
      <c r="D4406" s="2" t="s">
        <f>=HYPERLINK("https://main.knesset.gov.il/APPS/legislation/main/bills/2198814", "הצעת חוק הספורט (תיקון - הסדרת העיסוק באימון ספורט), התשפ""ג–2023")</f>
        <v>9284</v>
      </c>
      <c r="E4406" t="s">
        <v>9284</v>
      </c>
      <c r="F4406" t="s">
        <v>9285</v>
      </c>
      <c r="G4406" t="s">
        <v>14</v>
      </c>
      <c r="H4406">
             </c>
      <c r="I4406" t="s">
        <v>14</v>
      </c>
      <c r="J4406" t="s">
        <v>183</v>
      </c>
      <c r="K4406" t="s">
        <v>79</v>
      </c>
      <c r="L4406" t="s">
        <v>20</v>
      </c>
      <c r="M4406" t="s">
        <v>9283</v>
      </c>
      <c r="N4406" t="s">
        <v>14</v>
      </c>
    </row>
    <row r="4407" x14ac:dyDescent="0.25">
      <c r="A4407" t="n">
        <v>25</v>
      </c>
      <c r="B4407" t="s">
        <v>14</v>
      </c>
      <c r="C4407" t="s">
        <v>51</v>
      </c>
      <c r="D4407" s="2" t="s">
        <f>=HYPERLINK("https://main.knesset.gov.il/APPS/legislation/main/bills/2196149", "חוק המקרקעין (תיקון מס' 36), התשפ""ג–2023")</f>
        <v>9286</v>
      </c>
      <c r="E4407" t="s">
        <v>9286</v>
      </c>
      <c r="F4407" t="s">
        <v>9287</v>
      </c>
      <c r="G4407" t="s">
        <v>9288</v>
      </c>
      <c r="H4407" t="n">
        <v>3047</v>
      </c>
      <c r="I4407" t="s">
        <v>14</v>
      </c>
      <c r="J4407" t="s">
        <v>18</v>
      </c>
      <c r="K4407" t="s">
        <v>30</v>
      </c>
      <c r="L4407" t="s">
        <v>20</v>
      </c>
      <c r="M4407" t="s">
        <v>9283</v>
      </c>
      <c r="N4407" t="s">
        <v>9289</v>
      </c>
    </row>
    <row r="4408" x14ac:dyDescent="0.25">
      <c r="A4408" t="n">
        <v>25</v>
      </c>
      <c r="B4408" t="s">
        <v>14</v>
      </c>
      <c r="C4408" t="s">
        <v>51</v>
      </c>
      <c r="D4408" s="2" t="s">
        <f>=HYPERLINK("https://main.knesset.gov.il/APPS/legislation/main/bills/2203345", "הצעת חוק שירות המדינה (מינויים) (תיקון - איסור העסקת תומכי טרור בשירות המדינה), התשפ""ג-2023")</f>
        <v>9290</v>
      </c>
      <c r="E4408" t="s">
        <v>9290</v>
      </c>
      <c r="F4408" t="s">
        <v>9291</v>
      </c>
      <c r="G4408" t="s">
        <v>14</v>
      </c>
      <c r="H4408">
             </c>
      <c r="I4408" t="s">
        <v>14</v>
      </c>
      <c r="J4408" t="s">
        <v>242</v>
      </c>
      <c r="K4408" t="s">
        <v>14</v>
      </c>
      <c r="L4408" t="s">
        <v>20</v>
      </c>
      <c r="M4408" t="s">
        <v>9283</v>
      </c>
      <c r="N4408" t="s">
        <v>14</v>
      </c>
    </row>
    <row r="4409" x14ac:dyDescent="0.25">
      <c r="A4409" t="n">
        <v>25</v>
      </c>
      <c r="B4409" t="s">
        <v>14</v>
      </c>
      <c r="C4409" t="s">
        <v>51</v>
      </c>
      <c r="D4409" s="2" t="s">
        <f>=HYPERLINK("https://main.knesset.gov.il/APPS/legislation/main/bills/2196031", "הצעת חוק איסור הונאה בכשרות (תיקון - מתן תעודת הכשר על ידי רב מקומי), התשפ""ג-2023")</f>
        <v>9292</v>
      </c>
      <c r="E4409" t="s">
        <v>9292</v>
      </c>
      <c r="F4409" t="s">
        <v>9293</v>
      </c>
      <c r="G4409" t="s">
        <v>14</v>
      </c>
      <c r="H4409">
             </c>
      <c r="I4409" t="s">
        <v>14</v>
      </c>
      <c r="J4409" t="s">
        <v>242</v>
      </c>
      <c r="K4409" t="s">
        <v>14</v>
      </c>
      <c r="L4409" t="s">
        <v>20</v>
      </c>
      <c r="M4409" t="s">
        <v>9283</v>
      </c>
      <c r="N4409" t="s">
        <v>14</v>
      </c>
    </row>
    <row r="4410" x14ac:dyDescent="0.25">
      <c r="A4410" t="n">
        <v>25</v>
      </c>
      <c r="B4410" t="s">
        <v>14</v>
      </c>
      <c r="C4410" t="s">
        <v>51</v>
      </c>
      <c r="D4410" s="2" t="s">
        <f>=HYPERLINK("https://main.knesset.gov.il/APPS/legislation/main/bills/2205141", "הצעת חוק שיקום, פיצוי וסיוע משפטי לנפגעי עבירות מין, התשפ""ג-2023")</f>
        <v>9056</v>
      </c>
      <c r="E4410" t="s">
        <v>9056</v>
      </c>
      <c r="F4410" t="s">
        <v>9294</v>
      </c>
      <c r="G4410" t="s">
        <v>14</v>
      </c>
      <c r="H4410">
             </c>
      <c r="I4410" t="s">
        <v>14</v>
      </c>
      <c r="J4410" t="s">
        <v>242</v>
      </c>
      <c r="K4410" t="s">
        <v>14</v>
      </c>
      <c r="L4410" t="s">
        <v>20</v>
      </c>
      <c r="M4410" t="s">
        <v>9283</v>
      </c>
      <c r="N4410" t="s">
        <v>14</v>
      </c>
    </row>
    <row r="4411" x14ac:dyDescent="0.25">
      <c r="A4411" t="n">
        <v>25</v>
      </c>
      <c r="B4411" t="s">
        <v>14</v>
      </c>
      <c r="C4411" t="s">
        <v>51</v>
      </c>
      <c r="D4411" s="2" t="s">
        <f>=HYPERLINK("https://main.knesset.gov.il/APPS/legislation/main/bills/2198722", "הצעת חוק הבחירות לכנסת (תיקון - הארכת תקופת צינון), התשפ""ג-2023")</f>
        <v>9295</v>
      </c>
      <c r="E4411" t="s">
        <v>9295</v>
      </c>
      <c r="F4411" t="s">
        <v>9296</v>
      </c>
      <c r="G4411" t="s">
        <v>14</v>
      </c>
      <c r="H4411">
             </c>
      <c r="I4411" t="s">
        <v>14</v>
      </c>
      <c r="J4411" t="s">
        <v>242</v>
      </c>
      <c r="K4411" t="s">
        <v>14</v>
      </c>
      <c r="L4411" t="s">
        <v>20</v>
      </c>
      <c r="M4411" t="s">
        <v>9283</v>
      </c>
      <c r="N4411" t="s">
        <v>14</v>
      </c>
    </row>
    <row r="4412" x14ac:dyDescent="0.25">
      <c r="A4412" t="n">
        <v>25</v>
      </c>
      <c r="B4412" t="s">
        <v>14</v>
      </c>
      <c r="C4412" t="s">
        <v>51</v>
      </c>
      <c r="D4412" s="2" t="s">
        <f>=HYPERLINK("https://main.knesset.gov.il/APPS/legislation/main/bills/2203655", "הצעת חוק האזרחים הוותיקים (תיקון - הנחה ברכישת אמצעי לזיהוי מצב חירום רפואי), התשפ""ג-2023")</f>
        <v>8216</v>
      </c>
      <c r="E4412" t="s">
        <v>8216</v>
      </c>
      <c r="F4412" t="s">
        <v>9297</v>
      </c>
      <c r="G4412" t="s">
        <v>14</v>
      </c>
      <c r="H4412">
             </c>
      <c r="I4412" t="s">
        <v>14</v>
      </c>
      <c r="J4412" t="s">
        <v>242</v>
      </c>
      <c r="K4412" t="s">
        <v>14</v>
      </c>
      <c r="L4412" t="s">
        <v>20</v>
      </c>
      <c r="M4412" t="s">
        <v>9283</v>
      </c>
      <c r="N4412" t="s">
        <v>14</v>
      </c>
    </row>
    <row r="4413" x14ac:dyDescent="0.25">
      <c r="A4413" t="n">
        <v>25</v>
      </c>
      <c r="B4413" t="s">
        <v>14</v>
      </c>
      <c r="C4413" t="s">
        <v>51</v>
      </c>
      <c r="D4413" s="2" t="s">
        <f>=HYPERLINK("https://main.knesset.gov.il/APPS/legislation/main/bills/2204708", "הצעת חוק לתיקון פקודת מס הכנסה (החזר בתשלום למעונות יום לאמהות), התשפ""ג-2023")</f>
        <v>9298</v>
      </c>
      <c r="E4413" t="s">
        <v>9298</v>
      </c>
      <c r="F4413" t="s">
        <v>9299</v>
      </c>
      <c r="G4413" t="s">
        <v>14</v>
      </c>
      <c r="H4413">
             </c>
      <c r="I4413" t="s">
        <v>14</v>
      </c>
      <c r="J4413" t="s">
        <v>242</v>
      </c>
      <c r="K4413" t="s">
        <v>14</v>
      </c>
      <c r="L4413" t="s">
        <v>20</v>
      </c>
      <c r="M4413" t="s">
        <v>9283</v>
      </c>
      <c r="N4413" t="s">
        <v>14</v>
      </c>
    </row>
    <row r="4414" x14ac:dyDescent="0.25">
      <c r="A4414" t="n">
        <v>25</v>
      </c>
      <c r="B4414" t="s">
        <v>14</v>
      </c>
      <c r="C4414" t="s">
        <v>51</v>
      </c>
      <c r="D4414" s="2" t="s">
        <f>=HYPERLINK("https://main.knesset.gov.il/APPS/legislation/main/bills/2203911", "הצעת חוק עובדים זרים (תיקון - אגרה מופחתת בסיעוד המוסדי) (הוראת שעה), התשפ""ג-2023")</f>
        <v>8824</v>
      </c>
      <c r="E4414" t="s">
        <v>8824</v>
      </c>
      <c r="F4414" t="s">
        <v>9300</v>
      </c>
      <c r="G4414" t="s">
        <v>14</v>
      </c>
      <c r="H4414">
             </c>
      <c r="I4414" t="s">
        <v>14</v>
      </c>
      <c r="J4414" t="s">
        <v>242</v>
      </c>
      <c r="K4414" t="s">
        <v>14</v>
      </c>
      <c r="L4414" t="s">
        <v>20</v>
      </c>
      <c r="M4414" t="s">
        <v>9283</v>
      </c>
      <c r="N4414" t="s">
        <v>14</v>
      </c>
    </row>
    <row r="4415" x14ac:dyDescent="0.25">
      <c r="A4415" t="n">
        <v>25</v>
      </c>
      <c r="B4415" t="s">
        <v>14</v>
      </c>
      <c r="C4415" t="s">
        <v>51</v>
      </c>
      <c r="D4415" s="2" t="s">
        <f>=HYPERLINK("https://main.knesset.gov.il/APPS/legislation/main/bills/2203885", "הצעת חוק הביטוח הלאומי (תיקון - היוון חלק מגמלת נפגע עבודה לשם תשלום למייצג של עובד זר), התשפ""ג-2023")</f>
        <v>9301</v>
      </c>
      <c r="E4415" t="s">
        <v>9301</v>
      </c>
      <c r="F4415" t="s">
        <v>9302</v>
      </c>
      <c r="G4415" t="s">
        <v>14</v>
      </c>
      <c r="H4415">
             </c>
      <c r="I4415" t="s">
        <v>14</v>
      </c>
      <c r="J4415" t="s">
        <v>242</v>
      </c>
      <c r="K4415" t="s">
        <v>14</v>
      </c>
      <c r="L4415" t="s">
        <v>20</v>
      </c>
      <c r="M4415" t="s">
        <v>9283</v>
      </c>
      <c r="N4415" t="s">
        <v>14</v>
      </c>
    </row>
    <row r="4416" x14ac:dyDescent="0.25">
      <c r="A4416" t="n">
        <v>25</v>
      </c>
      <c r="B4416" t="s">
        <v>14</v>
      </c>
      <c r="C4416" t="s">
        <v>51</v>
      </c>
      <c r="D4416" s="2" t="s">
        <f>=HYPERLINK("https://main.knesset.gov.il/APPS/legislation/main/bills/2203244", "הצעת חוק לתיקון פקודת העיריות (אי-חיוב פעילות בשבת), התשפ""ג-2023")</f>
        <v>9303</v>
      </c>
      <c r="E4416" t="s">
        <v>9303</v>
      </c>
      <c r="F4416" t="s">
        <v>9304</v>
      </c>
      <c r="G4416" t="s">
        <v>14</v>
      </c>
      <c r="H4416">
             </c>
      <c r="I4416" t="s">
        <v>14</v>
      </c>
      <c r="J4416" t="s">
        <v>242</v>
      </c>
      <c r="K4416" t="s">
        <v>14</v>
      </c>
      <c r="L4416" t="s">
        <v>20</v>
      </c>
      <c r="M4416" t="s">
        <v>9283</v>
      </c>
      <c r="N4416" t="s">
        <v>14</v>
      </c>
    </row>
    <row r="4417" x14ac:dyDescent="0.25">
      <c r="A4417" t="n">
        <v>25</v>
      </c>
      <c r="B4417" t="s">
        <v>14</v>
      </c>
      <c r="C4417" t="s">
        <v>51</v>
      </c>
      <c r="D4417" s="2" t="s">
        <f>=HYPERLINK("https://main.knesset.gov.il/APPS/legislation/main/bills/2205342", "הצעת חוק החומרים המסוכנים (תיקון - פרטי התקשרות למרכז רעלים), התשפ""ג-2023 ")</f>
        <v>9305</v>
      </c>
      <c r="E4417" t="s">
        <v>9305</v>
      </c>
      <c r="F4417" t="s">
        <v>9306</v>
      </c>
      <c r="G4417" t="s">
        <v>14</v>
      </c>
      <c r="H4417">
             </c>
      <c r="I4417" t="s">
        <v>14</v>
      </c>
      <c r="J4417" t="s">
        <v>242</v>
      </c>
      <c r="K4417" t="s">
        <v>14</v>
      </c>
      <c r="L4417" t="s">
        <v>20</v>
      </c>
      <c r="M4417" t="s">
        <v>9283</v>
      </c>
      <c r="N4417" t="s">
        <v>14</v>
      </c>
    </row>
    <row r="4418" x14ac:dyDescent="0.25">
      <c r="A4418" t="n">
        <v>25</v>
      </c>
      <c r="B4418" t="s">
        <v>14</v>
      </c>
      <c r="C4418" t="s">
        <v>51</v>
      </c>
      <c r="D4418" s="2" t="s">
        <f>=HYPERLINK("https://main.knesset.gov.il/APPS/legislation/main/bills/2205742", "הצעת חוק העונשין (תיקון - הרחבת הגדרת הגזענות), התשפ""ג-2023")</f>
        <v>8446</v>
      </c>
      <c r="E4418" t="s">
        <v>8446</v>
      </c>
      <c r="F4418" t="s">
        <v>9307</v>
      </c>
      <c r="G4418" t="s">
        <v>14</v>
      </c>
      <c r="H4418">
             </c>
      <c r="I4418" t="s">
        <v>14</v>
      </c>
      <c r="J4418" t="s">
        <v>242</v>
      </c>
      <c r="K4418" t="s">
        <v>14</v>
      </c>
      <c r="L4418" t="s">
        <v>20</v>
      </c>
      <c r="M4418" t="s">
        <v>9283</v>
      </c>
      <c r="N4418" t="s">
        <v>14</v>
      </c>
    </row>
    <row r="4419" x14ac:dyDescent="0.25">
      <c r="A4419" t="n">
        <v>25</v>
      </c>
      <c r="B4419" t="s">
        <v>14</v>
      </c>
      <c r="C4419" t="s">
        <v>51</v>
      </c>
      <c r="D4419" s="2" t="s">
        <f>=HYPERLINK("https://main.knesset.gov.il/APPS/legislation/main/bills/2205737", "הצעת חוק הגנה על זכויות הדורות הבאים, התשפ""ג-2023")</f>
        <v>9308</v>
      </c>
      <c r="E4419" t="s">
        <v>9308</v>
      </c>
      <c r="F4419" t="s">
        <v>9309</v>
      </c>
      <c r="G4419" t="s">
        <v>14</v>
      </c>
      <c r="H4419">
             </c>
      <c r="I4419" t="s">
        <v>14</v>
      </c>
      <c r="J4419" t="s">
        <v>242</v>
      </c>
      <c r="K4419" t="s">
        <v>14</v>
      </c>
      <c r="L4419" t="s">
        <v>20</v>
      </c>
      <c r="M4419" t="s">
        <v>9283</v>
      </c>
      <c r="N4419" t="s">
        <v>14</v>
      </c>
    </row>
    <row r="4420" x14ac:dyDescent="0.25">
      <c r="A4420" t="n">
        <v>25</v>
      </c>
      <c r="B4420" t="s">
        <v>14</v>
      </c>
      <c r="C4420" t="s">
        <v>51</v>
      </c>
      <c r="D4420" s="2" t="s">
        <f>=HYPERLINK("https://main.knesset.gov.il/APPS/legislation/main/bills/2205655", "הצעת חוק העונשין (תיקון - מאסר עולם לאונס קטינים), התשפ""ג-2023")</f>
        <v>9310</v>
      </c>
      <c r="E4420" t="s">
        <v>9310</v>
      </c>
      <c r="F4420" t="s">
        <v>9311</v>
      </c>
      <c r="G4420" t="s">
        <v>14</v>
      </c>
      <c r="H4420">
             </c>
      <c r="I4420" t="s">
        <v>14</v>
      </c>
      <c r="J4420" t="s">
        <v>242</v>
      </c>
      <c r="K4420" t="s">
        <v>14</v>
      </c>
      <c r="L4420" t="s">
        <v>20</v>
      </c>
      <c r="M4420" t="s">
        <v>9283</v>
      </c>
      <c r="N4420" t="s">
        <v>14</v>
      </c>
    </row>
    <row r="4421" x14ac:dyDescent="0.25">
      <c r="A4421" t="n">
        <v>25</v>
      </c>
      <c r="B4421" t="s">
        <v>14</v>
      </c>
      <c r="C4421" t="s">
        <v>51</v>
      </c>
      <c r="D4421" s="2" t="s">
        <f>=HYPERLINK("https://main.knesset.gov.il/APPS/legislation/main/bills/2205142", "הצעת חוק העונשין (תיקון - הגדרת פשע שנאה), התשפ""ג-2023")</f>
        <v>9312</v>
      </c>
      <c r="E4421" t="s">
        <v>9312</v>
      </c>
      <c r="F4421" t="s">
        <v>9313</v>
      </c>
      <c r="G4421" t="s">
        <v>14</v>
      </c>
      <c r="H4421">
             </c>
      <c r="I4421" t="s">
        <v>14</v>
      </c>
      <c r="J4421" t="s">
        <v>242</v>
      </c>
      <c r="K4421" t="s">
        <v>14</v>
      </c>
      <c r="L4421" t="s">
        <v>20</v>
      </c>
      <c r="M4421" t="s">
        <v>9283</v>
      </c>
      <c r="N4421" t="s">
        <v>14</v>
      </c>
    </row>
    <row r="4422" x14ac:dyDescent="0.25">
      <c r="A4422" t="n">
        <v>25</v>
      </c>
      <c r="B4422" t="s">
        <v>14</v>
      </c>
      <c r="C4422" t="s">
        <v>51</v>
      </c>
      <c r="D4422" s="2" t="s">
        <f>=HYPERLINK("https://main.knesset.gov.il/APPS/legislation/main/bills/2203948", "הצעת חוק חופש מהתאגדות (הוראת שעה ותיקוני חקיקה), התשפ""ג-2023")</f>
        <v>9314</v>
      </c>
      <c r="E4422" t="s">
        <v>9314</v>
      </c>
      <c r="F4422" t="s">
        <v>9315</v>
      </c>
      <c r="G4422" t="s">
        <v>14</v>
      </c>
      <c r="H4422">
             </c>
      <c r="I4422" t="s">
        <v>14</v>
      </c>
      <c r="J4422" t="s">
        <v>242</v>
      </c>
      <c r="K4422" t="s">
        <v>14</v>
      </c>
      <c r="L4422" t="s">
        <v>20</v>
      </c>
      <c r="M4422" t="s">
        <v>9283</v>
      </c>
      <c r="N4422" t="s">
        <v>14</v>
      </c>
    </row>
    <row r="4423" x14ac:dyDescent="0.25">
      <c r="A4423" t="n">
        <v>25</v>
      </c>
      <c r="B4423" t="s">
        <v>14</v>
      </c>
      <c r="C4423" t="s">
        <v>51</v>
      </c>
      <c r="D4423" s="2" t="s">
        <f>=HYPERLINK("https://main.knesset.gov.il/APPS/legislation/main/bills/2197216", "הצעת חוק התכנון והבנייה (תיקון - הוספת נציג הקבלנים במועצה הארצית), התשפ""ג-2023")</f>
        <v>9316</v>
      </c>
      <c r="E4423" t="s">
        <v>9316</v>
      </c>
      <c r="F4423" t="s">
        <v>9317</v>
      </c>
      <c r="G4423" t="s">
        <v>14</v>
      </c>
      <c r="H4423">
             </c>
      <c r="I4423" t="s">
        <v>14</v>
      </c>
      <c r="J4423" t="s">
        <v>242</v>
      </c>
      <c r="K4423" t="s">
        <v>14</v>
      </c>
      <c r="L4423" t="s">
        <v>20</v>
      </c>
      <c r="M4423" t="s">
        <v>9283</v>
      </c>
      <c r="N4423" t="s">
        <v>14</v>
      </c>
    </row>
    <row r="4424" x14ac:dyDescent="0.25">
      <c r="A4424" t="n">
        <v>25</v>
      </c>
      <c r="B4424" t="s">
        <v>14</v>
      </c>
      <c r="C4424" t="s">
        <v>51</v>
      </c>
      <c r="D4424" s="2" t="s">
        <f>=HYPERLINK("https://main.knesset.gov.il/APPS/legislation/main/bills/2205472", "הצעת חוק סדר הדין הפלילי (סמכויות אכיפה - מעצרים) (תיקון - שחרור ממעצר באין הכרעת דין), התשפ""ג-2023")</f>
        <v>9318</v>
      </c>
      <c r="E4424" t="s">
        <v>9318</v>
      </c>
      <c r="F4424" t="s">
        <v>9319</v>
      </c>
      <c r="G4424" t="s">
        <v>14</v>
      </c>
      <c r="H4424">
             </c>
      <c r="I4424" t="s">
        <v>14</v>
      </c>
      <c r="J4424" t="s">
        <v>242</v>
      </c>
      <c r="K4424" t="s">
        <v>14</v>
      </c>
      <c r="L4424" t="s">
        <v>20</v>
      </c>
      <c r="M4424" t="s">
        <v>9283</v>
      </c>
      <c r="N4424" t="s">
        <v>14</v>
      </c>
    </row>
    <row r="4425" x14ac:dyDescent="0.25">
      <c r="A4425" t="n">
        <v>25</v>
      </c>
      <c r="B4425" t="s">
        <v>14</v>
      </c>
      <c r="C4425" t="s">
        <v>51</v>
      </c>
      <c r="D4425" s="2" t="s">
        <f>=HYPERLINK("https://main.knesset.gov.il/APPS/legislation/main/bills/2205114", "הצעת חוק שירות המדינה (משמעת) (תיקון - סמכויות השר) ,התשפ""ג-2023")</f>
        <v>9320</v>
      </c>
      <c r="E4425" t="s">
        <v>9320</v>
      </c>
      <c r="F4425" t="s">
        <v>9321</v>
      </c>
      <c r="G4425" t="s">
        <v>14</v>
      </c>
      <c r="H4425">
             </c>
      <c r="I4425" t="s">
        <v>14</v>
      </c>
      <c r="J4425" t="s">
        <v>242</v>
      </c>
      <c r="K4425" t="s">
        <v>14</v>
      </c>
      <c r="L4425" t="s">
        <v>20</v>
      </c>
      <c r="M4425" t="s">
        <v>9283</v>
      </c>
      <c r="N4425" t="s">
        <v>14</v>
      </c>
    </row>
    <row r="4426" x14ac:dyDescent="0.25">
      <c r="A4426" t="n">
        <v>25</v>
      </c>
      <c r="B4426" t="s">
        <v>14</v>
      </c>
      <c r="C4426" t="s">
        <v>51</v>
      </c>
      <c r="D4426" s="2" t="s">
        <f>=HYPERLINK("https://main.knesset.gov.il/APPS/legislation/main/bills/2205474", "הצעת חוק חינוך ממלכתי (תיקון - שלילת השתתפות בתקציב עקב הפליה), התשפ""ג-2023")</f>
        <v>9322</v>
      </c>
      <c r="E4426" t="s">
        <v>9322</v>
      </c>
      <c r="F4426" t="s">
        <v>9323</v>
      </c>
      <c r="G4426" t="s">
        <v>14</v>
      </c>
      <c r="H4426">
             </c>
      <c r="I4426" t="s">
        <v>14</v>
      </c>
      <c r="J4426" t="s">
        <v>202</v>
      </c>
      <c r="K4426" t="s">
        <v>14</v>
      </c>
      <c r="L4426" t="s">
        <v>20</v>
      </c>
      <c r="M4426" t="s">
        <v>9283</v>
      </c>
      <c r="N4426" t="s">
        <v>14</v>
      </c>
    </row>
    <row r="4427" x14ac:dyDescent="0.25">
      <c r="A4427" t="n">
        <v>25</v>
      </c>
      <c r="B4427" t="s">
        <v>14</v>
      </c>
      <c r="C4427" t="s">
        <v>51</v>
      </c>
      <c r="D4427" s="2" t="s">
        <f>=HYPERLINK("https://main.knesset.gov.il/APPS/legislation/main/bills/2205473", "הצעת חוק סדר הדין הפלילי (סמכויות אכיפה - מעצרים) (תיקון - פיצוי בשל מעצר), התשפ""ג-2023")</f>
        <v>9324</v>
      </c>
      <c r="E4427" t="s">
        <v>9324</v>
      </c>
      <c r="F4427" t="s">
        <v>9325</v>
      </c>
      <c r="G4427" t="s">
        <v>14</v>
      </c>
      <c r="H4427">
             </c>
      <c r="I4427" t="s">
        <v>14</v>
      </c>
      <c r="J4427" t="s">
        <v>242</v>
      </c>
      <c r="K4427" t="s">
        <v>14</v>
      </c>
      <c r="L4427" t="s">
        <v>20</v>
      </c>
      <c r="M4427" t="s">
        <v>9283</v>
      </c>
      <c r="N4427" t="s">
        <v>14</v>
      </c>
    </row>
    <row r="4428" x14ac:dyDescent="0.25">
      <c r="A4428" t="n">
        <v>25</v>
      </c>
      <c r="B4428" t="s">
        <v>14</v>
      </c>
      <c r="C4428" t="s">
        <v>51</v>
      </c>
      <c r="D4428" s="2" t="s">
        <f>=HYPERLINK("https://main.knesset.gov.il/APPS/legislation/main/bills/2199948", "הצעת חוק סדר הדין הפלילי (תיקון - הגשת ערעור), התשפ""ג-2023")</f>
        <v>9326</v>
      </c>
      <c r="E4428" t="s">
        <v>9326</v>
      </c>
      <c r="F4428" t="s">
        <v>9327</v>
      </c>
      <c r="G4428" t="s">
        <v>14</v>
      </c>
      <c r="H4428">
             </c>
      <c r="I4428" t="s">
        <v>14</v>
      </c>
      <c r="J4428" t="s">
        <v>242</v>
      </c>
      <c r="K4428" t="s">
        <v>14</v>
      </c>
      <c r="L4428" t="s">
        <v>20</v>
      </c>
      <c r="M4428" t="s">
        <v>9283</v>
      </c>
      <c r="N4428" t="s">
        <v>14</v>
      </c>
    </row>
    <row r="4429" x14ac:dyDescent="0.25">
      <c r="A4429" t="n">
        <v>25</v>
      </c>
      <c r="B4429" t="s">
        <v>14</v>
      </c>
      <c r="C4429" t="s">
        <v>51</v>
      </c>
      <c r="D4429" s="2" t="s">
        <f>=HYPERLINK("https://main.knesset.gov.il/APPS/legislation/main/bills/2205475", "הצעת חוק לתיקון סדרי המינהל (החלטות והנמקות) (תיקון - חובת מתן תשובה במועד), התשפ""ג-2023")</f>
        <v>9328</v>
      </c>
      <c r="E4429" t="s">
        <v>9328</v>
      </c>
      <c r="F4429" t="s">
        <v>9329</v>
      </c>
      <c r="G4429" t="s">
        <v>14</v>
      </c>
      <c r="H4429">
             </c>
      <c r="I4429" t="s">
        <v>14</v>
      </c>
      <c r="J4429" t="s">
        <v>242</v>
      </c>
      <c r="K4429" t="s">
        <v>14</v>
      </c>
      <c r="L4429" t="s">
        <v>20</v>
      </c>
      <c r="M4429" t="s">
        <v>9283</v>
      </c>
      <c r="N4429" t="s">
        <v>14</v>
      </c>
    </row>
    <row r="4430" x14ac:dyDescent="0.25">
      <c r="A4430" t="n">
        <v>25</v>
      </c>
      <c r="B4430" t="s">
        <v>14</v>
      </c>
      <c r="C4430" t="s">
        <v>51</v>
      </c>
      <c r="D4430" s="2" t="s">
        <f>=HYPERLINK("https://main.knesset.gov.il/APPS/legislation/main/bills/2204722", "הצעת חוק הרשויות המקומיות (בחירת ראש הרשות וסגניו וכהונתם) (תיקון - שכר לסגן ראש רשות), התשפ""ג-2023")</f>
        <v>8815</v>
      </c>
      <c r="E4430" t="s">
        <v>8815</v>
      </c>
      <c r="F4430" t="s">
        <v>9330</v>
      </c>
      <c r="G4430" t="s">
        <v>14</v>
      </c>
      <c r="H4430">
             </c>
      <c r="I4430" t="s">
        <v>14</v>
      </c>
      <c r="J4430" t="s">
        <v>242</v>
      </c>
      <c r="K4430" t="s">
        <v>14</v>
      </c>
      <c r="L4430" t="s">
        <v>20</v>
      </c>
      <c r="M4430" t="s">
        <v>9283</v>
      </c>
      <c r="N4430" t="s">
        <v>14</v>
      </c>
    </row>
    <row r="4431" x14ac:dyDescent="0.25">
      <c r="A4431" t="n">
        <v>25</v>
      </c>
      <c r="B4431" t="s">
        <v>14</v>
      </c>
      <c r="C4431" t="s">
        <v>51</v>
      </c>
      <c r="D4431" s="2" t="s">
        <f>=HYPERLINK("https://main.knesset.gov.il/APPS/legislation/main/bills/2205469", "הצעת חוק למניעת אלימות במשפחה (תיקון - פיקוח טכנולוגי להבטחת קיומו של צו הגנה, והערכת מסוכנות - הוראת שעה), התשפ""ג-2023")</f>
        <v>9331</v>
      </c>
      <c r="E4431" t="s">
        <v>9331</v>
      </c>
      <c r="F4431" t="s">
        <v>9332</v>
      </c>
      <c r="G4431" t="s">
        <v>14</v>
      </c>
      <c r="H4431">
             </c>
      <c r="I4431" t="s">
        <v>14</v>
      </c>
      <c r="J4431" t="s">
        <v>242</v>
      </c>
      <c r="K4431" t="s">
        <v>14</v>
      </c>
      <c r="L4431" t="s">
        <v>20</v>
      </c>
      <c r="M4431" t="s">
        <v>9283</v>
      </c>
      <c r="N4431" t="s">
        <v>14</v>
      </c>
    </row>
    <row r="4432" x14ac:dyDescent="0.25">
      <c r="A4432" t="n">
        <v>25</v>
      </c>
      <c r="B4432" t="s">
        <v>14</v>
      </c>
      <c r="C4432" t="s">
        <v>51</v>
      </c>
      <c r="D4432" s="2" t="s">
        <f>=HYPERLINK("https://main.knesset.gov.il/APPS/legislation/main/bills/2203913", "הצעת חוק זכויות הסטודנט (תיקון - זכויות לסטודנטים הלומדים בחוץ לארץ), התשפ""ג-2023")</f>
        <v>9333</v>
      </c>
      <c r="E4432" t="s">
        <v>9333</v>
      </c>
      <c r="F4432" t="s">
        <v>9334</v>
      </c>
      <c r="G4432" t="s">
        <v>14</v>
      </c>
      <c r="H4432">
             </c>
      <c r="I4432" t="s">
        <v>14</v>
      </c>
      <c r="J4432" t="s">
        <v>202</v>
      </c>
      <c r="K4432" t="s">
        <v>14</v>
      </c>
      <c r="L4432" t="s">
        <v>20</v>
      </c>
      <c r="M4432" t="s">
        <v>9283</v>
      </c>
      <c r="N4432" t="s">
        <v>14</v>
      </c>
    </row>
    <row r="4433" x14ac:dyDescent="0.25">
      <c r="A4433" t="n">
        <v>25</v>
      </c>
      <c r="B4433" t="s">
        <v>14</v>
      </c>
      <c r="C4433" t="s">
        <v>51</v>
      </c>
      <c r="D4433" s="2" t="s">
        <f>=HYPERLINK("https://main.knesset.gov.il/APPS/legislation/main/bills/2204582", "הצעת חוק העונשין (תיקון - החמרת ענישה בעבירת הפרת הוראות צו הגנה ובעבירת תקיפת בן זוג), התשפ""ג-2023")</f>
        <v>9335</v>
      </c>
      <c r="E4433" t="s">
        <v>9335</v>
      </c>
      <c r="F4433" t="s">
        <v>9336</v>
      </c>
      <c r="G4433" t="s">
        <v>14</v>
      </c>
      <c r="H4433">
             </c>
      <c r="I4433" t="s">
        <v>14</v>
      </c>
      <c r="J4433" t="s">
        <v>242</v>
      </c>
      <c r="K4433" t="s">
        <v>14</v>
      </c>
      <c r="L4433" t="s">
        <v>20</v>
      </c>
      <c r="M4433" t="s">
        <v>9283</v>
      </c>
      <c r="N4433" t="s">
        <v>14</v>
      </c>
    </row>
    <row r="4434" x14ac:dyDescent="0.25">
      <c r="A4434" t="n">
        <v>25</v>
      </c>
      <c r="B4434" t="s">
        <v>14</v>
      </c>
      <c r="C4434" t="s">
        <v>51</v>
      </c>
      <c r="D4434" s="2" t="s">
        <f>=HYPERLINK("https://main.knesset.gov.il/APPS/legislation/main/bills/2198160", "הצעת חוק שוויון זכויות לאנשים עם מוגבלות (תיקון - קדימות בתור), התשפ""ג-2023")</f>
        <v>9337</v>
      </c>
      <c r="E4434" t="s">
        <v>9337</v>
      </c>
      <c r="F4434" t="s">
        <v>9338</v>
      </c>
      <c r="G4434" t="s">
        <v>14</v>
      </c>
      <c r="H4434">
             </c>
      <c r="I4434" t="s">
        <v>14</v>
      </c>
      <c r="J4434" t="s">
        <v>242</v>
      </c>
      <c r="K4434" t="s">
        <v>14</v>
      </c>
      <c r="L4434" t="s">
        <v>20</v>
      </c>
      <c r="M4434" t="s">
        <v>9283</v>
      </c>
      <c r="N4434" t="s">
        <v>14</v>
      </c>
    </row>
    <row r="4435" x14ac:dyDescent="0.25">
      <c r="A4435" t="n">
        <v>25</v>
      </c>
      <c r="B4435" t="s">
        <v>14</v>
      </c>
      <c r="C4435" t="s">
        <v>51</v>
      </c>
      <c r="D4435" s="2" t="s">
        <f>=HYPERLINK("https://main.knesset.gov.il/APPS/legislation/main/bills/2205077", "הצעת חוק שוויון זכויות לאנשים עם מוגבלות (תיקון - חובת הנגשת אוטובוסים בין-עירוניים), התשפ""ג-2023")</f>
        <v>8556</v>
      </c>
      <c r="E4435" t="s">
        <v>8556</v>
      </c>
      <c r="F4435" t="s">
        <v>9339</v>
      </c>
      <c r="G4435" t="s">
        <v>14</v>
      </c>
      <c r="H4435">
             </c>
      <c r="I4435" t="s">
        <v>14</v>
      </c>
      <c r="J4435" t="s">
        <v>242</v>
      </c>
      <c r="K4435" t="s">
        <v>14</v>
      </c>
      <c r="L4435" t="s">
        <v>20</v>
      </c>
      <c r="M4435" t="s">
        <v>9283</v>
      </c>
      <c r="N4435" t="s">
        <v>14</v>
      </c>
    </row>
    <row r="4436" x14ac:dyDescent="0.25">
      <c r="A4436" t="n">
        <v>25</v>
      </c>
      <c r="B4436" t="s">
        <v>14</v>
      </c>
      <c r="C4436" t="s">
        <v>51</v>
      </c>
      <c r="D4436" s="2" t="s">
        <f>=HYPERLINK("https://main.knesset.gov.il/APPS/legislation/main/bills/2205050", "הצעת חוק מגן דוד אדום (תיקון - פריסת ניידות טיפול נמרץ ברחבי המדינה), התשפ""ג-2023 ")</f>
        <v>8321</v>
      </c>
      <c r="E4436" t="s">
        <v>8321</v>
      </c>
      <c r="F4436" t="s">
        <v>9340</v>
      </c>
      <c r="G4436" t="s">
        <v>14</v>
      </c>
      <c r="H4436">
             </c>
      <c r="I4436" t="s">
        <v>14</v>
      </c>
      <c r="J4436" t="s">
        <v>242</v>
      </c>
      <c r="K4436" t="s">
        <v>14</v>
      </c>
      <c r="L4436" t="s">
        <v>20</v>
      </c>
      <c r="M4436" t="s">
        <v>9283</v>
      </c>
      <c r="N4436" t="s">
        <v>14</v>
      </c>
    </row>
    <row r="4437" x14ac:dyDescent="0.25">
      <c r="A4437" t="n">
        <v>25</v>
      </c>
      <c r="B4437" t="s">
        <v>14</v>
      </c>
      <c r="C4437" t="s">
        <v>51</v>
      </c>
      <c r="D4437" s="2" t="s">
        <f>=HYPERLINK("https://main.knesset.gov.il/APPS/legislation/main/bills/2205546", "הצעת חוק לתיקון פקודת המסים (גבייה) (תנאים למתן כתב הרשאה וצו עיקול), התשפ""ג-2023")</f>
        <v>9341</v>
      </c>
      <c r="E4437" t="s">
        <v>9341</v>
      </c>
      <c r="F4437" t="s">
        <v>9342</v>
      </c>
      <c r="G4437" t="s">
        <v>14</v>
      </c>
      <c r="H4437">
             </c>
      <c r="I4437" t="s">
        <v>14</v>
      </c>
      <c r="J4437" t="s">
        <v>242</v>
      </c>
      <c r="K4437" t="s">
        <v>14</v>
      </c>
      <c r="L4437" t="s">
        <v>20</v>
      </c>
      <c r="M4437" t="s">
        <v>9283</v>
      </c>
      <c r="N4437" t="s">
        <v>14</v>
      </c>
    </row>
    <row r="4438" x14ac:dyDescent="0.25">
      <c r="A4438" t="n">
        <v>25</v>
      </c>
      <c r="B4438" t="s">
        <v>14</v>
      </c>
      <c r="C4438" t="s">
        <v>51</v>
      </c>
      <c r="D4438" s="2" t="s">
        <f>=HYPERLINK("https://main.knesset.gov.il/APPS/legislation/main/bills/2205470", "הצעת חוק הסעד (טיפול באנשים עם מוגבלות שכלית-התפתחותית) (תיקון - דיווח לכנסת לעניין פגיעה באדם עם מוגבלות שכלית-התפתחותית), התשפ""ג-2023")</f>
        <v>9122</v>
      </c>
      <c r="E4438" t="s">
        <v>9122</v>
      </c>
      <c r="F4438" t="s">
        <v>9343</v>
      </c>
      <c r="G4438" t="s">
        <v>14</v>
      </c>
      <c r="H4438">
             </c>
      <c r="I4438" t="s">
        <v>14</v>
      </c>
      <c r="J4438" t="s">
        <v>242</v>
      </c>
      <c r="K4438" t="s">
        <v>14</v>
      </c>
      <c r="L4438" t="s">
        <v>20</v>
      </c>
      <c r="M4438" t="s">
        <v>9283</v>
      </c>
      <c r="N4438" t="s">
        <v>14</v>
      </c>
    </row>
    <row r="4439" x14ac:dyDescent="0.25">
      <c r="A4439" t="n">
        <v>25</v>
      </c>
      <c r="B4439" t="s">
        <v>14</v>
      </c>
      <c r="C4439" t="s">
        <v>51</v>
      </c>
      <c r="D4439" s="2" t="s">
        <f>=HYPERLINK("https://main.knesset.gov.il/APPS/legislation/main/bills/2203824", "הצעת חוק המרכז למורשת יהדות תימן, התשפ""ג-2023")</f>
        <v>9344</v>
      </c>
      <c r="E4439" t="s">
        <v>9344</v>
      </c>
      <c r="F4439" t="s">
        <v>9345</v>
      </c>
      <c r="G4439" t="s">
        <v>14</v>
      </c>
      <c r="H4439">
             </c>
      <c r="I4439" t="s">
        <v>14</v>
      </c>
      <c r="J4439" t="s">
        <v>202</v>
      </c>
      <c r="K4439" t="s">
        <v>14</v>
      </c>
      <c r="L4439" t="s">
        <v>20</v>
      </c>
      <c r="M4439" t="s">
        <v>9283</v>
      </c>
      <c r="N4439" t="s">
        <v>14</v>
      </c>
    </row>
    <row r="4440" x14ac:dyDescent="0.25">
      <c r="A4440" t="n">
        <v>25</v>
      </c>
      <c r="B4440" t="s">
        <v>14</v>
      </c>
      <c r="C4440" t="s">
        <v>51</v>
      </c>
      <c r="D4440" s="2" t="s">
        <f>=HYPERLINK("https://main.knesset.gov.il/APPS/legislation/main/bills/2204435", "הצעת חוק הביטוח הלאומי (תיקון - גמלת סיעוד בכסף בשיעור מלא), התשפ""ג-2023")</f>
        <v>9018</v>
      </c>
      <c r="E4440" t="s">
        <v>9018</v>
      </c>
      <c r="F4440" t="s">
        <v>9346</v>
      </c>
      <c r="G4440" t="s">
        <v>14</v>
      </c>
      <c r="H4440">
             </c>
      <c r="I4440" t="s">
        <v>14</v>
      </c>
      <c r="J4440" t="s">
        <v>242</v>
      </c>
      <c r="K4440" t="s">
        <v>14</v>
      </c>
      <c r="L4440" t="s">
        <v>20</v>
      </c>
      <c r="M4440" t="s">
        <v>9283</v>
      </c>
      <c r="N4440" t="s">
        <v>14</v>
      </c>
    </row>
    <row r="4441" x14ac:dyDescent="0.25">
      <c r="A4441" t="n">
        <v>25</v>
      </c>
      <c r="B4441" t="s">
        <v>14</v>
      </c>
      <c r="C4441" t="s">
        <v>51</v>
      </c>
      <c r="D4441" s="2" t="s">
        <f>=HYPERLINK("https://main.knesset.gov.il/APPS/legislation/main/bills/2204023", "הצעת חוק הבטחת הכנסה (תיקון - הגדלת מענק חימום), התשפ""ג-2023")</f>
        <v>9347</v>
      </c>
      <c r="E4441" t="s">
        <v>9347</v>
      </c>
      <c r="F4441" t="s">
        <v>9348</v>
      </c>
      <c r="G4441" t="s">
        <v>14</v>
      </c>
      <c r="H4441">
             </c>
      <c r="I4441" t="s">
        <v>14</v>
      </c>
      <c r="J4441" t="s">
        <v>242</v>
      </c>
      <c r="K4441" t="s">
        <v>14</v>
      </c>
      <c r="L4441" t="s">
        <v>20</v>
      </c>
      <c r="M4441" t="s">
        <v>9283</v>
      </c>
      <c r="N4441" t="s">
        <v>14</v>
      </c>
    </row>
    <row r="4442" x14ac:dyDescent="0.25">
      <c r="A4442" t="n">
        <v>25</v>
      </c>
      <c r="B4442" t="s">
        <v>14</v>
      </c>
      <c r="C4442" t="s">
        <v>15</v>
      </c>
      <c r="D4442" s="2" t="s">
        <f>=HYPERLINK("https://main.knesset.gov.il/APPS/legislation/main/bills/2205488", "הצעת חוק בתי המשפט (תיקון מס' 106) (שופט עמית), התשפ""ג-2023")</f>
        <v>9349</v>
      </c>
      <c r="E4442" t="s">
        <v>9349</v>
      </c>
      <c r="F4442" t="s">
        <v>14</v>
      </c>
      <c r="G4442" t="s">
        <v>9350</v>
      </c>
      <c r="H4442">
             </c>
      <c r="I4442" t="s">
        <v>14</v>
      </c>
      <c r="J4442" t="s">
        <v>38</v>
      </c>
      <c r="K4442" t="s">
        <v>27</v>
      </c>
      <c r="L4442" t="s">
        <v>20</v>
      </c>
      <c r="M4442" t="s">
        <v>9283</v>
      </c>
      <c r="N4442" t="s">
        <v>14</v>
      </c>
    </row>
    <row r="4443" x14ac:dyDescent="0.25">
      <c r="A4443" t="n">
        <v>25</v>
      </c>
      <c r="B4443" t="s">
        <v>14</v>
      </c>
      <c r="C4443" t="s">
        <v>15</v>
      </c>
      <c r="D4443" s="2" t="s">
        <f>=HYPERLINK("https://main.knesset.gov.il/APPS/legislation/main/bills/2203820", "חוק התקציב לשנת הכספים 2024, התשפ""ג-2023")</f>
        <v>9351</v>
      </c>
      <c r="E4443" t="s">
        <v>9351</v>
      </c>
      <c r="F4443" t="s">
        <v>14</v>
      </c>
      <c r="G4443" t="s">
        <v>9352</v>
      </c>
      <c r="H4443" t="n">
        <v>3088</v>
      </c>
      <c r="I4443" t="s">
        <v>14</v>
      </c>
      <c r="J4443" t="s">
        <v>18</v>
      </c>
      <c r="K4443" t="s">
        <v>24</v>
      </c>
      <c r="L4443" t="s">
        <v>20</v>
      </c>
      <c r="M4443" t="s">
        <v>9353</v>
      </c>
      <c r="N4443" t="s">
        <v>9354</v>
      </c>
    </row>
    <row r="4444" x14ac:dyDescent="0.25">
      <c r="A4444" t="n">
        <v>25</v>
      </c>
      <c r="B4444" t="s">
        <v>14</v>
      </c>
      <c r="C4444" t="s">
        <v>15</v>
      </c>
      <c r="D4444" s="2" t="s">
        <f>=HYPERLINK("https://main.knesset.gov.il/APPS/legislation/main/bills/2203819", "חוק התקציב לשנת הכספים 2023, התשפ""ג-2023")</f>
        <v>9355</v>
      </c>
      <c r="E4444" t="s">
        <v>9355</v>
      </c>
      <c r="F4444" t="s">
        <v>14</v>
      </c>
      <c r="G4444" t="s">
        <v>9356</v>
      </c>
      <c r="H4444" t="n">
        <v>3054</v>
      </c>
      <c r="I4444" t="s">
        <v>14</v>
      </c>
      <c r="J4444" t="s">
        <v>18</v>
      </c>
      <c r="K4444" t="s">
        <v>24</v>
      </c>
      <c r="L4444" t="s">
        <v>20</v>
      </c>
      <c r="M4444" t="s">
        <v>9353</v>
      </c>
      <c r="N4444" t="s">
        <v>9357</v>
      </c>
    </row>
    <row r="4445" x14ac:dyDescent="0.25">
      <c r="A4445" t="n">
        <v>25</v>
      </c>
      <c r="B4445" t="s">
        <v>14</v>
      </c>
      <c r="C4445" t="s">
        <v>15</v>
      </c>
      <c r="D4445" s="2" t="s">
        <f>=HYPERLINK("https://main.knesset.gov.il/APPS/legislation/main/bills/2203821", "חוק התוכנית הכלכלית (תיקוני חקיקה ליישום המדיניות הכלכלית לשנות התקציב 2023 ו-2024), התשפ""ג-2023")</f>
        <v>9358</v>
      </c>
      <c r="E4445" t="s">
        <v>9358</v>
      </c>
      <c r="F4445" t="s">
        <v>14</v>
      </c>
      <c r="G4445" t="s">
        <v>81</v>
      </c>
      <c r="H4445" t="n">
        <v>3046</v>
      </c>
      <c r="I4445" t="s">
        <v>14</v>
      </c>
      <c r="J4445" t="s">
        <v>18</v>
      </c>
      <c r="K4445" t="s">
        <v>24</v>
      </c>
      <c r="L4445" t="s">
        <v>20</v>
      </c>
      <c r="M4445" t="s">
        <v>9353</v>
      </c>
      <c r="N4445" t="s">
        <v>9359</v>
      </c>
    </row>
    <row r="4446" x14ac:dyDescent="0.25">
      <c r="A4446" t="n">
        <v>25</v>
      </c>
      <c r="B4446" t="s">
        <v>14</v>
      </c>
      <c r="C4446" t="s">
        <v>15</v>
      </c>
      <c r="D4446" s="2" t="s">
        <f>=HYPERLINK("https://main.knesset.gov.il/APPS/legislation/main/bills/2203828", "חוק הפחתת הגירעון והגבלת ההוצאה התקציבית (תיקון מס' 23 - הוראת שעה), התשפ""ג-2023 ")</f>
        <v>9360</v>
      </c>
      <c r="E4446" t="s">
        <v>9360</v>
      </c>
      <c r="F4446" t="s">
        <v>14</v>
      </c>
      <c r="G4446" t="s">
        <v>81</v>
      </c>
      <c r="H4446" t="n">
        <v>3044</v>
      </c>
      <c r="I4446" t="s">
        <v>14</v>
      </c>
      <c r="J4446" t="s">
        <v>18</v>
      </c>
      <c r="K4446" t="s">
        <v>24</v>
      </c>
      <c r="L4446" t="s">
        <v>20</v>
      </c>
      <c r="M4446" t="s">
        <v>9353</v>
      </c>
      <c r="N4446" t="s">
        <v>9361</v>
      </c>
    </row>
    <row r="4447" x14ac:dyDescent="0.25">
      <c r="A4447" t="n">
        <v>25</v>
      </c>
      <c r="B4447" t="s">
        <v>14</v>
      </c>
      <c r="C4447" t="s">
        <v>15</v>
      </c>
      <c r="D4447" s="2" t="s">
        <f>=HYPERLINK("https://main.knesset.gov.il/APPS/legislation/main/bills/2203823", "חוק ההתאמות הפיסקליות, התשפ""ג-2023")</f>
        <v>9362</v>
      </c>
      <c r="E4447" t="s">
        <v>9362</v>
      </c>
      <c r="F4447" t="s">
        <v>14</v>
      </c>
      <c r="G4447" t="s">
        <v>9363</v>
      </c>
      <c r="H4447" t="n">
        <v>3043</v>
      </c>
      <c r="I4447" t="s">
        <v>14</v>
      </c>
      <c r="J4447" t="s">
        <v>18</v>
      </c>
      <c r="K4447" t="s">
        <v>24</v>
      </c>
      <c r="L4447" t="s">
        <v>20</v>
      </c>
      <c r="M4447" t="s">
        <v>9353</v>
      </c>
      <c r="N4447" t="s">
        <v>9364</v>
      </c>
    </row>
    <row r="4448" x14ac:dyDescent="0.25">
      <c r="A4448" t="n">
        <v>25</v>
      </c>
      <c r="B4448" t="s">
        <v>14</v>
      </c>
      <c r="C4448" t="s">
        <v>15</v>
      </c>
      <c r="D4448" s="2" t="s">
        <f>=HYPERLINK("https://main.knesset.gov.il/APPS/legislation/main/bills/2203822", "חוק-יסוד: משק המדינה (תיקון מס' 13)")</f>
        <v>9365</v>
      </c>
      <c r="E4448" t="s">
        <v>9365</v>
      </c>
      <c r="F4448" t="s">
        <v>14</v>
      </c>
      <c r="G4448" t="s">
        <v>9366</v>
      </c>
      <c r="H4448" t="n">
        <v>3042</v>
      </c>
      <c r="I4448" t="s">
        <v>14</v>
      </c>
      <c r="J4448" t="s">
        <v>18</v>
      </c>
      <c r="K4448" t="s">
        <v>24</v>
      </c>
      <c r="L4448" t="s">
        <v>20</v>
      </c>
      <c r="M4448" t="s">
        <v>9353</v>
      </c>
      <c r="N4448" t="s">
        <v>9367</v>
      </c>
    </row>
    <row r="4449" x14ac:dyDescent="0.25">
      <c r="A4449" t="n">
        <v>25</v>
      </c>
      <c r="B4449" t="s">
        <v>14</v>
      </c>
      <c r="C4449" t="s">
        <v>15</v>
      </c>
      <c r="D4449" s="2" t="s">
        <f>=HYPERLINK("https://main.knesset.gov.il/APPS/legislation/main/bills/2204187", "פרק כ""ב (תכנון ובנייה) מתוך הצעת חוק התכנית הכלכלית (תיקוני חקיקה ליישום המדיניות הכלכלית לשנות התקציב 2023 ו-2024), התשפ""ג-2023")</f>
        <v>9368</v>
      </c>
      <c r="E4449" t="s">
        <v>9368</v>
      </c>
      <c r="F4449" t="s">
        <v>14</v>
      </c>
      <c r="G4449" t="s">
        <v>81</v>
      </c>
      <c r="H4449">
             </c>
      <c r="I4449" t="s">
        <v>14</v>
      </c>
      <c r="J4449" t="s">
        <v>183</v>
      </c>
      <c r="K4449" t="s">
        <v>42</v>
      </c>
      <c r="L4449" t="s">
        <v>20</v>
      </c>
      <c r="M4449" t="s">
        <v>9369</v>
      </c>
      <c r="N4449" t="s">
        <v>14</v>
      </c>
    </row>
    <row r="4450" x14ac:dyDescent="0.25">
      <c r="A4450" t="n">
        <v>25</v>
      </c>
      <c r="B4450" t="s">
        <v>14</v>
      </c>
      <c r="C4450" t="s">
        <v>51</v>
      </c>
      <c r="D4450" s="2" t="s">
        <f>=HYPERLINK("https://main.knesset.gov.il/APPS/legislation/main/bills/2201179", "הצעת חוק התקנת מצלמות לשם הגנה על פעוטות במעונות יום לפעוטות (תיקון - הרחבת הגישה לצילומים), התשפ""ג-2023 ")</f>
        <v>9036</v>
      </c>
      <c r="E4450" t="s">
        <v>9036</v>
      </c>
      <c r="F4450" t="s">
        <v>9370</v>
      </c>
      <c r="G4450" t="s">
        <v>14</v>
      </c>
      <c r="H4450">
             </c>
      <c r="I4450" t="s">
        <v>14</v>
      </c>
      <c r="J4450" t="s">
        <v>193</v>
      </c>
      <c r="K4450" t="s">
        <v>14</v>
      </c>
      <c r="L4450" t="s">
        <v>20</v>
      </c>
      <c r="M4450" t="s">
        <v>9369</v>
      </c>
      <c r="N4450" t="s">
        <v>14</v>
      </c>
    </row>
    <row r="4451" x14ac:dyDescent="0.25">
      <c r="A4451" t="n">
        <v>25</v>
      </c>
      <c r="B4451" t="s">
        <v>14</v>
      </c>
      <c r="C4451" t="s">
        <v>51</v>
      </c>
      <c r="D4451" s="2" t="s">
        <f>=HYPERLINK("https://main.knesset.gov.il/APPS/legislation/main/bills/2200888", "הצעת חוק שירות חובה לכל, התשפ""ג-2023")</f>
        <v>9371</v>
      </c>
      <c r="E4451" t="s">
        <v>9371</v>
      </c>
      <c r="F4451" t="s">
        <v>9372</v>
      </c>
      <c r="G4451" t="s">
        <v>14</v>
      </c>
      <c r="H4451">
             </c>
      <c r="I4451" t="s">
        <v>14</v>
      </c>
      <c r="J4451" t="s">
        <v>193</v>
      </c>
      <c r="K4451" t="s">
        <v>14</v>
      </c>
      <c r="L4451" t="s">
        <v>20</v>
      </c>
      <c r="M4451" t="s">
        <v>9369</v>
      </c>
      <c r="N4451" t="s">
        <v>14</v>
      </c>
    </row>
    <row r="4452" x14ac:dyDescent="0.25">
      <c r="A4452" t="n">
        <v>25</v>
      </c>
      <c r="B4452" t="s">
        <v>14</v>
      </c>
      <c r="C4452" t="s">
        <v>51</v>
      </c>
      <c r="D4452" s="2" t="s">
        <f>=HYPERLINK("https://main.knesset.gov.il/APPS/legislation/main/bills/2200887", "הצעת חוק הכשרות המשפטית והאפוטרופסות (תיקון - שלילת האפוטרופסות הטבעית עבור נאשמים ומורשעים בעבירות אלימות במשפחה), התשפ""ג-2023")</f>
        <v>9237</v>
      </c>
      <c r="E4452" t="s">
        <v>9237</v>
      </c>
      <c r="F4452" t="s">
        <v>9373</v>
      </c>
      <c r="G4452" t="s">
        <v>14</v>
      </c>
      <c r="H4452">
             </c>
      <c r="I4452" t="s">
        <v>14</v>
      </c>
      <c r="J4452" t="s">
        <v>193</v>
      </c>
      <c r="K4452" t="s">
        <v>14</v>
      </c>
      <c r="L4452" t="s">
        <v>20</v>
      </c>
      <c r="M4452" t="s">
        <v>9369</v>
      </c>
      <c r="N4452" t="s">
        <v>14</v>
      </c>
    </row>
    <row r="4453" x14ac:dyDescent="0.25">
      <c r="A4453" t="n">
        <v>25</v>
      </c>
      <c r="B4453" t="s">
        <v>14</v>
      </c>
      <c r="C4453" t="s">
        <v>51</v>
      </c>
      <c r="D4453" s="2" t="s">
        <f>=HYPERLINK("https://main.knesset.gov.il/APPS/legislation/main/bills/2199524", "הצעת חוק הבטחת הכנסה (תיקון - זכויות נשים ששהו במקלט לנשים מוכות), התשפ""ג-2023")</f>
        <v>9374</v>
      </c>
      <c r="E4453" t="s">
        <v>9374</v>
      </c>
      <c r="F4453" t="s">
        <v>9375</v>
      </c>
      <c r="G4453" t="s">
        <v>14</v>
      </c>
      <c r="H4453">
             </c>
      <c r="I4453" t="s">
        <v>14</v>
      </c>
      <c r="J4453" t="s">
        <v>202</v>
      </c>
      <c r="K4453" t="s">
        <v>14</v>
      </c>
      <c r="L4453" t="s">
        <v>20</v>
      </c>
      <c r="M4453" t="s">
        <v>9369</v>
      </c>
      <c r="N4453" t="s">
        <v>14</v>
      </c>
    </row>
    <row r="4454" x14ac:dyDescent="0.25">
      <c r="A4454" t="n">
        <v>25</v>
      </c>
      <c r="B4454" t="s">
        <v>14</v>
      </c>
      <c r="C4454" t="s">
        <v>51</v>
      </c>
      <c r="D4454" s="2" t="s">
        <f>=HYPERLINK("https://main.knesset.gov.il/APPS/legislation/main/bills/2199323", "הצעת חוק שמירת הניקיון (תיקון - איסור הנחת דברי פרסומת בתיבות דואר ופיצויים לדוגמה), התשפ""ג-2023")</f>
        <v>9376</v>
      </c>
      <c r="E4454" t="s">
        <v>9376</v>
      </c>
      <c r="F4454" t="s">
        <v>9377</v>
      </c>
      <c r="G4454" t="s">
        <v>14</v>
      </c>
      <c r="H4454">
             </c>
      <c r="I4454" t="s">
        <v>14</v>
      </c>
      <c r="J4454" t="s">
        <v>193</v>
      </c>
      <c r="K4454" t="s">
        <v>14</v>
      </c>
      <c r="L4454" t="s">
        <v>20</v>
      </c>
      <c r="M4454" t="s">
        <v>9369</v>
      </c>
      <c r="N4454" t="s">
        <v>14</v>
      </c>
    </row>
    <row r="4455" x14ac:dyDescent="0.25">
      <c r="A4455" t="n">
        <v>25</v>
      </c>
      <c r="B4455" t="s">
        <v>14</v>
      </c>
      <c r="C4455" t="s">
        <v>51</v>
      </c>
      <c r="D4455" s="2" t="s">
        <f>=HYPERLINK("https://main.knesset.gov.il/APPS/legislation/main/bills/2200095", "הצעת חוק לתיקון פקודת העדה הדתית (המרה) (גיור על ידי רב עיר), התשפ""ג-2023")</f>
        <v>9378</v>
      </c>
      <c r="E4455" t="s">
        <v>9378</v>
      </c>
      <c r="F4455" t="s">
        <v>9379</v>
      </c>
      <c r="G4455" t="s">
        <v>14</v>
      </c>
      <c r="H4455">
             </c>
      <c r="I4455" t="s">
        <v>14</v>
      </c>
      <c r="J4455" t="s">
        <v>193</v>
      </c>
      <c r="K4455" t="s">
        <v>14</v>
      </c>
      <c r="L4455" t="s">
        <v>20</v>
      </c>
      <c r="M4455" t="s">
        <v>9369</v>
      </c>
      <c r="N4455" t="s">
        <v>14</v>
      </c>
    </row>
    <row r="4456" x14ac:dyDescent="0.25">
      <c r="A4456" t="n">
        <v>25</v>
      </c>
      <c r="B4456" t="s">
        <v>14</v>
      </c>
      <c r="C4456" t="s">
        <v>51</v>
      </c>
      <c r="D4456" s="2" t="s">
        <f>=HYPERLINK("https://main.knesset.gov.il/APPS/legislation/main/bills/2198297", "הצעת חוק זאב ז'בוטינסקי (ציון זכרו ופועלו) (תיקון - הגדלת תקציב הפעילות ומימון המכון), התשפ""ג-2023")</f>
        <v>9380</v>
      </c>
      <c r="E4456" t="s">
        <v>9380</v>
      </c>
      <c r="F4456" t="s">
        <v>9381</v>
      </c>
      <c r="G4456" t="s">
        <v>14</v>
      </c>
      <c r="H4456">
             </c>
      <c r="I4456" t="s">
        <v>14</v>
      </c>
      <c r="J4456" t="s">
        <v>152</v>
      </c>
      <c r="K4456" t="s">
        <v>79</v>
      </c>
      <c r="L4456" t="s">
        <v>20</v>
      </c>
      <c r="M4456" t="s">
        <v>9369</v>
      </c>
      <c r="N4456" t="s">
        <v>14</v>
      </c>
    </row>
    <row r="4457" x14ac:dyDescent="0.25">
      <c r="A4457" t="n">
        <v>25</v>
      </c>
      <c r="B4457" t="s">
        <v>14</v>
      </c>
      <c r="C4457" t="s">
        <v>51</v>
      </c>
      <c r="D4457" s="2" t="s">
        <f>=HYPERLINK("https://main.knesset.gov.il/APPS/legislation/main/bills/2197882", "הצעת חוק החברות (תיקון - פרסום דוחות כספיים של מונופול), התשפ""ג-2022")</f>
        <v>9382</v>
      </c>
      <c r="E4457" t="s">
        <v>9382</v>
      </c>
      <c r="F4457" t="s">
        <v>9383</v>
      </c>
      <c r="G4457" t="s">
        <v>14</v>
      </c>
      <c r="H4457">
             </c>
      <c r="I4457" t="s">
        <v>14</v>
      </c>
      <c r="J4457" t="s">
        <v>193</v>
      </c>
      <c r="K4457" t="s">
        <v>14</v>
      </c>
      <c r="L4457" t="s">
        <v>20</v>
      </c>
      <c r="M4457" t="s">
        <v>9369</v>
      </c>
      <c r="N4457" t="s">
        <v>14</v>
      </c>
    </row>
    <row r="4458" x14ac:dyDescent="0.25">
      <c r="A4458" t="n">
        <v>25</v>
      </c>
      <c r="B4458" t="s">
        <v>14</v>
      </c>
      <c r="C4458" t="s">
        <v>51</v>
      </c>
      <c r="D4458" s="2" t="s">
        <f>=HYPERLINK("https://main.knesset.gov.il/APPS/legislation/main/bills/2197669", "הצעת חוק שמירת הסביבה החופית (בחינה ועדכון של תוכניות), התשפ""ג-2022")</f>
        <v>9384</v>
      </c>
      <c r="E4458" t="s">
        <v>9384</v>
      </c>
      <c r="F4458" t="s">
        <v>9385</v>
      </c>
      <c r="G4458" t="s">
        <v>14</v>
      </c>
      <c r="H4458">
             </c>
      <c r="I4458" t="s">
        <v>14</v>
      </c>
      <c r="J4458" t="s">
        <v>303</v>
      </c>
      <c r="K4458" t="s">
        <v>14</v>
      </c>
      <c r="L4458" t="s">
        <v>20</v>
      </c>
      <c r="M4458" t="s">
        <v>9369</v>
      </c>
      <c r="N4458" t="s">
        <v>14</v>
      </c>
    </row>
    <row r="4459" x14ac:dyDescent="0.25">
      <c r="A4459" t="n">
        <v>25</v>
      </c>
      <c r="B4459" t="s">
        <v>14</v>
      </c>
      <c r="C4459" t="s">
        <v>51</v>
      </c>
      <c r="D4459" s="2" t="s">
        <f>=HYPERLINK("https://main.knesset.gov.il/APPS/legislation/main/bills/2196939", "הצעת חוק העונשין (תיקון - איסור הנפת דגל של ישות עוינת), התשפ""ג-2022")</f>
        <v>9386</v>
      </c>
      <c r="E4459" t="s">
        <v>9386</v>
      </c>
      <c r="F4459" t="s">
        <v>9387</v>
      </c>
      <c r="G4459" t="s">
        <v>14</v>
      </c>
      <c r="H4459">
             </c>
      <c r="I4459" t="s">
        <v>14</v>
      </c>
      <c r="J4459" t="s">
        <v>152</v>
      </c>
      <c r="K4459" t="s">
        <v>27</v>
      </c>
      <c r="L4459" t="s">
        <v>20</v>
      </c>
      <c r="M4459" t="s">
        <v>9369</v>
      </c>
      <c r="N4459" t="s">
        <v>14</v>
      </c>
    </row>
    <row r="4460" x14ac:dyDescent="0.25">
      <c r="A4460" t="n">
        <v>25</v>
      </c>
      <c r="B4460" t="s">
        <v>14</v>
      </c>
      <c r="C4460" t="s">
        <v>15</v>
      </c>
      <c r="D4460" s="2" t="s">
        <f>=HYPERLINK("https://main.knesset.gov.il/APPS/legislation/main/bills/2204174", "פרק י""ט (בריאות), רק סעיפים 75-73 (בעניין כפל ביטוחי בריאות) מתוך הצעת חוק התכנית הכלכלית (תיקוני חקיקה ליישום המדיניות הכלכלית לשנות התקציב 2023 ו-2024), התשפ""ג-2023")</f>
        <v>9388</v>
      </c>
      <c r="E4460" t="s">
        <v>9388</v>
      </c>
      <c r="F4460" t="s">
        <v>14</v>
      </c>
      <c r="G4460" t="s">
        <v>81</v>
      </c>
      <c r="H4460">
             </c>
      <c r="I4460" t="s">
        <v>14</v>
      </c>
      <c r="J4460" t="s">
        <v>183</v>
      </c>
      <c r="K4460" t="s">
        <v>42</v>
      </c>
      <c r="L4460" t="s">
        <v>20</v>
      </c>
      <c r="M4460" t="s">
        <v>9389</v>
      </c>
      <c r="N4460" t="s">
        <v>14</v>
      </c>
    </row>
    <row r="4461" x14ac:dyDescent="0.25">
      <c r="A4461" t="n">
        <v>25</v>
      </c>
      <c r="B4461" t="s">
        <v>14</v>
      </c>
      <c r="C4461" t="s">
        <v>51</v>
      </c>
      <c r="D4461" s="2" t="s">
        <f>=HYPERLINK("https://main.knesset.gov.il/APPS/legislation/main/bills/2196006", "הצעת חוק העונשין (תיקון - עבירה כלפי קשיש או חסר ישע), התשפ""ג- 2022")</f>
        <v>9390</v>
      </c>
      <c r="E4461" t="s">
        <v>9390</v>
      </c>
      <c r="F4461" t="s">
        <v>9391</v>
      </c>
      <c r="G4461" t="s">
        <v>14</v>
      </c>
      <c r="H4461">
             </c>
      <c r="I4461" t="s">
        <v>14</v>
      </c>
      <c r="J4461" t="s">
        <v>152</v>
      </c>
      <c r="K4461" t="s">
        <v>46</v>
      </c>
      <c r="L4461" t="s">
        <v>20</v>
      </c>
      <c r="M4461" t="s">
        <v>9389</v>
      </c>
      <c r="N4461" t="s">
        <v>14</v>
      </c>
    </row>
    <row r="4462" x14ac:dyDescent="0.25">
      <c r="A4462" t="n">
        <v>25</v>
      </c>
      <c r="B4462" t="s">
        <v>14</v>
      </c>
      <c r="C4462" t="s">
        <v>15</v>
      </c>
      <c r="D4462" s="2" t="s">
        <f>=HYPERLINK("https://main.knesset.gov.il/APPS/legislation/main/bills/2204160", "פרק כ' (רשויות מקומיות), 78, 79 מתוכו רק: 1, 2, 5, 6(א) עד (ג), 7, 25-23 (בעניין כספי הקרן להרחבת ההשקעה בתושב, הקצאתם ומקורות הקרן) מתוך הצעת חוק התכנית הכלכלית (תיקוני חקיקה ליישום המדיניות הכלכלית לשנות התקציב 2023 ו-2024), התשפ""ג-2023")</f>
        <v>9392</v>
      </c>
      <c r="E4462" t="s">
        <v>9392</v>
      </c>
      <c r="F4462" t="s">
        <v>14</v>
      </c>
      <c r="G4462" t="s">
        <v>81</v>
      </c>
      <c r="H4462">
             </c>
      <c r="I4462" t="s">
        <v>14</v>
      </c>
      <c r="J4462" t="s">
        <v>183</v>
      </c>
      <c r="K4462" t="s">
        <v>42</v>
      </c>
      <c r="L4462" t="s">
        <v>20</v>
      </c>
      <c r="M4462" t="s">
        <v>9393</v>
      </c>
      <c r="N4462" t="s">
        <v>14</v>
      </c>
    </row>
    <row r="4463" x14ac:dyDescent="0.25">
      <c r="A4463" t="n">
        <v>25</v>
      </c>
      <c r="B4463" t="s">
        <v>14</v>
      </c>
      <c r="C4463" t="s">
        <v>15</v>
      </c>
      <c r="D4463" s="2" t="s">
        <f>=HYPERLINK("https://main.knesset.gov.il/APPS/legislation/main/bills/2203053", "חוק העונשין (תיקון מס' 133 – הוראת שעה) (תיקון מס' 2), התשפ""ג-2023")</f>
        <v>9394</v>
      </c>
      <c r="E4463" t="s">
        <v>9394</v>
      </c>
      <c r="F4463" t="s">
        <v>14</v>
      </c>
      <c r="G4463" t="s">
        <v>9395</v>
      </c>
      <c r="H4463" t="n">
        <v>3041</v>
      </c>
      <c r="I4463" t="s">
        <v>14</v>
      </c>
      <c r="J4463" t="s">
        <v>18</v>
      </c>
      <c r="K4463" t="s">
        <v>27</v>
      </c>
      <c r="L4463" t="s">
        <v>20</v>
      </c>
      <c r="M4463" t="s">
        <v>9393</v>
      </c>
      <c r="N4463" t="s">
        <v>9396</v>
      </c>
    </row>
    <row r="4464" x14ac:dyDescent="0.25">
      <c r="A4464" t="n">
        <v>25</v>
      </c>
      <c r="B4464" t="s">
        <v>14</v>
      </c>
      <c r="C4464" t="s">
        <v>15</v>
      </c>
      <c r="D4464" s="2" t="s">
        <f>=HYPERLINK("https://main.knesset.gov.il/APPS/legislation/main/bills/2190105", "חוק מיסוי מקרקעין (שבח ורכישה) (תיקון מס' 99), התשפ""ג–2023 ")</f>
        <v>9397</v>
      </c>
      <c r="E4464" t="s">
        <v>9397</v>
      </c>
      <c r="F4464" t="s">
        <v>14</v>
      </c>
      <c r="G4464" t="s">
        <v>9398</v>
      </c>
      <c r="H4464" t="n">
        <v>3040</v>
      </c>
      <c r="I4464" t="s">
        <v>14</v>
      </c>
      <c r="J4464" t="s">
        <v>18</v>
      </c>
      <c r="K4464" t="s">
        <v>24</v>
      </c>
      <c r="L4464" t="s">
        <v>20</v>
      </c>
      <c r="M4464" t="s">
        <v>9393</v>
      </c>
      <c r="N4464" t="s">
        <v>9399</v>
      </c>
    </row>
    <row r="4465" x14ac:dyDescent="0.25">
      <c r="A4465" t="n">
        <v>25</v>
      </c>
      <c r="B4465" t="s">
        <v>14</v>
      </c>
      <c r="C4465" t="s">
        <v>51</v>
      </c>
      <c r="D4465" s="2" t="s">
        <f>=HYPERLINK("https://main.knesset.gov.il/APPS/legislation/main/bills/2203995", "הצעת חוק למניעת אלימות במשפחה (תיקון - ממונה על נושא האלימות במשפחה במקומות עבודה גדולים), התשפ""ג-2023")</f>
        <v>9400</v>
      </c>
      <c r="E4465" t="s">
        <v>9400</v>
      </c>
      <c r="F4465" t="s">
        <v>9401</v>
      </c>
      <c r="G4465" t="s">
        <v>14</v>
      </c>
      <c r="H4465">
             </c>
      <c r="I4465" t="s">
        <v>14</v>
      </c>
      <c r="J4465" t="s">
        <v>242</v>
      </c>
      <c r="K4465" t="s">
        <v>14</v>
      </c>
      <c r="L4465" t="s">
        <v>20</v>
      </c>
      <c r="M4465" t="s">
        <v>9393</v>
      </c>
      <c r="N4465" t="s">
        <v>14</v>
      </c>
    </row>
    <row r="4466" x14ac:dyDescent="0.25">
      <c r="A4466" t="n">
        <v>25</v>
      </c>
      <c r="B4466" t="s">
        <v>14</v>
      </c>
      <c r="C4466" t="s">
        <v>51</v>
      </c>
      <c r="D4466" s="2" t="s">
        <f>=HYPERLINK("https://main.knesset.gov.il/APPS/legislation/main/bills/2205139", "הצעת חוק-יסוד: כבוד האדם וחירותו (תיקון - הזכות לשוויון)")</f>
        <v>2894</v>
      </c>
      <c r="E4466" t="s">
        <v>2894</v>
      </c>
      <c r="F4466" t="s">
        <v>9402</v>
      </c>
      <c r="G4466" t="s">
        <v>14</v>
      </c>
      <c r="H4466">
             </c>
      <c r="I4466" t="s">
        <v>14</v>
      </c>
      <c r="J4466" t="s">
        <v>242</v>
      </c>
      <c r="K4466" t="s">
        <v>14</v>
      </c>
      <c r="L4466" t="s">
        <v>20</v>
      </c>
      <c r="M4466" t="s">
        <v>9393</v>
      </c>
      <c r="N4466" t="s">
        <v>14</v>
      </c>
    </row>
    <row r="4467" x14ac:dyDescent="0.25">
      <c r="A4467" t="n">
        <v>25</v>
      </c>
      <c r="B4467" t="s">
        <v>14</v>
      </c>
      <c r="C4467" t="s">
        <v>51</v>
      </c>
      <c r="D4467" s="2" t="s">
        <f>=HYPERLINK("https://main.knesset.gov.il/APPS/legislation/main/bills/2203934", "הצעת חוק השיפוט הצבאי (תיקון - הארכת תחולת החוק על עבירות מין), התשפ""ג-2023")</f>
        <v>9403</v>
      </c>
      <c r="E4467" t="s">
        <v>9403</v>
      </c>
      <c r="F4467" t="s">
        <v>9404</v>
      </c>
      <c r="G4467" t="s">
        <v>14</v>
      </c>
      <c r="H4467">
             </c>
      <c r="I4467" t="s">
        <v>14</v>
      </c>
      <c r="J4467" t="s">
        <v>242</v>
      </c>
      <c r="K4467" t="s">
        <v>14</v>
      </c>
      <c r="L4467" t="s">
        <v>20</v>
      </c>
      <c r="M4467" t="s">
        <v>9393</v>
      </c>
      <c r="N4467" t="s">
        <v>14</v>
      </c>
    </row>
    <row r="4468" x14ac:dyDescent="0.25">
      <c r="A4468" t="n">
        <v>25</v>
      </c>
      <c r="B4468" t="s">
        <v>14</v>
      </c>
      <c r="C4468" t="s">
        <v>51</v>
      </c>
      <c r="D4468" s="2" t="s">
        <f>=HYPERLINK("https://main.knesset.gov.il/APPS/legislation/main/bills/2203953", "הצעת חוק למניעת אלימות במשפחה (תיקון - פיקוח טכנולוגי להבטחת קיומו של צו הגנה והערכת מסוכנות - הוראת שעה), התשפ""ג-2023")</f>
        <v>9405</v>
      </c>
      <c r="E4468" t="s">
        <v>9405</v>
      </c>
      <c r="F4468" t="s">
        <v>9406</v>
      </c>
      <c r="G4468" t="s">
        <v>14</v>
      </c>
      <c r="H4468">
             </c>
      <c r="I4468" t="s">
        <v>14</v>
      </c>
      <c r="J4468" t="s">
        <v>242</v>
      </c>
      <c r="K4468" t="s">
        <v>14</v>
      </c>
      <c r="L4468" t="s">
        <v>20</v>
      </c>
      <c r="M4468" t="s">
        <v>9393</v>
      </c>
      <c r="N4468" t="s">
        <v>14</v>
      </c>
    </row>
    <row r="4469" x14ac:dyDescent="0.25">
      <c r="A4469" t="n">
        <v>25</v>
      </c>
      <c r="B4469" t="s">
        <v>14</v>
      </c>
      <c r="C4469" t="s">
        <v>51</v>
      </c>
      <c r="D4469" s="2" t="s">
        <f>=HYPERLINK("https://main.knesset.gov.il/APPS/legislation/main/bills/2204094", "הצעת חוק לתיקון פקודת בריאות העם (הקמת בתי תפילה מוסלמיים בבתי חולים), התשפ""ג-2023")</f>
        <v>9407</v>
      </c>
      <c r="E4469" t="s">
        <v>9407</v>
      </c>
      <c r="F4469" t="s">
        <v>9408</v>
      </c>
      <c r="G4469" t="s">
        <v>14</v>
      </c>
      <c r="H4469">
             </c>
      <c r="I4469" t="s">
        <v>14</v>
      </c>
      <c r="J4469" t="s">
        <v>242</v>
      </c>
      <c r="K4469" t="s">
        <v>14</v>
      </c>
      <c r="L4469" t="s">
        <v>20</v>
      </c>
      <c r="M4469" t="s">
        <v>9393</v>
      </c>
      <c r="N4469" t="s">
        <v>14</v>
      </c>
    </row>
    <row r="4470" x14ac:dyDescent="0.25">
      <c r="A4470" t="n">
        <v>25</v>
      </c>
      <c r="B4470" t="s">
        <v>14</v>
      </c>
      <c r="C4470" t="s">
        <v>51</v>
      </c>
      <c r="D4470" s="2" t="s">
        <f>=HYPERLINK("https://main.knesset.gov.il/APPS/legislation/main/bills/2203650", "הצעת חוק עבודת נשים (תיקון - תקופת לידה והורות לבנות זוג מאותו המין), התשפ""ג-2023")</f>
        <v>9409</v>
      </c>
      <c r="E4470" t="s">
        <v>9409</v>
      </c>
      <c r="F4470" t="s">
        <v>9410</v>
      </c>
      <c r="G4470" t="s">
        <v>14</v>
      </c>
      <c r="H4470">
             </c>
      <c r="I4470" t="s">
        <v>14</v>
      </c>
      <c r="J4470" t="s">
        <v>242</v>
      </c>
      <c r="K4470" t="s">
        <v>14</v>
      </c>
      <c r="L4470" t="s">
        <v>20</v>
      </c>
      <c r="M4470" t="s">
        <v>9393</v>
      </c>
      <c r="N4470" t="s">
        <v>14</v>
      </c>
    </row>
    <row r="4471" x14ac:dyDescent="0.25">
      <c r="A4471" t="n">
        <v>25</v>
      </c>
      <c r="B4471" t="s">
        <v>14</v>
      </c>
      <c r="C4471" t="s">
        <v>51</v>
      </c>
      <c r="D4471" s="2" t="s">
        <f>=HYPERLINK("https://main.knesset.gov.il/APPS/legislation/main/bills/2205102", "הצעת חוק רישוי עסקים (תיקון - דרישת רישוי לאירועים דתיים וטקסים), התשפ""ג-2023")</f>
        <v>9411</v>
      </c>
      <c r="E4471" t="s">
        <v>9411</v>
      </c>
      <c r="F4471" t="s">
        <v>9412</v>
      </c>
      <c r="G4471" t="s">
        <v>14</v>
      </c>
      <c r="H4471">
             </c>
      <c r="I4471" t="s">
        <v>14</v>
      </c>
      <c r="J4471" t="s">
        <v>242</v>
      </c>
      <c r="K4471" t="s">
        <v>14</v>
      </c>
      <c r="L4471" t="s">
        <v>20</v>
      </c>
      <c r="M4471" t="s">
        <v>9393</v>
      </c>
      <c r="N4471" t="s">
        <v>14</v>
      </c>
    </row>
    <row r="4472" x14ac:dyDescent="0.25">
      <c r="A4472" t="n">
        <v>25</v>
      </c>
      <c r="B4472" t="s">
        <v>14</v>
      </c>
      <c r="C4472" t="s">
        <v>51</v>
      </c>
      <c r="D4472" s="2" t="s">
        <f>=HYPERLINK("https://main.knesset.gov.il/APPS/legislation/main/bills/2202602", "הצעת חוק שירות ביטחון (תיקון - שוויון בגיוס ליחידות הטכנולוגיות), התשפ""ג-2023")</f>
        <v>9413</v>
      </c>
      <c r="E4472" t="s">
        <v>9413</v>
      </c>
      <c r="F4472" t="s">
        <v>9414</v>
      </c>
      <c r="G4472" t="s">
        <v>14</v>
      </c>
      <c r="H4472">
             </c>
      <c r="I4472" t="s">
        <v>14</v>
      </c>
      <c r="J4472" t="s">
        <v>242</v>
      </c>
      <c r="K4472" t="s">
        <v>14</v>
      </c>
      <c r="L4472" t="s">
        <v>20</v>
      </c>
      <c r="M4472" t="s">
        <v>9393</v>
      </c>
      <c r="N4472" t="s">
        <v>14</v>
      </c>
    </row>
    <row r="4473" x14ac:dyDescent="0.25">
      <c r="A4473" t="n">
        <v>25</v>
      </c>
      <c r="B4473" t="s">
        <v>14</v>
      </c>
      <c r="C4473" t="s">
        <v>51</v>
      </c>
      <c r="D4473" s="2" t="s">
        <f>=HYPERLINK("https://main.knesset.gov.il/APPS/legislation/main/bills/2205206", "הצעת חוק שיקום, פיצוי וסיוע משפטי לנפגעי עבירות מין, התשפ""ג-2023")</f>
        <v>9056</v>
      </c>
      <c r="E4473" t="s">
        <v>9056</v>
      </c>
      <c r="F4473" t="s">
        <v>9415</v>
      </c>
      <c r="G4473" t="s">
        <v>14</v>
      </c>
      <c r="H4473">
             </c>
      <c r="I4473" t="s">
        <v>14</v>
      </c>
      <c r="J4473" t="s">
        <v>242</v>
      </c>
      <c r="K4473" t="s">
        <v>14</v>
      </c>
      <c r="L4473" t="s">
        <v>20</v>
      </c>
      <c r="M4473" t="s">
        <v>9393</v>
      </c>
      <c r="N4473" t="s">
        <v>14</v>
      </c>
    </row>
    <row r="4474" x14ac:dyDescent="0.25">
      <c r="A4474" t="n">
        <v>25</v>
      </c>
      <c r="B4474" t="s">
        <v>14</v>
      </c>
      <c r="C4474" t="s">
        <v>51</v>
      </c>
      <c r="D4474" s="2" t="s">
        <f>=HYPERLINK("https://main.knesset.gov.il/APPS/legislation/main/bills/2202617", "הצעת חוק מאבק בארגוני פשיעה (תיקון - החמרת הענישה כנגד ארגוני סחיטה ושחיתות), התשפ""ג- 2023")</f>
        <v>9416</v>
      </c>
      <c r="E4474" t="s">
        <v>9416</v>
      </c>
      <c r="F4474" t="s">
        <v>9417</v>
      </c>
      <c r="G4474" t="s">
        <v>14</v>
      </c>
      <c r="H4474">
             </c>
      <c r="I4474" t="s">
        <v>14</v>
      </c>
      <c r="J4474" t="s">
        <v>242</v>
      </c>
      <c r="K4474" t="s">
        <v>14</v>
      </c>
      <c r="L4474" t="s">
        <v>20</v>
      </c>
      <c r="M4474" t="s">
        <v>9393</v>
      </c>
      <c r="N4474" t="s">
        <v>14</v>
      </c>
    </row>
    <row r="4475" x14ac:dyDescent="0.25">
      <c r="A4475" t="n">
        <v>25</v>
      </c>
      <c r="B4475" t="s">
        <v>14</v>
      </c>
      <c r="C4475" t="s">
        <v>51</v>
      </c>
      <c r="D4475" s="2" t="s">
        <f>=HYPERLINK("https://main.knesset.gov.il/APPS/legislation/main/bills/2205086", "הצעת חוק העדה הדרוזית, התשפ""ג-2023")</f>
        <v>9418</v>
      </c>
      <c r="E4475" t="s">
        <v>9418</v>
      </c>
      <c r="F4475" t="s">
        <v>9419</v>
      </c>
      <c r="G4475" t="s">
        <v>14</v>
      </c>
      <c r="H4475">
             </c>
      <c r="I4475" t="s">
        <v>14</v>
      </c>
      <c r="J4475" t="s">
        <v>202</v>
      </c>
      <c r="K4475" t="s">
        <v>14</v>
      </c>
      <c r="L4475" t="s">
        <v>20</v>
      </c>
      <c r="M4475" t="s">
        <v>9393</v>
      </c>
      <c r="N4475" t="s">
        <v>14</v>
      </c>
    </row>
    <row r="4476" x14ac:dyDescent="0.25">
      <c r="A4476" t="n">
        <v>25</v>
      </c>
      <c r="B4476" t="s">
        <v>14</v>
      </c>
      <c r="C4476" t="s">
        <v>51</v>
      </c>
      <c r="D4476" s="2" t="s">
        <f>=HYPERLINK("https://main.knesset.gov.il/APPS/legislation/main/bills/2201597", "הצעת חוק העונשין (תיקון - עונש מזערי לעבירות ממניע גזענות או עוינות כלפי ציבור), התשפ""ג-2023")</f>
        <v>9420</v>
      </c>
      <c r="E4476" t="s">
        <v>9420</v>
      </c>
      <c r="F4476" t="s">
        <v>9421</v>
      </c>
      <c r="G4476" t="s">
        <v>14</v>
      </c>
      <c r="H4476">
             </c>
      <c r="I4476" t="s">
        <v>14</v>
      </c>
      <c r="J4476" t="s">
        <v>242</v>
      </c>
      <c r="K4476" t="s">
        <v>14</v>
      </c>
      <c r="L4476" t="s">
        <v>20</v>
      </c>
      <c r="M4476" t="s">
        <v>9393</v>
      </c>
      <c r="N4476" t="s">
        <v>14</v>
      </c>
    </row>
    <row r="4477" x14ac:dyDescent="0.25">
      <c r="A4477" t="n">
        <v>25</v>
      </c>
      <c r="B4477" t="s">
        <v>14</v>
      </c>
      <c r="C4477" t="s">
        <v>51</v>
      </c>
      <c r="D4477" s="2" t="s">
        <f>=HYPERLINK("https://main.knesset.gov.il/APPS/legislation/main/bills/2199445", "הצעת חוק לשכת עורכי הדין (תיקון - קביעת אגרה מינימלית להגשת תלונה), התשפ""ג-2023")</f>
        <v>9422</v>
      </c>
      <c r="E4477" t="s">
        <v>9422</v>
      </c>
      <c r="F4477" t="s">
        <v>9423</v>
      </c>
      <c r="G4477" t="s">
        <v>14</v>
      </c>
      <c r="H4477">
             </c>
      <c r="I4477" t="s">
        <v>14</v>
      </c>
      <c r="J4477" t="s">
        <v>242</v>
      </c>
      <c r="K4477" t="s">
        <v>14</v>
      </c>
      <c r="L4477" t="s">
        <v>20</v>
      </c>
      <c r="M4477" t="s">
        <v>9393</v>
      </c>
      <c r="N4477" t="s">
        <v>14</v>
      </c>
    </row>
    <row r="4478" x14ac:dyDescent="0.25">
      <c r="A4478" t="n">
        <v>25</v>
      </c>
      <c r="B4478" t="s">
        <v>14</v>
      </c>
      <c r="C4478" t="s">
        <v>51</v>
      </c>
      <c r="D4478" s="2" t="s">
        <f>=HYPERLINK("https://main.knesset.gov.il/APPS/legislation/main/bills/2204881", "הצעת חוק הביטוח הלאומי (תיקון - העלאת גיל הגיוס הנדרש לפטור מתשלום דמי ביטוח לאומי), התשפ""ג-2023")</f>
        <v>9424</v>
      </c>
      <c r="E4478" t="s">
        <v>9424</v>
      </c>
      <c r="F4478" t="s">
        <v>9425</v>
      </c>
      <c r="G4478" t="s">
        <v>14</v>
      </c>
      <c r="H4478">
             </c>
      <c r="I4478" t="s">
        <v>14</v>
      </c>
      <c r="J4478" t="s">
        <v>242</v>
      </c>
      <c r="K4478" t="s">
        <v>14</v>
      </c>
      <c r="L4478" t="s">
        <v>20</v>
      </c>
      <c r="M4478" t="s">
        <v>9393</v>
      </c>
      <c r="N4478" t="s">
        <v>14</v>
      </c>
    </row>
    <row r="4479" x14ac:dyDescent="0.25">
      <c r="A4479" t="n">
        <v>25</v>
      </c>
      <c r="B4479" t="s">
        <v>14</v>
      </c>
      <c r="C4479" t="s">
        <v>51</v>
      </c>
      <c r="D4479" s="2" t="s">
        <f>=HYPERLINK("https://main.knesset.gov.il/APPS/legislation/main/bills/2204688", "הצעת חוק-יסוד: מעמד ההכרזה על הקמת מדינת ישראל")</f>
        <v>9426</v>
      </c>
      <c r="E4479" t="s">
        <v>9426</v>
      </c>
      <c r="F4479" t="s">
        <v>9427</v>
      </c>
      <c r="G4479" t="s">
        <v>14</v>
      </c>
      <c r="H4479">
             </c>
      <c r="I4479" t="s">
        <v>14</v>
      </c>
      <c r="J4479" t="s">
        <v>242</v>
      </c>
      <c r="K4479" t="s">
        <v>14</v>
      </c>
      <c r="L4479" t="s">
        <v>20</v>
      </c>
      <c r="M4479" t="s">
        <v>9393</v>
      </c>
      <c r="N4479" t="s">
        <v>14</v>
      </c>
    </row>
    <row r="4480" x14ac:dyDescent="0.25">
      <c r="A4480" t="n">
        <v>25</v>
      </c>
      <c r="B4480" t="s">
        <v>14</v>
      </c>
      <c r="C4480" t="s">
        <v>51</v>
      </c>
      <c r="D4480" s="2" t="s">
        <f>=HYPERLINK("https://main.knesset.gov.il/APPS/legislation/main/bills/2204556", "הצעת חוק ביטוח בריאות ממלכתי (תיקון - מתן שירותים במרפאה ביישוב קטן לחברי קופה אחרת), התשפ""ג-2023")</f>
        <v>6332</v>
      </c>
      <c r="E4480" t="s">
        <v>6332</v>
      </c>
      <c r="F4480" t="s">
        <v>9428</v>
      </c>
      <c r="G4480" t="s">
        <v>14</v>
      </c>
      <c r="H4480">
             </c>
      <c r="I4480" t="s">
        <v>14</v>
      </c>
      <c r="J4480" t="s">
        <v>242</v>
      </c>
      <c r="K4480" t="s">
        <v>14</v>
      </c>
      <c r="L4480" t="s">
        <v>20</v>
      </c>
      <c r="M4480" t="s">
        <v>9393</v>
      </c>
      <c r="N4480" t="s">
        <v>14</v>
      </c>
    </row>
    <row r="4481" x14ac:dyDescent="0.25">
      <c r="A4481" t="n">
        <v>25</v>
      </c>
      <c r="B4481" t="s">
        <v>14</v>
      </c>
      <c r="C4481" t="s">
        <v>51</v>
      </c>
      <c r="D4481" s="2" t="s">
        <f>=HYPERLINK("https://main.knesset.gov.il/APPS/legislation/main/bills/2204457", "הצעת חוק לתיקון פקודת בריאות העם (מכשירים רפואיים מיוחדים), התשפ""ג-2023")</f>
        <v>8998</v>
      </c>
      <c r="E4481" t="s">
        <v>8998</v>
      </c>
      <c r="F4481" t="s">
        <v>9429</v>
      </c>
      <c r="G4481" t="s">
        <v>14</v>
      </c>
      <c r="H4481">
             </c>
      <c r="I4481" t="s">
        <v>14</v>
      </c>
      <c r="J4481" t="s">
        <v>242</v>
      </c>
      <c r="K4481" t="s">
        <v>14</v>
      </c>
      <c r="L4481" t="s">
        <v>20</v>
      </c>
      <c r="M4481" t="s">
        <v>9393</v>
      </c>
      <c r="N4481" t="s">
        <v>14</v>
      </c>
    </row>
    <row r="4482" x14ac:dyDescent="0.25">
      <c r="A4482" t="n">
        <v>25</v>
      </c>
      <c r="B4482" t="s">
        <v>14</v>
      </c>
      <c r="C4482" t="s">
        <v>51</v>
      </c>
      <c r="D4482" s="2" t="s">
        <f>=HYPERLINK("https://main.knesset.gov.il/APPS/legislation/main/bills/2204466", "הצעת חוק חינוך מיוחד (תיקון - חינוך מיוחד מגיל לידה), התשפ""ג-2023")</f>
        <v>9430</v>
      </c>
      <c r="E4482" t="s">
        <v>9430</v>
      </c>
      <c r="F4482" t="s">
        <v>9431</v>
      </c>
      <c r="G4482" t="s">
        <v>14</v>
      </c>
      <c r="H4482">
             </c>
      <c r="I4482" t="s">
        <v>14</v>
      </c>
      <c r="J4482" t="s">
        <v>242</v>
      </c>
      <c r="K4482" t="s">
        <v>14</v>
      </c>
      <c r="L4482" t="s">
        <v>20</v>
      </c>
      <c r="M4482" t="s">
        <v>9393</v>
      </c>
      <c r="N4482" t="s">
        <v>14</v>
      </c>
    </row>
    <row r="4483" x14ac:dyDescent="0.25">
      <c r="A4483" t="n">
        <v>25</v>
      </c>
      <c r="B4483" t="s">
        <v>14</v>
      </c>
      <c r="C4483" t="s">
        <v>51</v>
      </c>
      <c r="D4483" s="2" t="s">
        <f>=HYPERLINK("https://main.knesset.gov.il/APPS/legislation/main/bills/2204329", "הצעת חוק לתיקון פקודת בריאות העם (העדפות מתן רישיון למכשור רפואי בפריפריה), התשפ""ג-2023")</f>
        <v>8185</v>
      </c>
      <c r="E4483" t="s">
        <v>8185</v>
      </c>
      <c r="F4483" t="s">
        <v>9432</v>
      </c>
      <c r="G4483" t="s">
        <v>14</v>
      </c>
      <c r="H4483">
             </c>
      <c r="I4483" t="s">
        <v>14</v>
      </c>
      <c r="J4483" t="s">
        <v>242</v>
      </c>
      <c r="K4483" t="s">
        <v>14</v>
      </c>
      <c r="L4483" t="s">
        <v>20</v>
      </c>
      <c r="M4483" t="s">
        <v>9393</v>
      </c>
      <c r="N4483" t="s">
        <v>14</v>
      </c>
    </row>
    <row r="4484" x14ac:dyDescent="0.25">
      <c r="A4484" t="n">
        <v>25</v>
      </c>
      <c r="B4484" t="s">
        <v>14</v>
      </c>
      <c r="C4484" t="s">
        <v>51</v>
      </c>
      <c r="D4484" s="2" t="s">
        <f>=HYPERLINK("https://main.knesset.gov.il/APPS/legislation/main/bills/2204762", "הצעת חוק שידורי טלוויזיה (כתוביות ושפת סימנים) (תיקון - הודעות חירום מונגשות), התשפ""ג-2023")</f>
        <v>9433</v>
      </c>
      <c r="E4484" t="s">
        <v>9433</v>
      </c>
      <c r="F4484" t="s">
        <v>9434</v>
      </c>
      <c r="G4484" t="s">
        <v>14</v>
      </c>
      <c r="H4484">
             </c>
      <c r="I4484" t="s">
        <v>14</v>
      </c>
      <c r="J4484" t="s">
        <v>242</v>
      </c>
      <c r="K4484" t="s">
        <v>14</v>
      </c>
      <c r="L4484" t="s">
        <v>20</v>
      </c>
      <c r="M4484" t="s">
        <v>9393</v>
      </c>
      <c r="N4484" t="s">
        <v>14</v>
      </c>
    </row>
    <row r="4485" x14ac:dyDescent="0.25">
      <c r="A4485" t="n">
        <v>25</v>
      </c>
      <c r="B4485" t="s">
        <v>14</v>
      </c>
      <c r="C4485" t="s">
        <v>51</v>
      </c>
      <c r="D4485" s="2" t="s">
        <f>=HYPERLINK("https://main.knesset.gov.il/APPS/legislation/main/bills/2204021", "הצעת חוק שירות הביטחון הכללי (תיקון - סיוע בטיפול בפשיעה פלילית חמורה), התשפ""ג-2023")</f>
        <v>9435</v>
      </c>
      <c r="E4485" t="s">
        <v>9435</v>
      </c>
      <c r="F4485" t="s">
        <v>9436</v>
      </c>
      <c r="G4485" t="s">
        <v>14</v>
      </c>
      <c r="H4485">
             </c>
      <c r="I4485" t="s">
        <v>14</v>
      </c>
      <c r="J4485" t="s">
        <v>242</v>
      </c>
      <c r="K4485" t="s">
        <v>14</v>
      </c>
      <c r="L4485" t="s">
        <v>20</v>
      </c>
      <c r="M4485" t="s">
        <v>9393</v>
      </c>
      <c r="N4485" t="s">
        <v>14</v>
      </c>
    </row>
    <row r="4486" x14ac:dyDescent="0.25">
      <c r="A4486" t="n">
        <v>25</v>
      </c>
      <c r="B4486" t="s">
        <v>14</v>
      </c>
      <c r="C4486" t="s">
        <v>51</v>
      </c>
      <c r="D4486" s="2" t="s">
        <f>=HYPERLINK("https://main.knesset.gov.il/APPS/legislation/main/bills/2203886", "הצעת חוק למניעת אלימות במשפחה (תיקון - פיקוח אלקטרוני על אדם שהוצא נגדו צו הגנה), התשפ""ג-2023")</f>
        <v>9437</v>
      </c>
      <c r="E4486" t="s">
        <v>9437</v>
      </c>
      <c r="F4486" t="s">
        <v>9438</v>
      </c>
      <c r="G4486" t="s">
        <v>14</v>
      </c>
      <c r="H4486">
             </c>
      <c r="I4486" t="s">
        <v>14</v>
      </c>
      <c r="J4486" t="s">
        <v>242</v>
      </c>
      <c r="K4486" t="s">
        <v>14</v>
      </c>
      <c r="L4486" t="s">
        <v>20</v>
      </c>
      <c r="M4486" t="s">
        <v>9393</v>
      </c>
      <c r="N4486" t="s">
        <v>14</v>
      </c>
    </row>
    <row r="4487" x14ac:dyDescent="0.25">
      <c r="A4487" t="n">
        <v>25</v>
      </c>
      <c r="B4487" t="s">
        <v>14</v>
      </c>
      <c r="C4487" t="s">
        <v>51</v>
      </c>
      <c r="D4487" s="2" t="s">
        <f>=HYPERLINK("https://main.knesset.gov.il/APPS/legislation/main/bills/2204137", "הצעת חוק לתיקון פקודת בתי הסוהר (שלילת זכויות יתר מאסיר ביטחוני המשתייך לארגון טרור), התשפ""ג-2023")</f>
        <v>8859</v>
      </c>
      <c r="E4487" t="s">
        <v>8859</v>
      </c>
      <c r="F4487" t="s">
        <v>9439</v>
      </c>
      <c r="G4487" t="s">
        <v>14</v>
      </c>
      <c r="H4487">
             </c>
      <c r="I4487" t="s">
        <v>14</v>
      </c>
      <c r="J4487" t="s">
        <v>242</v>
      </c>
      <c r="K4487" t="s">
        <v>14</v>
      </c>
      <c r="L4487" t="s">
        <v>20</v>
      </c>
      <c r="M4487" t="s">
        <v>9393</v>
      </c>
      <c r="N4487" t="s">
        <v>14</v>
      </c>
    </row>
    <row r="4488" x14ac:dyDescent="0.25">
      <c r="A4488" t="n">
        <v>25</v>
      </c>
      <c r="B4488" t="s">
        <v>14</v>
      </c>
      <c r="C4488" t="s">
        <v>51</v>
      </c>
      <c r="D4488" s="2" t="s">
        <f>=HYPERLINK("https://main.knesset.gov.il/APPS/legislation/main/bills/2204143", "הצעת חוק בתי קברות צבאיים (תיקון - חיילים זכאי חוק השבות), התשפ""ג-2023")</f>
        <v>9440</v>
      </c>
      <c r="E4488" t="s">
        <v>9440</v>
      </c>
      <c r="F4488" t="s">
        <v>9441</v>
      </c>
      <c r="G4488" t="s">
        <v>14</v>
      </c>
      <c r="H4488">
             </c>
      <c r="I4488" t="s">
        <v>14</v>
      </c>
      <c r="J4488" t="s">
        <v>242</v>
      </c>
      <c r="K4488" t="s">
        <v>14</v>
      </c>
      <c r="L4488" t="s">
        <v>20</v>
      </c>
      <c r="M4488" t="s">
        <v>9393</v>
      </c>
      <c r="N4488" t="s">
        <v>14</v>
      </c>
    </row>
    <row r="4489" x14ac:dyDescent="0.25">
      <c r="A4489" t="n">
        <v>25</v>
      </c>
      <c r="B4489" t="s">
        <v>14</v>
      </c>
      <c r="C4489" t="s">
        <v>51</v>
      </c>
      <c r="D4489" s="2" t="s">
        <f>=HYPERLINK("https://main.knesset.gov.il/APPS/legislation/main/bills/2203876", "הצעת חוק זכויות הדייר בדיור הציבורי (תיקון - סיוע ריאלי בשכר דירה), התשפ""ג-2023")</f>
        <v>9442</v>
      </c>
      <c r="E4489" t="s">
        <v>9442</v>
      </c>
      <c r="F4489" t="s">
        <v>9443</v>
      </c>
      <c r="G4489" t="s">
        <v>14</v>
      </c>
      <c r="H4489">
             </c>
      <c r="I4489" t="s">
        <v>14</v>
      </c>
      <c r="J4489" t="s">
        <v>242</v>
      </c>
      <c r="K4489" t="s">
        <v>14</v>
      </c>
      <c r="L4489" t="s">
        <v>20</v>
      </c>
      <c r="M4489" t="s">
        <v>9393</v>
      </c>
      <c r="N4489" t="s">
        <v>14</v>
      </c>
    </row>
    <row r="4490" x14ac:dyDescent="0.25">
      <c r="A4490" t="n">
        <v>25</v>
      </c>
      <c r="B4490" t="s">
        <v>14</v>
      </c>
      <c r="C4490" t="s">
        <v>51</v>
      </c>
      <c r="D4490" s="2" t="s">
        <f>=HYPERLINK("https://main.knesset.gov.il/APPS/legislation/main/bills/2203612", "הצעת חוק התכנון והבנייה (תיקון - שינוי חלק המקרקעין המותר להפקעה ללא פיצויים), התשפ""ג-2023")</f>
        <v>9444</v>
      </c>
      <c r="E4490" t="s">
        <v>9444</v>
      </c>
      <c r="F4490" t="s">
        <v>9445</v>
      </c>
      <c r="G4490" t="s">
        <v>14</v>
      </c>
      <c r="H4490">
             </c>
      <c r="I4490" t="s">
        <v>14</v>
      </c>
      <c r="J4490" t="s">
        <v>242</v>
      </c>
      <c r="K4490" t="s">
        <v>14</v>
      </c>
      <c r="L4490" t="s">
        <v>20</v>
      </c>
      <c r="M4490" t="s">
        <v>9393</v>
      </c>
      <c r="N4490" t="s">
        <v>14</v>
      </c>
    </row>
    <row r="4491" x14ac:dyDescent="0.25">
      <c r="A4491" t="n">
        <v>25</v>
      </c>
      <c r="B4491" t="s">
        <v>14</v>
      </c>
      <c r="C4491" t="s">
        <v>51</v>
      </c>
      <c r="D4491" s="2" t="s">
        <f>=HYPERLINK("https://main.knesset.gov.il/APPS/legislation/main/bills/2204931", "הצעת חוק לתיקון פקודת התעבורה (פיצוי כספי בגין איחור אוטובוס), התשפ""ג-2023")</f>
        <v>9446</v>
      </c>
      <c r="E4491" t="s">
        <v>9446</v>
      </c>
      <c r="F4491" t="s">
        <v>9447</v>
      </c>
      <c r="G4491" t="s">
        <v>14</v>
      </c>
      <c r="H4491">
             </c>
      <c r="I4491" t="s">
        <v>14</v>
      </c>
      <c r="J4491" t="s">
        <v>242</v>
      </c>
      <c r="K4491" t="s">
        <v>14</v>
      </c>
      <c r="L4491" t="s">
        <v>20</v>
      </c>
      <c r="M4491" t="s">
        <v>9393</v>
      </c>
      <c r="N4491" t="s">
        <v>14</v>
      </c>
    </row>
    <row r="4492" x14ac:dyDescent="0.25">
      <c r="A4492" t="n">
        <v>25</v>
      </c>
      <c r="B4492" t="s">
        <v>14</v>
      </c>
      <c r="C4492" t="s">
        <v>15</v>
      </c>
      <c r="D4492" s="2" t="s">
        <f>=HYPERLINK("https://main.knesset.gov.il/APPS/legislation/main/bills/2204197", "פרק ט' (מסים), למעט סעיפים 41-40 ו-47-45 מתוך הצעת חוק ההתייעלות הכלכלית (תיקוני חקיקה להשגת יעדי התקציב לשנות התקציב 2023 ו-2024), התשפ""ג-2023")</f>
        <v>9448</v>
      </c>
      <c r="E4492" t="s">
        <v>9448</v>
      </c>
      <c r="F4492" t="s">
        <v>14</v>
      </c>
      <c r="G4492" t="s">
        <v>81</v>
      </c>
      <c r="H4492">
             </c>
      <c r="I4492" t="s">
        <v>14</v>
      </c>
      <c r="J4492" t="s">
        <v>183</v>
      </c>
      <c r="K4492" t="s">
        <v>42</v>
      </c>
      <c r="L4492" t="s">
        <v>20</v>
      </c>
      <c r="M4492" t="s">
        <v>9449</v>
      </c>
      <c r="N4492" t="s">
        <v>14</v>
      </c>
    </row>
    <row r="4493" x14ac:dyDescent="0.25">
      <c r="A4493" t="n">
        <v>25</v>
      </c>
      <c r="B4493" t="s">
        <v>14</v>
      </c>
      <c r="C4493" t="s">
        <v>15</v>
      </c>
      <c r="D4493" s="2" t="s">
        <f>=HYPERLINK("https://main.knesset.gov.il/APPS/legislation/main/bills/2204252", "פרק כ' (רשויות מקומיות), רק הסעיפים הבאים שבסעיף 79: 4-1, 6(ד) עד (ח), 22-8, 26-24 (בעניין הקמת הקרן ומועצת הקרן להרחבת ההשקעה בתושב) מתוך הצעת חוק התכנית הכלכלית (תיקוני חקיקה ליישום המדיניות הכלכלית לשנות התקציב 2023 ו-2024), התשפ""ג-2023")</f>
        <v>9450</v>
      </c>
      <c r="E4493" t="s">
        <v>9450</v>
      </c>
      <c r="F4493" t="s">
        <v>14</v>
      </c>
      <c r="G4493" t="s">
        <v>81</v>
      </c>
      <c r="H4493">
             </c>
      <c r="I4493" t="s">
        <v>14</v>
      </c>
      <c r="J4493" t="s">
        <v>183</v>
      </c>
      <c r="K4493" t="s">
        <v>24</v>
      </c>
      <c r="L4493" t="s">
        <v>20</v>
      </c>
      <c r="M4493" t="s">
        <v>9449</v>
      </c>
      <c r="N4493" t="s">
        <v>14</v>
      </c>
    </row>
    <row r="4494" x14ac:dyDescent="0.25">
      <c r="A4494" t="n">
        <v>25</v>
      </c>
      <c r="B4494" t="s">
        <v>14</v>
      </c>
      <c r="C4494" t="s">
        <v>15</v>
      </c>
      <c r="D4494" s="2" t="s">
        <f>=HYPERLINK("https://main.knesset.gov.il/APPS/legislation/main/bills/2204168", "פרק ט""ז (הגברת התחרותיות בענף המזון והטואלטיקה) מתוך הצעת חוק התכנית הכלכלית (תיקוני חקיקה ליישום המדיניות הכלכלית לשנות התקציב 2023 ו-2024), התשפ""ג-2023")</f>
        <v>9451</v>
      </c>
      <c r="E4494" t="s">
        <v>9451</v>
      </c>
      <c r="F4494" t="s">
        <v>14</v>
      </c>
      <c r="G4494" t="s">
        <v>81</v>
      </c>
      <c r="H4494">
             </c>
      <c r="I4494" t="s">
        <v>14</v>
      </c>
      <c r="J4494" t="s">
        <v>183</v>
      </c>
      <c r="K4494" t="s">
        <v>42</v>
      </c>
      <c r="L4494" t="s">
        <v>20</v>
      </c>
      <c r="M4494" t="s">
        <v>9452</v>
      </c>
      <c r="N4494" t="s">
        <v>14</v>
      </c>
    </row>
    <row r="4495" x14ac:dyDescent="0.25">
      <c r="A4495" t="n">
        <v>25</v>
      </c>
      <c r="B4495" t="s">
        <v>14</v>
      </c>
      <c r="C4495" t="s">
        <v>15</v>
      </c>
      <c r="D4495" s="2" t="s">
        <f>=HYPERLINK("https://main.knesset.gov.il/APPS/legislation/main/bills/2204176", "פרק י""א (הפחתת רגולציה), רק סעיפים 48-46 (רישום בפנקסי מקרקעין) מתוך הצעת חוק התכנית הכלכלית (תיקוני חקיקה ליישום המדיניות הכלכלית לשנות התקציב 2023 ו-2024), התשפ""ג-2023")</f>
        <v>9453</v>
      </c>
      <c r="E4495" t="s">
        <v>9453</v>
      </c>
      <c r="F4495" t="s">
        <v>14</v>
      </c>
      <c r="G4495" t="s">
        <v>81</v>
      </c>
      <c r="H4495">
             </c>
      <c r="I4495" t="s">
        <v>14</v>
      </c>
      <c r="J4495" t="s">
        <v>183</v>
      </c>
      <c r="K4495" t="s">
        <v>42</v>
      </c>
      <c r="L4495" t="s">
        <v>20</v>
      </c>
      <c r="M4495" t="s">
        <v>9452</v>
      </c>
      <c r="N4495" t="s">
        <v>14</v>
      </c>
    </row>
    <row r="4496" x14ac:dyDescent="0.25">
      <c r="A4496" t="n">
        <v>25</v>
      </c>
      <c r="B4496" t="s">
        <v>14</v>
      </c>
      <c r="C4496" t="s">
        <v>15</v>
      </c>
      <c r="D4496" s="2" t="s">
        <f>=HYPERLINK("https://main.knesset.gov.il/APPS/legislation/main/bills/2204177", "פרק י""ב (אנרגיה), רק סעיף 49 (חוק התכנון והבנייה) מתוך הצעת חוק התכנית הכלכלית (תיקוני חקיקה ליישום המדיניות הכלכלית לשנות התקציב 2023 ו-2024), התשפ""ג-2023")</f>
        <v>9454</v>
      </c>
      <c r="E4496" t="s">
        <v>9454</v>
      </c>
      <c r="F4496" t="s">
        <v>14</v>
      </c>
      <c r="G4496" t="s">
        <v>81</v>
      </c>
      <c r="H4496">
             </c>
      <c r="I4496" t="s">
        <v>14</v>
      </c>
      <c r="J4496" t="s">
        <v>183</v>
      </c>
      <c r="K4496" t="s">
        <v>42</v>
      </c>
      <c r="L4496" t="s">
        <v>20</v>
      </c>
      <c r="M4496" t="s">
        <v>9452</v>
      </c>
      <c r="N4496" t="s">
        <v>14</v>
      </c>
    </row>
    <row r="4497" x14ac:dyDescent="0.25">
      <c r="A4497" t="n">
        <v>25</v>
      </c>
      <c r="B4497" t="s">
        <v>14</v>
      </c>
      <c r="C4497" t="s">
        <v>15</v>
      </c>
      <c r="D4497" s="2" t="s">
        <f>=HYPERLINK("https://main.knesset.gov.il/APPS/legislation/main/bills/2204249", "פרק כ""ד (קידום תשתיות לאומיות), רק הסעיפים הבאים בתוך סעיף 94 המוצע: 35-32, 47-46, 56, 62(1)(ה), (4), (11), (14) והתוספת השנייה מהצעת חוק התכנית הכלכלית (תיקוני חקיקה ... לשנות התקציב 2023 ו-2024), התשפ""ג-2023 [פוצלה לפי סעיף 84(ב) לתקנון הכנסת]")</f>
        <v>9455</v>
      </c>
      <c r="E4497" t="s">
        <v>9455</v>
      </c>
      <c r="F4497" t="s">
        <v>14</v>
      </c>
      <c r="G4497" t="s">
        <v>81</v>
      </c>
      <c r="H4497">
             </c>
      <c r="I4497" t="s">
        <v>14</v>
      </c>
      <c r="J4497" t="s">
        <v>38</v>
      </c>
      <c r="K4497" t="s">
        <v>30</v>
      </c>
      <c r="L4497" t="s">
        <v>20</v>
      </c>
      <c r="M4497" t="s">
        <v>9452</v>
      </c>
      <c r="N4497" t="s">
        <v>14</v>
      </c>
    </row>
    <row r="4498" x14ac:dyDescent="0.25">
      <c r="A4498" t="n">
        <v>25</v>
      </c>
      <c r="B4498" t="s">
        <v>14</v>
      </c>
      <c r="C4498" t="s">
        <v>15</v>
      </c>
      <c r="D4498" s="2" t="s">
        <f>=HYPERLINK("https://main.knesset.gov.il/APPS/legislation/main/bills/2204205", "פרק ה' (ביטוח לאומי), למעט סעיפים 15(3) עד 15(5), 17, 18 ו-20(ב) (בעניין חוק חדלות פירעון) מתוך הצעת חוק ההתייעלות הכלכלית (תיקוני חקיקה להשגת יעדי התקציב לשנות התקציב 2023 ו-2024), התשפ""ג-2023")</f>
        <v>9456</v>
      </c>
      <c r="E4498" t="s">
        <v>9456</v>
      </c>
      <c r="F4498" t="s">
        <v>14</v>
      </c>
      <c r="G4498" t="s">
        <v>81</v>
      </c>
      <c r="H4498">
             </c>
      <c r="I4498" t="s">
        <v>14</v>
      </c>
      <c r="J4498" t="s">
        <v>183</v>
      </c>
      <c r="K4498" t="s">
        <v>42</v>
      </c>
      <c r="L4498" t="s">
        <v>20</v>
      </c>
      <c r="M4498" t="s">
        <v>9452</v>
      </c>
      <c r="N4498" t="s">
        <v>14</v>
      </c>
    </row>
    <row r="4499" x14ac:dyDescent="0.25">
      <c r="A4499" t="n">
        <v>25</v>
      </c>
      <c r="B4499" t="s">
        <v>14</v>
      </c>
      <c r="C4499" t="s">
        <v>51</v>
      </c>
      <c r="D4499" s="2" t="s">
        <f>=HYPERLINK("https://main.knesset.gov.il/APPS/legislation/main/bills/2198744", "הצעת חוק הביטוח הלאומי (תיקון - כפל קצבאות), התשפ""ג-2023")</f>
        <v>9457</v>
      </c>
      <c r="E4499" t="s">
        <v>9457</v>
      </c>
      <c r="F4499" t="s">
        <v>9458</v>
      </c>
      <c r="G4499" t="s">
        <v>14</v>
      </c>
      <c r="H4499">
             </c>
      <c r="I4499" t="s">
        <v>14</v>
      </c>
      <c r="J4499" t="s">
        <v>183</v>
      </c>
      <c r="K4499" t="s">
        <v>46</v>
      </c>
      <c r="L4499" t="s">
        <v>20</v>
      </c>
      <c r="M4499" t="s">
        <v>9452</v>
      </c>
      <c r="N4499" t="s">
        <v>14</v>
      </c>
    </row>
    <row r="4500" x14ac:dyDescent="0.25">
      <c r="A4500" t="n">
        <v>25</v>
      </c>
      <c r="B4500" t="s">
        <v>14</v>
      </c>
      <c r="C4500" t="s">
        <v>51</v>
      </c>
      <c r="D4500" s="2" t="s">
        <f>=HYPERLINK("https://main.knesset.gov.il/APPS/legislation/main/bills/2197964", "הצעת חוק הביטוח הלאומי (תיקון - כפל קצבאות), התשפ""ג-2023")</f>
        <v>9457</v>
      </c>
      <c r="E4500" t="s">
        <v>9457</v>
      </c>
      <c r="F4500" t="s">
        <v>9459</v>
      </c>
      <c r="G4500" t="s">
        <v>14</v>
      </c>
      <c r="H4500">
             </c>
      <c r="I4500" t="s">
        <v>14</v>
      </c>
      <c r="J4500" t="s">
        <v>183</v>
      </c>
      <c r="K4500" t="s">
        <v>46</v>
      </c>
      <c r="L4500" t="s">
        <v>20</v>
      </c>
      <c r="M4500" t="s">
        <v>9452</v>
      </c>
      <c r="N4500" t="s">
        <v>14</v>
      </c>
    </row>
    <row r="4501" x14ac:dyDescent="0.25">
      <c r="A4501" t="n">
        <v>25</v>
      </c>
      <c r="B4501" t="s">
        <v>14</v>
      </c>
      <c r="C4501" t="s">
        <v>51</v>
      </c>
      <c r="D4501" s="2" t="s">
        <f>=HYPERLINK("https://main.knesset.gov.il/APPS/legislation/main/bills/2196618", "הצעת חוק הביטוח הלאומי (תיקון - כפל קצבאות), התשפ""ג-2022")</f>
        <v>9460</v>
      </c>
      <c r="E4501" t="s">
        <v>9460</v>
      </c>
      <c r="F4501" t="s">
        <v>9461</v>
      </c>
      <c r="G4501" t="s">
        <v>14</v>
      </c>
      <c r="H4501">
             </c>
      <c r="I4501" t="s">
        <v>14</v>
      </c>
      <c r="J4501" t="s">
        <v>183</v>
      </c>
      <c r="K4501" t="s">
        <v>46</v>
      </c>
      <c r="L4501" t="s">
        <v>20</v>
      </c>
      <c r="M4501" t="s">
        <v>9452</v>
      </c>
      <c r="N4501" t="s">
        <v>14</v>
      </c>
    </row>
    <row r="4502" x14ac:dyDescent="0.25">
      <c r="A4502" t="n">
        <v>25</v>
      </c>
      <c r="B4502" t="s">
        <v>14</v>
      </c>
      <c r="C4502" t="s">
        <v>15</v>
      </c>
      <c r="D4502" s="2" t="s">
        <f>=HYPERLINK("https://main.knesset.gov.il/APPS/legislation/main/bills/2204206", "פרק ח' (גמלאות וקצבת גישור), למעט סעיפים 30(4), 30(5), 31(א) (בעניין פנסיית גישור) מתוך הצעת חוק ההתייעלות הכלכלית (תיקוני חקיקה להשגת יעדי התקציב לשנות התקציב 2023 ו-2024), התשפ""ג-2023")</f>
        <v>9462</v>
      </c>
      <c r="E4502" t="s">
        <v>9462</v>
      </c>
      <c r="F4502" t="s">
        <v>14</v>
      </c>
      <c r="G4502" t="s">
        <v>81</v>
      </c>
      <c r="H4502">
             </c>
      <c r="I4502" t="s">
        <v>14</v>
      </c>
      <c r="J4502" t="s">
        <v>183</v>
      </c>
      <c r="K4502" t="s">
        <v>42</v>
      </c>
      <c r="L4502" t="s">
        <v>20</v>
      </c>
      <c r="M4502" t="s">
        <v>9452</v>
      </c>
      <c r="N4502" t="s">
        <v>14</v>
      </c>
    </row>
    <row r="4503" x14ac:dyDescent="0.25">
      <c r="A4503" t="n">
        <v>25</v>
      </c>
      <c r="B4503" t="s">
        <v>14</v>
      </c>
      <c r="C4503" t="s">
        <v>15</v>
      </c>
      <c r="D4503" s="2" t="s">
        <f>=HYPERLINK("https://main.knesset.gov.il/APPS/legislation/main/bills/2204162", "פרק ב' (הסדרת העיסוק בשירותי תשלום וייזום תשלום מתוך הצעת חוק התכנית הכלכלית (תיקוני חקיקה ליישום המדיניות הכלכלית לשנות התקציב 2023 ו-2024), התשפ""ג-2023")</f>
        <v>9463</v>
      </c>
      <c r="E4503" t="s">
        <v>9463</v>
      </c>
      <c r="F4503" t="s">
        <v>14</v>
      </c>
      <c r="G4503" t="s">
        <v>81</v>
      </c>
      <c r="H4503">
             </c>
      <c r="I4503" t="s">
        <v>14</v>
      </c>
      <c r="J4503" t="s">
        <v>183</v>
      </c>
      <c r="K4503" t="s">
        <v>42</v>
      </c>
      <c r="L4503" t="s">
        <v>20</v>
      </c>
      <c r="M4503" t="s">
        <v>9452</v>
      </c>
      <c r="N4503" t="s">
        <v>14</v>
      </c>
    </row>
    <row r="4504" x14ac:dyDescent="0.25">
      <c r="A4504" t="n">
        <v>25</v>
      </c>
      <c r="B4504" t="s">
        <v>14</v>
      </c>
      <c r="C4504" t="s">
        <v>15</v>
      </c>
      <c r="D4504" s="2" t="s">
        <f>=HYPERLINK("https://main.knesset.gov.il/APPS/legislation/main/bills/2204175", "פרק כ""א (חקלאות), רק סעיפים 88-87 (קביעת אורך חיי מדף בידי יצרן נאות וצמצום רגולציה לייבוא בשר) מתוך הצעת חוק התכנית הכלכלית (תיקוני חקיקה ליישום המדיניות הכלכלית לשנות התקציב 2023 ו-2024), התשפ""ג-2023")</f>
        <v>9464</v>
      </c>
      <c r="E4504" t="s">
        <v>9464</v>
      </c>
      <c r="F4504" t="s">
        <v>14</v>
      </c>
      <c r="G4504" t="s">
        <v>81</v>
      </c>
      <c r="H4504">
             </c>
      <c r="I4504" t="s">
        <v>14</v>
      </c>
      <c r="J4504" t="s">
        <v>183</v>
      </c>
      <c r="K4504" t="s">
        <v>42</v>
      </c>
      <c r="L4504" t="s">
        <v>20</v>
      </c>
      <c r="M4504" t="s">
        <v>9452</v>
      </c>
      <c r="N4504" t="s">
        <v>14</v>
      </c>
    </row>
    <row r="4505" x14ac:dyDescent="0.25">
      <c r="A4505" t="n">
        <v>25</v>
      </c>
      <c r="B4505" t="s">
        <v>14</v>
      </c>
      <c r="C4505" t="s">
        <v>15</v>
      </c>
      <c r="D4505" s="2" t="s">
        <f>=HYPERLINK("https://main.knesset.gov.il/APPS/legislation/main/bills/2204172", "פרק ח' (יבוא מוצרי מזון) מתוך הצעת חוק התכנית הכלכלית (תיקוני חקיקה ליישום המדיניות הכלכלית לשנות התקציב 2023 ו-2024), התשפ""ג-2023")</f>
        <v>9465</v>
      </c>
      <c r="E4505" t="s">
        <v>9465</v>
      </c>
      <c r="F4505" t="s">
        <v>14</v>
      </c>
      <c r="G4505" t="s">
        <v>81</v>
      </c>
      <c r="H4505">
             </c>
      <c r="I4505" t="s">
        <v>14</v>
      </c>
      <c r="J4505" t="s">
        <v>183</v>
      </c>
      <c r="K4505" t="s">
        <v>42</v>
      </c>
      <c r="L4505" t="s">
        <v>20</v>
      </c>
      <c r="M4505" t="s">
        <v>9452</v>
      </c>
      <c r="N4505" t="s">
        <v>14</v>
      </c>
    </row>
    <row r="4506" x14ac:dyDescent="0.25">
      <c r="A4506" t="n">
        <v>25</v>
      </c>
      <c r="B4506" t="s">
        <v>14</v>
      </c>
      <c r="C4506" t="s">
        <v>15</v>
      </c>
      <c r="D4506" s="2" t="s">
        <f>=HYPERLINK("https://main.knesset.gov.il/APPS/legislation/main/bills/2204190", "פרק כ""ד (קידום תשתיות לאומיות), למעט הסע' הבאים בתוך סע' 94 המוצע: 1 עד 30, 35-32, 47-46, 56, 62(1)(ה), (2), (4), (5), (6), (8), (11), (14), (15), (20), (21) והתוספת השנייה, מתוך הצעת חוק התכנית הכלכלית לשנות התקציב 2023 ו-2024")</f>
        <v>9466</v>
      </c>
      <c r="E4506" t="s">
        <v>9466</v>
      </c>
      <c r="F4506" t="s">
        <v>14</v>
      </c>
      <c r="G4506" t="s">
        <v>81</v>
      </c>
      <c r="H4506">
             </c>
      <c r="I4506" t="s">
        <v>14</v>
      </c>
      <c r="J4506" t="s">
        <v>183</v>
      </c>
      <c r="K4506" t="s">
        <v>42</v>
      </c>
      <c r="L4506" t="s">
        <v>20</v>
      </c>
      <c r="M4506" t="s">
        <v>9467</v>
      </c>
      <c r="N4506" t="s">
        <v>14</v>
      </c>
    </row>
    <row r="4507" x14ac:dyDescent="0.25">
      <c r="A4507" t="n">
        <v>25</v>
      </c>
      <c r="B4507" t="s">
        <v>14</v>
      </c>
      <c r="C4507" t="s">
        <v>15</v>
      </c>
      <c r="D4507" s="2" t="s">
        <f>=HYPERLINK("https://main.knesset.gov.il/APPS/legislation/main/bills/2204202", "פרק ד' (מיסוי בשוק הדיור), רק סעיפים 10-8 (התחדשות עירונית) מתוך הצעת חוק ההתייעלות הכלכלית (תיקוני חקיקה להשגת יעדי התקציב לשנות התקציב 2023 ו-2024), התשפ""ג-2023")</f>
        <v>9468</v>
      </c>
      <c r="E4507" t="s">
        <v>9468</v>
      </c>
      <c r="F4507" t="s">
        <v>14</v>
      </c>
      <c r="G4507" t="s">
        <v>81</v>
      </c>
      <c r="H4507">
             </c>
      <c r="I4507" t="s">
        <v>14</v>
      </c>
      <c r="J4507" t="s">
        <v>183</v>
      </c>
      <c r="K4507" t="s">
        <v>42</v>
      </c>
      <c r="L4507" t="s">
        <v>20</v>
      </c>
      <c r="M4507" t="s">
        <v>9467</v>
      </c>
      <c r="N4507" t="s">
        <v>14</v>
      </c>
    </row>
    <row r="4508" x14ac:dyDescent="0.25">
      <c r="A4508" t="n">
        <v>25</v>
      </c>
      <c r="B4508" t="s">
        <v>14</v>
      </c>
      <c r="C4508" t="s">
        <v>15</v>
      </c>
      <c r="D4508" s="2" t="s">
        <f>=HYPERLINK("https://main.knesset.gov.il/APPS/legislation/main/bills/2204201", "פרק ה' (ביטוח לאומי), רק סעיפים 15(3) עד 15(5), 18 ו-20(ב) (בעניין חוק חדלות פירעון) מתוך הצעת חוק ההתייעלות הכלכלית (תיקוני חקיקה להשגת יעדי התקציב לשנות התקציב 2023 ו-2024), התשפ""ג-2023")</f>
        <v>9469</v>
      </c>
      <c r="E4508" t="s">
        <v>9469</v>
      </c>
      <c r="F4508" t="s">
        <v>14</v>
      </c>
      <c r="G4508" t="s">
        <v>81</v>
      </c>
      <c r="H4508">
             </c>
      <c r="I4508" t="s">
        <v>14</v>
      </c>
      <c r="J4508" t="s">
        <v>183</v>
      </c>
      <c r="K4508" t="s">
        <v>42</v>
      </c>
      <c r="L4508" t="s">
        <v>20</v>
      </c>
      <c r="M4508" t="s">
        <v>9467</v>
      </c>
      <c r="N4508" t="s">
        <v>14</v>
      </c>
    </row>
    <row r="4509" x14ac:dyDescent="0.25">
      <c r="A4509" t="n">
        <v>25</v>
      </c>
      <c r="B4509" t="s">
        <v>14</v>
      </c>
      <c r="C4509" t="s">
        <v>15</v>
      </c>
      <c r="D4509" s="2" t="s">
        <f>=HYPERLINK("https://main.knesset.gov.il/APPS/legislation/main/bills/2204188", "פרק כ""ג (השכרה ארוכת טווח) מתוך הצעת חוק התכנית הכלכלית (תיקוני חקיקה ליישום המדיניות הכלכלית לשנות התקציב 2023 ו-2024), התשפ""ג-2023 [פוצלה לפי סעיף 84(ב) לתקנון הכנסת]")</f>
        <v>9470</v>
      </c>
      <c r="E4509" t="s">
        <v>9470</v>
      </c>
      <c r="F4509" t="s">
        <v>14</v>
      </c>
      <c r="G4509" t="s">
        <v>81</v>
      </c>
      <c r="H4509">
             </c>
      <c r="I4509" t="s">
        <v>14</v>
      </c>
      <c r="J4509" t="s">
        <v>38</v>
      </c>
      <c r="K4509" t="s">
        <v>30</v>
      </c>
      <c r="L4509" t="s">
        <v>20</v>
      </c>
      <c r="M4509" t="s">
        <v>9467</v>
      </c>
      <c r="N4509" t="s">
        <v>14</v>
      </c>
    </row>
    <row r="4510" x14ac:dyDescent="0.25">
      <c r="A4510" t="n">
        <v>25</v>
      </c>
      <c r="B4510" t="s">
        <v>14</v>
      </c>
      <c r="C4510" t="s">
        <v>15</v>
      </c>
      <c r="D4510" s="2" t="s">
        <f>=HYPERLINK("https://main.knesset.gov.il/APPS/legislation/main/bills/2204192", "פרק י""ח (ייעול מערכי האבטחה) מתוך הצעת חוק התכנית הכלכלית (תיקוני חקיקה ליישום המדיניות הכלכלית לשנות התקציב 2023 ו-2024), התשפ""ג-2023")</f>
        <v>9471</v>
      </c>
      <c r="E4510" t="s">
        <v>9471</v>
      </c>
      <c r="F4510" t="s">
        <v>14</v>
      </c>
      <c r="G4510" t="s">
        <v>81</v>
      </c>
      <c r="H4510">
             </c>
      <c r="I4510" t="s">
        <v>14</v>
      </c>
      <c r="J4510" t="s">
        <v>183</v>
      </c>
      <c r="K4510" t="s">
        <v>42</v>
      </c>
      <c r="L4510" t="s">
        <v>20</v>
      </c>
      <c r="M4510" t="s">
        <v>9467</v>
      </c>
      <c r="N4510" t="s">
        <v>14</v>
      </c>
    </row>
    <row r="4511" x14ac:dyDescent="0.25">
      <c r="A4511" t="n">
        <v>25</v>
      </c>
      <c r="B4511" t="s">
        <v>14</v>
      </c>
      <c r="C4511" t="s">
        <v>15</v>
      </c>
      <c r="D4511" s="2" t="s">
        <f>=HYPERLINK("https://main.knesset.gov.il/APPS/legislation/main/bills/2204171", "פרק ה' (גמישות ניהולית במערכת החינוך) מתוך הצעת חוק התכנית הכלכלית (תיקוני חקיקה ליישום המדיניות הכלכלית לשנות התקציב 2023 ו-2024), התשפ""ג-2023")</f>
        <v>9472</v>
      </c>
      <c r="E4511" t="s">
        <v>9472</v>
      </c>
      <c r="F4511" t="s">
        <v>14</v>
      </c>
      <c r="G4511" t="s">
        <v>81</v>
      </c>
      <c r="H4511">
             </c>
      <c r="I4511" t="s">
        <v>14</v>
      </c>
      <c r="J4511" t="s">
        <v>183</v>
      </c>
      <c r="K4511" t="s">
        <v>42</v>
      </c>
      <c r="L4511" t="s">
        <v>20</v>
      </c>
      <c r="M4511" t="s">
        <v>9467</v>
      </c>
      <c r="N4511" t="s">
        <v>14</v>
      </c>
    </row>
    <row r="4512" x14ac:dyDescent="0.25">
      <c r="A4512" t="n">
        <v>25</v>
      </c>
      <c r="B4512" t="s">
        <v>14</v>
      </c>
      <c r="C4512" t="s">
        <v>51</v>
      </c>
      <c r="D4512" s="2" t="s">
        <f>=HYPERLINK("https://main.knesset.gov.il/APPS/legislation/main/bills/2203798", "הצעת חוק הביטוח הלאומי (תיקון - הגדרת ילד נכה), התשפ""ג-2023")</f>
        <v>9473</v>
      </c>
      <c r="E4512" t="s">
        <v>9473</v>
      </c>
      <c r="F4512" t="s">
        <v>9474</v>
      </c>
      <c r="G4512" t="s">
        <v>14</v>
      </c>
      <c r="H4512">
             </c>
      <c r="I4512" t="s">
        <v>14</v>
      </c>
      <c r="J4512" t="s">
        <v>152</v>
      </c>
      <c r="K4512" t="s">
        <v>46</v>
      </c>
      <c r="L4512" t="s">
        <v>20</v>
      </c>
      <c r="M4512" t="s">
        <v>9467</v>
      </c>
      <c r="N4512" t="s">
        <v>14</v>
      </c>
    </row>
    <row r="4513" x14ac:dyDescent="0.25">
      <c r="A4513" t="n">
        <v>25</v>
      </c>
      <c r="B4513" t="s">
        <v>14</v>
      </c>
      <c r="C4513" t="s">
        <v>51</v>
      </c>
      <c r="D4513" s="2" t="s">
        <f>=HYPERLINK("https://main.knesset.gov.il/APPS/legislation/main/bills/2202825", "הצעת חוק הביטוח הלאומי (תיקון - הגדרת ילד נכה), התשפ""ג-2023 ")</f>
        <v>9475</v>
      </c>
      <c r="E4513" t="s">
        <v>9475</v>
      </c>
      <c r="F4513" t="s">
        <v>9476</v>
      </c>
      <c r="G4513" t="s">
        <v>14</v>
      </c>
      <c r="H4513">
             </c>
      <c r="I4513" t="s">
        <v>14</v>
      </c>
      <c r="J4513" t="s">
        <v>152</v>
      </c>
      <c r="K4513" t="s">
        <v>46</v>
      </c>
      <c r="L4513" t="s">
        <v>20</v>
      </c>
      <c r="M4513" t="s">
        <v>9467</v>
      </c>
      <c r="N4513" t="s">
        <v>14</v>
      </c>
    </row>
    <row r="4514" x14ac:dyDescent="0.25">
      <c r="A4514" t="n">
        <v>25</v>
      </c>
      <c r="B4514" t="s">
        <v>14</v>
      </c>
      <c r="C4514" t="s">
        <v>51</v>
      </c>
      <c r="D4514" s="2" t="s">
        <f>=HYPERLINK("https://main.knesset.gov.il/APPS/legislation/main/bills/2200653", "הצעת חוק לתיקון פקודת מס הכנסה (נקודות זיכוי להורי חיילים), התשפ""ג-2023")</f>
        <v>9477</v>
      </c>
      <c r="E4514" t="s">
        <v>9477</v>
      </c>
      <c r="F4514" t="s">
        <v>9478</v>
      </c>
      <c r="G4514" t="s">
        <v>14</v>
      </c>
      <c r="H4514">
             </c>
      <c r="I4514" t="s">
        <v>14</v>
      </c>
      <c r="J4514" t="s">
        <v>193</v>
      </c>
      <c r="K4514" t="s">
        <v>14</v>
      </c>
      <c r="L4514" t="s">
        <v>20</v>
      </c>
      <c r="M4514" t="s">
        <v>9467</v>
      </c>
      <c r="N4514" t="s">
        <v>14</v>
      </c>
    </row>
    <row r="4515" x14ac:dyDescent="0.25">
      <c r="A4515" t="n">
        <v>25</v>
      </c>
      <c r="B4515" t="s">
        <v>14</v>
      </c>
      <c r="C4515" t="s">
        <v>51</v>
      </c>
      <c r="D4515" s="2" t="s">
        <f>=HYPERLINK("https://main.knesset.gov.il/APPS/legislation/main/bills/2201831", "הצעת חוק הביטוח הלאומי (תיקון - הגדרת ילד נכה), התשפ""ג-2023 ")</f>
        <v>9475</v>
      </c>
      <c r="E4515" t="s">
        <v>9475</v>
      </c>
      <c r="F4515" t="s">
        <v>9479</v>
      </c>
      <c r="G4515" t="s">
        <v>14</v>
      </c>
      <c r="H4515">
             </c>
      <c r="I4515" t="s">
        <v>14</v>
      </c>
      <c r="J4515" t="s">
        <v>152</v>
      </c>
      <c r="K4515" t="s">
        <v>46</v>
      </c>
      <c r="L4515" t="s">
        <v>20</v>
      </c>
      <c r="M4515" t="s">
        <v>9467</v>
      </c>
      <c r="N4515" t="s">
        <v>14</v>
      </c>
    </row>
    <row r="4516" x14ac:dyDescent="0.25">
      <c r="A4516" t="n">
        <v>25</v>
      </c>
      <c r="B4516" t="s">
        <v>14</v>
      </c>
      <c r="C4516" t="s">
        <v>51</v>
      </c>
      <c r="D4516" s="2" t="s">
        <f>=HYPERLINK("https://main.knesset.gov.il/APPS/legislation/main/bills/2197841", "הצעת חוק לתיקון פקודת מס הכנסה (הטבות מס ליישובים), התשפ""ג-2023")</f>
        <v>9480</v>
      </c>
      <c r="E4516" t="s">
        <v>9480</v>
      </c>
      <c r="F4516" t="s">
        <v>9481</v>
      </c>
      <c r="G4516" t="s">
        <v>14</v>
      </c>
      <c r="H4516">
             </c>
      <c r="I4516" t="s">
        <v>14</v>
      </c>
      <c r="J4516" t="s">
        <v>202</v>
      </c>
      <c r="K4516" t="s">
        <v>14</v>
      </c>
      <c r="L4516" t="s">
        <v>20</v>
      </c>
      <c r="M4516" t="s">
        <v>9467</v>
      </c>
      <c r="N4516" t="s">
        <v>14</v>
      </c>
    </row>
    <row r="4517" x14ac:dyDescent="0.25">
      <c r="A4517" t="n">
        <v>25</v>
      </c>
      <c r="B4517" t="s">
        <v>14</v>
      </c>
      <c r="C4517" t="s">
        <v>51</v>
      </c>
      <c r="D4517" s="2" t="s">
        <f>=HYPERLINK("https://main.knesset.gov.il/APPS/legislation/main/bills/2199527", "הצעת חוק לימוד חובה (תיקון - חינוך חינם לפעוטות ולילדים), התשפ""ג-2023")</f>
        <v>9482</v>
      </c>
      <c r="E4517" t="s">
        <v>9482</v>
      </c>
      <c r="F4517" t="s">
        <v>9483</v>
      </c>
      <c r="G4517" t="s">
        <v>14</v>
      </c>
      <c r="H4517">
             </c>
      <c r="I4517" t="s">
        <v>14</v>
      </c>
      <c r="J4517" t="s">
        <v>202</v>
      </c>
      <c r="K4517" t="s">
        <v>14</v>
      </c>
      <c r="L4517" t="s">
        <v>20</v>
      </c>
      <c r="M4517" t="s">
        <v>9467</v>
      </c>
      <c r="N4517" t="s">
        <v>14</v>
      </c>
    </row>
    <row r="4518" x14ac:dyDescent="0.25">
      <c r="A4518" t="n">
        <v>25</v>
      </c>
      <c r="B4518" t="s">
        <v>14</v>
      </c>
      <c r="C4518" t="s">
        <v>51</v>
      </c>
      <c r="D4518" s="2" t="s">
        <f>=HYPERLINK("https://main.knesset.gov.il/APPS/legislation/main/bills/2199923", "הצעת חוק לימוד חובה (תיקון - חינוך חינם לפעוטות ולילדים), התשפ""ג-2023")</f>
        <v>9482</v>
      </c>
      <c r="E4518" t="s">
        <v>9482</v>
      </c>
      <c r="F4518" t="s">
        <v>9484</v>
      </c>
      <c r="G4518" t="s">
        <v>14</v>
      </c>
      <c r="H4518">
             </c>
      <c r="I4518" t="s">
        <v>14</v>
      </c>
      <c r="J4518" t="s">
        <v>202</v>
      </c>
      <c r="K4518" t="s">
        <v>14</v>
      </c>
      <c r="L4518" t="s">
        <v>20</v>
      </c>
      <c r="M4518" t="s">
        <v>9467</v>
      </c>
      <c r="N4518" t="s">
        <v>14</v>
      </c>
    </row>
    <row r="4519" x14ac:dyDescent="0.25">
      <c r="A4519" t="n">
        <v>25</v>
      </c>
      <c r="B4519" t="s">
        <v>14</v>
      </c>
      <c r="C4519" t="s">
        <v>51</v>
      </c>
      <c r="D4519" s="2" t="s">
        <f>=HYPERLINK("https://main.knesset.gov.il/APPS/legislation/main/bills/2199573", "הצעת חוק מוקד חירום רפואי טלפוני, התשפ""ג-2023")</f>
        <v>9485</v>
      </c>
      <c r="E4519" t="s">
        <v>9485</v>
      </c>
      <c r="F4519" t="s">
        <v>9486</v>
      </c>
      <c r="G4519" t="s">
        <v>14</v>
      </c>
      <c r="H4519">
             </c>
      <c r="I4519" t="s">
        <v>14</v>
      </c>
      <c r="J4519" t="s">
        <v>152</v>
      </c>
      <c r="K4519" t="s">
        <v>361</v>
      </c>
      <c r="L4519" t="s">
        <v>20</v>
      </c>
      <c r="M4519" t="s">
        <v>9467</v>
      </c>
      <c r="N4519" t="s">
        <v>14</v>
      </c>
    </row>
    <row r="4520" x14ac:dyDescent="0.25">
      <c r="A4520" t="n">
        <v>25</v>
      </c>
      <c r="B4520" t="s">
        <v>14</v>
      </c>
      <c r="C4520" t="s">
        <v>51</v>
      </c>
      <c r="D4520" s="2" t="s">
        <f>=HYPERLINK("https://main.knesset.gov.il/APPS/legislation/main/bills/2198818", "הצעת חוק לימוד חובה (תיקון - חינוך חינם לגיל הרך), התשפ""ג-2023")</f>
        <v>9487</v>
      </c>
      <c r="E4520" t="s">
        <v>9487</v>
      </c>
      <c r="F4520" t="s">
        <v>9488</v>
      </c>
      <c r="G4520" t="s">
        <v>14</v>
      </c>
      <c r="H4520">
             </c>
      <c r="I4520" t="s">
        <v>14</v>
      </c>
      <c r="J4520" t="s">
        <v>202</v>
      </c>
      <c r="K4520" t="s">
        <v>14</v>
      </c>
      <c r="L4520" t="s">
        <v>20</v>
      </c>
      <c r="M4520" t="s">
        <v>9467</v>
      </c>
      <c r="N4520" t="s">
        <v>14</v>
      </c>
    </row>
    <row r="4521" x14ac:dyDescent="0.25">
      <c r="A4521" t="n">
        <v>25</v>
      </c>
      <c r="B4521" t="s">
        <v>14</v>
      </c>
      <c r="C4521" t="s">
        <v>51</v>
      </c>
      <c r="D4521" s="2" t="s">
        <f>=HYPERLINK("https://main.knesset.gov.il/APPS/legislation/main/bills/2197084", "הצעת חוק לתיקון פקודת הדיג (איסור דיג מכמורת), התשפ""ג-2022")</f>
        <v>9489</v>
      </c>
      <c r="E4521" t="s">
        <v>9489</v>
      </c>
      <c r="F4521" t="s">
        <v>9490</v>
      </c>
      <c r="G4521" t="s">
        <v>14</v>
      </c>
      <c r="H4521">
             </c>
      <c r="I4521" t="s">
        <v>14</v>
      </c>
      <c r="J4521" t="s">
        <v>193</v>
      </c>
      <c r="K4521" t="s">
        <v>14</v>
      </c>
      <c r="L4521" t="s">
        <v>20</v>
      </c>
      <c r="M4521" t="s">
        <v>9467</v>
      </c>
      <c r="N4521" t="s">
        <v>14</v>
      </c>
    </row>
    <row r="4522" x14ac:dyDescent="0.25">
      <c r="A4522" t="n">
        <v>25</v>
      </c>
      <c r="B4522" t="s">
        <v>14</v>
      </c>
      <c r="C4522" t="s">
        <v>15</v>
      </c>
      <c r="D4522" s="2" t="s">
        <f>=HYPERLINK("https://main.knesset.gov.il/APPS/legislation/main/bills/2204185", "פרק ט""ו, למעט סע' 56(2)(א) ו-(2)(ב)(2) (העמקת התחדשות עירונית באזורי ביקוש), 56(3) ו-57 (חוק הרשות הממשלתית להתחדשות עירונית), 62-61 (פיצול דירות) מתוך הצ""ח התכנית הכלכלית (תיקוני חקיקה ליישום המדיניות הכלכלית לשנות התקציב 2023 ו-2024), התשפ""ג-2023")</f>
        <v>9491</v>
      </c>
      <c r="E4522" t="s">
        <v>9491</v>
      </c>
      <c r="F4522" t="s">
        <v>14</v>
      </c>
      <c r="G4522" t="s">
        <v>81</v>
      </c>
      <c r="H4522">
             </c>
      <c r="I4522" t="s">
        <v>14</v>
      </c>
      <c r="J4522" t="s">
        <v>183</v>
      </c>
      <c r="K4522" t="s">
        <v>42</v>
      </c>
      <c r="L4522" t="s">
        <v>20</v>
      </c>
      <c r="M4522" t="s">
        <v>9492</v>
      </c>
      <c r="N4522" t="s">
        <v>14</v>
      </c>
    </row>
    <row r="4523" x14ac:dyDescent="0.25">
      <c r="A4523" t="n">
        <v>25</v>
      </c>
      <c r="B4523" t="s">
        <v>14</v>
      </c>
      <c r="C4523" t="s">
        <v>15</v>
      </c>
      <c r="D4523" s="2" t="s">
        <f>=HYPERLINK("https://main.knesset.gov.il/APPS/legislation/main/bills/2204169", "פרק כ""א (חקלאות), רק סעיף 86 (חוק הגנת הצומח) מתוך הצעת חוק התכנית הכלכלית (תיקוני חקיקה ליישום המדיניות הכלכלית לשנות התקציב 2023 ו-2024), התשפ""ג-2023")</f>
        <v>9493</v>
      </c>
      <c r="E4523" t="s">
        <v>9493</v>
      </c>
      <c r="F4523" t="s">
        <v>14</v>
      </c>
      <c r="G4523" t="s">
        <v>81</v>
      </c>
      <c r="H4523">
             </c>
      <c r="I4523" t="s">
        <v>14</v>
      </c>
      <c r="J4523" t="s">
        <v>183</v>
      </c>
      <c r="K4523" t="s">
        <v>42</v>
      </c>
      <c r="L4523" t="s">
        <v>20</v>
      </c>
      <c r="M4523" t="s">
        <v>9492</v>
      </c>
      <c r="N4523" t="s">
        <v>14</v>
      </c>
    </row>
    <row r="4524" x14ac:dyDescent="0.25">
      <c r="A4524" t="n">
        <v>25</v>
      </c>
      <c r="B4524" t="s">
        <v>14</v>
      </c>
      <c r="C4524" t="s">
        <v>15</v>
      </c>
      <c r="D4524" s="2" t="s">
        <f>=HYPERLINK("https://main.knesset.gov.il/APPS/legislation/main/bills/2204196", "פרק ד' (מיסוי בשוק הדיור), למעט סעיפים 10-8 (התחדשות עירונית), 11(3), 12(ב), 12(ג) ו-13מתוך הצעת חוק ההתייעלות הכלכלית (תיקוני חקיקה להשגת יעדי התקציב לשנות התקציב 2023 ו-2024), התשפ""ג-2023")</f>
        <v>9494</v>
      </c>
      <c r="E4524" t="s">
        <v>9494</v>
      </c>
      <c r="F4524" t="s">
        <v>14</v>
      </c>
      <c r="G4524" t="s">
        <v>81</v>
      </c>
      <c r="H4524">
             </c>
      <c r="I4524" t="s">
        <v>14</v>
      </c>
      <c r="J4524" t="s">
        <v>183</v>
      </c>
      <c r="K4524" t="s">
        <v>42</v>
      </c>
      <c r="L4524" t="s">
        <v>20</v>
      </c>
      <c r="M4524" t="s">
        <v>9492</v>
      </c>
      <c r="N4524" t="s">
        <v>14</v>
      </c>
    </row>
    <row r="4525" x14ac:dyDescent="0.25">
      <c r="A4525" t="n">
        <v>25</v>
      </c>
      <c r="B4525" t="s">
        <v>14</v>
      </c>
      <c r="C4525" t="s">
        <v>15</v>
      </c>
      <c r="D4525" s="2" t="s">
        <f>=HYPERLINK("https://main.knesset.gov.il/APPS/legislation/main/bills/2204156", "פרק ז' (בנקאות ואשראי) רק סעיפים 26-25 (בעניין חוב אשראי לגיוס) מתוך הצעת חוק התכנית הכלכלית (תיקוני חקיקה ליישום המדיניות הכלכלית לשנות התקציב 2023 ו-2024), התשפ""ג-2023")</f>
        <v>9495</v>
      </c>
      <c r="E4525" t="s">
        <v>9495</v>
      </c>
      <c r="F4525" t="s">
        <v>14</v>
      </c>
      <c r="G4525" t="s">
        <v>81</v>
      </c>
      <c r="H4525">
             </c>
      <c r="I4525" t="s">
        <v>14</v>
      </c>
      <c r="J4525" t="s">
        <v>183</v>
      </c>
      <c r="K4525" t="s">
        <v>42</v>
      </c>
      <c r="L4525" t="s">
        <v>20</v>
      </c>
      <c r="M4525" t="s">
        <v>9492</v>
      </c>
      <c r="N4525" t="s">
        <v>14</v>
      </c>
    </row>
    <row r="4526" x14ac:dyDescent="0.25">
      <c r="A4526" t="n">
        <v>25</v>
      </c>
      <c r="B4526" t="s">
        <v>14</v>
      </c>
      <c r="C4526" t="s">
        <v>15</v>
      </c>
      <c r="D4526" s="2" t="s">
        <f>=HYPERLINK("https://main.knesset.gov.il/APPS/legislation/main/bills/2204165", "פרק ז' (בנקאות ואשראי), למעט סעיפים 26-25 מתוך הצעת חוק התכנית הכלכלית (תיקוני חקיקה ליישום המדיניות הכלכלית לשנות התקציב 2023 ו-2024), התשפ""ג-2023")</f>
        <v>9496</v>
      </c>
      <c r="E4526" t="s">
        <v>9496</v>
      </c>
      <c r="F4526" t="s">
        <v>14</v>
      </c>
      <c r="G4526" t="s">
        <v>81</v>
      </c>
      <c r="H4526">
             </c>
      <c r="I4526" t="s">
        <v>14</v>
      </c>
      <c r="J4526" t="s">
        <v>183</v>
      </c>
      <c r="K4526" t="s">
        <v>42</v>
      </c>
      <c r="L4526" t="s">
        <v>20</v>
      </c>
      <c r="M4526" t="s">
        <v>9492</v>
      </c>
      <c r="N4526" t="s">
        <v>14</v>
      </c>
    </row>
    <row r="4527" x14ac:dyDescent="0.25">
      <c r="A4527" t="n">
        <v>25</v>
      </c>
      <c r="B4527" t="s">
        <v>14</v>
      </c>
      <c r="C4527" t="s">
        <v>15</v>
      </c>
      <c r="D4527" s="2" t="s">
        <f>=HYPERLINK("https://main.knesset.gov.il/APPS/legislation/main/bills/2204239", "פרק ט' (מסים), רק סעיפים 47-45 מתוך הצעת חוק ההתייעלות הכלכלית (תיקוני חקיקה להשגת יעדי התקציב לשנות התקציב 2023 ו-2024), התשפ""ג-2023 [פוצלה לפי סעיף 84(ב) לתקנון]")</f>
        <v>9497</v>
      </c>
      <c r="E4527" t="s">
        <v>9497</v>
      </c>
      <c r="F4527" t="s">
        <v>14</v>
      </c>
      <c r="G4527" t="s">
        <v>81</v>
      </c>
      <c r="H4527">
             </c>
      <c r="I4527" t="s">
        <v>14</v>
      </c>
      <c r="J4527" t="s">
        <v>38</v>
      </c>
      <c r="K4527" t="s">
        <v>27</v>
      </c>
      <c r="L4527" t="s">
        <v>20</v>
      </c>
      <c r="M4527" t="s">
        <v>9492</v>
      </c>
      <c r="N4527" t="s">
        <v>14</v>
      </c>
    </row>
    <row r="4528" x14ac:dyDescent="0.25">
      <c r="A4528" t="n">
        <v>25</v>
      </c>
      <c r="B4528" t="s">
        <v>14</v>
      </c>
      <c r="C4528" t="s">
        <v>15</v>
      </c>
      <c r="D4528" s="2" t="s">
        <f>=HYPERLINK("https://main.knesset.gov.il/APPS/legislation/main/bills/2204158", "פרק ט' (תיווך בביטוח ובחיסכון פנסיוני), רק סעיף 36 (איסור על סירוב בלתי סביר להתקשורת) מתוך הצעת חוק התכנית הכלכלית (תיקוני חקיקה ליישום המדיניות הכלכלית לשנות התקציב 2023 ו-2024), התשפ""ג-2023")</f>
        <v>9498</v>
      </c>
      <c r="E4528" t="s">
        <v>9498</v>
      </c>
      <c r="F4528" t="s">
        <v>14</v>
      </c>
      <c r="G4528" t="s">
        <v>81</v>
      </c>
      <c r="H4528">
             </c>
      <c r="I4528" t="s">
        <v>14</v>
      </c>
      <c r="J4528" t="s">
        <v>183</v>
      </c>
      <c r="K4528" t="s">
        <v>42</v>
      </c>
      <c r="L4528" t="s">
        <v>20</v>
      </c>
      <c r="M4528" t="s">
        <v>9492</v>
      </c>
      <c r="N4528" t="s">
        <v>14</v>
      </c>
    </row>
    <row r="4529" x14ac:dyDescent="0.25">
      <c r="A4529" t="n">
        <v>25</v>
      </c>
      <c r="B4529" t="s">
        <v>14</v>
      </c>
      <c r="C4529" t="s">
        <v>15</v>
      </c>
      <c r="D4529" s="2" t="s">
        <f>=HYPERLINK("https://main.knesset.gov.il/APPS/legislation/main/bills/2204207", "פרק ח' (גמלאות וקצבת גישור), רק סעיפים 30(4), 30(5), 31(א) (בעניין פנסיית גישור) מתוך הצעת חוק ההתייעלות הכלכלית (תיקוני חקיקה להשגת יעדי התקציב לשנות התקציב 2023 ו-2024), התשפ""ג-2023")</f>
        <v>9499</v>
      </c>
      <c r="E4529" t="s">
        <v>9499</v>
      </c>
      <c r="F4529" t="s">
        <v>14</v>
      </c>
      <c r="G4529" t="s">
        <v>81</v>
      </c>
      <c r="H4529">
             </c>
      <c r="I4529" t="s">
        <v>14</v>
      </c>
      <c r="J4529" t="s">
        <v>183</v>
      </c>
      <c r="K4529" t="s">
        <v>42</v>
      </c>
      <c r="L4529" t="s">
        <v>20</v>
      </c>
      <c r="M4529" t="s">
        <v>9492</v>
      </c>
      <c r="N4529" t="s">
        <v>14</v>
      </c>
    </row>
    <row r="4530" x14ac:dyDescent="0.25">
      <c r="A4530" t="n">
        <v>25</v>
      </c>
      <c r="B4530" t="s">
        <v>14</v>
      </c>
      <c r="C4530" t="s">
        <v>15</v>
      </c>
      <c r="D4530" s="2" t="s">
        <f>=HYPERLINK("https://main.knesset.gov.il/APPS/legislation/main/bills/2204163", "פרק כ""ד (קידום תשתיות לאומיות), רק סעיפים 1 עד 30 בתוך סעיף 94 המוצע מתוך הצעת חוק התכנית הכלכלית (תיקוני חקיקה ליישום המדיניות הכלכלית לשנות התקציב 2023 ו-2024), התשפ""ג-2023")</f>
        <v>9500</v>
      </c>
      <c r="E4530" t="s">
        <v>9500</v>
      </c>
      <c r="F4530" t="s">
        <v>14</v>
      </c>
      <c r="G4530" t="s">
        <v>81</v>
      </c>
      <c r="H4530">
             </c>
      <c r="I4530" t="s">
        <v>14</v>
      </c>
      <c r="J4530" t="s">
        <v>183</v>
      </c>
      <c r="K4530" t="s">
        <v>42</v>
      </c>
      <c r="L4530" t="s">
        <v>20</v>
      </c>
      <c r="M4530" t="s">
        <v>9492</v>
      </c>
      <c r="N4530" t="s">
        <v>14</v>
      </c>
    </row>
    <row r="4531" x14ac:dyDescent="0.25">
      <c r="A4531" t="n">
        <v>25</v>
      </c>
      <c r="B4531" t="s">
        <v>14</v>
      </c>
      <c r="C4531" t="s">
        <v>51</v>
      </c>
      <c r="D4531" s="2" t="s">
        <f>=HYPERLINK("https://main.knesset.gov.il/APPS/legislation/main/bills/2203710", "הצעת חוק עבודת נשים (תיקון - שעות היעדרות מעבודה לאישה בהיריון בר-סיכון), התשפ""ג-2023")</f>
        <v>9501</v>
      </c>
      <c r="E4531" t="s">
        <v>9501</v>
      </c>
      <c r="F4531" t="s">
        <v>9502</v>
      </c>
      <c r="G4531" t="s">
        <v>14</v>
      </c>
      <c r="H4531">
             </c>
      <c r="I4531" t="s">
        <v>14</v>
      </c>
      <c r="J4531" t="s">
        <v>242</v>
      </c>
      <c r="K4531" t="s">
        <v>14</v>
      </c>
      <c r="L4531" t="s">
        <v>20</v>
      </c>
      <c r="M4531" t="s">
        <v>9492</v>
      </c>
      <c r="N4531" t="s">
        <v>14</v>
      </c>
    </row>
    <row r="4532" x14ac:dyDescent="0.25">
      <c r="A4532" t="n">
        <v>25</v>
      </c>
      <c r="B4532" t="s">
        <v>14</v>
      </c>
      <c r="C4532" t="s">
        <v>51</v>
      </c>
      <c r="D4532" s="2" t="s">
        <f>=HYPERLINK("https://main.knesset.gov.il/APPS/legislation/main/bills/2204208", "הצעת חוק עבודת נשים (תיקון - תקופת לידה והורות להורה יחיד), התשפ""ג-2023 ")</f>
        <v>9503</v>
      </c>
      <c r="E4532" t="s">
        <v>9503</v>
      </c>
      <c r="F4532" t="s">
        <v>9504</v>
      </c>
      <c r="G4532" t="s">
        <v>14</v>
      </c>
      <c r="H4532">
             </c>
      <c r="I4532" t="s">
        <v>14</v>
      </c>
      <c r="J4532" t="s">
        <v>242</v>
      </c>
      <c r="K4532" t="s">
        <v>14</v>
      </c>
      <c r="L4532" t="s">
        <v>20</v>
      </c>
      <c r="M4532" t="s">
        <v>9492</v>
      </c>
      <c r="N4532" t="s">
        <v>14</v>
      </c>
    </row>
    <row r="4533" x14ac:dyDescent="0.25">
      <c r="A4533" t="n">
        <v>25</v>
      </c>
      <c r="B4533" t="s">
        <v>14</v>
      </c>
      <c r="C4533" t="s">
        <v>51</v>
      </c>
      <c r="D4533" s="2" t="s">
        <f>=HYPERLINK("https://main.knesset.gov.il/APPS/legislation/main/bills/2203151", "הצעת חוק שירות ישראלי, התשפ""ג-2023 ")</f>
        <v>9505</v>
      </c>
      <c r="E4533" t="s">
        <v>9505</v>
      </c>
      <c r="F4533" t="s">
        <v>9506</v>
      </c>
      <c r="G4533" t="s">
        <v>14</v>
      </c>
      <c r="H4533">
             </c>
      <c r="I4533" t="s">
        <v>14</v>
      </c>
      <c r="J4533" t="s">
        <v>242</v>
      </c>
      <c r="K4533" t="s">
        <v>14</v>
      </c>
      <c r="L4533" t="s">
        <v>20</v>
      </c>
      <c r="M4533" t="s">
        <v>9492</v>
      </c>
      <c r="N4533" t="s">
        <v>14</v>
      </c>
    </row>
    <row r="4534" x14ac:dyDescent="0.25">
      <c r="A4534" t="n">
        <v>25</v>
      </c>
      <c r="B4534" t="s">
        <v>14</v>
      </c>
      <c r="C4534" t="s">
        <v>51</v>
      </c>
      <c r="D4534" s="2" t="s">
        <f>=HYPERLINK("https://main.knesset.gov.il/APPS/legislation/main/bills/2204204", "הצעת חוק קבלת ילד של עובדת הוראה למעון יום והשתתפות בעלות שכר הלימוד, התשפ""ג-2023 ")</f>
        <v>9507</v>
      </c>
      <c r="E4534" t="s">
        <v>9507</v>
      </c>
      <c r="F4534" t="s">
        <v>9508</v>
      </c>
      <c r="G4534" t="s">
        <v>14</v>
      </c>
      <c r="H4534">
             </c>
      <c r="I4534" t="s">
        <v>14</v>
      </c>
      <c r="J4534" t="s">
        <v>242</v>
      </c>
      <c r="K4534" t="s">
        <v>14</v>
      </c>
      <c r="L4534" t="s">
        <v>20</v>
      </c>
      <c r="M4534" t="s">
        <v>9492</v>
      </c>
      <c r="N4534" t="s">
        <v>14</v>
      </c>
    </row>
    <row r="4535" x14ac:dyDescent="0.25">
      <c r="A4535" t="n">
        <v>25</v>
      </c>
      <c r="B4535" t="s">
        <v>14</v>
      </c>
      <c r="C4535" t="s">
        <v>51</v>
      </c>
      <c r="D4535" s="2" t="s">
        <f>=HYPERLINK("https://main.knesset.gov.il/APPS/legislation/main/bills/2204212", "הצעת חוק הביטוח הלאומי (תיקון - תשלום דמי אבטלה לנשים שיצאו לחופשה ללא תשלום לאחר לידה), התשפ""ג-2023")</f>
        <v>9509</v>
      </c>
      <c r="E4535" t="s">
        <v>9509</v>
      </c>
      <c r="F4535" t="s">
        <v>9510</v>
      </c>
      <c r="G4535" t="s">
        <v>14</v>
      </c>
      <c r="H4535">
             </c>
      <c r="I4535" t="s">
        <v>14</v>
      </c>
      <c r="J4535" t="s">
        <v>242</v>
      </c>
      <c r="K4535" t="s">
        <v>14</v>
      </c>
      <c r="L4535" t="s">
        <v>20</v>
      </c>
      <c r="M4535" t="s">
        <v>9492</v>
      </c>
      <c r="N4535" t="s">
        <v>14</v>
      </c>
    </row>
    <row r="4536" x14ac:dyDescent="0.25">
      <c r="A4536" t="n">
        <v>25</v>
      </c>
      <c r="B4536" t="s">
        <v>14</v>
      </c>
      <c r="C4536" t="s">
        <v>51</v>
      </c>
      <c r="D4536" s="2" t="s">
        <f>=HYPERLINK("https://main.knesset.gov.il/APPS/legislation/main/bills/2203933", "הצעת חוק הגנת השכר (תיקון - הגבלת ניכוי דמי חבר ודמי טיפול מקצועי ארגוני), התשפ""ג-2023")</f>
        <v>9511</v>
      </c>
      <c r="E4536" t="s">
        <v>9511</v>
      </c>
      <c r="F4536" t="s">
        <v>9512</v>
      </c>
      <c r="G4536" t="s">
        <v>14</v>
      </c>
      <c r="H4536">
             </c>
      <c r="I4536" t="s">
        <v>14</v>
      </c>
      <c r="J4536" t="s">
        <v>242</v>
      </c>
      <c r="K4536" t="s">
        <v>14</v>
      </c>
      <c r="L4536" t="s">
        <v>20</v>
      </c>
      <c r="M4536" t="s">
        <v>9492</v>
      </c>
      <c r="N4536" t="s">
        <v>14</v>
      </c>
    </row>
    <row r="4537" x14ac:dyDescent="0.25">
      <c r="A4537" t="n">
        <v>25</v>
      </c>
      <c r="B4537" t="s">
        <v>14</v>
      </c>
      <c r="C4537" t="s">
        <v>51</v>
      </c>
      <c r="D4537" s="2" t="s">
        <f>=HYPERLINK("https://main.knesset.gov.il/APPS/legislation/main/bills/2204159", "הצעת חוק הביטוח הלאומי (תיקון - תגמול למשרתים במילואים), התשפ""ג-2023")</f>
        <v>9513</v>
      </c>
      <c r="E4537" t="s">
        <v>9513</v>
      </c>
      <c r="F4537" t="s">
        <v>9514</v>
      </c>
      <c r="G4537" t="s">
        <v>14</v>
      </c>
      <c r="H4537">
             </c>
      <c r="I4537" t="s">
        <v>14</v>
      </c>
      <c r="J4537" t="s">
        <v>242</v>
      </c>
      <c r="K4537" t="s">
        <v>14</v>
      </c>
      <c r="L4537" t="s">
        <v>20</v>
      </c>
      <c r="M4537" t="s">
        <v>9492</v>
      </c>
      <c r="N4537" t="s">
        <v>14</v>
      </c>
    </row>
    <row r="4538" x14ac:dyDescent="0.25">
      <c r="A4538" t="n">
        <v>25</v>
      </c>
      <c r="B4538" t="s">
        <v>14</v>
      </c>
      <c r="C4538" t="s">
        <v>51</v>
      </c>
      <c r="D4538" s="2" t="s">
        <f>=HYPERLINK("https://main.knesset.gov.il/APPS/legislation/main/bills/2204142", "הצעת חוק דמי מחלה (היעדרות בשל מחלת ילד) (תיקון - הורה ליותר מילד אחד), התשפ""ג-2023")</f>
        <v>9515</v>
      </c>
      <c r="E4538" t="s">
        <v>9515</v>
      </c>
      <c r="F4538" t="s">
        <v>9516</v>
      </c>
      <c r="G4538" t="s">
        <v>14</v>
      </c>
      <c r="H4538">
             </c>
      <c r="I4538" t="s">
        <v>14</v>
      </c>
      <c r="J4538" t="s">
        <v>242</v>
      </c>
      <c r="K4538" t="s">
        <v>14</v>
      </c>
      <c r="L4538" t="s">
        <v>20</v>
      </c>
      <c r="M4538" t="s">
        <v>9492</v>
      </c>
      <c r="N4538" t="s">
        <v>14</v>
      </c>
    </row>
    <row r="4539" x14ac:dyDescent="0.25">
      <c r="A4539" t="n">
        <v>25</v>
      </c>
      <c r="B4539" t="s">
        <v>14</v>
      </c>
      <c r="C4539" t="s">
        <v>51</v>
      </c>
      <c r="D4539" s="2" t="s">
        <f>=HYPERLINK("https://main.knesset.gov.il/APPS/legislation/main/bills/2204324", "הצעת חוק הביטוח הלאומי (תיקון - שינוי המונח נכה), התשפ""ג-2023")</f>
        <v>9517</v>
      </c>
      <c r="E4539" t="s">
        <v>9517</v>
      </c>
      <c r="F4539" t="s">
        <v>9518</v>
      </c>
      <c r="G4539" t="s">
        <v>14</v>
      </c>
      <c r="H4539">
             </c>
      <c r="I4539" t="s">
        <v>14</v>
      </c>
      <c r="J4539" t="s">
        <v>242</v>
      </c>
      <c r="K4539" t="s">
        <v>14</v>
      </c>
      <c r="L4539" t="s">
        <v>20</v>
      </c>
      <c r="M4539" t="s">
        <v>9492</v>
      </c>
      <c r="N4539" t="s">
        <v>14</v>
      </c>
    </row>
    <row r="4540" x14ac:dyDescent="0.25">
      <c r="A4540" t="n">
        <v>25</v>
      </c>
      <c r="B4540" t="s">
        <v>14</v>
      </c>
      <c r="C4540" t="s">
        <v>51</v>
      </c>
      <c r="D4540" s="2" t="s">
        <f>=HYPERLINK("https://main.knesset.gov.il/APPS/legislation/main/bills/2203920", "הצעת חוק ביטוח בריאות ממלכתי (תיקון - הרחבת הסדרי הבחירה), התשפ""ג-2023")</f>
        <v>9519</v>
      </c>
      <c r="E4540" t="s">
        <v>9519</v>
      </c>
      <c r="F4540" t="s">
        <v>9520</v>
      </c>
      <c r="G4540" t="s">
        <v>14</v>
      </c>
      <c r="H4540">
             </c>
      <c r="I4540" t="s">
        <v>14</v>
      </c>
      <c r="J4540" t="s">
        <v>242</v>
      </c>
      <c r="K4540" t="s">
        <v>14</v>
      </c>
      <c r="L4540" t="s">
        <v>20</v>
      </c>
      <c r="M4540" t="s">
        <v>9492</v>
      </c>
      <c r="N4540" t="s">
        <v>14</v>
      </c>
    </row>
    <row r="4541" x14ac:dyDescent="0.25">
      <c r="A4541" t="n">
        <v>25</v>
      </c>
      <c r="B4541" t="s">
        <v>14</v>
      </c>
      <c r="C4541" t="s">
        <v>51</v>
      </c>
      <c r="D4541" s="2" t="s">
        <f>=HYPERLINK("https://main.knesset.gov.il/APPS/legislation/main/bills/2204572", "הצעת חוק לחילוט תקבולי עבירה בשווי בעבירת גניבה חקלאית ובעבירות הגורמות נזק לרכוש חקלאי, התשפ""ג-2023")</f>
        <v>9521</v>
      </c>
      <c r="E4541" t="s">
        <v>9521</v>
      </c>
      <c r="F4541" t="s">
        <v>9522</v>
      </c>
      <c r="G4541" t="s">
        <v>14</v>
      </c>
      <c r="H4541">
             </c>
      <c r="I4541" t="s">
        <v>14</v>
      </c>
      <c r="J4541" t="s">
        <v>242</v>
      </c>
      <c r="K4541" t="s">
        <v>14</v>
      </c>
      <c r="L4541" t="s">
        <v>20</v>
      </c>
      <c r="M4541" t="s">
        <v>9492</v>
      </c>
      <c r="N4541" t="s">
        <v>14</v>
      </c>
    </row>
    <row r="4542" x14ac:dyDescent="0.25">
      <c r="A4542" t="n">
        <v>25</v>
      </c>
      <c r="B4542" t="s">
        <v>14</v>
      </c>
      <c r="C4542" t="s">
        <v>51</v>
      </c>
      <c r="D4542" s="2" t="s">
        <f>=HYPERLINK("https://main.knesset.gov.il/APPS/legislation/main/bills/2199990", "הצעת חוק למניעת הטרדה מינית (תיקון - החמרת הענישה על הטרדה מינית באמצעים טכנולוגיים - הפצת תוכן מיני של קטינים), התשפ""ג-2023")</f>
        <v>9523</v>
      </c>
      <c r="E4542" t="s">
        <v>9523</v>
      </c>
      <c r="F4542" t="s">
        <v>9524</v>
      </c>
      <c r="G4542" t="s">
        <v>14</v>
      </c>
      <c r="H4542">
             </c>
      <c r="I4542" t="s">
        <v>14</v>
      </c>
      <c r="J4542" t="s">
        <v>242</v>
      </c>
      <c r="K4542" t="s">
        <v>14</v>
      </c>
      <c r="L4542" t="s">
        <v>20</v>
      </c>
      <c r="M4542" t="s">
        <v>9492</v>
      </c>
      <c r="N4542" t="s">
        <v>14</v>
      </c>
    </row>
    <row r="4543" x14ac:dyDescent="0.25">
      <c r="A4543" t="n">
        <v>25</v>
      </c>
      <c r="B4543" t="s">
        <v>14</v>
      </c>
      <c r="C4543" t="s">
        <v>51</v>
      </c>
      <c r="D4543" s="2" t="s">
        <f>=HYPERLINK("https://main.knesset.gov.il/APPS/legislation/main/bills/2204328", "הצעת חוק לתיקון פקודת מס הכנסה (ניכוי סכומים שהוצאו לצורך טיפול בילד), התשפ""ג-2023")</f>
        <v>8198</v>
      </c>
      <c r="E4543" t="s">
        <v>8198</v>
      </c>
      <c r="F4543" t="s">
        <v>9525</v>
      </c>
      <c r="G4543" t="s">
        <v>14</v>
      </c>
      <c r="H4543">
             </c>
      <c r="I4543" t="s">
        <v>14</v>
      </c>
      <c r="J4543" t="s">
        <v>242</v>
      </c>
      <c r="K4543" t="s">
        <v>14</v>
      </c>
      <c r="L4543" t="s">
        <v>20</v>
      </c>
      <c r="M4543" t="s">
        <v>9492</v>
      </c>
      <c r="N4543" t="s">
        <v>14</v>
      </c>
    </row>
    <row r="4544" x14ac:dyDescent="0.25">
      <c r="A4544" t="n">
        <v>25</v>
      </c>
      <c r="B4544" t="s">
        <v>14</v>
      </c>
      <c r="C4544" t="s">
        <v>51</v>
      </c>
      <c r="D4544" s="2" t="s">
        <f>=HYPERLINK("https://main.knesset.gov.il/APPS/legislation/main/bills/2204097", "הצעת חוק שירותי הסעד (תיקון - הגבלת מספר התיקים בטיפול עובד סוציאלי המטפל במשפחות), התשפ""ג-2023")</f>
        <v>8403</v>
      </c>
      <c r="E4544" t="s">
        <v>8403</v>
      </c>
      <c r="F4544" t="s">
        <v>9526</v>
      </c>
      <c r="G4544" t="s">
        <v>14</v>
      </c>
      <c r="H4544">
             </c>
      <c r="I4544" t="s">
        <v>14</v>
      </c>
      <c r="J4544" t="s">
        <v>242</v>
      </c>
      <c r="K4544" t="s">
        <v>14</v>
      </c>
      <c r="L4544" t="s">
        <v>20</v>
      </c>
      <c r="M4544" t="s">
        <v>9492</v>
      </c>
      <c r="N4544" t="s">
        <v>14</v>
      </c>
    </row>
    <row r="4545" x14ac:dyDescent="0.25">
      <c r="A4545" t="n">
        <v>25</v>
      </c>
      <c r="B4545" t="s">
        <v>14</v>
      </c>
      <c r="C4545" t="s">
        <v>51</v>
      </c>
      <c r="D4545" s="2" t="s">
        <f>=HYPERLINK("https://main.knesset.gov.il/APPS/legislation/main/bills/2204131", "הצעת חוק הפסיכולוגים (תיקון - איסור טיפולי המרה), התשפ""ג-2023")</f>
        <v>9527</v>
      </c>
      <c r="E4545" t="s">
        <v>9527</v>
      </c>
      <c r="F4545" t="s">
        <v>9528</v>
      </c>
      <c r="G4545" t="s">
        <v>14</v>
      </c>
      <c r="H4545">
             </c>
      <c r="I4545" t="s">
        <v>14</v>
      </c>
      <c r="J4545" t="s">
        <v>242</v>
      </c>
      <c r="K4545" t="s">
        <v>14</v>
      </c>
      <c r="L4545" t="s">
        <v>20</v>
      </c>
      <c r="M4545" t="s">
        <v>9492</v>
      </c>
      <c r="N4545" t="s">
        <v>14</v>
      </c>
    </row>
    <row r="4546" x14ac:dyDescent="0.25">
      <c r="A4546" t="n">
        <v>25</v>
      </c>
      <c r="B4546" t="s">
        <v>14</v>
      </c>
      <c r="C4546" t="s">
        <v>51</v>
      </c>
      <c r="D4546" s="2" t="s">
        <f>=HYPERLINK("https://main.knesset.gov.il/APPS/legislation/main/bills/2204764", "הצעת חוק עמותות חוץ, התשפ""ג-2023")</f>
        <v>9529</v>
      </c>
      <c r="E4546" t="s">
        <v>9529</v>
      </c>
      <c r="F4546" t="s">
        <v>9530</v>
      </c>
      <c r="G4546" t="s">
        <v>14</v>
      </c>
      <c r="H4546">
             </c>
      <c r="I4546" t="s">
        <v>14</v>
      </c>
      <c r="J4546" t="s">
        <v>242</v>
      </c>
      <c r="K4546" t="s">
        <v>14</v>
      </c>
      <c r="L4546" t="s">
        <v>20</v>
      </c>
      <c r="M4546" t="s">
        <v>9492</v>
      </c>
      <c r="N4546" t="s">
        <v>14</v>
      </c>
    </row>
    <row r="4547" x14ac:dyDescent="0.25">
      <c r="A4547" t="n">
        <v>25</v>
      </c>
      <c r="B4547" t="s">
        <v>14</v>
      </c>
      <c r="C4547" t="s">
        <v>51</v>
      </c>
      <c r="D4547" s="2" t="s">
        <f>=HYPERLINK("https://main.knesset.gov.il/APPS/legislation/main/bills/2203647", "הצעת חוק דיני הבחירות לרשויות המקומיות (תיקוני חקיקה), התשפ""ג-2023")</f>
        <v>9531</v>
      </c>
      <c r="E4547" t="s">
        <v>9531</v>
      </c>
      <c r="F4547" t="s">
        <v>9532</v>
      </c>
      <c r="G4547" t="s">
        <v>14</v>
      </c>
      <c r="H4547">
             </c>
      <c r="I4547" t="s">
        <v>14</v>
      </c>
      <c r="J4547" t="s">
        <v>242</v>
      </c>
      <c r="K4547" t="s">
        <v>14</v>
      </c>
      <c r="L4547" t="s">
        <v>20</v>
      </c>
      <c r="M4547" t="s">
        <v>9492</v>
      </c>
      <c r="N4547" t="s">
        <v>14</v>
      </c>
    </row>
    <row r="4548" x14ac:dyDescent="0.25">
      <c r="A4548" t="n">
        <v>25</v>
      </c>
      <c r="B4548" t="s">
        <v>14</v>
      </c>
      <c r="C4548" t="s">
        <v>51</v>
      </c>
      <c r="D4548" s="2" t="s">
        <f>=HYPERLINK("https://main.knesset.gov.il/APPS/legislation/main/bills/2204221", "הצעת חוק שעות עבודה ומנוחה (תיקון - קיצור שבוע העבודה), התשפ""ג-2023")</f>
        <v>9533</v>
      </c>
      <c r="E4548" t="s">
        <v>9533</v>
      </c>
      <c r="F4548" t="s">
        <v>9534</v>
      </c>
      <c r="G4548" t="s">
        <v>14</v>
      </c>
      <c r="H4548">
             </c>
      <c r="I4548" t="s">
        <v>14</v>
      </c>
      <c r="J4548" t="s">
        <v>242</v>
      </c>
      <c r="K4548" t="s">
        <v>14</v>
      </c>
      <c r="L4548" t="s">
        <v>20</v>
      </c>
      <c r="M4548" t="s">
        <v>9492</v>
      </c>
      <c r="N4548" t="s">
        <v>14</v>
      </c>
    </row>
    <row r="4549" x14ac:dyDescent="0.25">
      <c r="A4549" t="n">
        <v>25</v>
      </c>
      <c r="B4549" t="s">
        <v>14</v>
      </c>
      <c r="C4549" t="s">
        <v>51</v>
      </c>
      <c r="D4549" s="2" t="s">
        <f>=HYPERLINK("https://main.knesset.gov.il/APPS/legislation/main/bills/2204101", "הצעת חוק הביטוח הלאומי (תיקון - הארכת המועד להגשת תביעה לגמלה והתקופה שבעדה תשולם), התשפ""ג-2023")</f>
        <v>8519</v>
      </c>
      <c r="E4549" t="s">
        <v>8519</v>
      </c>
      <c r="F4549" t="s">
        <v>9535</v>
      </c>
      <c r="G4549" t="s">
        <v>14</v>
      </c>
      <c r="H4549">
             </c>
      <c r="I4549" t="s">
        <v>14</v>
      </c>
      <c r="J4549" t="s">
        <v>242</v>
      </c>
      <c r="K4549" t="s">
        <v>14</v>
      </c>
      <c r="L4549" t="s">
        <v>20</v>
      </c>
      <c r="M4549" t="s">
        <v>9492</v>
      </c>
      <c r="N4549" t="s">
        <v>14</v>
      </c>
    </row>
    <row r="4550" x14ac:dyDescent="0.25">
      <c r="A4550" t="n">
        <v>25</v>
      </c>
      <c r="B4550" t="s">
        <v>14</v>
      </c>
      <c r="C4550" t="s">
        <v>51</v>
      </c>
      <c r="D4550" s="2" t="s">
        <f>=HYPERLINK("https://main.knesset.gov.il/APPS/legislation/main/bills/2204270", "הצעת חוק מיקוד גמלאות לאזרחים ותיקים (תיקוני חקיקה), התשפ""ג-2023")</f>
        <v>9536</v>
      </c>
      <c r="E4550" t="s">
        <v>9536</v>
      </c>
      <c r="F4550" t="s">
        <v>9537</v>
      </c>
      <c r="G4550" t="s">
        <v>14</v>
      </c>
      <c r="H4550">
             </c>
      <c r="I4550" t="s">
        <v>14</v>
      </c>
      <c r="J4550" t="s">
        <v>242</v>
      </c>
      <c r="K4550" t="s">
        <v>14</v>
      </c>
      <c r="L4550" t="s">
        <v>20</v>
      </c>
      <c r="M4550" t="s">
        <v>9492</v>
      </c>
      <c r="N4550" t="s">
        <v>14</v>
      </c>
    </row>
    <row r="4551" x14ac:dyDescent="0.25">
      <c r="A4551" t="n">
        <v>25</v>
      </c>
      <c r="B4551" t="s">
        <v>14</v>
      </c>
      <c r="C4551" t="s">
        <v>51</v>
      </c>
      <c r="D4551" s="2" t="s">
        <f>=HYPERLINK("https://main.knesset.gov.il/APPS/legislation/main/bills/2204134", "הצעת חוק הביטוח הלאומי (תיקון - דמי מחלה לעובד עצמאי), התשפ""ג-2023")</f>
        <v>9538</v>
      </c>
      <c r="E4551" t="s">
        <v>9538</v>
      </c>
      <c r="F4551" t="s">
        <v>9539</v>
      </c>
      <c r="G4551" t="s">
        <v>14</v>
      </c>
      <c r="H4551">
             </c>
      <c r="I4551" t="s">
        <v>14</v>
      </c>
      <c r="J4551" t="s">
        <v>242</v>
      </c>
      <c r="K4551" t="s">
        <v>14</v>
      </c>
      <c r="L4551" t="s">
        <v>20</v>
      </c>
      <c r="M4551" t="s">
        <v>9492</v>
      </c>
      <c r="N4551" t="s">
        <v>14</v>
      </c>
    </row>
    <row r="4552" x14ac:dyDescent="0.25">
      <c r="A4552" t="n">
        <v>25</v>
      </c>
      <c r="B4552" t="s">
        <v>14</v>
      </c>
      <c r="C4552" t="s">
        <v>51</v>
      </c>
      <c r="D4552" s="2" t="s">
        <f>=HYPERLINK("https://main.knesset.gov.il/APPS/legislation/main/bills/2203946", "הצעת חוק יישוב סכסוכי עבודה (תיקון - בוררות חובה בשירותים חיוניים), התשפ""ג-2023")</f>
        <v>9540</v>
      </c>
      <c r="E4552" t="s">
        <v>9540</v>
      </c>
      <c r="F4552" t="s">
        <v>9541</v>
      </c>
      <c r="G4552" t="s">
        <v>14</v>
      </c>
      <c r="H4552">
             </c>
      <c r="I4552" t="s">
        <v>14</v>
      </c>
      <c r="J4552" t="s">
        <v>242</v>
      </c>
      <c r="K4552" t="s">
        <v>14</v>
      </c>
      <c r="L4552" t="s">
        <v>20</v>
      </c>
      <c r="M4552" t="s">
        <v>9492</v>
      </c>
      <c r="N4552" t="s">
        <v>14</v>
      </c>
    </row>
    <row r="4553" x14ac:dyDescent="0.25">
      <c r="A4553" t="n">
        <v>25</v>
      </c>
      <c r="B4553" t="s">
        <v>14</v>
      </c>
      <c r="C4553" t="s">
        <v>51</v>
      </c>
      <c r="D4553" s="2" t="s">
        <f>=HYPERLINK("https://main.knesset.gov.il/APPS/legislation/main/bills/2204326", "הצעת חוק לתיקון פקודת מס הכנסה (פטור ממס הכנסה לנכים), התשפ""ג-2023")</f>
        <v>9194</v>
      </c>
      <c r="E4553" t="s">
        <v>9194</v>
      </c>
      <c r="F4553" t="s">
        <v>9542</v>
      </c>
      <c r="G4553" t="s">
        <v>14</v>
      </c>
      <c r="H4553">
             </c>
      <c r="I4553" t="s">
        <v>14</v>
      </c>
      <c r="J4553" t="s">
        <v>242</v>
      </c>
      <c r="K4553" t="s">
        <v>14</v>
      </c>
      <c r="L4553" t="s">
        <v>20</v>
      </c>
      <c r="M4553" t="s">
        <v>9492</v>
      </c>
      <c r="N4553" t="s">
        <v>14</v>
      </c>
    </row>
    <row r="4554" x14ac:dyDescent="0.25">
      <c r="A4554" t="n">
        <v>25</v>
      </c>
      <c r="B4554" t="s">
        <v>14</v>
      </c>
      <c r="C4554" t="s">
        <v>51</v>
      </c>
      <c r="D4554" s="2" t="s">
        <f>=HYPERLINK("https://main.knesset.gov.il/APPS/legislation/main/bills/2204617", "הצעת חוק האגודות העותומניות (רישום ופיקוח), התשפ""ג-2023")</f>
        <v>9543</v>
      </c>
      <c r="E4554" t="s">
        <v>9543</v>
      </c>
      <c r="F4554" t="s">
        <v>9544</v>
      </c>
      <c r="G4554" t="s">
        <v>14</v>
      </c>
      <c r="H4554">
             </c>
      <c r="I4554" t="s">
        <v>14</v>
      </c>
      <c r="J4554" t="s">
        <v>242</v>
      </c>
      <c r="K4554" t="s">
        <v>14</v>
      </c>
      <c r="L4554" t="s">
        <v>20</v>
      </c>
      <c r="M4554" t="s">
        <v>9492</v>
      </c>
      <c r="N4554" t="s">
        <v>14</v>
      </c>
    </row>
    <row r="4555" x14ac:dyDescent="0.25">
      <c r="A4555" t="n">
        <v>25</v>
      </c>
      <c r="B4555" t="s">
        <v>14</v>
      </c>
      <c r="C4555" t="s">
        <v>51</v>
      </c>
      <c r="D4555" s="2" t="s">
        <f>=HYPERLINK("https://main.knesset.gov.il/APPS/legislation/main/bills/2204026", "הצעת חוק לימוד חובה (תיקון - הגבלת מספר התלמידים בכיתה בבית ספר יסודי), התשפ""ג-2023")</f>
        <v>9545</v>
      </c>
      <c r="E4555" t="s">
        <v>9545</v>
      </c>
      <c r="F4555" t="s">
        <v>9546</v>
      </c>
      <c r="G4555" t="s">
        <v>14</v>
      </c>
      <c r="H4555">
             </c>
      <c r="I4555" t="s">
        <v>14</v>
      </c>
      <c r="J4555" t="s">
        <v>242</v>
      </c>
      <c r="K4555" t="s">
        <v>14</v>
      </c>
      <c r="L4555" t="s">
        <v>20</v>
      </c>
      <c r="M4555" t="s">
        <v>9492</v>
      </c>
      <c r="N4555" t="s">
        <v>14</v>
      </c>
    </row>
    <row r="4556" x14ac:dyDescent="0.25">
      <c r="A4556" t="n">
        <v>25</v>
      </c>
      <c r="B4556" t="s">
        <v>14</v>
      </c>
      <c r="C4556" t="s">
        <v>51</v>
      </c>
      <c r="D4556" s="2" t="s">
        <f>=HYPERLINK("https://main.knesset.gov.il/APPS/legislation/main/bills/2204027", "הצעת חוק המועצה להשכלה גבוהה (תיקון - העדפה בקבלת מועמדים מרשויות מוחלשות), התשפ""ג-2023")</f>
        <v>9547</v>
      </c>
      <c r="E4556" t="s">
        <v>9547</v>
      </c>
      <c r="F4556" t="s">
        <v>9548</v>
      </c>
      <c r="G4556" t="s">
        <v>14</v>
      </c>
      <c r="H4556">
             </c>
      <c r="I4556" t="s">
        <v>14</v>
      </c>
      <c r="J4556" t="s">
        <v>242</v>
      </c>
      <c r="K4556" t="s">
        <v>14</v>
      </c>
      <c r="L4556" t="s">
        <v>20</v>
      </c>
      <c r="M4556" t="s">
        <v>9492</v>
      </c>
      <c r="N4556" t="s">
        <v>14</v>
      </c>
    </row>
    <row r="4557" x14ac:dyDescent="0.25">
      <c r="A4557" t="n">
        <v>25</v>
      </c>
      <c r="B4557" t="s">
        <v>14</v>
      </c>
      <c r="C4557" t="s">
        <v>51</v>
      </c>
      <c r="D4557" s="2" t="s">
        <f>=HYPERLINK("https://main.knesset.gov.il/APPS/legislation/main/bills/2204741", "הצעת חוק העונשין (תיקון - איסור הנפת דגל של מדינת אויב או של ארגון טרור או של הרשות הפלסטינית במרחב הציבורי), התשפ""ג-2023")</f>
        <v>9549</v>
      </c>
      <c r="E4557" t="s">
        <v>9549</v>
      </c>
      <c r="F4557" t="s">
        <v>9550</v>
      </c>
      <c r="G4557" t="s">
        <v>14</v>
      </c>
      <c r="H4557">
             </c>
      <c r="I4557" t="s">
        <v>14</v>
      </c>
      <c r="J4557" t="s">
        <v>242</v>
      </c>
      <c r="K4557" t="s">
        <v>14</v>
      </c>
      <c r="L4557" t="s">
        <v>20</v>
      </c>
      <c r="M4557" t="s">
        <v>9492</v>
      </c>
      <c r="N4557" t="s">
        <v>14</v>
      </c>
    </row>
    <row r="4558" x14ac:dyDescent="0.25">
      <c r="A4558" t="n">
        <v>25</v>
      </c>
      <c r="B4558" t="s">
        <v>14</v>
      </c>
      <c r="C4558" t="s">
        <v>51</v>
      </c>
      <c r="D4558" s="2" t="s">
        <f>=HYPERLINK("https://main.knesset.gov.il/APPS/legislation/main/bills/2203954", "הצעת חוק פיקוח על בתי ספר (תיקון - איסור העסקת מורשעי ותומכי טרור ופיקוח על תכני הלימוד למניעת הסתה), התשפ""ג-2023")</f>
        <v>8738</v>
      </c>
      <c r="E4558" t="s">
        <v>8738</v>
      </c>
      <c r="F4558" t="s">
        <v>9551</v>
      </c>
      <c r="G4558" t="s">
        <v>14</v>
      </c>
      <c r="H4558">
             </c>
      <c r="I4558" t="s">
        <v>14</v>
      </c>
      <c r="J4558" t="s">
        <v>202</v>
      </c>
      <c r="K4558" t="s">
        <v>14</v>
      </c>
      <c r="L4558" t="s">
        <v>20</v>
      </c>
      <c r="M4558" t="s">
        <v>9492</v>
      </c>
      <c r="N4558" t="s">
        <v>14</v>
      </c>
    </row>
    <row r="4559" x14ac:dyDescent="0.25">
      <c r="A4559" t="n">
        <v>25</v>
      </c>
      <c r="B4559" t="s">
        <v>14</v>
      </c>
      <c r="C4559" t="s">
        <v>51</v>
      </c>
      <c r="D4559" s="2" t="s">
        <f>=HYPERLINK("https://main.knesset.gov.il/APPS/legislation/main/bills/2203679", "הצעת חוק שוויון ההזדמנויות בעבודה (תיקון - איסור הפליה על רקע זהות מגדרית), התשפ""ג-2023")</f>
        <v>9552</v>
      </c>
      <c r="E4559" t="s">
        <v>9552</v>
      </c>
      <c r="F4559" t="s">
        <v>9553</v>
      </c>
      <c r="G4559" t="s">
        <v>14</v>
      </c>
      <c r="H4559">
             </c>
      <c r="I4559" t="s">
        <v>14</v>
      </c>
      <c r="J4559" t="s">
        <v>242</v>
      </c>
      <c r="K4559" t="s">
        <v>14</v>
      </c>
      <c r="L4559" t="s">
        <v>20</v>
      </c>
      <c r="M4559" t="s">
        <v>9492</v>
      </c>
      <c r="N4559" t="s">
        <v>14</v>
      </c>
    </row>
    <row r="4560" x14ac:dyDescent="0.25">
      <c r="A4560" t="n">
        <v>25</v>
      </c>
      <c r="B4560" t="s">
        <v>14</v>
      </c>
      <c r="C4560" t="s">
        <v>51</v>
      </c>
      <c r="D4560" s="2" t="s">
        <f>=HYPERLINK("https://main.knesset.gov.il/APPS/legislation/main/bills/2202913", "הצעת חוק המרכז הישראלי לקידום תרבות האדם (תיקון - הסדרת הפיקוח הפרלמנטרי על המרכז וביטול הפטור ממסים), התשפ""ג-2023")</f>
        <v>9554</v>
      </c>
      <c r="E4560" t="s">
        <v>9554</v>
      </c>
      <c r="F4560" t="s">
        <v>9555</v>
      </c>
      <c r="G4560" t="s">
        <v>14</v>
      </c>
      <c r="H4560">
             </c>
      <c r="I4560" t="s">
        <v>14</v>
      </c>
      <c r="J4560" t="s">
        <v>242</v>
      </c>
      <c r="K4560" t="s">
        <v>14</v>
      </c>
      <c r="L4560" t="s">
        <v>20</v>
      </c>
      <c r="M4560" t="s">
        <v>9492</v>
      </c>
      <c r="N4560" t="s">
        <v>14</v>
      </c>
    </row>
    <row r="4561" x14ac:dyDescent="0.25">
      <c r="A4561" t="n">
        <v>25</v>
      </c>
      <c r="B4561" t="s">
        <v>14</v>
      </c>
      <c r="C4561" t="s">
        <v>51</v>
      </c>
      <c r="D4561" s="2" t="s">
        <f>=HYPERLINK("https://main.knesset.gov.il/APPS/legislation/main/bills/2203996", "הצעת חוק דמי מחלה (היעדרות בשל מחלת ילד) (תיקון - קביעת מספר ימי ההיעדרות לפי מספר ילדי העובד), התשפ""ג-2023")</f>
        <v>9556</v>
      </c>
      <c r="E4561" t="s">
        <v>9556</v>
      </c>
      <c r="F4561" t="s">
        <v>9557</v>
      </c>
      <c r="G4561" t="s">
        <v>14</v>
      </c>
      <c r="H4561">
             </c>
      <c r="I4561" t="s">
        <v>14</v>
      </c>
      <c r="J4561" t="s">
        <v>242</v>
      </c>
      <c r="K4561" t="s">
        <v>14</v>
      </c>
      <c r="L4561" t="s">
        <v>20</v>
      </c>
      <c r="M4561" t="s">
        <v>9492</v>
      </c>
      <c r="N4561" t="s">
        <v>14</v>
      </c>
    </row>
    <row r="4562" x14ac:dyDescent="0.25">
      <c r="A4562" t="n">
        <v>25</v>
      </c>
      <c r="B4562" t="s">
        <v>14</v>
      </c>
      <c r="C4562" t="s">
        <v>51</v>
      </c>
      <c r="D4562" s="2" t="s">
        <f>=HYPERLINK("https://main.knesset.gov.il/APPS/legislation/main/bills/2204109", "הצעת חוק הביטוח הלאומי (תיקון - קביעת אחוזי נכות ללקויי שמיעה - דו-צידי וחד-צידי), התשפ""ג-2023 ")</f>
        <v>9558</v>
      </c>
      <c r="E4562" t="s">
        <v>9558</v>
      </c>
      <c r="F4562" t="s">
        <v>9559</v>
      </c>
      <c r="G4562" t="s">
        <v>14</v>
      </c>
      <c r="H4562">
             </c>
      <c r="I4562" t="s">
        <v>14</v>
      </c>
      <c r="J4562" t="s">
        <v>242</v>
      </c>
      <c r="K4562" t="s">
        <v>14</v>
      </c>
      <c r="L4562" t="s">
        <v>20</v>
      </c>
      <c r="M4562" t="s">
        <v>9492</v>
      </c>
      <c r="N4562" t="s">
        <v>14</v>
      </c>
    </row>
    <row r="4563" x14ac:dyDescent="0.25">
      <c r="A4563" t="n">
        <v>25</v>
      </c>
      <c r="B4563" t="s">
        <v>14</v>
      </c>
      <c r="C4563" t="s">
        <v>51</v>
      </c>
      <c r="D4563" s="2" t="s">
        <f>=HYPERLINK("https://main.knesset.gov.il/APPS/legislation/main/bills/2204003", "הצעת חוק הביטוח הלאומי (תיקון - מענק לידה אחיד מילד שני ואילך), התשפ""ג-2023")</f>
        <v>9560</v>
      </c>
      <c r="E4563" t="s">
        <v>9560</v>
      </c>
      <c r="F4563" t="s">
        <v>9561</v>
      </c>
      <c r="G4563" t="s">
        <v>14</v>
      </c>
      <c r="H4563">
             </c>
      <c r="I4563" t="s">
        <v>14</v>
      </c>
      <c r="J4563" t="s">
        <v>242</v>
      </c>
      <c r="K4563" t="s">
        <v>14</v>
      </c>
      <c r="L4563" t="s">
        <v>20</v>
      </c>
      <c r="M4563" t="s">
        <v>9492</v>
      </c>
      <c r="N4563" t="s">
        <v>14</v>
      </c>
    </row>
    <row r="4564" x14ac:dyDescent="0.25">
      <c r="A4564" t="n">
        <v>25</v>
      </c>
      <c r="B4564" t="s">
        <v>14</v>
      </c>
      <c r="C4564" t="s">
        <v>51</v>
      </c>
      <c r="D4564" s="2" t="s">
        <f>=HYPERLINK("https://main.knesset.gov.il/APPS/legislation/main/bills/2203816", "הצעת חוק הביטוח הלאומי (תיקון - דמי לידה לבן הזוג בלידה שקטה), התשפ""ג-2023")</f>
        <v>9562</v>
      </c>
      <c r="E4564" t="s">
        <v>9562</v>
      </c>
      <c r="F4564" t="s">
        <v>9563</v>
      </c>
      <c r="G4564" t="s">
        <v>14</v>
      </c>
      <c r="H4564">
             </c>
      <c r="I4564" t="s">
        <v>14</v>
      </c>
      <c r="J4564" t="s">
        <v>242</v>
      </c>
      <c r="K4564" t="s">
        <v>14</v>
      </c>
      <c r="L4564" t="s">
        <v>20</v>
      </c>
      <c r="M4564" t="s">
        <v>9492</v>
      </c>
      <c r="N4564" t="s">
        <v>14</v>
      </c>
    </row>
    <row r="4565" x14ac:dyDescent="0.25">
      <c r="A4565" t="n">
        <v>25</v>
      </c>
      <c r="B4565" t="s">
        <v>14</v>
      </c>
      <c r="C4565" t="s">
        <v>51</v>
      </c>
      <c r="D4565" s="2" t="s">
        <f>=HYPERLINK("https://main.knesset.gov.il/APPS/legislation/main/bills/2203720", "הצעת חוק דמי מחלה (היעדרות בשל מחלת ילד) (תיקון - היעדרות בשל אשפוז פג), התשפ""ג-2023")</f>
        <v>9564</v>
      </c>
      <c r="E4565" t="s">
        <v>9564</v>
      </c>
      <c r="F4565" t="s">
        <v>9565</v>
      </c>
      <c r="G4565" t="s">
        <v>14</v>
      </c>
      <c r="H4565">
             </c>
      <c r="I4565" t="s">
        <v>14</v>
      </c>
      <c r="J4565" t="s">
        <v>242</v>
      </c>
      <c r="K4565" t="s">
        <v>14</v>
      </c>
      <c r="L4565" t="s">
        <v>20</v>
      </c>
      <c r="M4565" t="s">
        <v>9492</v>
      </c>
      <c r="N4565" t="s">
        <v>14</v>
      </c>
    </row>
    <row r="4566" x14ac:dyDescent="0.25">
      <c r="A4566" t="n">
        <v>25</v>
      </c>
      <c r="B4566" t="s">
        <v>14</v>
      </c>
      <c r="C4566" t="s">
        <v>15</v>
      </c>
      <c r="D4566" s="2" t="s">
        <f>=HYPERLINK("https://main.knesset.gov.il/APPS/legislation/main/bills/2204164", "פרק ד' (גז טבעי), למעט סעיף 17(1) (בעניין הארכת תוקף רישון נתג""ז) מתוך הצעת חוק התכנית הכלכלית (תיקוני חקיקה ליישום המדיניות הכלכלית לשנות התקציב 2023 ו-2024), התשפ""ג-2023")</f>
        <v>9566</v>
      </c>
      <c r="E4566" t="s">
        <v>9566</v>
      </c>
      <c r="F4566" t="s">
        <v>14</v>
      </c>
      <c r="G4566" t="s">
        <v>81</v>
      </c>
      <c r="H4566">
             </c>
      <c r="I4566" t="s">
        <v>14</v>
      </c>
      <c r="J4566" t="s">
        <v>183</v>
      </c>
      <c r="K4566" t="s">
        <v>42</v>
      </c>
      <c r="L4566" t="s">
        <v>20</v>
      </c>
      <c r="M4566" t="s">
        <v>9567</v>
      </c>
      <c r="N4566" t="s">
        <v>14</v>
      </c>
    </row>
    <row r="4567" x14ac:dyDescent="0.25">
      <c r="A4567" t="n">
        <v>25</v>
      </c>
      <c r="B4567" t="s">
        <v>14</v>
      </c>
      <c r="C4567" t="s">
        <v>15</v>
      </c>
      <c r="D4567" s="2" t="s">
        <f>=HYPERLINK("https://main.knesset.gov.il/APPS/legislation/main/bills/2204254", "פרק י""ב (אנרגיה), רק סעיפים 50(2) ו-53-52 (חוק משק החשמל) מתוך הצעת חוק התכנית הכלכלית (תיקוני חקיקה ליישום המדיניות הכלכלית לשנות התקציב 2023 ו-2024), התשפ""ג-2023 [פוצלה לפי סעיף 84(ב) לתקנון]")</f>
        <v>9568</v>
      </c>
      <c r="E4567" t="s">
        <v>9568</v>
      </c>
      <c r="F4567" t="s">
        <v>14</v>
      </c>
      <c r="G4567" t="s">
        <v>81</v>
      </c>
      <c r="H4567">
             </c>
      <c r="I4567" t="s">
        <v>14</v>
      </c>
      <c r="J4567" t="s">
        <v>38</v>
      </c>
      <c r="K4567" t="s">
        <v>84</v>
      </c>
      <c r="L4567" t="s">
        <v>20</v>
      </c>
      <c r="M4567" t="s">
        <v>9567</v>
      </c>
      <c r="N4567" t="s">
        <v>14</v>
      </c>
    </row>
    <row r="4568" x14ac:dyDescent="0.25">
      <c r="A4568" t="n">
        <v>25</v>
      </c>
      <c r="B4568" t="s">
        <v>14</v>
      </c>
      <c r="C4568" t="s">
        <v>51</v>
      </c>
      <c r="D4568" s="2" t="s">
        <f>=HYPERLINK("https://main.knesset.gov.il/APPS/legislation/main/bills/2200266", "הצעת חוק הקמת בית חולים בעיר סח'נין (תיקוני חקיקה), התשפ""ג-2023")</f>
        <v>9569</v>
      </c>
      <c r="E4568" t="s">
        <v>9569</v>
      </c>
      <c r="F4568" t="s">
        <v>9570</v>
      </c>
      <c r="G4568" t="s">
        <v>14</v>
      </c>
      <c r="H4568">
             </c>
      <c r="I4568" t="s">
        <v>14</v>
      </c>
      <c r="J4568" t="s">
        <v>303</v>
      </c>
      <c r="K4568" t="s">
        <v>14</v>
      </c>
      <c r="L4568" t="s">
        <v>20</v>
      </c>
      <c r="M4568" t="s">
        <v>9567</v>
      </c>
      <c r="N4568" t="s">
        <v>14</v>
      </c>
    </row>
    <row r="4569" x14ac:dyDescent="0.25">
      <c r="A4569" t="n">
        <v>25</v>
      </c>
      <c r="B4569" t="s">
        <v>14</v>
      </c>
      <c r="C4569" t="s">
        <v>51</v>
      </c>
      <c r="D4569" s="2" t="s">
        <f>=HYPERLINK("https://main.knesset.gov.il/APPS/legislation/main/bills/2197639", "הצעת חוק הקמת בית חולים בעיר סח'נין (תיקוני חקיקה), התשפ""ג-2022")</f>
        <v>9571</v>
      </c>
      <c r="E4569" t="s">
        <v>9571</v>
      </c>
      <c r="F4569" t="s">
        <v>9572</v>
      </c>
      <c r="G4569" t="s">
        <v>14</v>
      </c>
      <c r="H4569">
             </c>
      <c r="I4569" t="s">
        <v>14</v>
      </c>
      <c r="J4569" t="s">
        <v>303</v>
      </c>
      <c r="K4569" t="s">
        <v>14</v>
      </c>
      <c r="L4569" t="s">
        <v>20</v>
      </c>
      <c r="M4569" t="s">
        <v>9567</v>
      </c>
      <c r="N4569" t="s">
        <v>14</v>
      </c>
    </row>
    <row r="4570" x14ac:dyDescent="0.25">
      <c r="A4570" t="n">
        <v>25</v>
      </c>
      <c r="B4570" t="s">
        <v>14</v>
      </c>
      <c r="C4570" t="s">
        <v>51</v>
      </c>
      <c r="D4570" s="2" t="s">
        <f>=HYPERLINK("https://main.knesset.gov.il/APPS/legislation/main/bills/2197214", "הצעת חוק הקמת בית חולים ביישוב ערבי (תיקוני חקיקה), התשפ""ג-2022")</f>
        <v>9573</v>
      </c>
      <c r="E4570" t="s">
        <v>9573</v>
      </c>
      <c r="F4570" t="s">
        <v>9574</v>
      </c>
      <c r="G4570" t="s">
        <v>14</v>
      </c>
      <c r="H4570">
             </c>
      <c r="I4570" t="s">
        <v>14</v>
      </c>
      <c r="J4570" t="s">
        <v>303</v>
      </c>
      <c r="K4570" t="s">
        <v>14</v>
      </c>
      <c r="L4570" t="s">
        <v>20</v>
      </c>
      <c r="M4570" t="s">
        <v>9567</v>
      </c>
      <c r="N4570" t="s">
        <v>14</v>
      </c>
    </row>
    <row r="4571" x14ac:dyDescent="0.25">
      <c r="A4571" t="n">
        <v>25</v>
      </c>
      <c r="B4571" t="s">
        <v>14</v>
      </c>
      <c r="C4571" t="s">
        <v>15</v>
      </c>
      <c r="D4571" s="2" t="s">
        <f>=HYPERLINK("https://main.knesset.gov.il/APPS/legislation/main/bills/2204191", "פרק י""א (הפחתת רגולציה), רק סעיפים 45-44 (ירושה) מתוך הצעת חוק התכנית הכלכלית (תיקוני חקיקה ליישום המדיניות הכלכלית לשנות התקציב 2023 ו-2024), התשפ""ג-2023")</f>
        <v>9575</v>
      </c>
      <c r="E4571" t="s">
        <v>9575</v>
      </c>
      <c r="F4571" t="s">
        <v>14</v>
      </c>
      <c r="G4571" t="s">
        <v>81</v>
      </c>
      <c r="H4571">
             </c>
      <c r="I4571" t="s">
        <v>14</v>
      </c>
      <c r="J4571" t="s">
        <v>183</v>
      </c>
      <c r="K4571" t="s">
        <v>42</v>
      </c>
      <c r="L4571" t="s">
        <v>20</v>
      </c>
      <c r="M4571" t="s">
        <v>9567</v>
      </c>
      <c r="N4571" t="s">
        <v>14</v>
      </c>
    </row>
    <row r="4572" x14ac:dyDescent="0.25">
      <c r="A4572" t="n">
        <v>25</v>
      </c>
      <c r="B4572" t="s">
        <v>14</v>
      </c>
      <c r="C4572" t="s">
        <v>15</v>
      </c>
      <c r="D4572" s="2" t="s">
        <f>=HYPERLINK("https://main.knesset.gov.il/APPS/legislation/main/bills/2204166", "פרק י""ב (אנרגיה), רק סעיף 50(1) (חוק משק החשמל) מתוך הצעת חוק התכנית הכלכלית (תיקוני חקיקה ליישום המדיניות הכלכלית לשנות התקציב 2023 ו-2024), התשפ""ג-2023")</f>
        <v>9576</v>
      </c>
      <c r="E4572" t="s">
        <v>9576</v>
      </c>
      <c r="F4572" t="s">
        <v>14</v>
      </c>
      <c r="G4572" t="s">
        <v>81</v>
      </c>
      <c r="H4572">
             </c>
      <c r="I4572" t="s">
        <v>14</v>
      </c>
      <c r="J4572" t="s">
        <v>183</v>
      </c>
      <c r="K4572" t="s">
        <v>42</v>
      </c>
      <c r="L4572" t="s">
        <v>20</v>
      </c>
      <c r="M4572" t="s">
        <v>9567</v>
      </c>
      <c r="N4572" t="s">
        <v>14</v>
      </c>
    </row>
    <row r="4573" x14ac:dyDescent="0.25">
      <c r="A4573" t="n">
        <v>25</v>
      </c>
      <c r="B4573" t="s">
        <v>14</v>
      </c>
      <c r="C4573" t="s">
        <v>15</v>
      </c>
      <c r="D4573" s="2" t="s">
        <f>=HYPERLINK("https://main.knesset.gov.il/APPS/legislation/main/bills/2204200", "פרק ג' (גבייה ממשלתית) מתוך הצעת חוק ההתייעלות הכלכלית (תיקוני חקיקה להשגת יעדי התקציב לשנות התקציב 2023 ו-2024), התשפ""ג-2023")</f>
        <v>9577</v>
      </c>
      <c r="E4573" t="s">
        <v>9577</v>
      </c>
      <c r="F4573" t="s">
        <v>14</v>
      </c>
      <c r="G4573" t="s">
        <v>81</v>
      </c>
      <c r="H4573">
             </c>
      <c r="I4573" t="s">
        <v>14</v>
      </c>
      <c r="J4573" t="s">
        <v>183</v>
      </c>
      <c r="K4573" t="s">
        <v>42</v>
      </c>
      <c r="L4573" t="s">
        <v>20</v>
      </c>
      <c r="M4573" t="s">
        <v>9567</v>
      </c>
      <c r="N4573" t="s">
        <v>14</v>
      </c>
    </row>
    <row r="4574" x14ac:dyDescent="0.25">
      <c r="A4574" t="n">
        <v>25</v>
      </c>
      <c r="B4574" t="s">
        <v>14</v>
      </c>
      <c r="C4574" t="s">
        <v>15</v>
      </c>
      <c r="D4574" s="2" t="s">
        <f>=HYPERLINK("https://main.knesset.gov.il/APPS/legislation/main/bills/2204161", "פרק כ""ו (תחילה) מתוך הצעת חוק התכנית הכלכלית (תיקוני חקיקה ליישום המדיניות הכלכלית לשנות התקציב 2023 ו-2024), התשפ""ג-2023")</f>
        <v>9578</v>
      </c>
      <c r="E4574" t="s">
        <v>9578</v>
      </c>
      <c r="F4574" t="s">
        <v>14</v>
      </c>
      <c r="G4574" t="s">
        <v>81</v>
      </c>
      <c r="H4574">
             </c>
      <c r="I4574" t="s">
        <v>14</v>
      </c>
      <c r="J4574" t="s">
        <v>183</v>
      </c>
      <c r="K4574" t="s">
        <v>42</v>
      </c>
      <c r="L4574" t="s">
        <v>20</v>
      </c>
      <c r="M4574" t="s">
        <v>9579</v>
      </c>
      <c r="N4574" t="s">
        <v>14</v>
      </c>
    </row>
    <row r="4575" x14ac:dyDescent="0.25">
      <c r="A4575" t="n">
        <v>25</v>
      </c>
      <c r="B4575" t="s">
        <v>14</v>
      </c>
      <c r="C4575" t="s">
        <v>15</v>
      </c>
      <c r="D4575" s="2" t="s">
        <f>=HYPERLINK("https://main.knesset.gov.il/APPS/legislation/main/bills/2204167", "פרק י""ג (ייעול השימוש בתשתיות תחבורה ציבורית) מתוך הצעת חוק התכנית הכלכלית (תיקוני חקיקה ליישום המדיניות הכלכלית לשנות התקציב 2023 ו-2024), התשפ""ג-2023")</f>
        <v>9580</v>
      </c>
      <c r="E4575" t="s">
        <v>9580</v>
      </c>
      <c r="F4575" t="s">
        <v>14</v>
      </c>
      <c r="G4575" t="s">
        <v>81</v>
      </c>
      <c r="H4575">
             </c>
      <c r="I4575" t="s">
        <v>14</v>
      </c>
      <c r="J4575" t="s">
        <v>183</v>
      </c>
      <c r="K4575" t="s">
        <v>42</v>
      </c>
      <c r="L4575" t="s">
        <v>20</v>
      </c>
      <c r="M4575" t="s">
        <v>9579</v>
      </c>
      <c r="N4575" t="s">
        <v>14</v>
      </c>
    </row>
    <row r="4576" x14ac:dyDescent="0.25">
      <c r="A4576" t="n">
        <v>25</v>
      </c>
      <c r="B4576" t="s">
        <v>14</v>
      </c>
      <c r="C4576" t="s">
        <v>15</v>
      </c>
      <c r="D4576" s="2" t="s">
        <f>=HYPERLINK("https://main.knesset.gov.il/APPS/legislation/main/bills/2204154", "פרק א' (מטרת החוק) מתוך הצעת חוק התכנית הכלכלית (תיקוני חקיקה ליישום המדיניות הכלכלית לשנות התקציב 2023 ו-2024), התשפ""ג-2023")</f>
        <v>9581</v>
      </c>
      <c r="E4576" t="s">
        <v>9581</v>
      </c>
      <c r="F4576" t="s">
        <v>14</v>
      </c>
      <c r="G4576" t="s">
        <v>81</v>
      </c>
      <c r="H4576">
             </c>
      <c r="I4576" t="s">
        <v>14</v>
      </c>
      <c r="J4576" t="s">
        <v>183</v>
      </c>
      <c r="K4576" t="s">
        <v>42</v>
      </c>
      <c r="L4576" t="s">
        <v>20</v>
      </c>
      <c r="M4576" t="s">
        <v>9579</v>
      </c>
      <c r="N4576" t="s">
        <v>14</v>
      </c>
    </row>
    <row r="4577" x14ac:dyDescent="0.25">
      <c r="A4577" t="n">
        <v>25</v>
      </c>
      <c r="B4577" t="s">
        <v>14</v>
      </c>
      <c r="C4577" t="s">
        <v>15</v>
      </c>
      <c r="D4577" s="2" t="s">
        <f>=HYPERLINK("https://main.knesset.gov.il/APPS/legislation/main/bills/2204199", "פרק י""א (תחילה) מתוך הצעת חוק ההתייעלות הכלכלית (תיקוני חקיקה להשגת יעדי התקציב לשנות התקציב 2023 ו-2024), התשפ""ג-2023")</f>
        <v>9582</v>
      </c>
      <c r="E4577" t="s">
        <v>9582</v>
      </c>
      <c r="F4577" t="s">
        <v>14</v>
      </c>
      <c r="G4577" t="s">
        <v>81</v>
      </c>
      <c r="H4577">
             </c>
      <c r="I4577" t="s">
        <v>14</v>
      </c>
      <c r="J4577" t="s">
        <v>183</v>
      </c>
      <c r="K4577" t="s">
        <v>42</v>
      </c>
      <c r="L4577" t="s">
        <v>20</v>
      </c>
      <c r="M4577" t="s">
        <v>9579</v>
      </c>
      <c r="N4577" t="s">
        <v>14</v>
      </c>
    </row>
    <row r="4578" x14ac:dyDescent="0.25">
      <c r="A4578" t="n">
        <v>25</v>
      </c>
      <c r="B4578" t="s">
        <v>14</v>
      </c>
      <c r="C4578" t="s">
        <v>15</v>
      </c>
      <c r="D4578" s="2" t="s">
        <f>=HYPERLINK("https://main.knesset.gov.il/APPS/legislation/main/bills/2204170", "פרק כ""ה (שונות) למעט סעיפים 96(2) ו-97 - תיקון חוק המים וחוק רישוי שירותים ומקצועות בענף הרכב מתוך הצעת חוק התכנית הכלכלית (תיקוני חקיקה ליישום המדיניות הכלכלית לשנות התקציב 2023 ו-2024), התשפ""ג-2023")</f>
        <v>9583</v>
      </c>
      <c r="E4578" t="s">
        <v>9583</v>
      </c>
      <c r="F4578" t="s">
        <v>14</v>
      </c>
      <c r="G4578" t="s">
        <v>81</v>
      </c>
      <c r="H4578">
             </c>
      <c r="I4578" t="s">
        <v>14</v>
      </c>
      <c r="J4578" t="s">
        <v>183</v>
      </c>
      <c r="K4578" t="s">
        <v>42</v>
      </c>
      <c r="L4578" t="s">
        <v>20</v>
      </c>
      <c r="M4578" t="s">
        <v>9579</v>
      </c>
      <c r="N4578" t="s">
        <v>14</v>
      </c>
    </row>
    <row r="4579" x14ac:dyDescent="0.25">
      <c r="A4579" t="n">
        <v>25</v>
      </c>
      <c r="B4579" t="s">
        <v>14</v>
      </c>
      <c r="C4579" t="s">
        <v>15</v>
      </c>
      <c r="D4579" s="2" t="s">
        <f>=HYPERLINK("https://main.knesset.gov.il/APPS/legislation/main/bills/2204194", "פרק א' (מטרת החוק) מתוך הצעת חוק ההתייעלות הכלכלית (תיקוני חקיקה להשגת יעדי התקציב לשנות התקציב 2023 ו-2024), התשפ""ג-2023")</f>
        <v>9584</v>
      </c>
      <c r="E4579" t="s">
        <v>9584</v>
      </c>
      <c r="F4579" t="s">
        <v>14</v>
      </c>
      <c r="G4579" t="s">
        <v>81</v>
      </c>
      <c r="H4579">
             </c>
      <c r="I4579" t="s">
        <v>14</v>
      </c>
      <c r="J4579" t="s">
        <v>183</v>
      </c>
      <c r="K4579" t="s">
        <v>42</v>
      </c>
      <c r="L4579" t="s">
        <v>20</v>
      </c>
      <c r="M4579" t="s">
        <v>9579</v>
      </c>
      <c r="N4579" t="s">
        <v>14</v>
      </c>
    </row>
    <row r="4580" x14ac:dyDescent="0.25">
      <c r="A4580" t="n">
        <v>25</v>
      </c>
      <c r="B4580" t="s">
        <v>14</v>
      </c>
      <c r="C4580" t="s">
        <v>15</v>
      </c>
      <c r="D4580" s="2" t="s">
        <f>=HYPERLINK("https://main.knesset.gov.il/APPS/legislation/main/bills/2204198", "פרק י' (צמצום השימוש במזומן) מתוך הצעת חוק ההתייעלות הכלכלית (תיקוני חקיקה להשגת יעדי התקציב לשנות התקציב 2023 ו-2024), התשפ""ג-2023")</f>
        <v>9585</v>
      </c>
      <c r="E4580" t="s">
        <v>9585</v>
      </c>
      <c r="F4580" t="s">
        <v>14</v>
      </c>
      <c r="G4580" t="s">
        <v>81</v>
      </c>
      <c r="H4580">
             </c>
      <c r="I4580" t="s">
        <v>14</v>
      </c>
      <c r="J4580" t="s">
        <v>38</v>
      </c>
      <c r="K4580" t="s">
        <v>24</v>
      </c>
      <c r="L4580" t="s">
        <v>20</v>
      </c>
      <c r="M4580" t="s">
        <v>9586</v>
      </c>
      <c r="N4580" t="s">
        <v>14</v>
      </c>
    </row>
    <row r="4581" x14ac:dyDescent="0.25">
      <c r="A4581" t="n">
        <v>25</v>
      </c>
      <c r="B4581" t="s">
        <v>14</v>
      </c>
      <c r="C4581" t="s">
        <v>51</v>
      </c>
      <c r="D4581" s="2" t="s">
        <f>=HYPERLINK("https://main.knesset.gov.il/APPS/legislation/main/bills/2196129", "הצעת חוק למניעת העסקה בתחום החינוך והטיפול של אדם שהורשע או שמואשם בתקיפה או בהתעללות בחסר ישע, התשפ""ג-2022")</f>
        <v>9587</v>
      </c>
      <c r="E4581" t="s">
        <v>9587</v>
      </c>
      <c r="F4581" t="s">
        <v>9588</v>
      </c>
      <c r="G4581" t="s">
        <v>14</v>
      </c>
      <c r="H4581">
             </c>
      <c r="I4581" t="s">
        <v>14</v>
      </c>
      <c r="J4581" t="s">
        <v>183</v>
      </c>
      <c r="K4581" t="s">
        <v>79</v>
      </c>
      <c r="L4581" t="s">
        <v>20</v>
      </c>
      <c r="M4581" t="s">
        <v>9589</v>
      </c>
      <c r="N4581" t="s">
        <v>14</v>
      </c>
    </row>
    <row r="4582" x14ac:dyDescent="0.25">
      <c r="A4582" t="n">
        <v>25</v>
      </c>
      <c r="B4582" t="s">
        <v>14</v>
      </c>
      <c r="C4582" t="s">
        <v>51</v>
      </c>
      <c r="D4582" s="2" t="s">
        <f>=HYPERLINK("https://main.knesset.gov.il/APPS/legislation/main/bills/2198927", "הצעת חוק הביטוח הלאומי (תיקון - דמי אבטלה לעצמאים), התשפ""ג-2023")</f>
        <v>9590</v>
      </c>
      <c r="E4582" t="s">
        <v>9590</v>
      </c>
      <c r="F4582" t="s">
        <v>9591</v>
      </c>
      <c r="G4582" t="s">
        <v>14</v>
      </c>
      <c r="H4582">
             </c>
      <c r="I4582" t="s">
        <v>14</v>
      </c>
      <c r="J4582" t="s">
        <v>193</v>
      </c>
      <c r="K4582" t="s">
        <v>14</v>
      </c>
      <c r="L4582" t="s">
        <v>20</v>
      </c>
      <c r="M4582" t="s">
        <v>9589</v>
      </c>
      <c r="N4582" t="s">
        <v>14</v>
      </c>
    </row>
    <row r="4583" x14ac:dyDescent="0.25">
      <c r="A4583" t="n">
        <v>25</v>
      </c>
      <c r="B4583" t="s">
        <v>14</v>
      </c>
      <c r="C4583" t="s">
        <v>51</v>
      </c>
      <c r="D4583" s="2" t="s">
        <f>=HYPERLINK("https://main.knesset.gov.il/APPS/legislation/main/bills/2200302", "הצעת חוק העונשין (תיקון - קביעת עונש מינימום לעבירות יידוי אבנים), התשפ""ג-2023")</f>
        <v>3984</v>
      </c>
      <c r="E4583" t="s">
        <v>3984</v>
      </c>
      <c r="F4583" t="s">
        <v>9592</v>
      </c>
      <c r="G4583" t="s">
        <v>14</v>
      </c>
      <c r="H4583">
             </c>
      <c r="I4583" t="s">
        <v>14</v>
      </c>
      <c r="J4583" t="s">
        <v>193</v>
      </c>
      <c r="K4583" t="s">
        <v>14</v>
      </c>
      <c r="L4583" t="s">
        <v>20</v>
      </c>
      <c r="M4583" t="s">
        <v>9589</v>
      </c>
      <c r="N4583" t="s">
        <v>14</v>
      </c>
    </row>
    <row r="4584" x14ac:dyDescent="0.25">
      <c r="A4584" t="n">
        <v>25</v>
      </c>
      <c r="B4584" t="s">
        <v>14</v>
      </c>
      <c r="C4584" t="s">
        <v>51</v>
      </c>
      <c r="D4584" s="2" t="s">
        <f>=HYPERLINK("https://main.knesset.gov.il/APPS/legislation/main/bills/2198975", "הצעת חוק הביטוח הלאומי (תיקון - דמי אבטלה לעצמאים), התשפ""ג-2023")</f>
        <v>9590</v>
      </c>
      <c r="E4584" t="s">
        <v>9590</v>
      </c>
      <c r="F4584" t="s">
        <v>9593</v>
      </c>
      <c r="G4584" t="s">
        <v>14</v>
      </c>
      <c r="H4584">
             </c>
      <c r="I4584" t="s">
        <v>14</v>
      </c>
      <c r="J4584" t="s">
        <v>193</v>
      </c>
      <c r="K4584" t="s">
        <v>14</v>
      </c>
      <c r="L4584" t="s">
        <v>20</v>
      </c>
      <c r="M4584" t="s">
        <v>9589</v>
      </c>
      <c r="N4584" t="s">
        <v>14</v>
      </c>
    </row>
    <row r="4585" x14ac:dyDescent="0.25">
      <c r="A4585" t="n">
        <v>25</v>
      </c>
      <c r="B4585" t="s">
        <v>14</v>
      </c>
      <c r="C4585" t="s">
        <v>51</v>
      </c>
      <c r="D4585" s="2" t="s">
        <f>=HYPERLINK("https://main.knesset.gov.il/APPS/legislation/main/bills/2197377", "הצעת חוק הביטוח הלאומי (תיקון - דמי אבטלה לעצמאים), התשפ""ג-2023")</f>
        <v>9590</v>
      </c>
      <c r="E4585" t="s">
        <v>9590</v>
      </c>
      <c r="F4585" t="s">
        <v>9594</v>
      </c>
      <c r="G4585" t="s">
        <v>14</v>
      </c>
      <c r="H4585">
             </c>
      <c r="I4585" t="s">
        <v>14</v>
      </c>
      <c r="J4585" t="s">
        <v>193</v>
      </c>
      <c r="K4585" t="s">
        <v>14</v>
      </c>
      <c r="L4585" t="s">
        <v>20</v>
      </c>
      <c r="M4585" t="s">
        <v>9589</v>
      </c>
      <c r="N4585" t="s">
        <v>14</v>
      </c>
    </row>
    <row r="4586" x14ac:dyDescent="0.25">
      <c r="A4586" t="n">
        <v>25</v>
      </c>
      <c r="B4586" t="s">
        <v>14</v>
      </c>
      <c r="C4586" t="s">
        <v>51</v>
      </c>
      <c r="D4586" s="2" t="s">
        <f>=HYPERLINK("https://main.knesset.gov.il/APPS/legislation/main/bills/2198083", "הצעת חוק הלוואות למיגון דירות באזורי קו העימות, התשפ''ג-2023")</f>
        <v>9595</v>
      </c>
      <c r="E4586" t="s">
        <v>9595</v>
      </c>
      <c r="F4586" t="s">
        <v>9596</v>
      </c>
      <c r="G4586" t="s">
        <v>14</v>
      </c>
      <c r="H4586">
             </c>
      <c r="I4586" t="s">
        <v>14</v>
      </c>
      <c r="J4586" t="s">
        <v>202</v>
      </c>
      <c r="K4586" t="s">
        <v>14</v>
      </c>
      <c r="L4586" t="s">
        <v>20</v>
      </c>
      <c r="M4586" t="s">
        <v>9589</v>
      </c>
      <c r="N4586" t="s">
        <v>14</v>
      </c>
    </row>
    <row r="4587" x14ac:dyDescent="0.25">
      <c r="A4587" t="n">
        <v>25</v>
      </c>
      <c r="B4587" t="s">
        <v>14</v>
      </c>
      <c r="C4587" t="s">
        <v>51</v>
      </c>
      <c r="D4587" s="2" t="s">
        <f>=HYPERLINK("https://main.knesset.gov.il/APPS/legislation/main/bills/2197029", "הצעת חוק צירוף משפחות נפגעי טרור כצד להליך המשפטי (תיקוני חקיקה), התשפ""ג-2022")</f>
        <v>9597</v>
      </c>
      <c r="E4587" t="s">
        <v>9597</v>
      </c>
      <c r="F4587" t="s">
        <v>9598</v>
      </c>
      <c r="G4587" t="s">
        <v>14</v>
      </c>
      <c r="H4587">
             </c>
      <c r="I4587" t="s">
        <v>14</v>
      </c>
      <c r="J4587" t="s">
        <v>193</v>
      </c>
      <c r="K4587" t="s">
        <v>14</v>
      </c>
      <c r="L4587" t="s">
        <v>20</v>
      </c>
      <c r="M4587" t="s">
        <v>9589</v>
      </c>
      <c r="N4587" t="s">
        <v>14</v>
      </c>
    </row>
    <row r="4588" x14ac:dyDescent="0.25">
      <c r="A4588" t="n">
        <v>25</v>
      </c>
      <c r="B4588" t="s">
        <v>14</v>
      </c>
      <c r="C4588" t="s">
        <v>51</v>
      </c>
      <c r="D4588" s="2" t="s">
        <f>=HYPERLINK("https://main.knesset.gov.il/APPS/legislation/main/bills/2195767", "הצעת חוק העונשין (תיקון - מאסר עולם לאונס קטינים), התשפ""ג-2022")</f>
        <v>9599</v>
      </c>
      <c r="E4588" t="s">
        <v>9599</v>
      </c>
      <c r="F4588" t="s">
        <v>9600</v>
      </c>
      <c r="G4588" t="s">
        <v>14</v>
      </c>
      <c r="H4588">
             </c>
      <c r="I4588" t="s">
        <v>14</v>
      </c>
      <c r="J4588" t="s">
        <v>193</v>
      </c>
      <c r="K4588" t="s">
        <v>14</v>
      </c>
      <c r="L4588" t="s">
        <v>20</v>
      </c>
      <c r="M4588" t="s">
        <v>9589</v>
      </c>
      <c r="N4588" t="s">
        <v>14</v>
      </c>
    </row>
    <row r="4589" x14ac:dyDescent="0.25">
      <c r="A4589" t="n">
        <v>25</v>
      </c>
      <c r="B4589" t="s">
        <v>14</v>
      </c>
      <c r="C4589" t="s">
        <v>15</v>
      </c>
      <c r="D4589" s="2" t="s">
        <f>=HYPERLINK("https://main.knesset.gov.il/APPS/legislation/main/bills/2204251", "פרק ט' (תיווך בביטוח ובחיסכון פנסיוני), למעט סעיף 36 (בעניין איסור על סירוב בלתי סביר להתקשורת) מתוך הצעת חוק התכנית הכלכלית (תיקוני חקיקה ליישום המדיניות הכלכלית לשנות התקציב 2023 ו-2024), התשפ""ג-2023 [פוצלה לפי סעיף 84(ב) לתקנון]")</f>
        <v>9601</v>
      </c>
      <c r="E4589" t="s">
        <v>9601</v>
      </c>
      <c r="F4589" t="s">
        <v>14</v>
      </c>
      <c r="G4589" t="s">
        <v>81</v>
      </c>
      <c r="H4589">
             </c>
      <c r="I4589" t="s">
        <v>14</v>
      </c>
      <c r="J4589" t="s">
        <v>38</v>
      </c>
      <c r="K4589" t="s">
        <v>24</v>
      </c>
      <c r="L4589" t="s">
        <v>20</v>
      </c>
      <c r="M4589" t="s">
        <v>9602</v>
      </c>
      <c r="N4589" t="s">
        <v>14</v>
      </c>
    </row>
    <row r="4590" x14ac:dyDescent="0.25">
      <c r="A4590" t="n">
        <v>25</v>
      </c>
      <c r="B4590" t="s">
        <v>14</v>
      </c>
      <c r="C4590" t="s">
        <v>15</v>
      </c>
      <c r="D4590" s="2" t="s">
        <f>=HYPERLINK("https://main.knesset.gov.il/APPS/legislation/main/bills/2204173", "פרק י""ד (חסמי ייבוא) מתוך הצעת חוק התכנית הכלכלית (תיקוני חקיקה ליישום המדיניות הכלכלית לשנות התקציב 2023 ו-2024), התשפ""ג-2023")</f>
        <v>9603</v>
      </c>
      <c r="E4590" t="s">
        <v>9603</v>
      </c>
      <c r="F4590" t="s">
        <v>14</v>
      </c>
      <c r="G4590" t="s">
        <v>81</v>
      </c>
      <c r="H4590">
             </c>
      <c r="I4590" t="s">
        <v>14</v>
      </c>
      <c r="J4590" t="s">
        <v>183</v>
      </c>
      <c r="K4590" t="s">
        <v>42</v>
      </c>
      <c r="L4590" t="s">
        <v>20</v>
      </c>
      <c r="M4590" t="s">
        <v>9602</v>
      </c>
      <c r="N4590" t="s">
        <v>14</v>
      </c>
    </row>
    <row r="4591" x14ac:dyDescent="0.25">
      <c r="A4591" t="n">
        <v>25</v>
      </c>
      <c r="B4591" t="s">
        <v>14</v>
      </c>
      <c r="C4591" t="s">
        <v>51</v>
      </c>
      <c r="D4591" s="2" t="s">
        <f>=HYPERLINK("https://main.knesset.gov.il/APPS/legislation/main/bills/2198017", "הצעת חוק שירות ביטחון (תיקון - תקופת אי-כשרות ארעית), התשפ""ג-2023")</f>
        <v>9604</v>
      </c>
      <c r="E4591" t="s">
        <v>9604</v>
      </c>
      <c r="F4591" t="s">
        <v>9605</v>
      </c>
      <c r="G4591" t="s">
        <v>14</v>
      </c>
      <c r="H4591">
             </c>
      <c r="I4591" t="s">
        <v>14</v>
      </c>
      <c r="J4591" t="s">
        <v>242</v>
      </c>
      <c r="K4591" t="s">
        <v>14</v>
      </c>
      <c r="L4591" t="s">
        <v>20</v>
      </c>
      <c r="M4591" t="s">
        <v>9606</v>
      </c>
      <c r="N4591" t="s">
        <v>14</v>
      </c>
    </row>
    <row r="4592" x14ac:dyDescent="0.25">
      <c r="A4592" t="n">
        <v>25</v>
      </c>
      <c r="B4592" t="s">
        <v>14</v>
      </c>
      <c r="C4592" t="s">
        <v>51</v>
      </c>
      <c r="D4592" s="2" t="s">
        <f>=HYPERLINK("https://main.knesset.gov.il/APPS/legislation/main/bills/2203980", "הצעת חוק הדיינים (תיקון - שינוי הרכב הוועדה למינוי דיינים), התשפ""ג-2023")</f>
        <v>9607</v>
      </c>
      <c r="E4592" t="s">
        <v>9607</v>
      </c>
      <c r="F4592" t="s">
        <v>9608</v>
      </c>
      <c r="G4592" t="s">
        <v>14</v>
      </c>
      <c r="H4592">
             </c>
      <c r="I4592" t="s">
        <v>14</v>
      </c>
      <c r="J4592" t="s">
        <v>242</v>
      </c>
      <c r="K4592" t="s">
        <v>14</v>
      </c>
      <c r="L4592" t="s">
        <v>20</v>
      </c>
      <c r="M4592" t="s">
        <v>9606</v>
      </c>
      <c r="N4592" t="s">
        <v>14</v>
      </c>
    </row>
    <row r="4593" x14ac:dyDescent="0.25">
      <c r="A4593" t="n">
        <v>25</v>
      </c>
      <c r="B4593" t="s">
        <v>14</v>
      </c>
      <c r="C4593" t="s">
        <v>51</v>
      </c>
      <c r="D4593" s="2" t="s">
        <f>=HYPERLINK("https://main.knesset.gov.il/APPS/legislation/main/bills/2203909", "הצעת חוק-יסוד: השפיטה (תיקון - מינוי נשיא ומשנה לנשיא בית המשפט העליון)")</f>
        <v>9609</v>
      </c>
      <c r="E4593" t="s">
        <v>9609</v>
      </c>
      <c r="F4593" t="s">
        <v>9610</v>
      </c>
      <c r="G4593" t="s">
        <v>14</v>
      </c>
      <c r="H4593">
             </c>
      <c r="I4593" t="s">
        <v>14</v>
      </c>
      <c r="J4593" t="s">
        <v>242</v>
      </c>
      <c r="K4593" t="s">
        <v>14</v>
      </c>
      <c r="L4593" t="s">
        <v>20</v>
      </c>
      <c r="M4593" t="s">
        <v>9606</v>
      </c>
      <c r="N4593" t="s">
        <v>14</v>
      </c>
    </row>
    <row r="4594" x14ac:dyDescent="0.25">
      <c r="A4594" t="n">
        <v>25</v>
      </c>
      <c r="B4594" t="s">
        <v>14</v>
      </c>
      <c r="C4594" t="s">
        <v>51</v>
      </c>
      <c r="D4594" s="2" t="s">
        <f>=HYPERLINK("https://main.knesset.gov.il/APPS/legislation/main/bills/2204079", "הצעת חוק הסכמים קיבוציים (תיקון - יציגות ארגון עובדים והגנה על הפרט), התשפ""ג-2023")</f>
        <v>9611</v>
      </c>
      <c r="E4594" t="s">
        <v>9611</v>
      </c>
      <c r="F4594" t="s">
        <v>9612</v>
      </c>
      <c r="G4594" t="s">
        <v>14</v>
      </c>
      <c r="H4594">
             </c>
      <c r="I4594" t="s">
        <v>14</v>
      </c>
      <c r="J4594" t="s">
        <v>242</v>
      </c>
      <c r="K4594" t="s">
        <v>14</v>
      </c>
      <c r="L4594" t="s">
        <v>20</v>
      </c>
      <c r="M4594" t="s">
        <v>9606</v>
      </c>
      <c r="N4594" t="s">
        <v>14</v>
      </c>
    </row>
    <row r="4595" x14ac:dyDescent="0.25">
      <c r="A4595" t="n">
        <v>25</v>
      </c>
      <c r="B4595" t="s">
        <v>14</v>
      </c>
      <c r="C4595" t="s">
        <v>51</v>
      </c>
      <c r="D4595" s="2" t="s">
        <f>=HYPERLINK("https://main.knesset.gov.il/APPS/legislation/main/bills/2204332", "הצעת חוק ביטוח בריאות ממלכתי (תיקון - הרחבת פטור מתשלום בחדר מיון), התשפ""ג-2023")</f>
        <v>9613</v>
      </c>
      <c r="E4595" t="s">
        <v>9613</v>
      </c>
      <c r="F4595" t="s">
        <v>9614</v>
      </c>
      <c r="G4595" t="s">
        <v>14</v>
      </c>
      <c r="H4595">
             </c>
      <c r="I4595" t="s">
        <v>14</v>
      </c>
      <c r="J4595" t="s">
        <v>242</v>
      </c>
      <c r="K4595" t="s">
        <v>14</v>
      </c>
      <c r="L4595" t="s">
        <v>20</v>
      </c>
      <c r="M4595" t="s">
        <v>9606</v>
      </c>
      <c r="N4595" t="s">
        <v>14</v>
      </c>
    </row>
    <row r="4596" x14ac:dyDescent="0.25">
      <c r="A4596" t="n">
        <v>25</v>
      </c>
      <c r="B4596" t="s">
        <v>14</v>
      </c>
      <c r="C4596" t="s">
        <v>51</v>
      </c>
      <c r="D4596" s="2" t="s">
        <f>=HYPERLINK("https://main.knesset.gov.il/APPS/legislation/main/bills/2204302", "הצעת חוק הביטוח הלאומי (תיקון - נכה שהגיע לגיל פרישה), התשפ""ג-2023")</f>
        <v>9615</v>
      </c>
      <c r="E4596" t="s">
        <v>9615</v>
      </c>
      <c r="F4596" t="s">
        <v>9616</v>
      </c>
      <c r="G4596" t="s">
        <v>14</v>
      </c>
      <c r="H4596">
             </c>
      <c r="I4596" t="s">
        <v>14</v>
      </c>
      <c r="J4596" t="s">
        <v>242</v>
      </c>
      <c r="K4596" t="s">
        <v>14</v>
      </c>
      <c r="L4596" t="s">
        <v>20</v>
      </c>
      <c r="M4596" t="s">
        <v>9606</v>
      </c>
      <c r="N4596" t="s">
        <v>14</v>
      </c>
    </row>
    <row r="4597" x14ac:dyDescent="0.25">
      <c r="A4597" t="n">
        <v>25</v>
      </c>
      <c r="B4597" t="s">
        <v>14</v>
      </c>
      <c r="C4597" t="s">
        <v>51</v>
      </c>
      <c r="D4597" s="2" t="s">
        <f>=HYPERLINK("https://main.knesset.gov.il/APPS/legislation/main/bills/2204280", "הצעת חוק הביטוח הלאומי (תיקון - קיזוז הכנסות שאינן מעבודה או ממשלח יד מקצבת נכות), התשפ""ג-2023")</f>
        <v>9617</v>
      </c>
      <c r="E4597" t="s">
        <v>9617</v>
      </c>
      <c r="F4597" t="s">
        <v>9618</v>
      </c>
      <c r="G4597" t="s">
        <v>14</v>
      </c>
      <c r="H4597">
             </c>
      <c r="I4597" t="s">
        <v>14</v>
      </c>
      <c r="J4597" t="s">
        <v>242</v>
      </c>
      <c r="K4597" t="s">
        <v>14</v>
      </c>
      <c r="L4597" t="s">
        <v>20</v>
      </c>
      <c r="M4597" t="s">
        <v>9606</v>
      </c>
      <c r="N4597" t="s">
        <v>14</v>
      </c>
    </row>
    <row r="4598" x14ac:dyDescent="0.25">
      <c r="A4598" t="n">
        <v>25</v>
      </c>
      <c r="B4598" t="s">
        <v>14</v>
      </c>
      <c r="C4598" t="s">
        <v>51</v>
      </c>
      <c r="D4598" s="2" t="s">
        <f>=HYPERLINK("https://main.knesset.gov.il/APPS/legislation/main/bills/2204237", "הצעת חוק ביטוח בריאות ממלכתי (תיקון - הפחתה בדמי ביטוח בריאות לתושבי הפריפריה), התשפ""ג-2023")</f>
        <v>9619</v>
      </c>
      <c r="E4598" t="s">
        <v>9619</v>
      </c>
      <c r="F4598" t="s">
        <v>9620</v>
      </c>
      <c r="G4598" t="s">
        <v>14</v>
      </c>
      <c r="H4598">
             </c>
      <c r="I4598" t="s">
        <v>14</v>
      </c>
      <c r="J4598" t="s">
        <v>242</v>
      </c>
      <c r="K4598" t="s">
        <v>14</v>
      </c>
      <c r="L4598" t="s">
        <v>20</v>
      </c>
      <c r="M4598" t="s">
        <v>9606</v>
      </c>
      <c r="N4598" t="s">
        <v>14</v>
      </c>
    </row>
    <row r="4599" x14ac:dyDescent="0.25">
      <c r="A4599" t="n">
        <v>25</v>
      </c>
      <c r="B4599" t="s">
        <v>14</v>
      </c>
      <c r="C4599" t="s">
        <v>51</v>
      </c>
      <c r="D4599" s="2" t="s">
        <f>=HYPERLINK("https://main.knesset.gov.il/APPS/legislation/main/bills/2204125", "הצעת חוק הביטוח הלאומי (תיקון - הארכת הזכאות של חולה במחלה ממארת), התשפ""ג-2023")</f>
        <v>9219</v>
      </c>
      <c r="E4599" t="s">
        <v>9219</v>
      </c>
      <c r="F4599" t="s">
        <v>9621</v>
      </c>
      <c r="G4599" t="s">
        <v>14</v>
      </c>
      <c r="H4599">
             </c>
      <c r="I4599" t="s">
        <v>14</v>
      </c>
      <c r="J4599" t="s">
        <v>242</v>
      </c>
      <c r="K4599" t="s">
        <v>14</v>
      </c>
      <c r="L4599" t="s">
        <v>20</v>
      </c>
      <c r="M4599" t="s">
        <v>9606</v>
      </c>
      <c r="N4599" t="s">
        <v>14</v>
      </c>
    </row>
    <row r="4600" x14ac:dyDescent="0.25">
      <c r="A4600" t="n">
        <v>25</v>
      </c>
      <c r="B4600" t="s">
        <v>14</v>
      </c>
      <c r="C4600" t="s">
        <v>51</v>
      </c>
      <c r="D4600" s="2" t="s">
        <f>=HYPERLINK("https://main.knesset.gov.il/APPS/legislation/main/bills/2203142", "הצעת חוק הביטוח הלאומי (תיקון - הארכת הזכאות של חולה במחלה ממארת), התשפ""ג-2023")</f>
        <v>9219</v>
      </c>
      <c r="E4600" t="s">
        <v>9219</v>
      </c>
      <c r="F4600" t="s">
        <v>9622</v>
      </c>
      <c r="G4600" t="s">
        <v>14</v>
      </c>
      <c r="H4600">
             </c>
      <c r="I4600" t="s">
        <v>14</v>
      </c>
      <c r="J4600" t="s">
        <v>242</v>
      </c>
      <c r="K4600" t="s">
        <v>14</v>
      </c>
      <c r="L4600" t="s">
        <v>20</v>
      </c>
      <c r="M4600" t="s">
        <v>9606</v>
      </c>
      <c r="N4600" t="s">
        <v>14</v>
      </c>
    </row>
    <row r="4601" x14ac:dyDescent="0.25">
      <c r="A4601" t="n">
        <v>25</v>
      </c>
      <c r="B4601" t="s">
        <v>14</v>
      </c>
      <c r="C4601" t="s">
        <v>51</v>
      </c>
      <c r="D4601" s="2" t="s">
        <f>=HYPERLINK("https://main.knesset.gov.il/APPS/legislation/main/bills/2203964", "הצעת חוק הקרן לעידוד תעשייה נקייה, התשפ""ג-2023")</f>
        <v>9623</v>
      </c>
      <c r="E4601" t="s">
        <v>9623</v>
      </c>
      <c r="F4601" t="s">
        <v>9624</v>
      </c>
      <c r="G4601" t="s">
        <v>14</v>
      </c>
      <c r="H4601">
             </c>
      <c r="I4601" t="s">
        <v>14</v>
      </c>
      <c r="J4601" t="s">
        <v>242</v>
      </c>
      <c r="K4601" t="s">
        <v>14</v>
      </c>
      <c r="L4601" t="s">
        <v>20</v>
      </c>
      <c r="M4601" t="s">
        <v>9606</v>
      </c>
      <c r="N4601" t="s">
        <v>14</v>
      </c>
    </row>
    <row r="4602" x14ac:dyDescent="0.25">
      <c r="A4602" t="n">
        <v>25</v>
      </c>
      <c r="B4602" t="s">
        <v>14</v>
      </c>
      <c r="C4602" t="s">
        <v>51</v>
      </c>
      <c r="D4602" s="2" t="s">
        <f>=HYPERLINK("https://main.knesset.gov.il/APPS/legislation/main/bills/2203971", "הצעת חוק הבלו על דלק (תיקון - הגבלת שיעור המס על הדלק), התשפ""ג-2023")</f>
        <v>9625</v>
      </c>
      <c r="E4602" t="s">
        <v>9625</v>
      </c>
      <c r="F4602" t="s">
        <v>9626</v>
      </c>
      <c r="G4602" t="s">
        <v>14</v>
      </c>
      <c r="H4602">
             </c>
      <c r="I4602" t="s">
        <v>14</v>
      </c>
      <c r="J4602" t="s">
        <v>242</v>
      </c>
      <c r="K4602" t="s">
        <v>14</v>
      </c>
      <c r="L4602" t="s">
        <v>20</v>
      </c>
      <c r="M4602" t="s">
        <v>9606</v>
      </c>
      <c r="N4602" t="s">
        <v>14</v>
      </c>
    </row>
    <row r="4603" x14ac:dyDescent="0.25">
      <c r="A4603" t="n">
        <v>25</v>
      </c>
      <c r="B4603" t="s">
        <v>14</v>
      </c>
      <c r="C4603" t="s">
        <v>51</v>
      </c>
      <c r="D4603" s="2" t="s">
        <f>=HYPERLINK("https://main.knesset.gov.il/APPS/legislation/main/bills/2204145", "הצעת חוק לתיקון פקודת מס הכנסה (פטור ממס לגמלאים על תשלומי פנסיה), התשפ""ג-2023")</f>
        <v>9627</v>
      </c>
      <c r="E4603" t="s">
        <v>9627</v>
      </c>
      <c r="F4603" t="s">
        <v>9628</v>
      </c>
      <c r="G4603" t="s">
        <v>14</v>
      </c>
      <c r="H4603">
             </c>
      <c r="I4603" t="s">
        <v>14</v>
      </c>
      <c r="J4603" t="s">
        <v>242</v>
      </c>
      <c r="K4603" t="s">
        <v>14</v>
      </c>
      <c r="L4603" t="s">
        <v>20</v>
      </c>
      <c r="M4603" t="s">
        <v>9606</v>
      </c>
      <c r="N4603" t="s">
        <v>14</v>
      </c>
    </row>
    <row r="4604" x14ac:dyDescent="0.25">
      <c r="A4604" t="n">
        <v>25</v>
      </c>
      <c r="B4604" t="s">
        <v>14</v>
      </c>
      <c r="C4604" t="s">
        <v>51</v>
      </c>
      <c r="D4604" s="2" t="s">
        <f>=HYPERLINK("https://main.knesset.gov.il/APPS/legislation/main/bills/2203711", "הצעת חוק להגברת האכיפה של דיני העבודה (תיקון - הפרות בטיחות בעבודה בתחום הבנייה), התשפ""ג-2023")</f>
        <v>9629</v>
      </c>
      <c r="E4604" t="s">
        <v>9629</v>
      </c>
      <c r="F4604" t="s">
        <v>9630</v>
      </c>
      <c r="G4604" t="s">
        <v>14</v>
      </c>
      <c r="H4604">
             </c>
      <c r="I4604" t="s">
        <v>14</v>
      </c>
      <c r="J4604" t="s">
        <v>242</v>
      </c>
      <c r="K4604" t="s">
        <v>14</v>
      </c>
      <c r="L4604" t="s">
        <v>20</v>
      </c>
      <c r="M4604" t="s">
        <v>9606</v>
      </c>
      <c r="N4604" t="s">
        <v>14</v>
      </c>
    </row>
    <row r="4605" x14ac:dyDescent="0.25">
      <c r="A4605" t="n">
        <v>25</v>
      </c>
      <c r="B4605" t="s">
        <v>14</v>
      </c>
      <c r="C4605" t="s">
        <v>51</v>
      </c>
      <c r="D4605" s="2" t="s">
        <f>=HYPERLINK("https://main.knesset.gov.il/APPS/legislation/main/bills/2204330", "הצעת חוק משק החשמל (תיקון - פיקוח פרלמנטרי על תעריפי החשמל), התשפ""ג-2023")</f>
        <v>9631</v>
      </c>
      <c r="E4605" t="s">
        <v>9631</v>
      </c>
      <c r="F4605" t="s">
        <v>9632</v>
      </c>
      <c r="G4605" t="s">
        <v>14</v>
      </c>
      <c r="H4605">
             </c>
      <c r="I4605" t="s">
        <v>14</v>
      </c>
      <c r="J4605" t="s">
        <v>242</v>
      </c>
      <c r="K4605" t="s">
        <v>14</v>
      </c>
      <c r="L4605" t="s">
        <v>20</v>
      </c>
      <c r="M4605" t="s">
        <v>9606</v>
      </c>
      <c r="N4605" t="s">
        <v>14</v>
      </c>
    </row>
    <row r="4606" x14ac:dyDescent="0.25">
      <c r="A4606" t="n">
        <v>25</v>
      </c>
      <c r="B4606" t="s">
        <v>14</v>
      </c>
      <c r="C4606" t="s">
        <v>51</v>
      </c>
      <c r="D4606" s="2" t="s">
        <f>=HYPERLINK("https://main.knesset.gov.il/APPS/legislation/main/bills/2203714", "הצעת חוק שוויון זכויות לאנשים עם מוגבלות (תיקון - מידע בדבר עמידת מעסיקים פרטיים גדולים ביעד הייצוג ההולם), התשפ""ג-2023")</f>
        <v>8990</v>
      </c>
      <c r="E4606" t="s">
        <v>8990</v>
      </c>
      <c r="F4606" t="s">
        <v>9633</v>
      </c>
      <c r="G4606" t="s">
        <v>14</v>
      </c>
      <c r="H4606">
             </c>
      <c r="I4606" t="s">
        <v>14</v>
      </c>
      <c r="J4606" t="s">
        <v>242</v>
      </c>
      <c r="K4606" t="s">
        <v>14</v>
      </c>
      <c r="L4606" t="s">
        <v>20</v>
      </c>
      <c r="M4606" t="s">
        <v>9606</v>
      </c>
      <c r="N4606" t="s">
        <v>14</v>
      </c>
    </row>
    <row r="4607" x14ac:dyDescent="0.25">
      <c r="A4607" t="n">
        <v>25</v>
      </c>
      <c r="B4607" t="s">
        <v>14</v>
      </c>
      <c r="C4607" t="s">
        <v>51</v>
      </c>
      <c r="D4607" s="2" t="s">
        <f>=HYPERLINK("https://main.knesset.gov.il/APPS/legislation/main/bills/2203904", "הצעת חוק שכר מינימום (תיקון - שכר שווה לאנשים המתמודדים עם מוגבלות), התשפ""ג-2023")</f>
        <v>9634</v>
      </c>
      <c r="E4607" t="s">
        <v>9634</v>
      </c>
      <c r="F4607" t="s">
        <v>9635</v>
      </c>
      <c r="G4607" t="s">
        <v>14</v>
      </c>
      <c r="H4607">
             </c>
      <c r="I4607" t="s">
        <v>14</v>
      </c>
      <c r="J4607" t="s">
        <v>242</v>
      </c>
      <c r="K4607" t="s">
        <v>14</v>
      </c>
      <c r="L4607" t="s">
        <v>20</v>
      </c>
      <c r="M4607" t="s">
        <v>9606</v>
      </c>
      <c r="N4607" t="s">
        <v>14</v>
      </c>
    </row>
    <row r="4608" x14ac:dyDescent="0.25">
      <c r="A4608" t="n">
        <v>25</v>
      </c>
      <c r="B4608" t="s">
        <v>14</v>
      </c>
      <c r="C4608" t="s">
        <v>51</v>
      </c>
      <c r="D4608" s="2" t="s">
        <f>=HYPERLINK("https://main.knesset.gov.il/APPS/legislation/main/bills/2204390", "הצעת חוק לתיקון פקודת ביטוח רכב מנועי (פוליסה לשני כלי רכב של נהג יחיד), התשפ""ג-2023")</f>
        <v>8902</v>
      </c>
      <c r="E4608" t="s">
        <v>8902</v>
      </c>
      <c r="F4608" t="s">
        <v>9636</v>
      </c>
      <c r="G4608" t="s">
        <v>14</v>
      </c>
      <c r="H4608">
             </c>
      <c r="I4608" t="s">
        <v>14</v>
      </c>
      <c r="J4608" t="s">
        <v>242</v>
      </c>
      <c r="K4608" t="s">
        <v>14</v>
      </c>
      <c r="L4608" t="s">
        <v>20</v>
      </c>
      <c r="M4608" t="s">
        <v>9606</v>
      </c>
      <c r="N4608" t="s">
        <v>14</v>
      </c>
    </row>
    <row r="4609" x14ac:dyDescent="0.25">
      <c r="A4609" t="n">
        <v>25</v>
      </c>
      <c r="B4609" t="s">
        <v>14</v>
      </c>
      <c r="C4609" t="s">
        <v>51</v>
      </c>
      <c r="D4609" s="2" t="s">
        <f>=HYPERLINK("https://main.knesset.gov.il/APPS/legislation/main/bills/2203712", "הצעת חוק הלוואות לדיור (תיקון - הצמדת סכום ההלוואה למדד), התשפ""ג-2023")</f>
        <v>9637</v>
      </c>
      <c r="E4609" t="s">
        <v>9637</v>
      </c>
      <c r="F4609" t="s">
        <v>9638</v>
      </c>
      <c r="G4609" t="s">
        <v>14</v>
      </c>
      <c r="H4609">
             </c>
      <c r="I4609" t="s">
        <v>14</v>
      </c>
      <c r="J4609" t="s">
        <v>242</v>
      </c>
      <c r="K4609" t="s">
        <v>14</v>
      </c>
      <c r="L4609" t="s">
        <v>20</v>
      </c>
      <c r="M4609" t="s">
        <v>9606</v>
      </c>
      <c r="N4609" t="s">
        <v>14</v>
      </c>
    </row>
    <row r="4610" x14ac:dyDescent="0.25">
      <c r="A4610" t="n">
        <v>25</v>
      </c>
      <c r="B4610" t="s">
        <v>14</v>
      </c>
      <c r="C4610" t="s">
        <v>51</v>
      </c>
      <c r="D4610" s="2" t="s">
        <f>=HYPERLINK("https://main.knesset.gov.il/APPS/legislation/main/bills/2204325", "הצעת חוק התכנון והבנייה (תיקון - ביצוע סקר מבנים מסוכנים), התשפ""ג-2023")</f>
        <v>9639</v>
      </c>
      <c r="E4610" t="s">
        <v>9639</v>
      </c>
      <c r="F4610" t="s">
        <v>9640</v>
      </c>
      <c r="G4610" t="s">
        <v>14</v>
      </c>
      <c r="H4610">
             </c>
      <c r="I4610" t="s">
        <v>14</v>
      </c>
      <c r="J4610" t="s">
        <v>242</v>
      </c>
      <c r="K4610" t="s">
        <v>14</v>
      </c>
      <c r="L4610" t="s">
        <v>20</v>
      </c>
      <c r="M4610" t="s">
        <v>9606</v>
      </c>
      <c r="N4610" t="s">
        <v>14</v>
      </c>
    </row>
    <row r="4611" x14ac:dyDescent="0.25">
      <c r="A4611" t="n">
        <v>25</v>
      </c>
      <c r="B4611" t="s">
        <v>14</v>
      </c>
      <c r="C4611" t="s">
        <v>51</v>
      </c>
      <c r="D4611" s="2" t="s">
        <f>=HYPERLINK("https://main.knesset.gov.il/APPS/legislation/main/bills/2204041", "הצעת חוק דיני העבודה (תיקוני חקיקה), התשפ""ג-2023")</f>
        <v>9641</v>
      </c>
      <c r="E4611" t="s">
        <v>9641</v>
      </c>
      <c r="F4611" t="s">
        <v>9642</v>
      </c>
      <c r="G4611" t="s">
        <v>14</v>
      </c>
      <c r="H4611">
             </c>
      <c r="I4611" t="s">
        <v>14</v>
      </c>
      <c r="J4611" t="s">
        <v>242</v>
      </c>
      <c r="K4611" t="s">
        <v>14</v>
      </c>
      <c r="L4611" t="s">
        <v>20</v>
      </c>
      <c r="M4611" t="s">
        <v>9606</v>
      </c>
      <c r="N4611" t="s">
        <v>14</v>
      </c>
    </row>
    <row r="4612" x14ac:dyDescent="0.25">
      <c r="A4612" t="n">
        <v>25</v>
      </c>
      <c r="B4612" t="s">
        <v>14</v>
      </c>
      <c r="C4612" t="s">
        <v>51</v>
      </c>
      <c r="D4612" s="2" t="s">
        <f>=HYPERLINK("https://main.knesset.gov.il/APPS/legislation/main/bills/2203776", "הצעת חוק הביטוח הלאומי (תיקון - פטור מתשלום דמי ביטוח לאומי עד גיל 21), התשפ""ג-2023")</f>
        <v>9643</v>
      </c>
      <c r="E4612" t="s">
        <v>9643</v>
      </c>
      <c r="F4612" t="s">
        <v>9644</v>
      </c>
      <c r="G4612" t="s">
        <v>14</v>
      </c>
      <c r="H4612">
             </c>
      <c r="I4612" t="s">
        <v>14</v>
      </c>
      <c r="J4612" t="s">
        <v>242</v>
      </c>
      <c r="K4612" t="s">
        <v>14</v>
      </c>
      <c r="L4612" t="s">
        <v>20</v>
      </c>
      <c r="M4612" t="s">
        <v>9606</v>
      </c>
      <c r="N4612" t="s">
        <v>14</v>
      </c>
    </row>
    <row r="4613" x14ac:dyDescent="0.25">
      <c r="A4613" t="n">
        <v>25</v>
      </c>
      <c r="B4613" t="s">
        <v>14</v>
      </c>
      <c r="C4613" t="s">
        <v>51</v>
      </c>
      <c r="D4613" s="2" t="s">
        <f>=HYPERLINK("https://main.knesset.gov.il/APPS/legislation/main/bills/2203926", "הצעת חוק הביטוח הלאומי (תיקון - קצבת תלויים וקצבת אזרח ותיק), התשפ""ג-2023")</f>
        <v>9645</v>
      </c>
      <c r="E4613" t="s">
        <v>9645</v>
      </c>
      <c r="F4613" t="s">
        <v>9646</v>
      </c>
      <c r="G4613" t="s">
        <v>14</v>
      </c>
      <c r="H4613">
             </c>
      <c r="I4613" t="s">
        <v>14</v>
      </c>
      <c r="J4613" t="s">
        <v>242</v>
      </c>
      <c r="K4613" t="s">
        <v>14</v>
      </c>
      <c r="L4613" t="s">
        <v>20</v>
      </c>
      <c r="M4613" t="s">
        <v>9606</v>
      </c>
      <c r="N4613" t="s">
        <v>14</v>
      </c>
    </row>
    <row r="4614" x14ac:dyDescent="0.25">
      <c r="A4614" t="n">
        <v>25</v>
      </c>
      <c r="B4614" t="s">
        <v>14</v>
      </c>
      <c r="C4614" t="s">
        <v>51</v>
      </c>
      <c r="D4614" s="2" t="s">
        <f>=HYPERLINK("https://main.knesset.gov.il/APPS/legislation/main/bills/2203936", "הצעת חוק הקמת חדר מיון בקריית שמונה, התשפ""ג-2023")</f>
        <v>9647</v>
      </c>
      <c r="E4614" t="s">
        <v>9647</v>
      </c>
      <c r="F4614" t="s">
        <v>9648</v>
      </c>
      <c r="G4614" t="s">
        <v>14</v>
      </c>
      <c r="H4614">
             </c>
      <c r="I4614" t="s">
        <v>14</v>
      </c>
      <c r="J4614" t="s">
        <v>202</v>
      </c>
      <c r="K4614" t="s">
        <v>14</v>
      </c>
      <c r="L4614" t="s">
        <v>20</v>
      </c>
      <c r="M4614" t="s">
        <v>9606</v>
      </c>
      <c r="N4614" t="s">
        <v>14</v>
      </c>
    </row>
    <row r="4615" x14ac:dyDescent="0.25">
      <c r="A4615" t="n">
        <v>25</v>
      </c>
      <c r="B4615" t="s">
        <v>14</v>
      </c>
      <c r="C4615" t="s">
        <v>51</v>
      </c>
      <c r="D4615" s="2" t="s">
        <f>=HYPERLINK("https://main.knesset.gov.il/APPS/legislation/main/bills/2203704", "הצעת חוק הנגשת שירותי קבלת קהל הניתנים בגופי שלטון למיעוט לשוני גדול, התשפ""ג-2023")</f>
        <v>9649</v>
      </c>
      <c r="E4615" t="s">
        <v>9649</v>
      </c>
      <c r="F4615" t="s">
        <v>9650</v>
      </c>
      <c r="G4615" t="s">
        <v>14</v>
      </c>
      <c r="H4615">
             </c>
      <c r="I4615" t="s">
        <v>14</v>
      </c>
      <c r="J4615" t="s">
        <v>242</v>
      </c>
      <c r="K4615" t="s">
        <v>14</v>
      </c>
      <c r="L4615" t="s">
        <v>20</v>
      </c>
      <c r="M4615" t="s">
        <v>9606</v>
      </c>
      <c r="N4615" t="s">
        <v>14</v>
      </c>
    </row>
    <row r="4616" x14ac:dyDescent="0.25">
      <c r="A4616" t="n">
        <v>25</v>
      </c>
      <c r="B4616" t="s">
        <v>14</v>
      </c>
      <c r="C4616" t="s">
        <v>51</v>
      </c>
      <c r="D4616" s="2" t="s">
        <f>=HYPERLINK("https://main.knesset.gov.il/APPS/legislation/main/bills/2196963", "הצעת חוק ברית הזוגיות האזרחית, התשפ""ג-2023")</f>
        <v>9651</v>
      </c>
      <c r="E4616" t="s">
        <v>9651</v>
      </c>
      <c r="F4616" t="s">
        <v>9652</v>
      </c>
      <c r="G4616" t="s">
        <v>14</v>
      </c>
      <c r="H4616">
             </c>
      <c r="I4616" t="s">
        <v>14</v>
      </c>
      <c r="J4616" t="s">
        <v>242</v>
      </c>
      <c r="K4616" t="s">
        <v>14</v>
      </c>
      <c r="L4616" t="s">
        <v>20</v>
      </c>
      <c r="M4616" t="s">
        <v>9606</v>
      </c>
      <c r="N4616" t="s">
        <v>14</v>
      </c>
    </row>
    <row r="4617" x14ac:dyDescent="0.25">
      <c r="A4617" t="n">
        <v>25</v>
      </c>
      <c r="B4617" t="s">
        <v>14</v>
      </c>
      <c r="C4617" t="s">
        <v>51</v>
      </c>
      <c r="D4617" s="2" t="s">
        <f>=HYPERLINK("https://main.knesset.gov.il/APPS/legislation/main/bills/2204105", "הצעת חוק העונשין (תיקון - תקיפת נהגי אוטובוס בקווי תחבורה ציבורית), התשפ""ג-2023")</f>
        <v>9653</v>
      </c>
      <c r="E4617" t="s">
        <v>9653</v>
      </c>
      <c r="F4617" t="s">
        <v>9654</v>
      </c>
      <c r="G4617" t="s">
        <v>14</v>
      </c>
      <c r="H4617">
             </c>
      <c r="I4617" t="s">
        <v>14</v>
      </c>
      <c r="J4617" t="s">
        <v>242</v>
      </c>
      <c r="K4617" t="s">
        <v>14</v>
      </c>
      <c r="L4617" t="s">
        <v>20</v>
      </c>
      <c r="M4617" t="s">
        <v>9606</v>
      </c>
      <c r="N4617" t="s">
        <v>14</v>
      </c>
    </row>
    <row r="4618" x14ac:dyDescent="0.25">
      <c r="A4618" t="n">
        <v>25</v>
      </c>
      <c r="B4618" t="s">
        <v>14</v>
      </c>
      <c r="C4618" t="s">
        <v>51</v>
      </c>
      <c r="D4618" s="2" t="s">
        <f>=HYPERLINK("https://main.knesset.gov.il/APPS/legislation/main/bills/2204339", "הצעת חוק עיקול ותפיסה מידתיים של נכסים המוחזקים בידי צד שלישי (תיקוני חקיקה), התשפ""ג-2023")</f>
        <v>8933</v>
      </c>
      <c r="E4618" t="s">
        <v>8933</v>
      </c>
      <c r="F4618" t="s">
        <v>9655</v>
      </c>
      <c r="G4618" t="s">
        <v>14</v>
      </c>
      <c r="H4618">
             </c>
      <c r="I4618" t="s">
        <v>14</v>
      </c>
      <c r="J4618" t="s">
        <v>242</v>
      </c>
      <c r="K4618" t="s">
        <v>14</v>
      </c>
      <c r="L4618" t="s">
        <v>20</v>
      </c>
      <c r="M4618" t="s">
        <v>9606</v>
      </c>
      <c r="N4618" t="s">
        <v>14</v>
      </c>
    </row>
    <row r="4619" x14ac:dyDescent="0.25">
      <c r="A4619" t="n">
        <v>25</v>
      </c>
      <c r="B4619" t="s">
        <v>14</v>
      </c>
      <c r="C4619" t="s">
        <v>51</v>
      </c>
      <c r="D4619" s="2" t="s">
        <f>=HYPERLINK("https://main.knesset.gov.il/APPS/legislation/main/bills/2203966", "הצעת חוק ההוצאה לפועל (תיקון - החרגת עיקול רכב), התשפ""ג-2023")</f>
        <v>9656</v>
      </c>
      <c r="E4619" t="s">
        <v>9656</v>
      </c>
      <c r="F4619" t="s">
        <v>9657</v>
      </c>
      <c r="G4619" t="s">
        <v>14</v>
      </c>
      <c r="H4619">
             </c>
      <c r="I4619" t="s">
        <v>14</v>
      </c>
      <c r="J4619" t="s">
        <v>242</v>
      </c>
      <c r="K4619" t="s">
        <v>14</v>
      </c>
      <c r="L4619" t="s">
        <v>20</v>
      </c>
      <c r="M4619" t="s">
        <v>9606</v>
      </c>
      <c r="N4619" t="s">
        <v>14</v>
      </c>
    </row>
    <row r="4620" x14ac:dyDescent="0.25">
      <c r="A4620" t="n">
        <v>25</v>
      </c>
      <c r="B4620" t="s">
        <v>14</v>
      </c>
      <c r="C4620" t="s">
        <v>51</v>
      </c>
      <c r="D4620" s="2" t="s">
        <f>=HYPERLINK("https://main.knesset.gov.il/APPS/legislation/main/bills/2203709", "הצעת חוק העונשין (תיקון - תקיפת עורך דין כתקיפת עובד ציבור), התשפ""ג-2023")</f>
        <v>8811</v>
      </c>
      <c r="E4620" t="s">
        <v>8811</v>
      </c>
      <c r="F4620" t="s">
        <v>9658</v>
      </c>
      <c r="G4620" t="s">
        <v>14</v>
      </c>
      <c r="H4620">
             </c>
      <c r="I4620" t="s">
        <v>14</v>
      </c>
      <c r="J4620" t="s">
        <v>242</v>
      </c>
      <c r="K4620" t="s">
        <v>14</v>
      </c>
      <c r="L4620" t="s">
        <v>20</v>
      </c>
      <c r="M4620" t="s">
        <v>9606</v>
      </c>
      <c r="N4620" t="s">
        <v>14</v>
      </c>
    </row>
    <row r="4621" x14ac:dyDescent="0.25">
      <c r="A4621" t="n">
        <v>25</v>
      </c>
      <c r="B4621" t="s">
        <v>14</v>
      </c>
      <c r="C4621" t="s">
        <v>51</v>
      </c>
      <c r="D4621" s="2" t="s">
        <f>=HYPERLINK("https://main.knesset.gov.il/APPS/legislation/main/bills/2204148", "הצעת חוק הסיוע המשפטי (תיקון - סיוע משפטי לנפגעי עבירות) (הוראת שעה), התשפ""ג-2023")</f>
        <v>8487</v>
      </c>
      <c r="E4621" t="s">
        <v>8487</v>
      </c>
      <c r="F4621" t="s">
        <v>9659</v>
      </c>
      <c r="G4621" t="s">
        <v>14</v>
      </c>
      <c r="H4621">
             </c>
      <c r="I4621" t="s">
        <v>14</v>
      </c>
      <c r="J4621" t="s">
        <v>242</v>
      </c>
      <c r="K4621" t="s">
        <v>14</v>
      </c>
      <c r="L4621" t="s">
        <v>20</v>
      </c>
      <c r="M4621" t="s">
        <v>9606</v>
      </c>
      <c r="N4621" t="s">
        <v>14</v>
      </c>
    </row>
    <row r="4622" x14ac:dyDescent="0.25">
      <c r="A4622" t="n">
        <v>25</v>
      </c>
      <c r="B4622" t="s">
        <v>14</v>
      </c>
      <c r="C4622" t="s">
        <v>51</v>
      </c>
      <c r="D4622" s="2" t="s">
        <f>=HYPERLINK("https://main.knesset.gov.il/APPS/legislation/main/bills/2204135", "הצעת חוק שיפוט בתי דין רבניים (נישואין וגירושין) (תיקון - דרישת הסכמה בכתב), התשפ""ג-2023")</f>
        <v>9660</v>
      </c>
      <c r="E4622" t="s">
        <v>9660</v>
      </c>
      <c r="F4622" t="s">
        <v>9661</v>
      </c>
      <c r="G4622" t="s">
        <v>14</v>
      </c>
      <c r="H4622">
             </c>
      <c r="I4622" t="s">
        <v>14</v>
      </c>
      <c r="J4622" t="s">
        <v>242</v>
      </c>
      <c r="K4622" t="s">
        <v>14</v>
      </c>
      <c r="L4622" t="s">
        <v>20</v>
      </c>
      <c r="M4622" t="s">
        <v>9606</v>
      </c>
      <c r="N4622" t="s">
        <v>14</v>
      </c>
    </row>
    <row r="4623" x14ac:dyDescent="0.25">
      <c r="A4623" t="n">
        <v>25</v>
      </c>
      <c r="B4623" t="s">
        <v>14</v>
      </c>
      <c r="C4623" t="s">
        <v>51</v>
      </c>
      <c r="D4623" s="2" t="s">
        <f>=HYPERLINK("https://main.knesset.gov.il/APPS/legislation/main/bills/2204107", "הצעת חוק הגנת הצרכן (תיקון - פנייה מקדימה בעסקת מכר מרחוק), התשפ""ג-2023")</f>
        <v>9662</v>
      </c>
      <c r="E4623" t="s">
        <v>9662</v>
      </c>
      <c r="F4623" t="s">
        <v>9663</v>
      </c>
      <c r="G4623" t="s">
        <v>14</v>
      </c>
      <c r="H4623">
             </c>
      <c r="I4623" t="s">
        <v>14</v>
      </c>
      <c r="J4623" t="s">
        <v>242</v>
      </c>
      <c r="K4623" t="s">
        <v>14</v>
      </c>
      <c r="L4623" t="s">
        <v>20</v>
      </c>
      <c r="M4623" t="s">
        <v>9606</v>
      </c>
      <c r="N4623" t="s">
        <v>14</v>
      </c>
    </row>
    <row r="4624" x14ac:dyDescent="0.25">
      <c r="A4624" t="n">
        <v>25</v>
      </c>
      <c r="B4624" t="s">
        <v>14</v>
      </c>
      <c r="C4624" t="s">
        <v>51</v>
      </c>
      <c r="D4624" s="2" t="s">
        <f>=HYPERLINK("https://main.knesset.gov.il/APPS/legislation/main/bills/2204108", "הצעת חוק לתיקון פקודת התעבורה (סימון שונה במקומות שבהם היתר החניה תלוי בשעות), התשפ""ג-2023")</f>
        <v>9664</v>
      </c>
      <c r="E4624" t="s">
        <v>9664</v>
      </c>
      <c r="F4624" t="s">
        <v>9665</v>
      </c>
      <c r="G4624" t="s">
        <v>14</v>
      </c>
      <c r="H4624">
             </c>
      <c r="I4624" t="s">
        <v>14</v>
      </c>
      <c r="J4624" t="s">
        <v>242</v>
      </c>
      <c r="K4624" t="s">
        <v>14</v>
      </c>
      <c r="L4624" t="s">
        <v>20</v>
      </c>
      <c r="M4624" t="s">
        <v>9606</v>
      </c>
      <c r="N4624" t="s">
        <v>14</v>
      </c>
    </row>
    <row r="4625" x14ac:dyDescent="0.25">
      <c r="A4625" t="n">
        <v>25</v>
      </c>
      <c r="B4625" t="s">
        <v>14</v>
      </c>
      <c r="C4625" t="s">
        <v>51</v>
      </c>
      <c r="D4625" s="2" t="s">
        <f>=HYPERLINK("https://main.knesset.gov.il/APPS/legislation/main/bills/2203931", "הצעת חוק לימודי הכנה למבחנים פסיכומטריים לתלמידים, התשפ""ג-2023")</f>
        <v>9666</v>
      </c>
      <c r="E4625" t="s">
        <v>9666</v>
      </c>
      <c r="F4625" t="s">
        <v>9667</v>
      </c>
      <c r="G4625" t="s">
        <v>14</v>
      </c>
      <c r="H4625">
             </c>
      <c r="I4625" t="s">
        <v>14</v>
      </c>
      <c r="J4625" t="s">
        <v>242</v>
      </c>
      <c r="K4625" t="s">
        <v>14</v>
      </c>
      <c r="L4625" t="s">
        <v>20</v>
      </c>
      <c r="M4625" t="s">
        <v>9606</v>
      </c>
      <c r="N4625" t="s">
        <v>14</v>
      </c>
    </row>
    <row r="4626" x14ac:dyDescent="0.25">
      <c r="A4626" t="n">
        <v>25</v>
      </c>
      <c r="B4626" t="s">
        <v>14</v>
      </c>
      <c r="C4626" t="s">
        <v>51</v>
      </c>
      <c r="D4626" s="2" t="s">
        <f>=HYPERLINK("https://main.knesset.gov.il/APPS/legislation/main/bills/2204110", "הצעת חוק הגנת הצרכן (תיקון - אחריות מנהל כללי ונושא משרה בשל הפרת הוראות החוק), התשפ""ג-2023")</f>
        <v>9668</v>
      </c>
      <c r="E4626" t="s">
        <v>9668</v>
      </c>
      <c r="F4626" t="s">
        <v>9669</v>
      </c>
      <c r="G4626" t="s">
        <v>14</v>
      </c>
      <c r="H4626">
             </c>
      <c r="I4626" t="s">
        <v>14</v>
      </c>
      <c r="J4626" t="s">
        <v>242</v>
      </c>
      <c r="K4626" t="s">
        <v>14</v>
      </c>
      <c r="L4626" t="s">
        <v>20</v>
      </c>
      <c r="M4626" t="s">
        <v>9606</v>
      </c>
      <c r="N4626" t="s">
        <v>14</v>
      </c>
    </row>
    <row r="4627" x14ac:dyDescent="0.25">
      <c r="A4627" t="n">
        <v>25</v>
      </c>
      <c r="B4627" t="s">
        <v>14</v>
      </c>
      <c r="C4627" t="s">
        <v>51</v>
      </c>
      <c r="D4627" s="2" t="s">
        <f>=HYPERLINK("https://main.knesset.gov.il/APPS/legislation/main/bills/2203993", "הצעת חוק מפעל הזנה במוסדות חינוך על יסודיים לנוער בסיכון ולנוער נושר, התשפ''ג-2023")</f>
        <v>9670</v>
      </c>
      <c r="E4627" t="s">
        <v>9670</v>
      </c>
      <c r="F4627" t="s">
        <v>9671</v>
      </c>
      <c r="G4627" t="s">
        <v>14</v>
      </c>
      <c r="H4627">
             </c>
      <c r="I4627" t="s">
        <v>14</v>
      </c>
      <c r="J4627" t="s">
        <v>242</v>
      </c>
      <c r="K4627" t="s">
        <v>14</v>
      </c>
      <c r="L4627" t="s">
        <v>20</v>
      </c>
      <c r="M4627" t="s">
        <v>9606</v>
      </c>
      <c r="N4627" t="s">
        <v>14</v>
      </c>
    </row>
    <row r="4628" x14ac:dyDescent="0.25">
      <c r="A4628" t="n">
        <v>25</v>
      </c>
      <c r="B4628" t="s">
        <v>14</v>
      </c>
      <c r="C4628" t="s">
        <v>51</v>
      </c>
      <c r="D4628" s="2" t="s">
        <f>=HYPERLINK("https://main.knesset.gov.il/APPS/legislation/main/bills/2204140", "הצעת חוק לתיקון פקודת התעבורה (זכות עיון בממצאי בחינה מעשית בנהיגה), התשפ""ג-2023")</f>
        <v>9672</v>
      </c>
      <c r="E4628" t="s">
        <v>9672</v>
      </c>
      <c r="F4628" t="s">
        <v>9673</v>
      </c>
      <c r="G4628" t="s">
        <v>14</v>
      </c>
      <c r="H4628">
             </c>
      <c r="I4628" t="s">
        <v>14</v>
      </c>
      <c r="J4628" t="s">
        <v>202</v>
      </c>
      <c r="K4628" t="s">
        <v>14</v>
      </c>
      <c r="L4628" t="s">
        <v>20</v>
      </c>
      <c r="M4628" t="s">
        <v>9606</v>
      </c>
      <c r="N4628" t="s">
        <v>14</v>
      </c>
    </row>
    <row r="4629" x14ac:dyDescent="0.25">
      <c r="A4629" t="n">
        <v>25</v>
      </c>
      <c r="B4629" t="s">
        <v>14</v>
      </c>
      <c r="C4629" t="s">
        <v>51</v>
      </c>
      <c r="D4629" s="2" t="s">
        <f>=HYPERLINK("https://main.knesset.gov.il/APPS/legislation/main/bills/2203935", "הצעת חוק סייעות במוסדות חינוך, התשפ""ג-2023")</f>
        <v>9674</v>
      </c>
      <c r="E4629" t="s">
        <v>9674</v>
      </c>
      <c r="F4629" t="s">
        <v>9675</v>
      </c>
      <c r="G4629" t="s">
        <v>14</v>
      </c>
      <c r="H4629">
             </c>
      <c r="I4629" t="s">
        <v>14</v>
      </c>
      <c r="J4629" t="s">
        <v>242</v>
      </c>
      <c r="K4629" t="s">
        <v>14</v>
      </c>
      <c r="L4629" t="s">
        <v>20</v>
      </c>
      <c r="M4629" t="s">
        <v>9606</v>
      </c>
      <c r="N4629" t="s">
        <v>14</v>
      </c>
    </row>
    <row r="4630" x14ac:dyDescent="0.25">
      <c r="A4630" t="n">
        <v>25</v>
      </c>
      <c r="B4630" t="s">
        <v>14</v>
      </c>
      <c r="C4630" t="s">
        <v>51</v>
      </c>
      <c r="D4630" s="2" t="s">
        <f>=HYPERLINK("https://main.knesset.gov.il/APPS/legislation/main/bills/2204182", "הצעת חוק שיפוט בתי דין רבניים (נישואין וגירושין) (תיקון - מינוי נציגות ציבור), התשפ""ג-2023")</f>
        <v>9676</v>
      </c>
      <c r="E4630" t="s">
        <v>9676</v>
      </c>
      <c r="F4630" t="s">
        <v>9677</v>
      </c>
      <c r="G4630" t="s">
        <v>14</v>
      </c>
      <c r="H4630">
             </c>
      <c r="I4630" t="s">
        <v>14</v>
      </c>
      <c r="J4630" t="s">
        <v>242</v>
      </c>
      <c r="K4630" t="s">
        <v>14</v>
      </c>
      <c r="L4630" t="s">
        <v>20</v>
      </c>
      <c r="M4630" t="s">
        <v>9606</v>
      </c>
      <c r="N4630" t="s">
        <v>14</v>
      </c>
    </row>
    <row r="4631" x14ac:dyDescent="0.25">
      <c r="A4631" t="n">
        <v>25</v>
      </c>
      <c r="B4631" t="s">
        <v>14</v>
      </c>
      <c r="C4631" t="s">
        <v>51</v>
      </c>
      <c r="D4631" s="2" t="s">
        <f>=HYPERLINK("https://main.knesset.gov.il/APPS/legislation/main/bills/2203724", "הצעת חוק האזרחים הוותיקים (תיקון - הנחה בארנונה), התשפ""ג-2023")</f>
        <v>9678</v>
      </c>
      <c r="E4631" t="s">
        <v>9678</v>
      </c>
      <c r="F4631" t="s">
        <v>9679</v>
      </c>
      <c r="G4631" t="s">
        <v>14</v>
      </c>
      <c r="H4631">
             </c>
      <c r="I4631" t="s">
        <v>14</v>
      </c>
      <c r="J4631" t="s">
        <v>242</v>
      </c>
      <c r="K4631" t="s">
        <v>14</v>
      </c>
      <c r="L4631" t="s">
        <v>20</v>
      </c>
      <c r="M4631" t="s">
        <v>9606</v>
      </c>
      <c r="N4631" t="s">
        <v>14</v>
      </c>
    </row>
    <row r="4632" x14ac:dyDescent="0.25">
      <c r="A4632" t="n">
        <v>25</v>
      </c>
      <c r="B4632" t="s">
        <v>14</v>
      </c>
      <c r="C4632" t="s">
        <v>51</v>
      </c>
      <c r="D4632" s="2" t="s">
        <f>=HYPERLINK("https://main.knesset.gov.il/APPS/legislation/main/bills/2203938", "הצעת חוק הסדרת העיסוק במקצועות הבריאות (תיקון - טיפול באמצעות אמנויות), התשפ""ג-2023")</f>
        <v>8716</v>
      </c>
      <c r="E4632" t="s">
        <v>8716</v>
      </c>
      <c r="F4632" t="s">
        <v>9680</v>
      </c>
      <c r="G4632" t="s">
        <v>14</v>
      </c>
      <c r="H4632">
             </c>
      <c r="I4632" t="s">
        <v>14</v>
      </c>
      <c r="J4632" t="s">
        <v>242</v>
      </c>
      <c r="K4632" t="s">
        <v>14</v>
      </c>
      <c r="L4632" t="s">
        <v>20</v>
      </c>
      <c r="M4632" t="s">
        <v>9606</v>
      </c>
      <c r="N4632" t="s">
        <v>14</v>
      </c>
    </row>
    <row r="4633" x14ac:dyDescent="0.25">
      <c r="A4633" t="n">
        <v>25</v>
      </c>
      <c r="B4633" t="s">
        <v>14</v>
      </c>
      <c r="C4633" t="s">
        <v>51</v>
      </c>
      <c r="D4633" s="2" t="s">
        <f>=HYPERLINK("https://main.knesset.gov.il/APPS/legislation/main/bills/2204144", "הצעת חוק הגנת הצרכן (תיקון - משלוח חשבונית לצרכן בדרך מקוונת), התשפ""ג-2023")</f>
        <v>9681</v>
      </c>
      <c r="E4633" t="s">
        <v>9681</v>
      </c>
      <c r="F4633" t="s">
        <v>9682</v>
      </c>
      <c r="G4633" t="s">
        <v>14</v>
      </c>
      <c r="H4633">
             </c>
      <c r="I4633" t="s">
        <v>14</v>
      </c>
      <c r="J4633" t="s">
        <v>242</v>
      </c>
      <c r="K4633" t="s">
        <v>14</v>
      </c>
      <c r="L4633" t="s">
        <v>20</v>
      </c>
      <c r="M4633" t="s">
        <v>9606</v>
      </c>
      <c r="N4633" t="s">
        <v>14</v>
      </c>
    </row>
    <row r="4634" x14ac:dyDescent="0.25">
      <c r="A4634" t="n">
        <v>25</v>
      </c>
      <c r="B4634" t="s">
        <v>14</v>
      </c>
      <c r="C4634" t="s">
        <v>51</v>
      </c>
      <c r="D4634" s="2" t="s">
        <f>=HYPERLINK("https://main.knesset.gov.il/APPS/legislation/main/bills/2204070", "הצעת חוק לתיקון פקודת התעבורה (הקמת מאגר מידע לריכוז דוחות חניה), התשפ""ג-2023")</f>
        <v>9683</v>
      </c>
      <c r="E4634" t="s">
        <v>9683</v>
      </c>
      <c r="F4634" t="s">
        <v>9684</v>
      </c>
      <c r="G4634" t="s">
        <v>14</v>
      </c>
      <c r="H4634">
             </c>
      <c r="I4634" t="s">
        <v>14</v>
      </c>
      <c r="J4634" t="s">
        <v>242</v>
      </c>
      <c r="K4634" t="s">
        <v>14</v>
      </c>
      <c r="L4634" t="s">
        <v>20</v>
      </c>
      <c r="M4634" t="s">
        <v>9606</v>
      </c>
      <c r="N4634" t="s">
        <v>14</v>
      </c>
    </row>
    <row r="4635" x14ac:dyDescent="0.25">
      <c r="A4635" t="n">
        <v>25</v>
      </c>
      <c r="B4635" t="s">
        <v>14</v>
      </c>
      <c r="C4635" t="s">
        <v>51</v>
      </c>
      <c r="D4635" s="2" t="s">
        <f>=HYPERLINK("https://main.knesset.gov.il/APPS/legislation/main/bills/2204217", "הצעת חוק העונשין (תיקון - תקיפת נהג אוטובוס ציבורי), התשפ""ג-2023")</f>
        <v>9685</v>
      </c>
      <c r="E4635" t="s">
        <v>9685</v>
      </c>
      <c r="F4635" t="s">
        <v>9686</v>
      </c>
      <c r="G4635" t="s">
        <v>14</v>
      </c>
      <c r="H4635">
             </c>
      <c r="I4635" t="s">
        <v>14</v>
      </c>
      <c r="J4635" t="s">
        <v>242</v>
      </c>
      <c r="K4635" t="s">
        <v>14</v>
      </c>
      <c r="L4635" t="s">
        <v>20</v>
      </c>
      <c r="M4635" t="s">
        <v>9606</v>
      </c>
      <c r="N4635" t="s">
        <v>14</v>
      </c>
    </row>
    <row r="4636" x14ac:dyDescent="0.25">
      <c r="A4636" t="n">
        <v>25</v>
      </c>
      <c r="B4636" t="s">
        <v>14</v>
      </c>
      <c r="C4636" t="s">
        <v>51</v>
      </c>
      <c r="D4636" s="2" t="s">
        <f>=HYPERLINK("https://main.knesset.gov.il/APPS/legislation/main/bills/2204100", "הצעת חוק הרשות הלאומית לתרבות והשפה המרוקאית יהודית, התשפ""ג-2023")</f>
        <v>9687</v>
      </c>
      <c r="E4636" t="s">
        <v>9687</v>
      </c>
      <c r="F4636" t="s">
        <v>9688</v>
      </c>
      <c r="G4636" t="s">
        <v>14</v>
      </c>
      <c r="H4636">
             </c>
      <c r="I4636" t="s">
        <v>14</v>
      </c>
      <c r="J4636" t="s">
        <v>242</v>
      </c>
      <c r="K4636" t="s">
        <v>14</v>
      </c>
      <c r="L4636" t="s">
        <v>20</v>
      </c>
      <c r="M4636" t="s">
        <v>9606</v>
      </c>
      <c r="N4636" t="s">
        <v>14</v>
      </c>
    </row>
    <row r="4637" x14ac:dyDescent="0.25">
      <c r="A4637" t="n">
        <v>25</v>
      </c>
      <c r="B4637" t="s">
        <v>14</v>
      </c>
      <c r="C4637" t="s">
        <v>51</v>
      </c>
      <c r="D4637" s="2" t="s">
        <f>=HYPERLINK("https://main.knesset.gov.il/APPS/legislation/main/bills/2203919", "הצעת חוק הפיקוח על מעונות יום לפעוטות (תיקון - הסמכת מתנדבים וטכנאי מצלמות), התשפ""ג-2023")</f>
        <v>9689</v>
      </c>
      <c r="E4637" t="s">
        <v>9689</v>
      </c>
      <c r="F4637" t="s">
        <v>9690</v>
      </c>
      <c r="G4637" t="s">
        <v>14</v>
      </c>
      <c r="H4637">
             </c>
      <c r="I4637" t="s">
        <v>14</v>
      </c>
      <c r="J4637" t="s">
        <v>242</v>
      </c>
      <c r="K4637" t="s">
        <v>14</v>
      </c>
      <c r="L4637" t="s">
        <v>20</v>
      </c>
      <c r="M4637" t="s">
        <v>9606</v>
      </c>
      <c r="N4637" t="s">
        <v>14</v>
      </c>
    </row>
    <row r="4638" x14ac:dyDescent="0.25">
      <c r="A4638" t="n">
        <v>25</v>
      </c>
      <c r="B4638" t="s">
        <v>14</v>
      </c>
      <c r="C4638" t="s">
        <v>51</v>
      </c>
      <c r="D4638" s="2" t="s">
        <f>=HYPERLINK("https://main.knesset.gov.il/APPS/legislation/main/bills/2203917", "הצעת חוק איסור אלימות בספורט (תיקון - מניעת הרחקה גורפת מאירועי ספורט), התשפ""ג-2023")</f>
        <v>8531</v>
      </c>
      <c r="E4638" t="s">
        <v>8531</v>
      </c>
      <c r="F4638" t="s">
        <v>9691</v>
      </c>
      <c r="G4638" t="s">
        <v>14</v>
      </c>
      <c r="H4638">
             </c>
      <c r="I4638" t="s">
        <v>14</v>
      </c>
      <c r="J4638" t="s">
        <v>242</v>
      </c>
      <c r="K4638" t="s">
        <v>14</v>
      </c>
      <c r="L4638" t="s">
        <v>20</v>
      </c>
      <c r="M4638" t="s">
        <v>9606</v>
      </c>
      <c r="N4638" t="s">
        <v>14</v>
      </c>
    </row>
    <row r="4639" x14ac:dyDescent="0.25">
      <c r="A4639" t="n">
        <v>25</v>
      </c>
      <c r="B4639" t="s">
        <v>14</v>
      </c>
      <c r="C4639" t="s">
        <v>51</v>
      </c>
      <c r="D4639" s="2" t="s">
        <f>=HYPERLINK("https://main.knesset.gov.il/APPS/legislation/main/bills/2203916", "הצעת חוק הפיקוח על מעונות יום לפעוטות (תיקון - החמרת ענישה), התשפ""ג-2023")</f>
        <v>9692</v>
      </c>
      <c r="E4639" t="s">
        <v>9692</v>
      </c>
      <c r="F4639" t="s">
        <v>9693</v>
      </c>
      <c r="G4639" t="s">
        <v>14</v>
      </c>
      <c r="H4639">
             </c>
      <c r="I4639" t="s">
        <v>14</v>
      </c>
      <c r="J4639" t="s">
        <v>242</v>
      </c>
      <c r="K4639" t="s">
        <v>14</v>
      </c>
      <c r="L4639" t="s">
        <v>20</v>
      </c>
      <c r="M4639" t="s">
        <v>9606</v>
      </c>
      <c r="N4639" t="s">
        <v>14</v>
      </c>
    </row>
    <row r="4640" x14ac:dyDescent="0.25">
      <c r="A4640" t="n">
        <v>25</v>
      </c>
      <c r="B4640" t="s">
        <v>14</v>
      </c>
      <c r="C4640" t="s">
        <v>51</v>
      </c>
      <c r="D4640" s="2" t="s">
        <f>=HYPERLINK("https://main.knesset.gov.il/APPS/legislation/main/bills/2203914", "הצעת חוק הביטוח הלאומי (תיקון - ביטול מבחן ההכנסה לצורך קבלת גמלת סיעוד), התשפ""ג-2023")</f>
        <v>9694</v>
      </c>
      <c r="E4640" t="s">
        <v>9694</v>
      </c>
      <c r="F4640" t="s">
        <v>9695</v>
      </c>
      <c r="G4640" t="s">
        <v>14</v>
      </c>
      <c r="H4640">
             </c>
      <c r="I4640" t="s">
        <v>14</v>
      </c>
      <c r="J4640" t="s">
        <v>242</v>
      </c>
      <c r="K4640" t="s">
        <v>14</v>
      </c>
      <c r="L4640" t="s">
        <v>20</v>
      </c>
      <c r="M4640" t="s">
        <v>9606</v>
      </c>
      <c r="N4640" t="s">
        <v>14</v>
      </c>
    </row>
    <row r="4641" x14ac:dyDescent="0.25">
      <c r="A4641" t="n">
        <v>25</v>
      </c>
      <c r="B4641" t="s">
        <v>14</v>
      </c>
      <c r="C4641" t="s">
        <v>51</v>
      </c>
      <c r="D4641" s="2" t="s">
        <f>=HYPERLINK("https://main.knesset.gov.il/APPS/legislation/main/bills/2203721", "הצעת חוק מס ערך מוסף (תיקון - פטור ממס במכירת תרופות מצילות חיים שאינן כלולות בסל הבריאות), התשפ""ג-2023")</f>
        <v>9696</v>
      </c>
      <c r="E4641" t="s">
        <v>9696</v>
      </c>
      <c r="F4641" t="s">
        <v>9697</v>
      </c>
      <c r="G4641" t="s">
        <v>14</v>
      </c>
      <c r="H4641">
             </c>
      <c r="I4641" t="s">
        <v>14</v>
      </c>
      <c r="J4641" t="s">
        <v>242</v>
      </c>
      <c r="K4641" t="s">
        <v>14</v>
      </c>
      <c r="L4641" t="s">
        <v>20</v>
      </c>
      <c r="M4641" t="s">
        <v>9606</v>
      </c>
      <c r="N4641" t="s">
        <v>14</v>
      </c>
    </row>
    <row r="4642" x14ac:dyDescent="0.25">
      <c r="A4642" t="n">
        <v>25</v>
      </c>
      <c r="B4642" t="s">
        <v>14</v>
      </c>
      <c r="C4642" t="s">
        <v>51</v>
      </c>
      <c r="D4642" s="2" t="s">
        <f>=HYPERLINK("https://main.knesset.gov.il/APPS/legislation/main/bills/2203910", "הצעת חוק הטבות לניצולי שואה (תיקון - הטבות לניצולים שעלו לאחר שנת 1953), התשפ""ג-2023")</f>
        <v>9698</v>
      </c>
      <c r="E4642" t="s">
        <v>9698</v>
      </c>
      <c r="F4642" t="s">
        <v>9699</v>
      </c>
      <c r="G4642" t="s">
        <v>14</v>
      </c>
      <c r="H4642">
             </c>
      <c r="I4642" t="s">
        <v>14</v>
      </c>
      <c r="J4642" t="s">
        <v>242</v>
      </c>
      <c r="K4642" t="s">
        <v>14</v>
      </c>
      <c r="L4642" t="s">
        <v>20</v>
      </c>
      <c r="M4642" t="s">
        <v>9606</v>
      </c>
      <c r="N4642" t="s">
        <v>14</v>
      </c>
    </row>
    <row r="4643" x14ac:dyDescent="0.25">
      <c r="A4643" t="n">
        <v>25</v>
      </c>
      <c r="B4643" t="s">
        <v>14</v>
      </c>
      <c r="C4643" t="s">
        <v>51</v>
      </c>
      <c r="D4643" s="2" t="s">
        <f>=HYPERLINK("https://main.knesset.gov.il/APPS/legislation/main/bills/2203716", "הצעת חוק מס רכוש וקרן פיצויים (תיקון - פיצוי בגין נזק פגעי טבע ופיצוי בגין נזקי שריפה), התשפ""ג-2023")</f>
        <v>9700</v>
      </c>
      <c r="E4643" t="s">
        <v>9700</v>
      </c>
      <c r="F4643" t="s">
        <v>9701</v>
      </c>
      <c r="G4643" t="s">
        <v>14</v>
      </c>
      <c r="H4643">
             </c>
      <c r="I4643" t="s">
        <v>14</v>
      </c>
      <c r="J4643" t="s">
        <v>242</v>
      </c>
      <c r="K4643" t="s">
        <v>14</v>
      </c>
      <c r="L4643" t="s">
        <v>20</v>
      </c>
      <c r="M4643" t="s">
        <v>9606</v>
      </c>
      <c r="N4643" t="s">
        <v>14</v>
      </c>
    </row>
    <row r="4644" x14ac:dyDescent="0.25">
      <c r="A4644" t="n">
        <v>25</v>
      </c>
      <c r="B4644" t="s">
        <v>14</v>
      </c>
      <c r="C4644" t="s">
        <v>51</v>
      </c>
      <c r="D4644" s="2" t="s">
        <f>=HYPERLINK("https://main.knesset.gov.il/APPS/legislation/main/bills/2203715", "הצעת חוק לתיקון פקודת מס הכנסה (ניכוי ריבית על משכנתה), התשפ""ג-2023")</f>
        <v>9702</v>
      </c>
      <c r="E4644" t="s">
        <v>9702</v>
      </c>
      <c r="F4644" t="s">
        <v>9703</v>
      </c>
      <c r="G4644" t="s">
        <v>14</v>
      </c>
      <c r="H4644">
             </c>
      <c r="I4644" t="s">
        <v>14</v>
      </c>
      <c r="J4644" t="s">
        <v>242</v>
      </c>
      <c r="K4644" t="s">
        <v>14</v>
      </c>
      <c r="L4644" t="s">
        <v>20</v>
      </c>
      <c r="M4644" t="s">
        <v>9606</v>
      </c>
      <c r="N4644" t="s">
        <v>14</v>
      </c>
    </row>
    <row r="4645" x14ac:dyDescent="0.25">
      <c r="A4645" t="n">
        <v>25</v>
      </c>
      <c r="B4645" t="s">
        <v>14</v>
      </c>
      <c r="C4645" t="s">
        <v>51</v>
      </c>
      <c r="D4645" s="2" t="s">
        <f>=HYPERLINK("https://main.knesset.gov.il/APPS/legislation/main/bills/2203834", "הצעת חוק צער בעלי חיים (הגנה על בעלי חיים) (תיקון - ענישה מזערית), התשפ""ג-2023")</f>
        <v>9704</v>
      </c>
      <c r="E4645" t="s">
        <v>9704</v>
      </c>
      <c r="F4645" t="s">
        <v>9705</v>
      </c>
      <c r="G4645" t="s">
        <v>14</v>
      </c>
      <c r="H4645">
             </c>
      <c r="I4645" t="s">
        <v>14</v>
      </c>
      <c r="J4645" t="s">
        <v>242</v>
      </c>
      <c r="K4645" t="s">
        <v>14</v>
      </c>
      <c r="L4645" t="s">
        <v>20</v>
      </c>
      <c r="M4645" t="s">
        <v>9606</v>
      </c>
      <c r="N4645" t="s">
        <v>14</v>
      </c>
    </row>
    <row r="4646" x14ac:dyDescent="0.25">
      <c r="A4646" t="n">
        <v>25</v>
      </c>
      <c r="B4646" t="s">
        <v>14</v>
      </c>
      <c r="C4646" t="s">
        <v>51</v>
      </c>
      <c r="D4646" s="2" t="s">
        <f>=HYPERLINK("https://main.knesset.gov.il/APPS/legislation/main/bills/2203713", "הצעת חוק הסדרת העיסוק במקצועות הבריאות (תיקון - הסדרת העיסוק בניתוח התנהגות), התשפ""ג-2023")</f>
        <v>9706</v>
      </c>
      <c r="E4646" t="s">
        <v>9706</v>
      </c>
      <c r="F4646" t="s">
        <v>9707</v>
      </c>
      <c r="G4646" t="s">
        <v>14</v>
      </c>
      <c r="H4646">
             </c>
      <c r="I4646" t="s">
        <v>14</v>
      </c>
      <c r="J4646" t="s">
        <v>242</v>
      </c>
      <c r="K4646" t="s">
        <v>14</v>
      </c>
      <c r="L4646" t="s">
        <v>20</v>
      </c>
      <c r="M4646" t="s">
        <v>9606</v>
      </c>
      <c r="N4646" t="s">
        <v>14</v>
      </c>
    </row>
    <row r="4647" x14ac:dyDescent="0.25">
      <c r="A4647" t="n">
        <v>25</v>
      </c>
      <c r="B4647" t="s">
        <v>14</v>
      </c>
      <c r="C4647" t="s">
        <v>51</v>
      </c>
      <c r="D4647" s="2" t="s">
        <f>=HYPERLINK("https://main.knesset.gov.il/APPS/legislation/main/bills/2203707", "הצעת חוק להגדלת שיעור ההשתתפות בכוח העבודה ולצמצום פערים חברתיים (מענק עבודה) (תיקון - זכאות להטבות נלוות), התשפ""ג-2023")</f>
        <v>9708</v>
      </c>
      <c r="E4647" t="s">
        <v>9708</v>
      </c>
      <c r="F4647" t="s">
        <v>9709</v>
      </c>
      <c r="G4647" t="s">
        <v>14</v>
      </c>
      <c r="H4647">
             </c>
      <c r="I4647" t="s">
        <v>14</v>
      </c>
      <c r="J4647" t="s">
        <v>242</v>
      </c>
      <c r="K4647" t="s">
        <v>14</v>
      </c>
      <c r="L4647" t="s">
        <v>20</v>
      </c>
      <c r="M4647" t="s">
        <v>9606</v>
      </c>
      <c r="N4647" t="s">
        <v>14</v>
      </c>
    </row>
    <row r="4648" x14ac:dyDescent="0.25">
      <c r="A4648" t="n">
        <v>25</v>
      </c>
      <c r="B4648" t="s">
        <v>14</v>
      </c>
      <c r="C4648" t="s">
        <v>51</v>
      </c>
      <c r="D4648" s="2" t="s">
        <f>=HYPERLINK("https://main.knesset.gov.il/APPS/legislation/main/bills/2203787", "הצעת חוק הביטוח הלאומי (תיקון - ביטול הפחתה של גמלת סיעוד למי שמעסיק עובד זר), התשפ""ג-2023")</f>
        <v>9710</v>
      </c>
      <c r="E4648" t="s">
        <v>9710</v>
      </c>
      <c r="F4648" t="s">
        <v>9711</v>
      </c>
      <c r="G4648" t="s">
        <v>14</v>
      </c>
      <c r="H4648">
             </c>
      <c r="I4648" t="s">
        <v>14</v>
      </c>
      <c r="J4648" t="s">
        <v>242</v>
      </c>
      <c r="K4648" t="s">
        <v>14</v>
      </c>
      <c r="L4648" t="s">
        <v>20</v>
      </c>
      <c r="M4648" t="s">
        <v>9606</v>
      </c>
      <c r="N4648" t="s">
        <v>14</v>
      </c>
    </row>
    <row r="4649" x14ac:dyDescent="0.25">
      <c r="A4649" t="n">
        <v>25</v>
      </c>
      <c r="B4649" t="s">
        <v>14</v>
      </c>
      <c r="C4649" t="s">
        <v>51</v>
      </c>
      <c r="D4649" s="2" t="s">
        <f>=HYPERLINK("https://main.knesset.gov.il/APPS/legislation/main/bills/2203706", "הצעת חוק הביטוח הלאומי (תיקון - הוראות מיוחדות לעניין דמי אבטלה וכפל קצבאות) (הוראת שעה), התשפ""ג-2023")</f>
        <v>9712</v>
      </c>
      <c r="E4649" t="s">
        <v>9712</v>
      </c>
      <c r="F4649" t="s">
        <v>9713</v>
      </c>
      <c r="G4649" t="s">
        <v>14</v>
      </c>
      <c r="H4649">
             </c>
      <c r="I4649" t="s">
        <v>14</v>
      </c>
      <c r="J4649" t="s">
        <v>242</v>
      </c>
      <c r="K4649" t="s">
        <v>14</v>
      </c>
      <c r="L4649" t="s">
        <v>20</v>
      </c>
      <c r="M4649" t="s">
        <v>9606</v>
      </c>
      <c r="N4649" t="s">
        <v>14</v>
      </c>
    </row>
    <row r="4650" x14ac:dyDescent="0.25">
      <c r="A4650" t="n">
        <v>25</v>
      </c>
      <c r="B4650" t="s">
        <v>14</v>
      </c>
      <c r="C4650" t="s">
        <v>51</v>
      </c>
      <c r="D4650" s="2" t="s">
        <f>=HYPERLINK("https://main.knesset.gov.il/APPS/legislation/main/bills/2202802", "הצעת חוק חינוך ממלכתי (תיקון - איסור תמיכה בטרור), התשפ""ג-2023")</f>
        <v>7617</v>
      </c>
      <c r="E4650" t="s">
        <v>7617</v>
      </c>
      <c r="F4650" t="s">
        <v>9714</v>
      </c>
      <c r="G4650" t="s">
        <v>14</v>
      </c>
      <c r="H4650">
             </c>
      <c r="I4650" t="s">
        <v>14</v>
      </c>
      <c r="J4650" t="s">
        <v>242</v>
      </c>
      <c r="K4650" t="s">
        <v>14</v>
      </c>
      <c r="L4650" t="s">
        <v>20</v>
      </c>
      <c r="M4650" t="s">
        <v>9606</v>
      </c>
      <c r="N4650" t="s">
        <v>14</v>
      </c>
    </row>
    <row r="4651" x14ac:dyDescent="0.25">
      <c r="A4651" t="n">
        <v>25</v>
      </c>
      <c r="B4651" t="s">
        <v>14</v>
      </c>
      <c r="C4651" t="s">
        <v>51</v>
      </c>
      <c r="D4651" s="2" t="s">
        <f>=HYPERLINK("https://main.knesset.gov.il/APPS/legislation/main/bills/2198355", "הצעת חוק הרשויות המקומיות (יועץ לקידום מעמד אנשים עם מוגבלות), התשפ""ג-2023")</f>
        <v>9715</v>
      </c>
      <c r="E4651" t="s">
        <v>9715</v>
      </c>
      <c r="F4651" t="s">
        <v>9716</v>
      </c>
      <c r="G4651" t="s">
        <v>14</v>
      </c>
      <c r="H4651">
             </c>
      <c r="I4651" t="s">
        <v>14</v>
      </c>
      <c r="J4651" t="s">
        <v>242</v>
      </c>
      <c r="K4651" t="s">
        <v>14</v>
      </c>
      <c r="L4651" t="s">
        <v>20</v>
      </c>
      <c r="M4651" t="s">
        <v>9606</v>
      </c>
      <c r="N4651" t="s">
        <v>14</v>
      </c>
    </row>
    <row r="4652" x14ac:dyDescent="0.25">
      <c r="A4652" t="n">
        <v>25</v>
      </c>
      <c r="B4652" t="s">
        <v>14</v>
      </c>
      <c r="C4652" t="s">
        <v>51</v>
      </c>
      <c r="D4652" s="2" t="s">
        <f>=HYPERLINK("https://main.knesset.gov.il/APPS/legislation/main/bills/2204439", "הצעת חוק הכנסת (תיקון - מספר חברי הכנסת הדרוש להתפלגות סיעה), התשפ""ג-2023")</f>
        <v>9717</v>
      </c>
      <c r="E4652" t="s">
        <v>9717</v>
      </c>
      <c r="F4652" t="s">
        <v>9718</v>
      </c>
      <c r="G4652" t="s">
        <v>14</v>
      </c>
      <c r="H4652">
             </c>
      <c r="I4652" t="s">
        <v>14</v>
      </c>
      <c r="J4652" t="s">
        <v>242</v>
      </c>
      <c r="K4652" t="s">
        <v>14</v>
      </c>
      <c r="L4652" t="s">
        <v>20</v>
      </c>
      <c r="M4652" t="s">
        <v>9606</v>
      </c>
      <c r="N4652" t="s">
        <v>14</v>
      </c>
    </row>
    <row r="4653" x14ac:dyDescent="0.25">
      <c r="A4653" t="n">
        <v>25</v>
      </c>
      <c r="B4653" t="s">
        <v>14</v>
      </c>
      <c r="C4653" t="s">
        <v>51</v>
      </c>
      <c r="D4653" s="2" t="s">
        <f>=HYPERLINK("https://main.knesset.gov.il/APPS/legislation/main/bills/2204259", "הצעת חוק הגנת הצרכן (תיקון - חובת הקלטה של עסקה טלפונית), התשפ""ג-2023")</f>
        <v>2968</v>
      </c>
      <c r="E4653" t="s">
        <v>2968</v>
      </c>
      <c r="F4653" t="s">
        <v>9719</v>
      </c>
      <c r="G4653" t="s">
        <v>14</v>
      </c>
      <c r="H4653">
             </c>
      <c r="I4653" t="s">
        <v>14</v>
      </c>
      <c r="J4653" t="s">
        <v>242</v>
      </c>
      <c r="K4653" t="s">
        <v>14</v>
      </c>
      <c r="L4653" t="s">
        <v>20</v>
      </c>
      <c r="M4653" t="s">
        <v>9606</v>
      </c>
      <c r="N4653" t="s">
        <v>14</v>
      </c>
    </row>
    <row r="4654" x14ac:dyDescent="0.25">
      <c r="A4654" t="n">
        <v>25</v>
      </c>
      <c r="B4654" t="s">
        <v>14</v>
      </c>
      <c r="C4654" t="s">
        <v>51</v>
      </c>
      <c r="D4654" s="2" t="s">
        <f>=HYPERLINK("https://main.knesset.gov.il/APPS/legislation/main/bills/2204103", "הצעת חוק הגנת הצרכן (תיקון - חובת הקלטה של עסקה טלפונית), התשפ""ג-2023")</f>
        <v>2968</v>
      </c>
      <c r="E4654" t="s">
        <v>2968</v>
      </c>
      <c r="F4654" t="s">
        <v>9720</v>
      </c>
      <c r="G4654" t="s">
        <v>14</v>
      </c>
      <c r="H4654">
             </c>
      <c r="I4654" t="s">
        <v>14</v>
      </c>
      <c r="J4654" t="s">
        <v>242</v>
      </c>
      <c r="K4654" t="s">
        <v>14</v>
      </c>
      <c r="L4654" t="s">
        <v>20</v>
      </c>
      <c r="M4654" t="s">
        <v>9606</v>
      </c>
      <c r="N4654" t="s">
        <v>14</v>
      </c>
    </row>
    <row r="4655" x14ac:dyDescent="0.25">
      <c r="A4655" t="n">
        <v>25</v>
      </c>
      <c r="B4655" t="s">
        <v>14</v>
      </c>
      <c r="C4655" t="s">
        <v>51</v>
      </c>
      <c r="D4655" s="2" t="s">
        <f>=HYPERLINK("https://main.knesset.gov.il/APPS/legislation/main/bills/2204203", "הצעת חוק איסור הפליה במוצרים, בשירותים ובכניסה למקומות בידור ולמקומות ציבוריים (תיקון - איסור הפליה בדיור), התשפ""ג-2023")</f>
        <v>9721</v>
      </c>
      <c r="E4655" t="s">
        <v>9721</v>
      </c>
      <c r="F4655" t="s">
        <v>9722</v>
      </c>
      <c r="G4655" t="s">
        <v>14</v>
      </c>
      <c r="H4655">
             </c>
      <c r="I4655" t="s">
        <v>14</v>
      </c>
      <c r="J4655" t="s">
        <v>242</v>
      </c>
      <c r="K4655" t="s">
        <v>14</v>
      </c>
      <c r="L4655" t="s">
        <v>20</v>
      </c>
      <c r="M4655" t="s">
        <v>9606</v>
      </c>
      <c r="N4655" t="s">
        <v>14</v>
      </c>
    </row>
    <row r="4656" x14ac:dyDescent="0.25">
      <c r="A4656" t="n">
        <v>25</v>
      </c>
      <c r="B4656" t="s">
        <v>14</v>
      </c>
      <c r="C4656" t="s">
        <v>51</v>
      </c>
      <c r="D4656" s="2" t="s">
        <f>=HYPERLINK("https://main.knesset.gov.il/APPS/legislation/main/bills/2203929", "הצעת חוק הבטחת הכנסה (תיקון - תוספת לגמלה בעד הילד השלישי ואילך), התשפ""ג-2023")</f>
        <v>9228</v>
      </c>
      <c r="E4656" t="s">
        <v>9228</v>
      </c>
      <c r="F4656" t="s">
        <v>9723</v>
      </c>
      <c r="G4656" t="s">
        <v>14</v>
      </c>
      <c r="H4656">
             </c>
      <c r="I4656" t="s">
        <v>14</v>
      </c>
      <c r="J4656" t="s">
        <v>242</v>
      </c>
      <c r="K4656" t="s">
        <v>14</v>
      </c>
      <c r="L4656" t="s">
        <v>20</v>
      </c>
      <c r="M4656" t="s">
        <v>9606</v>
      </c>
      <c r="N4656" t="s">
        <v>14</v>
      </c>
    </row>
    <row r="4657" x14ac:dyDescent="0.25">
      <c r="A4657" t="n">
        <v>25</v>
      </c>
      <c r="B4657" t="s">
        <v>14</v>
      </c>
      <c r="C4657" t="s">
        <v>51</v>
      </c>
      <c r="D4657" s="2" t="s">
        <f>=HYPERLINK("https://main.knesset.gov.il/APPS/legislation/main/bills/2203932", "הצעת חוק הבטחת הכנסה (תיקון - גמלה לתלמיד), התשפ""ג-2023")</f>
        <v>9724</v>
      </c>
      <c r="E4657" t="s">
        <v>9724</v>
      </c>
      <c r="F4657" t="s">
        <v>9725</v>
      </c>
      <c r="G4657" t="s">
        <v>14</v>
      </c>
      <c r="H4657">
             </c>
      <c r="I4657" t="s">
        <v>14</v>
      </c>
      <c r="J4657" t="s">
        <v>242</v>
      </c>
      <c r="K4657" t="s">
        <v>14</v>
      </c>
      <c r="L4657" t="s">
        <v>20</v>
      </c>
      <c r="M4657" t="s">
        <v>9606</v>
      </c>
      <c r="N4657" t="s">
        <v>14</v>
      </c>
    </row>
    <row r="4658" x14ac:dyDescent="0.25">
      <c r="A4658" t="n">
        <v>25</v>
      </c>
      <c r="B4658" t="s">
        <v>14</v>
      </c>
      <c r="C4658" t="s">
        <v>51</v>
      </c>
      <c r="D4658" s="2" t="s">
        <f>=HYPERLINK("https://main.knesset.gov.il/APPS/legislation/main/bills/2203726", "הצעת חוק הבטחת הכנסה (תיקון - הגדלת הסכום להשתכרות בנוסף לקצבה), התשפ""ג-2023")</f>
        <v>9726</v>
      </c>
      <c r="E4658" t="s">
        <v>9726</v>
      </c>
      <c r="F4658" t="s">
        <v>9727</v>
      </c>
      <c r="G4658" t="s">
        <v>14</v>
      </c>
      <c r="H4658">
             </c>
      <c r="I4658" t="s">
        <v>14</v>
      </c>
      <c r="J4658" t="s">
        <v>242</v>
      </c>
      <c r="K4658" t="s">
        <v>14</v>
      </c>
      <c r="L4658" t="s">
        <v>20</v>
      </c>
      <c r="M4658" t="s">
        <v>9606</v>
      </c>
      <c r="N4658" t="s">
        <v>14</v>
      </c>
    </row>
    <row r="4659" x14ac:dyDescent="0.25">
      <c r="A4659" t="n">
        <v>25</v>
      </c>
      <c r="B4659" t="s">
        <v>14</v>
      </c>
      <c r="C4659" t="s">
        <v>51</v>
      </c>
      <c r="D4659" s="2" t="s">
        <f>=HYPERLINK("https://main.knesset.gov.il/APPS/legislation/main/bills/2204098", "הצעת חוק לתיקון פקודת התעבורה (חובת רישום מונה קילומטרים), התשפ""ג-2023")</f>
        <v>9728</v>
      </c>
      <c r="E4659" t="s">
        <v>9728</v>
      </c>
      <c r="F4659" t="s">
        <v>9729</v>
      </c>
      <c r="G4659" t="s">
        <v>14</v>
      </c>
      <c r="H4659">
             </c>
      <c r="I4659" t="s">
        <v>14</v>
      </c>
      <c r="J4659" t="s">
        <v>242</v>
      </c>
      <c r="K4659" t="s">
        <v>14</v>
      </c>
      <c r="L4659" t="s">
        <v>20</v>
      </c>
      <c r="M4659" t="s">
        <v>9606</v>
      </c>
      <c r="N4659" t="s">
        <v>14</v>
      </c>
    </row>
    <row r="4660" x14ac:dyDescent="0.25">
      <c r="A4660" t="n">
        <v>25</v>
      </c>
      <c r="B4660" t="s">
        <v>14</v>
      </c>
      <c r="C4660" t="s">
        <v>51</v>
      </c>
      <c r="D4660" s="2" t="s">
        <f>=HYPERLINK("https://main.knesset.gov.il/APPS/legislation/main/bills/2203968", "הצעת חוק סיוע למשפחות ברוכות ילדים (תיקוני חקיקה), התשפ""ג-2023")</f>
        <v>9730</v>
      </c>
      <c r="E4660" t="s">
        <v>9730</v>
      </c>
      <c r="F4660" t="s">
        <v>9731</v>
      </c>
      <c r="G4660" t="s">
        <v>14</v>
      </c>
      <c r="H4660">
             </c>
      <c r="I4660" t="s">
        <v>14</v>
      </c>
      <c r="J4660" t="s">
        <v>242</v>
      </c>
      <c r="K4660" t="s">
        <v>14</v>
      </c>
      <c r="L4660" t="s">
        <v>20</v>
      </c>
      <c r="M4660" t="s">
        <v>9606</v>
      </c>
      <c r="N4660" t="s">
        <v>14</v>
      </c>
    </row>
    <row r="4661" x14ac:dyDescent="0.25">
      <c r="A4661" t="n">
        <v>25</v>
      </c>
      <c r="B4661" t="s">
        <v>14</v>
      </c>
      <c r="C4661" t="s">
        <v>51</v>
      </c>
      <c r="D4661" s="2" t="s">
        <f>=HYPERLINK("https://main.knesset.gov.il/APPS/legislation/main/bills/2204138", "הצעת חוק הגנת הצרכן (תיקון - איסור הפליית מחירים בשל מגדר), התשפ""ג-2023 ")</f>
        <v>9732</v>
      </c>
      <c r="E4661" t="s">
        <v>9732</v>
      </c>
      <c r="F4661" t="s">
        <v>9733</v>
      </c>
      <c r="G4661" t="s">
        <v>14</v>
      </c>
      <c r="H4661">
             </c>
      <c r="I4661" t="s">
        <v>14</v>
      </c>
      <c r="J4661" t="s">
        <v>242</v>
      </c>
      <c r="K4661" t="s">
        <v>14</v>
      </c>
      <c r="L4661" t="s">
        <v>20</v>
      </c>
      <c r="M4661" t="s">
        <v>9606</v>
      </c>
      <c r="N4661" t="s">
        <v>14</v>
      </c>
    </row>
    <row r="4662" x14ac:dyDescent="0.25">
      <c r="A4662" t="n">
        <v>25</v>
      </c>
      <c r="B4662" t="s">
        <v>14</v>
      </c>
      <c r="C4662" t="s">
        <v>51</v>
      </c>
      <c r="D4662" s="2" t="s">
        <f>=HYPERLINK("https://main.knesset.gov.il/APPS/legislation/main/bills/2203663", "הצעת חוק הגנת הצרכן (תיקון - איסור הפליית מחירים בשל מגדר), התשפ""ג-2023 ")</f>
        <v>9732</v>
      </c>
      <c r="E4662" t="s">
        <v>9732</v>
      </c>
      <c r="F4662" t="s">
        <v>9734</v>
      </c>
      <c r="G4662" t="s">
        <v>14</v>
      </c>
      <c r="H4662">
             </c>
      <c r="I4662" t="s">
        <v>14</v>
      </c>
      <c r="J4662" t="s">
        <v>242</v>
      </c>
      <c r="K4662" t="s">
        <v>14</v>
      </c>
      <c r="L4662" t="s">
        <v>20</v>
      </c>
      <c r="M4662" t="s">
        <v>9606</v>
      </c>
      <c r="N4662" t="s">
        <v>14</v>
      </c>
    </row>
    <row r="4663" x14ac:dyDescent="0.25">
      <c r="A4663" t="n">
        <v>25</v>
      </c>
      <c r="B4663" t="s">
        <v>14</v>
      </c>
      <c r="C4663" t="s">
        <v>51</v>
      </c>
      <c r="D4663" s="2" t="s">
        <f>=HYPERLINK("https://main.knesset.gov.il/APPS/legislation/main/bills/2203991", "הצעת חוק הבנקאות (שירות ללקוח) (תיקון - חובת הצבת מכשיר בנק ממוכן), התשפ""ג-2023")</f>
        <v>9735</v>
      </c>
      <c r="E4663" t="s">
        <v>9735</v>
      </c>
      <c r="F4663" t="s">
        <v>9736</v>
      </c>
      <c r="G4663" t="s">
        <v>14</v>
      </c>
      <c r="H4663">
             </c>
      <c r="I4663" t="s">
        <v>14</v>
      </c>
      <c r="J4663" t="s">
        <v>242</v>
      </c>
      <c r="K4663" t="s">
        <v>14</v>
      </c>
      <c r="L4663" t="s">
        <v>20</v>
      </c>
      <c r="M4663" t="s">
        <v>9606</v>
      </c>
      <c r="N4663" t="s">
        <v>14</v>
      </c>
    </row>
    <row r="4664" x14ac:dyDescent="0.25">
      <c r="A4664" t="n">
        <v>25</v>
      </c>
      <c r="B4664" t="s">
        <v>14</v>
      </c>
      <c r="C4664" t="s">
        <v>51</v>
      </c>
      <c r="D4664" s="2" t="s">
        <f>=HYPERLINK("https://main.knesset.gov.il/APPS/legislation/main/bills/2204132", "הצעת חוק לתיקון פקודת המסים (גבייה) (תנאים למתן כתב הרשאה וצו עיקול), התשפ""ג-2023")</f>
        <v>9341</v>
      </c>
      <c r="E4664" t="s">
        <v>9341</v>
      </c>
      <c r="F4664" t="s">
        <v>9737</v>
      </c>
      <c r="G4664" t="s">
        <v>14</v>
      </c>
      <c r="H4664">
             </c>
      <c r="I4664" t="s">
        <v>14</v>
      </c>
      <c r="J4664" t="s">
        <v>242</v>
      </c>
      <c r="K4664" t="s">
        <v>14</v>
      </c>
      <c r="L4664" t="s">
        <v>20</v>
      </c>
      <c r="M4664" t="s">
        <v>9606</v>
      </c>
      <c r="N4664" t="s">
        <v>14</v>
      </c>
    </row>
    <row r="4665" x14ac:dyDescent="0.25">
      <c r="A4665" t="n">
        <v>25</v>
      </c>
      <c r="B4665" t="s">
        <v>14</v>
      </c>
      <c r="C4665" t="s">
        <v>51</v>
      </c>
      <c r="D4665" s="2" t="s">
        <f>=HYPERLINK("https://main.knesset.gov.il/APPS/legislation/main/bills/2203412", "הצעת חוק איסור פרסום גזעני, הסתה לגזענות ורישום גזעני במסמכי תאגיד, התשפ""ג-2023")</f>
        <v>9738</v>
      </c>
      <c r="E4665" t="s">
        <v>9738</v>
      </c>
      <c r="F4665" t="s">
        <v>9739</v>
      </c>
      <c r="G4665" t="s">
        <v>14</v>
      </c>
      <c r="H4665">
             </c>
      <c r="I4665" t="s">
        <v>14</v>
      </c>
      <c r="J4665" t="s">
        <v>242</v>
      </c>
      <c r="K4665" t="s">
        <v>14</v>
      </c>
      <c r="L4665" t="s">
        <v>20</v>
      </c>
      <c r="M4665" t="s">
        <v>9606</v>
      </c>
      <c r="N4665" t="s">
        <v>14</v>
      </c>
    </row>
    <row r="4666" x14ac:dyDescent="0.25">
      <c r="A4666" t="n">
        <v>25</v>
      </c>
      <c r="B4666" t="s">
        <v>14</v>
      </c>
      <c r="C4666" t="s">
        <v>51</v>
      </c>
      <c r="D4666" s="2" t="s">
        <f>=HYPERLINK("https://main.knesset.gov.il/APPS/legislation/main/bills/2203718", "הצעת חוק הבנקאות (שירות ללקוח) (תיקון - מסירת מידע על עמלות וריביות), התשפ""ג-2023")</f>
        <v>9740</v>
      </c>
      <c r="E4666" t="s">
        <v>9740</v>
      </c>
      <c r="F4666" t="s">
        <v>9741</v>
      </c>
      <c r="G4666" t="s">
        <v>14</v>
      </c>
      <c r="H4666">
             </c>
      <c r="I4666" t="s">
        <v>14</v>
      </c>
      <c r="J4666" t="s">
        <v>242</v>
      </c>
      <c r="K4666" t="s">
        <v>14</v>
      </c>
      <c r="L4666" t="s">
        <v>20</v>
      </c>
      <c r="M4666" t="s">
        <v>9606</v>
      </c>
      <c r="N4666" t="s">
        <v>14</v>
      </c>
    </row>
    <row r="4667" x14ac:dyDescent="0.25">
      <c r="A4667" t="n">
        <v>25</v>
      </c>
      <c r="B4667" t="s">
        <v>14</v>
      </c>
      <c r="C4667" t="s">
        <v>51</v>
      </c>
      <c r="D4667" s="2" t="s">
        <f>=HYPERLINK("https://main.knesset.gov.il/APPS/legislation/main/bills/2204136", "הצעת חוק איסור הכחשת השואה (תיקון - איסור הבעת אהדה לשלטון הנאצי או הזדהות עמו ואיסור שימוש בסמלים נאציים), התשפ""ג-2023")</f>
        <v>9742</v>
      </c>
      <c r="E4667" t="s">
        <v>9742</v>
      </c>
      <c r="F4667" t="s">
        <v>9743</v>
      </c>
      <c r="G4667" t="s">
        <v>14</v>
      </c>
      <c r="H4667">
             </c>
      <c r="I4667" t="s">
        <v>14</v>
      </c>
      <c r="J4667" t="s">
        <v>242</v>
      </c>
      <c r="K4667" t="s">
        <v>14</v>
      </c>
      <c r="L4667" t="s">
        <v>20</v>
      </c>
      <c r="M4667" t="s">
        <v>9606</v>
      </c>
      <c r="N4667" t="s">
        <v>14</v>
      </c>
    </row>
    <row r="4668" x14ac:dyDescent="0.25">
      <c r="A4668" t="n">
        <v>25</v>
      </c>
      <c r="B4668" t="s">
        <v>14</v>
      </c>
      <c r="C4668" t="s">
        <v>51</v>
      </c>
      <c r="D4668" s="2" t="s">
        <f>=HYPERLINK("https://main.knesset.gov.il/APPS/legislation/main/bills/2203908", "הצעת חוק שיקים ללא כיסוי (תיקון - קביעת סכום מינימום להגבלת חשבון בנק והגבלת לקוח), התשפ""ג-2023")</f>
        <v>9744</v>
      </c>
      <c r="E4668" t="s">
        <v>9744</v>
      </c>
      <c r="F4668" t="s">
        <v>9745</v>
      </c>
      <c r="G4668" t="s">
        <v>14</v>
      </c>
      <c r="H4668">
             </c>
      <c r="I4668" t="s">
        <v>14</v>
      </c>
      <c r="J4668" t="s">
        <v>242</v>
      </c>
      <c r="K4668" t="s">
        <v>14</v>
      </c>
      <c r="L4668" t="s">
        <v>20</v>
      </c>
      <c r="M4668" t="s">
        <v>9606</v>
      </c>
      <c r="N4668" t="s">
        <v>14</v>
      </c>
    </row>
    <row r="4669" x14ac:dyDescent="0.25">
      <c r="A4669" t="n">
        <v>25</v>
      </c>
      <c r="B4669" t="s">
        <v>14</v>
      </c>
      <c r="C4669" t="s">
        <v>51</v>
      </c>
      <c r="D4669" s="2" t="s">
        <f>=HYPERLINK("https://main.knesset.gov.il/APPS/legislation/main/bills/2203719", "הצעת חוק הבנקאות (שירות ללקוח) (תיקון - ריבית על כספי פיקדונות), התשפ""ג-2023")</f>
        <v>9746</v>
      </c>
      <c r="E4669" t="s">
        <v>9746</v>
      </c>
      <c r="F4669" t="s">
        <v>9747</v>
      </c>
      <c r="G4669" t="s">
        <v>14</v>
      </c>
      <c r="H4669">
             </c>
      <c r="I4669" t="s">
        <v>14</v>
      </c>
      <c r="J4669" t="s">
        <v>242</v>
      </c>
      <c r="K4669" t="s">
        <v>14</v>
      </c>
      <c r="L4669" t="s">
        <v>20</v>
      </c>
      <c r="M4669" t="s">
        <v>9606</v>
      </c>
      <c r="N4669" t="s">
        <v>14</v>
      </c>
    </row>
    <row r="4670" x14ac:dyDescent="0.25">
      <c r="A4670" t="n">
        <v>25</v>
      </c>
      <c r="B4670" t="s">
        <v>14</v>
      </c>
      <c r="C4670" t="s">
        <v>51</v>
      </c>
      <c r="D4670" s="2" t="s">
        <f>=HYPERLINK("https://main.knesset.gov.il/APPS/legislation/main/bills/2204216", "הצעת חוק הכשרות המשפטית והאפוטרופסות (תיקון - שלילת אפוטרופסות מהורה שהורשע ברצח או בנסיון לרצח), התשפ""ג-2023")</f>
        <v>9748</v>
      </c>
      <c r="E4670" t="s">
        <v>9748</v>
      </c>
      <c r="F4670" t="s">
        <v>9749</v>
      </c>
      <c r="G4670" t="s">
        <v>14</v>
      </c>
      <c r="H4670">
             </c>
      <c r="I4670" t="s">
        <v>14</v>
      </c>
      <c r="J4670" t="s">
        <v>242</v>
      </c>
      <c r="K4670" t="s">
        <v>14</v>
      </c>
      <c r="L4670" t="s">
        <v>20</v>
      </c>
      <c r="M4670" t="s">
        <v>9606</v>
      </c>
      <c r="N4670" t="s">
        <v>14</v>
      </c>
    </row>
    <row r="4671" x14ac:dyDescent="0.25">
      <c r="A4671" t="n">
        <v>25</v>
      </c>
      <c r="B4671" t="s">
        <v>14</v>
      </c>
      <c r="C4671" t="s">
        <v>51</v>
      </c>
      <c r="D4671" s="2" t="s">
        <f>=HYPERLINK("https://main.knesset.gov.il/APPS/legislation/main/bills/2203921", "הצעת חוק הגנת הצרכן (תיקון - מענה אנושי בשירות טלפוני לאזרח ותיק), התשפ""ג-2023")</f>
        <v>5541</v>
      </c>
      <c r="E4671" t="s">
        <v>5541</v>
      </c>
      <c r="F4671" t="s">
        <v>9750</v>
      </c>
      <c r="G4671" t="s">
        <v>14</v>
      </c>
      <c r="H4671">
             </c>
      <c r="I4671" t="s">
        <v>14</v>
      </c>
      <c r="J4671" t="s">
        <v>242</v>
      </c>
      <c r="K4671" t="s">
        <v>14</v>
      </c>
      <c r="L4671" t="s">
        <v>20</v>
      </c>
      <c r="M4671" t="s">
        <v>9606</v>
      </c>
      <c r="N4671" t="s">
        <v>14</v>
      </c>
    </row>
    <row r="4672" x14ac:dyDescent="0.25">
      <c r="A4672" t="n">
        <v>25</v>
      </c>
      <c r="B4672" t="s">
        <v>14</v>
      </c>
      <c r="C4672" t="s">
        <v>51</v>
      </c>
      <c r="D4672" s="2" t="s">
        <f>=HYPERLINK("https://main.knesset.gov.il/APPS/legislation/main/bills/2204104", "הצעת חוק פריסת תשלום חוב ללא תוספת ריבית או אגרה, התשפ""ג-2023")</f>
        <v>9751</v>
      </c>
      <c r="E4672" t="s">
        <v>9751</v>
      </c>
      <c r="F4672" t="s">
        <v>9752</v>
      </c>
      <c r="G4672" t="s">
        <v>14</v>
      </c>
      <c r="H4672">
             </c>
      <c r="I4672" t="s">
        <v>14</v>
      </c>
      <c r="J4672" t="s">
        <v>242</v>
      </c>
      <c r="K4672" t="s">
        <v>14</v>
      </c>
      <c r="L4672" t="s">
        <v>20</v>
      </c>
      <c r="M4672" t="s">
        <v>9606</v>
      </c>
      <c r="N4672" t="s">
        <v>14</v>
      </c>
    </row>
    <row r="4673" x14ac:dyDescent="0.25">
      <c r="A4673" t="n">
        <v>25</v>
      </c>
      <c r="B4673" t="s">
        <v>14</v>
      </c>
      <c r="C4673" t="s">
        <v>51</v>
      </c>
      <c r="D4673" s="2" t="s">
        <f>=HYPERLINK("https://main.knesset.gov.il/APPS/legislation/main/bills/2204146", "הצעת חוק העונשין (תיקון - תקיפת עובד ציבור מטפל), התשפ""ג-2023")</f>
        <v>6346</v>
      </c>
      <c r="E4673" t="s">
        <v>6346</v>
      </c>
      <c r="F4673" t="s">
        <v>9753</v>
      </c>
      <c r="G4673" t="s">
        <v>14</v>
      </c>
      <c r="H4673">
             </c>
      <c r="I4673" t="s">
        <v>14</v>
      </c>
      <c r="J4673" t="s">
        <v>242</v>
      </c>
      <c r="K4673" t="s">
        <v>14</v>
      </c>
      <c r="L4673" t="s">
        <v>20</v>
      </c>
      <c r="M4673" t="s">
        <v>9606</v>
      </c>
      <c r="N4673" t="s">
        <v>14</v>
      </c>
    </row>
    <row r="4674" x14ac:dyDescent="0.25">
      <c r="A4674" t="n">
        <v>25</v>
      </c>
      <c r="B4674" t="s">
        <v>14</v>
      </c>
      <c r="C4674" t="s">
        <v>51</v>
      </c>
      <c r="D4674" s="2" t="s">
        <f>=HYPERLINK("https://main.knesset.gov.il/APPS/legislation/main/bills/2203905", "הצעת חוק פיקוח על מחירים, שיווק וסבסוד של מזון ללא גלוטן, התשפ""ג-2023")</f>
        <v>8482</v>
      </c>
      <c r="E4674" t="s">
        <v>8482</v>
      </c>
      <c r="F4674" t="s">
        <v>9754</v>
      </c>
      <c r="G4674" t="s">
        <v>14</v>
      </c>
      <c r="H4674">
             </c>
      <c r="I4674" t="s">
        <v>14</v>
      </c>
      <c r="J4674" t="s">
        <v>242</v>
      </c>
      <c r="K4674" t="s">
        <v>14</v>
      </c>
      <c r="L4674" t="s">
        <v>20</v>
      </c>
      <c r="M4674" t="s">
        <v>9606</v>
      </c>
      <c r="N4674" t="s">
        <v>14</v>
      </c>
    </row>
    <row r="4675" x14ac:dyDescent="0.25">
      <c r="A4675" t="n">
        <v>25</v>
      </c>
      <c r="B4675" t="s">
        <v>14</v>
      </c>
      <c r="C4675" t="s">
        <v>51</v>
      </c>
      <c r="D4675" s="2" t="s">
        <f>=HYPERLINK("https://main.knesset.gov.il/APPS/legislation/main/bills/2204222", "הצעת חוק-יסוד: הכנסת (תיקון - מניעת בחירת מועמד שהורשע ברצח או ניסיון רצח כחלק ממעשה טרור)")</f>
        <v>9755</v>
      </c>
      <c r="E4675" t="s">
        <v>9755</v>
      </c>
      <c r="F4675" t="s">
        <v>9756</v>
      </c>
      <c r="G4675" t="s">
        <v>14</v>
      </c>
      <c r="H4675">
             </c>
      <c r="I4675" t="s">
        <v>14</v>
      </c>
      <c r="J4675" t="s">
        <v>242</v>
      </c>
      <c r="K4675" t="s">
        <v>14</v>
      </c>
      <c r="L4675" t="s">
        <v>20</v>
      </c>
      <c r="M4675" t="s">
        <v>9606</v>
      </c>
      <c r="N4675" t="s">
        <v>14</v>
      </c>
    </row>
    <row r="4676" x14ac:dyDescent="0.25">
      <c r="A4676" t="n">
        <v>25</v>
      </c>
      <c r="B4676" t="s">
        <v>14</v>
      </c>
      <c r="C4676" t="s">
        <v>51</v>
      </c>
      <c r="D4676" s="2" t="s">
        <f>=HYPERLINK("https://main.knesset.gov.il/APPS/legislation/main/bills/2204150", "הצעת חוק אימוץ ילדים (תיקון - אימוץ על ידי בני הזוג), התשפ""ג-2023")</f>
        <v>9757</v>
      </c>
      <c r="E4676" t="s">
        <v>9757</v>
      </c>
      <c r="F4676" t="s">
        <v>9758</v>
      </c>
      <c r="G4676" t="s">
        <v>14</v>
      </c>
      <c r="H4676">
             </c>
      <c r="I4676" t="s">
        <v>14</v>
      </c>
      <c r="J4676" t="s">
        <v>242</v>
      </c>
      <c r="K4676" t="s">
        <v>14</v>
      </c>
      <c r="L4676" t="s">
        <v>20</v>
      </c>
      <c r="M4676" t="s">
        <v>9606</v>
      </c>
      <c r="N4676" t="s">
        <v>14</v>
      </c>
    </row>
    <row r="4677" x14ac:dyDescent="0.25">
      <c r="A4677" t="n">
        <v>25</v>
      </c>
      <c r="B4677" t="s">
        <v>14</v>
      </c>
      <c r="C4677" t="s">
        <v>51</v>
      </c>
      <c r="D4677" s="2" t="s">
        <f>=HYPERLINK("https://main.knesset.gov.il/APPS/legislation/main/bills/2203928", "הצעת חוק הגנת הצרכן (תיקון - קביעת סכום מרבי לחיוב חשבון), התשפ""ג-2023")</f>
        <v>9759</v>
      </c>
      <c r="E4677" t="s">
        <v>9759</v>
      </c>
      <c r="F4677" t="s">
        <v>9760</v>
      </c>
      <c r="G4677" t="s">
        <v>14</v>
      </c>
      <c r="H4677">
             </c>
      <c r="I4677" t="s">
        <v>14</v>
      </c>
      <c r="J4677" t="s">
        <v>242</v>
      </c>
      <c r="K4677" t="s">
        <v>14</v>
      </c>
      <c r="L4677" t="s">
        <v>20</v>
      </c>
      <c r="M4677" t="s">
        <v>9606</v>
      </c>
      <c r="N4677" t="s">
        <v>14</v>
      </c>
    </row>
    <row r="4678" x14ac:dyDescent="0.25">
      <c r="A4678" t="n">
        <v>25</v>
      </c>
      <c r="B4678" t="s">
        <v>14</v>
      </c>
      <c r="C4678" t="s">
        <v>51</v>
      </c>
      <c r="D4678" s="2" t="s">
        <f>=HYPERLINK("https://main.knesset.gov.il/APPS/legislation/main/bills/2202760", "הצעת חוק להנצחת זכרם של הרב אברהם שפירא והרב מרדכי אליהו, התשפ""ג-2023")</f>
        <v>9761</v>
      </c>
      <c r="E4678" t="s">
        <v>9761</v>
      </c>
      <c r="F4678" t="s">
        <v>9762</v>
      </c>
      <c r="G4678" t="s">
        <v>14</v>
      </c>
      <c r="H4678">
             </c>
      <c r="I4678" t="s">
        <v>14</v>
      </c>
      <c r="J4678" t="s">
        <v>242</v>
      </c>
      <c r="K4678" t="s">
        <v>14</v>
      </c>
      <c r="L4678" t="s">
        <v>20</v>
      </c>
      <c r="M4678" t="s">
        <v>9606</v>
      </c>
      <c r="N4678" t="s">
        <v>14</v>
      </c>
    </row>
    <row r="4679" x14ac:dyDescent="0.25">
      <c r="A4679" t="n">
        <v>25</v>
      </c>
      <c r="B4679" t="s">
        <v>14</v>
      </c>
      <c r="C4679" t="s">
        <v>51</v>
      </c>
      <c r="D4679" s="2" t="s">
        <f>=HYPERLINK("https://main.knesset.gov.il/APPS/legislation/main/bills/2203965", "הצעת חוק תאגידי מים וביוב (תיקון - הקמת ועדת הנחות), התשפ""ג-2023")</f>
        <v>7414</v>
      </c>
      <c r="E4679" t="s">
        <v>7414</v>
      </c>
      <c r="F4679" t="s">
        <v>9763</v>
      </c>
      <c r="G4679" t="s">
        <v>14</v>
      </c>
      <c r="H4679">
             </c>
      <c r="I4679" t="s">
        <v>14</v>
      </c>
      <c r="J4679" t="s">
        <v>242</v>
      </c>
      <c r="K4679" t="s">
        <v>14</v>
      </c>
      <c r="L4679" t="s">
        <v>20</v>
      </c>
      <c r="M4679" t="s">
        <v>9606</v>
      </c>
      <c r="N4679" t="s">
        <v>14</v>
      </c>
    </row>
    <row r="4680" x14ac:dyDescent="0.25">
      <c r="A4680" t="n">
        <v>25</v>
      </c>
      <c r="B4680" t="s">
        <v>14</v>
      </c>
      <c r="C4680" t="s">
        <v>51</v>
      </c>
      <c r="D4680" s="2" t="s">
        <f>=HYPERLINK("https://main.knesset.gov.il/APPS/legislation/main/bills/2203705", "הצעת חוק המרכז לגביית קנסות, אגרות והוצאות (תיקון - גביית תשלום בעד חוב שטרם חלף המועד לתשלומו), התשפ""ג-2023")</f>
        <v>9764</v>
      </c>
      <c r="E4680" t="s">
        <v>9764</v>
      </c>
      <c r="F4680" t="s">
        <v>9765</v>
      </c>
      <c r="G4680" t="s">
        <v>14</v>
      </c>
      <c r="H4680">
             </c>
      <c r="I4680" t="s">
        <v>14</v>
      </c>
      <c r="J4680" t="s">
        <v>242</v>
      </c>
      <c r="K4680" t="s">
        <v>14</v>
      </c>
      <c r="L4680" t="s">
        <v>20</v>
      </c>
      <c r="M4680" t="s">
        <v>9606</v>
      </c>
      <c r="N4680" t="s">
        <v>14</v>
      </c>
    </row>
    <row r="4681" x14ac:dyDescent="0.25">
      <c r="A4681" t="n">
        <v>25</v>
      </c>
      <c r="B4681" t="s">
        <v>14</v>
      </c>
      <c r="C4681" t="s">
        <v>51</v>
      </c>
      <c r="D4681" s="2" t="s">
        <f>=HYPERLINK("https://main.knesset.gov.il/APPS/legislation/main/bills/2203967", "הצעת חוק להארכת מועד לקבלת דברי דואר (הוראת שעה), התשפ""ג-2023")</f>
        <v>9766</v>
      </c>
      <c r="E4681" t="s">
        <v>9766</v>
      </c>
      <c r="F4681" t="s">
        <v>9767</v>
      </c>
      <c r="G4681" t="s">
        <v>14</v>
      </c>
      <c r="H4681">
             </c>
      <c r="I4681" t="s">
        <v>14</v>
      </c>
      <c r="J4681" t="s">
        <v>242</v>
      </c>
      <c r="K4681" t="s">
        <v>14</v>
      </c>
      <c r="L4681" t="s">
        <v>20</v>
      </c>
      <c r="M4681" t="s">
        <v>9606</v>
      </c>
      <c r="N4681" t="s">
        <v>14</v>
      </c>
    </row>
    <row r="4682" x14ac:dyDescent="0.25">
      <c r="A4682" t="n">
        <v>25</v>
      </c>
      <c r="B4682" t="s">
        <v>14</v>
      </c>
      <c r="C4682" t="s">
        <v>51</v>
      </c>
      <c r="D4682" s="2" t="s">
        <f>=HYPERLINK("https://main.knesset.gov.il/APPS/legislation/main/bills/2203293", "הצעת חוק ארוחה יומית לתלמיד (תיקון - הרחבת תחולת החוק), התשפ""ג-2023")</f>
        <v>9768</v>
      </c>
      <c r="E4682" t="s">
        <v>9768</v>
      </c>
      <c r="F4682" t="s">
        <v>9769</v>
      </c>
      <c r="G4682" t="s">
        <v>14</v>
      </c>
      <c r="H4682">
             </c>
      <c r="I4682" t="s">
        <v>14</v>
      </c>
      <c r="J4682" t="s">
        <v>242</v>
      </c>
      <c r="K4682" t="s">
        <v>14</v>
      </c>
      <c r="L4682" t="s">
        <v>20</v>
      </c>
      <c r="M4682" t="s">
        <v>9606</v>
      </c>
      <c r="N4682" t="s">
        <v>14</v>
      </c>
    </row>
    <row r="4683" x14ac:dyDescent="0.25">
      <c r="A4683" t="n">
        <v>25</v>
      </c>
      <c r="B4683" t="s">
        <v>14</v>
      </c>
      <c r="C4683" t="s">
        <v>15</v>
      </c>
      <c r="D4683" s="2" t="s">
        <f>=HYPERLINK("https://main.knesset.gov.il/APPS/legislation/main/bills/2202410", "הצעת חוק ציוד רפואי (תיקון מס' 2 והוראת שעה), התשפ""ג-2023")</f>
        <v>9770</v>
      </c>
      <c r="E4683" t="s">
        <v>9770</v>
      </c>
      <c r="F4683" t="s">
        <v>14</v>
      </c>
      <c r="G4683" t="s">
        <v>9771</v>
      </c>
      <c r="H4683">
             </c>
      <c r="I4683" t="s">
        <v>14</v>
      </c>
      <c r="J4683" t="s">
        <v>38</v>
      </c>
      <c r="K4683" t="s">
        <v>361</v>
      </c>
      <c r="L4683" t="s">
        <v>20</v>
      </c>
      <c r="M4683" t="s">
        <v>9606</v>
      </c>
      <c r="N4683" t="s">
        <v>14</v>
      </c>
    </row>
    <row r="4684" x14ac:dyDescent="0.25">
      <c r="A4684" t="n">
        <v>25</v>
      </c>
      <c r="B4684" t="s">
        <v>14</v>
      </c>
      <c r="C4684" t="s">
        <v>15</v>
      </c>
      <c r="D4684" s="2" t="s">
        <f>=HYPERLINK("https://main.knesset.gov.il/APPS/legislation/main/bills/2202778", "חוק הגדלת נקודות זיכוי להורים במס הכנסה והגדלת מענק עבודה (הוראת שעה) (תיקון), התשפ""ג-2023")</f>
        <v>9772</v>
      </c>
      <c r="E4684" t="s">
        <v>9772</v>
      </c>
      <c r="F4684" t="s">
        <v>14</v>
      </c>
      <c r="G4684" t="s">
        <v>9773</v>
      </c>
      <c r="H4684" t="n">
        <v>3039</v>
      </c>
      <c r="I4684" t="s">
        <v>14</v>
      </c>
      <c r="J4684" t="s">
        <v>18</v>
      </c>
      <c r="K4684" t="s">
        <v>24</v>
      </c>
      <c r="L4684" t="s">
        <v>20</v>
      </c>
      <c r="M4684" t="s">
        <v>9774</v>
      </c>
      <c r="N4684" t="s">
        <v>9775</v>
      </c>
    </row>
    <row r="4685" x14ac:dyDescent="0.25">
      <c r="A4685" t="n">
        <v>25</v>
      </c>
      <c r="B4685" t="s">
        <v>14</v>
      </c>
      <c r="C4685" t="s">
        <v>15</v>
      </c>
      <c r="D4685" s="2" t="s">
        <f>=HYPERLINK("https://main.knesset.gov.il/APPS/legislation/main/bills/2203897", "חוק להסדרת אירוע הילולת רבי שמעון בר יוחאי בהר מירון (הוראת שעה), התשפ""ג-2023")</f>
        <v>9776</v>
      </c>
      <c r="E4685" t="s">
        <v>9776</v>
      </c>
      <c r="F4685" t="s">
        <v>14</v>
      </c>
      <c r="G4685" t="s">
        <v>9777</v>
      </c>
      <c r="H4685" t="n">
        <v>3037</v>
      </c>
      <c r="I4685" t="s">
        <v>14</v>
      </c>
      <c r="J4685" t="s">
        <v>18</v>
      </c>
      <c r="K4685" t="s">
        <v>19</v>
      </c>
      <c r="L4685" t="s">
        <v>20</v>
      </c>
      <c r="M4685" t="s">
        <v>9778</v>
      </c>
      <c r="N4685" t="s">
        <v>9779</v>
      </c>
    </row>
    <row r="4686" x14ac:dyDescent="0.25">
      <c r="A4686" t="n">
        <v>25</v>
      </c>
      <c r="B4686" t="s">
        <v>14</v>
      </c>
      <c r="C4686" t="s">
        <v>51</v>
      </c>
      <c r="D4686" s="2" t="s">
        <f>=HYPERLINK("https://main.knesset.gov.il/APPS/legislation/main/bills/2199468", "הצעת חוק זכויות הסטודנט (תיקון – הרחבת זכויות הסטודנט), התשפ""ג–2023")</f>
        <v>9780</v>
      </c>
      <c r="E4686" t="s">
        <v>9780</v>
      </c>
      <c r="F4686" t="s">
        <v>9781</v>
      </c>
      <c r="G4686" t="s">
        <v>14</v>
      </c>
      <c r="H4686">
             </c>
      <c r="I4686" t="s">
        <v>14</v>
      </c>
      <c r="J4686" t="s">
        <v>152</v>
      </c>
      <c r="K4686" t="s">
        <v>79</v>
      </c>
      <c r="L4686" t="s">
        <v>20</v>
      </c>
      <c r="M4686" t="s">
        <v>9778</v>
      </c>
      <c r="N4686" t="s">
        <v>14</v>
      </c>
    </row>
    <row r="4687" x14ac:dyDescent="0.25">
      <c r="A4687" t="n">
        <v>25</v>
      </c>
      <c r="B4687" t="s">
        <v>14</v>
      </c>
      <c r="C4687" t="s">
        <v>51</v>
      </c>
      <c r="D4687" s="2" t="s">
        <f>=HYPERLINK("https://main.knesset.gov.il/APPS/legislation/main/bills/2196567", "הצעת חוק התכנון והבנייה (תיקון - ייצוג הולם לאוכלוסייה החרדית במוסדות התכנון), התשפ""ג-2022")</f>
        <v>9782</v>
      </c>
      <c r="E4687" t="s">
        <v>9782</v>
      </c>
      <c r="F4687" t="s">
        <v>9783</v>
      </c>
      <c r="G4687" t="s">
        <v>14</v>
      </c>
      <c r="H4687">
             </c>
      <c r="I4687" t="s">
        <v>14</v>
      </c>
      <c r="J4687" t="s">
        <v>152</v>
      </c>
      <c r="K4687" t="s">
        <v>30</v>
      </c>
      <c r="L4687" t="s">
        <v>20</v>
      </c>
      <c r="M4687" t="s">
        <v>9778</v>
      </c>
      <c r="N4687" t="s">
        <v>14</v>
      </c>
    </row>
    <row r="4688" x14ac:dyDescent="0.25">
      <c r="A4688" t="n">
        <v>25</v>
      </c>
      <c r="B4688" t="s">
        <v>14</v>
      </c>
      <c r="C4688" t="s">
        <v>15</v>
      </c>
      <c r="D4688" s="2" t="s">
        <f>=HYPERLINK("https://main.knesset.gov.il/APPS/legislation/main/bills/2195431", "חוק סמכויות לאיסוף ואבחון של נתוני נוסעים הנכנסים לישראל או היוצאים ממנה, התשפ""ג-2023 ")</f>
        <v>9784</v>
      </c>
      <c r="E4688" t="s">
        <v>9784</v>
      </c>
      <c r="F4688" t="s">
        <v>14</v>
      </c>
      <c r="G4688" t="s">
        <v>9785</v>
      </c>
      <c r="H4688" t="n">
        <v>3038</v>
      </c>
      <c r="I4688" t="s">
        <v>14</v>
      </c>
      <c r="J4688" t="s">
        <v>18</v>
      </c>
      <c r="K4688" t="s">
        <v>39</v>
      </c>
      <c r="L4688" t="s">
        <v>20</v>
      </c>
      <c r="M4688" t="s">
        <v>9786</v>
      </c>
      <c r="N4688" t="s">
        <v>9787</v>
      </c>
    </row>
    <row r="4689" x14ac:dyDescent="0.25">
      <c r="A4689" t="n">
        <v>25</v>
      </c>
      <c r="B4689" t="s">
        <v>14</v>
      </c>
      <c r="C4689" t="s">
        <v>15</v>
      </c>
      <c r="D4689" s="2" t="s">
        <f>=HYPERLINK("https://main.knesset.gov.il/APPS/legislation/main/bills/2203829", "חוק הנכים (תגמולים ושיקום) (תיקון מס' 31), התשפ""ג-2023 ")</f>
        <v>9788</v>
      </c>
      <c r="E4689" t="s">
        <v>9788</v>
      </c>
      <c r="F4689" t="s">
        <v>14</v>
      </c>
      <c r="G4689" t="s">
        <v>8177</v>
      </c>
      <c r="H4689" t="n">
        <v>3034</v>
      </c>
      <c r="I4689" t="s">
        <v>14</v>
      </c>
      <c r="J4689" t="s">
        <v>18</v>
      </c>
      <c r="K4689" t="s">
        <v>46</v>
      </c>
      <c r="L4689" t="s">
        <v>20</v>
      </c>
      <c r="M4689" t="s">
        <v>9786</v>
      </c>
      <c r="N4689" t="s">
        <v>9789</v>
      </c>
    </row>
    <row r="4690" x14ac:dyDescent="0.25">
      <c r="A4690" t="n">
        <v>25</v>
      </c>
      <c r="B4690" t="s">
        <v>14</v>
      </c>
      <c r="C4690" t="s">
        <v>51</v>
      </c>
      <c r="D4690" s="2" t="s">
        <f>=HYPERLINK("https://main.knesset.gov.il/APPS/legislation/main/bills/2203347", "הצעת חוק שירות המדינה (משמעת) (תיקון - חובת פיטורין של תומכי טרור), התשפ""ג-2023")</f>
        <v>9790</v>
      </c>
      <c r="E4690" t="s">
        <v>9790</v>
      </c>
      <c r="F4690" t="s">
        <v>9791</v>
      </c>
      <c r="G4690" t="s">
        <v>14</v>
      </c>
      <c r="H4690">
             </c>
      <c r="I4690" t="s">
        <v>14</v>
      </c>
      <c r="J4690" t="s">
        <v>242</v>
      </c>
      <c r="K4690" t="s">
        <v>14</v>
      </c>
      <c r="L4690" t="s">
        <v>20</v>
      </c>
      <c r="M4690" t="s">
        <v>9786</v>
      </c>
      <c r="N4690" t="s">
        <v>14</v>
      </c>
    </row>
    <row r="4691" x14ac:dyDescent="0.25">
      <c r="A4691" t="n">
        <v>25</v>
      </c>
      <c r="B4691" t="s">
        <v>14</v>
      </c>
      <c r="C4691" t="s">
        <v>51</v>
      </c>
      <c r="D4691" s="2" t="s">
        <f>=HYPERLINK("https://main.knesset.gov.il/APPS/legislation/main/bills/2203408", "הצעת חוק התכנון והבנייה (תיקון - הגבלת תקופת ההפקעה לייעוד ציבורי), התשפ""ג-2023")</f>
        <v>9792</v>
      </c>
      <c r="E4691" t="s">
        <v>9792</v>
      </c>
      <c r="F4691" t="s">
        <v>9793</v>
      </c>
      <c r="G4691" t="s">
        <v>14</v>
      </c>
      <c r="H4691">
             </c>
      <c r="I4691" t="s">
        <v>14</v>
      </c>
      <c r="J4691" t="s">
        <v>242</v>
      </c>
      <c r="K4691" t="s">
        <v>14</v>
      </c>
      <c r="L4691" t="s">
        <v>20</v>
      </c>
      <c r="M4691" t="s">
        <v>9786</v>
      </c>
      <c r="N4691" t="s">
        <v>14</v>
      </c>
    </row>
    <row r="4692" x14ac:dyDescent="0.25">
      <c r="A4692" t="n">
        <v>25</v>
      </c>
      <c r="B4692" t="s">
        <v>14</v>
      </c>
      <c r="C4692" t="s">
        <v>51</v>
      </c>
      <c r="D4692" s="2" t="s">
        <f>=HYPERLINK("https://main.knesset.gov.il/APPS/legislation/main/bills/2202350", "הצעת חוק להקפאת כספים ששילמה הרשות הפלסטינית בזיקה לטרור מהכספים המועברים אליה מממשלת ישראל (תיקון - חילוט הכספים וניהולם), התשפ""ג-2023")</f>
        <v>9794</v>
      </c>
      <c r="E4692" t="s">
        <v>9794</v>
      </c>
      <c r="F4692" t="s">
        <v>9795</v>
      </c>
      <c r="G4692" t="s">
        <v>14</v>
      </c>
      <c r="H4692">
             </c>
      <c r="I4692" t="s">
        <v>14</v>
      </c>
      <c r="J4692" t="s">
        <v>242</v>
      </c>
      <c r="K4692" t="s">
        <v>14</v>
      </c>
      <c r="L4692" t="s">
        <v>20</v>
      </c>
      <c r="M4692" t="s">
        <v>9786</v>
      </c>
      <c r="N4692" t="s">
        <v>14</v>
      </c>
    </row>
    <row r="4693" x14ac:dyDescent="0.25">
      <c r="A4693" t="n">
        <v>25</v>
      </c>
      <c r="B4693" t="s">
        <v>14</v>
      </c>
      <c r="C4693" t="s">
        <v>51</v>
      </c>
      <c r="D4693" s="2" t="s">
        <f>=HYPERLINK("https://main.knesset.gov.il/APPS/legislation/main/bills/2203789", "הצעת חוק ביטוח בריאות ממלכתי (תיקון - החזר עבור פינוי באמבולנס), התשפ""ג-2023")</f>
        <v>9796</v>
      </c>
      <c r="E4693" t="s">
        <v>9796</v>
      </c>
      <c r="F4693" t="s">
        <v>9797</v>
      </c>
      <c r="G4693" t="s">
        <v>14</v>
      </c>
      <c r="H4693">
             </c>
      <c r="I4693" t="s">
        <v>14</v>
      </c>
      <c r="J4693" t="s">
        <v>242</v>
      </c>
      <c r="K4693" t="s">
        <v>14</v>
      </c>
      <c r="L4693" t="s">
        <v>20</v>
      </c>
      <c r="M4693" t="s">
        <v>9786</v>
      </c>
      <c r="N4693" t="s">
        <v>14</v>
      </c>
    </row>
    <row r="4694" x14ac:dyDescent="0.25">
      <c r="A4694" t="n">
        <v>25</v>
      </c>
      <c r="B4694" t="s">
        <v>14</v>
      </c>
      <c r="C4694" t="s">
        <v>51</v>
      </c>
      <c r="D4694" s="2" t="s">
        <f>=HYPERLINK("https://main.knesset.gov.il/APPS/legislation/main/bills/2201863", "הצעת חוק המאבק בטרור (תיקון - החמרה בעונשם של עבריינם המועדים לעבירות טרור), התשפ""ג-2023")</f>
        <v>9798</v>
      </c>
      <c r="E4694" t="s">
        <v>9798</v>
      </c>
      <c r="F4694" t="s">
        <v>9799</v>
      </c>
      <c r="G4694" t="s">
        <v>14</v>
      </c>
      <c r="H4694">
             </c>
      <c r="I4694" t="s">
        <v>14</v>
      </c>
      <c r="J4694" t="s">
        <v>242</v>
      </c>
      <c r="K4694" t="s">
        <v>14</v>
      </c>
      <c r="L4694" t="s">
        <v>20</v>
      </c>
      <c r="M4694" t="s">
        <v>9786</v>
      </c>
      <c r="N4694" t="s">
        <v>14</v>
      </c>
    </row>
    <row r="4695" x14ac:dyDescent="0.25">
      <c r="A4695" t="n">
        <v>25</v>
      </c>
      <c r="B4695" t="s">
        <v>14</v>
      </c>
      <c r="C4695" t="s">
        <v>51</v>
      </c>
      <c r="D4695" s="2" t="s">
        <f>=HYPERLINK("https://main.knesset.gov.il/APPS/legislation/main/bills/2203773", "הצעת חוק הנגשת שירותי קבלת קהל הניתנים בגופי שלטון לשפות נוספות, התשפ""ג-2023")</f>
        <v>9800</v>
      </c>
      <c r="E4695" t="s">
        <v>9800</v>
      </c>
      <c r="F4695" t="s">
        <v>9801</v>
      </c>
      <c r="G4695" t="s">
        <v>14</v>
      </c>
      <c r="H4695">
             </c>
      <c r="I4695" t="s">
        <v>14</v>
      </c>
      <c r="J4695" t="s">
        <v>242</v>
      </c>
      <c r="K4695" t="s">
        <v>14</v>
      </c>
      <c r="L4695" t="s">
        <v>20</v>
      </c>
      <c r="M4695" t="s">
        <v>9786</v>
      </c>
      <c r="N4695" t="s">
        <v>14</v>
      </c>
    </row>
    <row r="4696" x14ac:dyDescent="0.25">
      <c r="A4696" t="n">
        <v>25</v>
      </c>
      <c r="B4696" t="s">
        <v>14</v>
      </c>
      <c r="C4696" t="s">
        <v>51</v>
      </c>
      <c r="D4696" s="2" t="s">
        <f>=HYPERLINK("https://main.knesset.gov.il/APPS/legislation/main/bills/2203800", "הצעת חוק חובת פרסום מידע על תלונות הציבור ודוח ביקורת פנימית (תיקוני חקיקה), התשפ""ג-2023")</f>
        <v>9802</v>
      </c>
      <c r="E4696" t="s">
        <v>9802</v>
      </c>
      <c r="F4696" t="s">
        <v>9803</v>
      </c>
      <c r="G4696" t="s">
        <v>14</v>
      </c>
      <c r="H4696">
             </c>
      <c r="I4696" t="s">
        <v>14</v>
      </c>
      <c r="J4696" t="s">
        <v>242</v>
      </c>
      <c r="K4696" t="s">
        <v>14</v>
      </c>
      <c r="L4696" t="s">
        <v>20</v>
      </c>
      <c r="M4696" t="s">
        <v>9786</v>
      </c>
      <c r="N4696" t="s">
        <v>14</v>
      </c>
    </row>
    <row r="4697" x14ac:dyDescent="0.25">
      <c r="A4697" t="n">
        <v>25</v>
      </c>
      <c r="B4697" t="s">
        <v>14</v>
      </c>
      <c r="C4697" t="s">
        <v>51</v>
      </c>
      <c r="D4697" s="2" t="s">
        <f>=HYPERLINK("https://main.knesset.gov.il/APPS/legislation/main/bills/2203734", "הצעת חוק העונשין (תיקון - החמרת ענישה בגין אי-חובת דיווח), התשפ""ג-2023")</f>
        <v>9804</v>
      </c>
      <c r="E4697" t="s">
        <v>9804</v>
      </c>
      <c r="F4697" t="s">
        <v>9805</v>
      </c>
      <c r="G4697" t="s">
        <v>14</v>
      </c>
      <c r="H4697">
             </c>
      <c r="I4697" t="s">
        <v>14</v>
      </c>
      <c r="J4697" t="s">
        <v>242</v>
      </c>
      <c r="K4697" t="s">
        <v>14</v>
      </c>
      <c r="L4697" t="s">
        <v>20</v>
      </c>
      <c r="M4697" t="s">
        <v>9786</v>
      </c>
      <c r="N4697" t="s">
        <v>14</v>
      </c>
    </row>
    <row r="4698" x14ac:dyDescent="0.25">
      <c r="A4698" t="n">
        <v>25</v>
      </c>
      <c r="B4698" t="s">
        <v>14</v>
      </c>
      <c r="C4698" t="s">
        <v>51</v>
      </c>
      <c r="D4698" s="2" t="s">
        <f>=HYPERLINK("https://main.knesset.gov.il/APPS/legislation/main/bills/2203618", "הצעת חוק הקמת חדר מיון בקריית שמונה, התשפ""ג-2023")</f>
        <v>9647</v>
      </c>
      <c r="E4698" t="s">
        <v>9647</v>
      </c>
      <c r="F4698" t="s">
        <v>9806</v>
      </c>
      <c r="G4698" t="s">
        <v>14</v>
      </c>
      <c r="H4698">
             </c>
      <c r="I4698" t="s">
        <v>14</v>
      </c>
      <c r="J4698" t="s">
        <v>242</v>
      </c>
      <c r="K4698" t="s">
        <v>14</v>
      </c>
      <c r="L4698" t="s">
        <v>20</v>
      </c>
      <c r="M4698" t="s">
        <v>9786</v>
      </c>
      <c r="N4698" t="s">
        <v>14</v>
      </c>
    </row>
    <row r="4699" x14ac:dyDescent="0.25">
      <c r="A4699" t="n">
        <v>25</v>
      </c>
      <c r="B4699" t="s">
        <v>14</v>
      </c>
      <c r="C4699" t="s">
        <v>51</v>
      </c>
      <c r="D4699" s="2" t="s">
        <f>=HYPERLINK("https://main.knesset.gov.il/APPS/legislation/main/bills/2203194", "הצעת חוק לתיקון פקודת בתי הסוהר (תנאי אסיר ביטחוני בבתי הסוהר), התשפ""ג-2023")</f>
        <v>9807</v>
      </c>
      <c r="E4699" t="s">
        <v>9807</v>
      </c>
      <c r="F4699" t="s">
        <v>9808</v>
      </c>
      <c r="G4699" t="s">
        <v>14</v>
      </c>
      <c r="H4699">
             </c>
      <c r="I4699" t="s">
        <v>14</v>
      </c>
      <c r="J4699" t="s">
        <v>242</v>
      </c>
      <c r="K4699" t="s">
        <v>14</v>
      </c>
      <c r="L4699" t="s">
        <v>20</v>
      </c>
      <c r="M4699" t="s">
        <v>9786</v>
      </c>
      <c r="N4699" t="s">
        <v>14</v>
      </c>
    </row>
    <row r="4700" x14ac:dyDescent="0.25">
      <c r="A4700" t="n">
        <v>25</v>
      </c>
      <c r="B4700" t="s">
        <v>14</v>
      </c>
      <c r="C4700" t="s">
        <v>51</v>
      </c>
      <c r="D4700" s="2" t="s">
        <f>=HYPERLINK("https://main.knesset.gov.il/APPS/legislation/main/bills/2202974", "הצעת חוק החלת ריבונות על מעלה אדומים, התשפ""ג-2023")</f>
        <v>9809</v>
      </c>
      <c r="E4700" t="s">
        <v>9809</v>
      </c>
      <c r="F4700" t="s">
        <v>9810</v>
      </c>
      <c r="G4700" t="s">
        <v>14</v>
      </c>
      <c r="H4700">
             </c>
      <c r="I4700" t="s">
        <v>14</v>
      </c>
      <c r="J4700" t="s">
        <v>242</v>
      </c>
      <c r="K4700" t="s">
        <v>14</v>
      </c>
      <c r="L4700" t="s">
        <v>20</v>
      </c>
      <c r="M4700" t="s">
        <v>9786</v>
      </c>
      <c r="N4700" t="s">
        <v>14</v>
      </c>
    </row>
    <row r="4701" x14ac:dyDescent="0.25">
      <c r="A4701" t="n">
        <v>25</v>
      </c>
      <c r="B4701" t="s">
        <v>14</v>
      </c>
      <c r="C4701" t="s">
        <v>51</v>
      </c>
      <c r="D4701" s="2" t="s">
        <f>=HYPERLINK("https://main.knesset.gov.il/APPS/legislation/main/bills/2202971", "הצעת חוק החלת הריבונות של מדינת ישראל בחבלי יהודה והשומרון, התשפ""ג-2023")</f>
        <v>9811</v>
      </c>
      <c r="E4701" t="s">
        <v>9811</v>
      </c>
      <c r="F4701" t="s">
        <v>9812</v>
      </c>
      <c r="G4701" t="s">
        <v>14</v>
      </c>
      <c r="H4701">
             </c>
      <c r="I4701" t="s">
        <v>14</v>
      </c>
      <c r="J4701" t="s">
        <v>242</v>
      </c>
      <c r="K4701" t="s">
        <v>14</v>
      </c>
      <c r="L4701" t="s">
        <v>20</v>
      </c>
      <c r="M4701" t="s">
        <v>9786</v>
      </c>
      <c r="N4701" t="s">
        <v>14</v>
      </c>
    </row>
    <row r="4702" x14ac:dyDescent="0.25">
      <c r="A4702" t="n">
        <v>25</v>
      </c>
      <c r="B4702" t="s">
        <v>14</v>
      </c>
      <c r="C4702" t="s">
        <v>51</v>
      </c>
      <c r="D4702" s="2" t="s">
        <f>=HYPERLINK("https://main.knesset.gov.il/APPS/legislation/main/bills/2202984", "הצעת חוק לתיקון פקודת סדרי השלטון והמשפט (חקיקה באמצעות צו), התשפ""ג-2023")</f>
        <v>9813</v>
      </c>
      <c r="E4702" t="s">
        <v>9813</v>
      </c>
      <c r="F4702" t="s">
        <v>9814</v>
      </c>
      <c r="G4702" t="s">
        <v>14</v>
      </c>
      <c r="H4702">
             </c>
      <c r="I4702" t="s">
        <v>14</v>
      </c>
      <c r="J4702" t="s">
        <v>242</v>
      </c>
      <c r="K4702" t="s">
        <v>14</v>
      </c>
      <c r="L4702" t="s">
        <v>20</v>
      </c>
      <c r="M4702" t="s">
        <v>9786</v>
      </c>
      <c r="N4702" t="s">
        <v>14</v>
      </c>
    </row>
    <row r="4703" x14ac:dyDescent="0.25">
      <c r="A4703" t="n">
        <v>25</v>
      </c>
      <c r="B4703" t="s">
        <v>14</v>
      </c>
      <c r="C4703" t="s">
        <v>51</v>
      </c>
      <c r="D4703" s="2" t="s">
        <f>=HYPERLINK("https://main.knesset.gov.il/APPS/legislation/main/bills/2203298", "הצעת חוק הביטוח הלאומי (תיקון - קצבת תלויים וקצבת אזרח ותיק), התשפ""ג-2023")</f>
        <v>9645</v>
      </c>
      <c r="E4703" t="s">
        <v>9645</v>
      </c>
      <c r="F4703" t="s">
        <v>9815</v>
      </c>
      <c r="G4703" t="s">
        <v>14</v>
      </c>
      <c r="H4703">
             </c>
      <c r="I4703" t="s">
        <v>14</v>
      </c>
      <c r="J4703" t="s">
        <v>242</v>
      </c>
      <c r="K4703" t="s">
        <v>14</v>
      </c>
      <c r="L4703" t="s">
        <v>20</v>
      </c>
      <c r="M4703" t="s">
        <v>9786</v>
      </c>
      <c r="N4703" t="s">
        <v>14</v>
      </c>
    </row>
    <row r="4704" x14ac:dyDescent="0.25">
      <c r="A4704" t="n">
        <v>25</v>
      </c>
      <c r="B4704" t="s">
        <v>14</v>
      </c>
      <c r="C4704" t="s">
        <v>51</v>
      </c>
      <c r="D4704" s="2" t="s">
        <f>=HYPERLINK("https://main.knesset.gov.il/APPS/legislation/main/bills/2203572", "הצעת חוק הביטוח הלאומי (תיקון - גמלת אבל לעצמאים), התשפ""ג-2023")</f>
        <v>8287</v>
      </c>
      <c r="E4704" t="s">
        <v>8287</v>
      </c>
      <c r="F4704" t="s">
        <v>9816</v>
      </c>
      <c r="G4704" t="s">
        <v>14</v>
      </c>
      <c r="H4704">
             </c>
      <c r="I4704" t="s">
        <v>14</v>
      </c>
      <c r="J4704" t="s">
        <v>242</v>
      </c>
      <c r="K4704" t="s">
        <v>14</v>
      </c>
      <c r="L4704" t="s">
        <v>20</v>
      </c>
      <c r="M4704" t="s">
        <v>9786</v>
      </c>
      <c r="N4704" t="s">
        <v>14</v>
      </c>
    </row>
    <row r="4705" x14ac:dyDescent="0.25">
      <c r="A4705" t="n">
        <v>25</v>
      </c>
      <c r="B4705" t="s">
        <v>14</v>
      </c>
      <c r="C4705" t="s">
        <v>51</v>
      </c>
      <c r="D4705" s="2" t="s">
        <f>=HYPERLINK("https://main.knesset.gov.il/APPS/legislation/main/bills/2203606", "הצעת חוק העונשין (תיקון - הגדרת גזענות), התשפ""ג-2023")</f>
        <v>9817</v>
      </c>
      <c r="E4705" t="s">
        <v>9817</v>
      </c>
      <c r="F4705" t="s">
        <v>9818</v>
      </c>
      <c r="G4705" t="s">
        <v>14</v>
      </c>
      <c r="H4705">
             </c>
      <c r="I4705" t="s">
        <v>14</v>
      </c>
      <c r="J4705" t="s">
        <v>242</v>
      </c>
      <c r="K4705" t="s">
        <v>14</v>
      </c>
      <c r="L4705" t="s">
        <v>20</v>
      </c>
      <c r="M4705" t="s">
        <v>9786</v>
      </c>
      <c r="N4705" t="s">
        <v>14</v>
      </c>
    </row>
    <row r="4706" x14ac:dyDescent="0.25">
      <c r="A4706" t="n">
        <v>25</v>
      </c>
      <c r="B4706" t="s">
        <v>14</v>
      </c>
      <c r="C4706" t="s">
        <v>51</v>
      </c>
      <c r="D4706" s="2" t="s">
        <f>=HYPERLINK("https://main.knesset.gov.il/APPS/legislation/main/bills/2203840", "הצעת חוק למניעת אלימות במשפחה (פיקוח טכנולוגי להבטחת קיומו של צו הגנה והערכת מסוכנות - הוראת שעה), התשפ""ג-2023")</f>
        <v>9819</v>
      </c>
      <c r="E4706" t="s">
        <v>9819</v>
      </c>
      <c r="F4706" t="s">
        <v>9820</v>
      </c>
      <c r="G4706" t="s">
        <v>14</v>
      </c>
      <c r="H4706">
             </c>
      <c r="I4706" t="s">
        <v>14</v>
      </c>
      <c r="J4706" t="s">
        <v>242</v>
      </c>
      <c r="K4706" t="s">
        <v>14</v>
      </c>
      <c r="L4706" t="s">
        <v>20</v>
      </c>
      <c r="M4706" t="s">
        <v>9786</v>
      </c>
      <c r="N4706" t="s">
        <v>14</v>
      </c>
    </row>
    <row r="4707" x14ac:dyDescent="0.25">
      <c r="A4707" t="n">
        <v>25</v>
      </c>
      <c r="B4707" t="s">
        <v>14</v>
      </c>
      <c r="C4707" t="s">
        <v>51</v>
      </c>
      <c r="D4707" s="2" t="s">
        <f>=HYPERLINK("https://main.knesset.gov.il/APPS/legislation/main/bills/2203601", "הצעת חוק שירות המדינה (מינויים) (תיקון - ייצוג הולם לעולים חדשים), התשפ""ג-2023")</f>
        <v>9821</v>
      </c>
      <c r="E4707" t="s">
        <v>9821</v>
      </c>
      <c r="F4707" t="s">
        <v>9822</v>
      </c>
      <c r="G4707" t="s">
        <v>14</v>
      </c>
      <c r="H4707">
             </c>
      <c r="I4707" t="s">
        <v>14</v>
      </c>
      <c r="J4707" t="s">
        <v>242</v>
      </c>
      <c r="K4707" t="s">
        <v>14</v>
      </c>
      <c r="L4707" t="s">
        <v>20</v>
      </c>
      <c r="M4707" t="s">
        <v>9786</v>
      </c>
      <c r="N4707" t="s">
        <v>14</v>
      </c>
    </row>
    <row r="4708" x14ac:dyDescent="0.25">
      <c r="A4708" t="n">
        <v>25</v>
      </c>
      <c r="B4708" t="s">
        <v>14</v>
      </c>
      <c r="C4708" t="s">
        <v>51</v>
      </c>
      <c r="D4708" s="2" t="s">
        <f>=HYPERLINK("https://main.knesset.gov.il/APPS/legislation/main/bills/2203690", "הצעת חוק הביטוח הלאומי (תיקון - דמי ביטוח מופחתים לסטודנטים במוסד להשכלה בחוץ לארץ), התשפ""ג-2023")</f>
        <v>9823</v>
      </c>
      <c r="E4708" t="s">
        <v>9823</v>
      </c>
      <c r="F4708" t="s">
        <v>9824</v>
      </c>
      <c r="G4708" t="s">
        <v>14</v>
      </c>
      <c r="H4708">
             </c>
      <c r="I4708" t="s">
        <v>14</v>
      </c>
      <c r="J4708" t="s">
        <v>242</v>
      </c>
      <c r="K4708" t="s">
        <v>14</v>
      </c>
      <c r="L4708" t="s">
        <v>20</v>
      </c>
      <c r="M4708" t="s">
        <v>9786</v>
      </c>
      <c r="N4708" t="s">
        <v>14</v>
      </c>
    </row>
    <row r="4709" x14ac:dyDescent="0.25">
      <c r="A4709" t="n">
        <v>25</v>
      </c>
      <c r="B4709" t="s">
        <v>14</v>
      </c>
      <c r="C4709" t="s">
        <v>51</v>
      </c>
      <c r="D4709" s="2" t="s">
        <f>=HYPERLINK("https://main.knesset.gov.il/APPS/legislation/main/bills/2203605", "הצעת חוק לתיקון פקודת הסמים המסוכנים (שידול לייבוא או ייצוא חומר הנחשב לסם בחוץ לארץ), התשפ""ג-2023")</f>
        <v>9825</v>
      </c>
      <c r="E4709" t="s">
        <v>9825</v>
      </c>
      <c r="F4709" t="s">
        <v>9826</v>
      </c>
      <c r="G4709" t="s">
        <v>14</v>
      </c>
      <c r="H4709">
             </c>
      <c r="I4709" t="s">
        <v>14</v>
      </c>
      <c r="J4709" t="s">
        <v>202</v>
      </c>
      <c r="K4709" t="s">
        <v>14</v>
      </c>
      <c r="L4709" t="s">
        <v>20</v>
      </c>
      <c r="M4709" t="s">
        <v>9786</v>
      </c>
      <c r="N4709" t="s">
        <v>14</v>
      </c>
    </row>
    <row r="4710" x14ac:dyDescent="0.25">
      <c r="A4710" t="n">
        <v>25</v>
      </c>
      <c r="B4710" t="s">
        <v>14</v>
      </c>
      <c r="C4710" t="s">
        <v>51</v>
      </c>
      <c r="D4710" s="2" t="s">
        <f>=HYPERLINK("https://main.knesset.gov.il/APPS/legislation/main/bills/2203518", "הצעת חוק לתיקון פקודת הסמים המסוכנים (שידול לייבוא או ייצוא חומר הנחשב לסם בחוץ לארץ), התשפ""ג-2023")</f>
        <v>9825</v>
      </c>
      <c r="E4710" t="s">
        <v>9825</v>
      </c>
      <c r="F4710" t="s">
        <v>9827</v>
      </c>
      <c r="G4710" t="s">
        <v>14</v>
      </c>
      <c r="H4710">
             </c>
      <c r="I4710" t="s">
        <v>14</v>
      </c>
      <c r="J4710" t="s">
        <v>242</v>
      </c>
      <c r="K4710" t="s">
        <v>14</v>
      </c>
      <c r="L4710" t="s">
        <v>20</v>
      </c>
      <c r="M4710" t="s">
        <v>9786</v>
      </c>
      <c r="N4710" t="s">
        <v>14</v>
      </c>
    </row>
    <row r="4711" x14ac:dyDescent="0.25">
      <c r="A4711" t="n">
        <v>25</v>
      </c>
      <c r="B4711" t="s">
        <v>14</v>
      </c>
      <c r="C4711" t="s">
        <v>51</v>
      </c>
      <c r="D4711" s="2" t="s">
        <f>=HYPERLINK("https://main.knesset.gov.il/APPS/legislation/main/bills/2197967", "הצעת חוק המפלגות (תיקון - חובת קיום בחירות מקדימות), התשפ""ג-2023")</f>
        <v>9828</v>
      </c>
      <c r="E4711" t="s">
        <v>9828</v>
      </c>
      <c r="F4711" t="s">
        <v>9829</v>
      </c>
      <c r="G4711" t="s">
        <v>14</v>
      </c>
      <c r="H4711">
             </c>
      <c r="I4711" t="s">
        <v>14</v>
      </c>
      <c r="J4711" t="s">
        <v>242</v>
      </c>
      <c r="K4711" t="s">
        <v>14</v>
      </c>
      <c r="L4711" t="s">
        <v>20</v>
      </c>
      <c r="M4711" t="s">
        <v>9786</v>
      </c>
      <c r="N4711" t="s">
        <v>14</v>
      </c>
    </row>
    <row r="4712" x14ac:dyDescent="0.25">
      <c r="A4712" t="n">
        <v>25</v>
      </c>
      <c r="B4712" t="s">
        <v>14</v>
      </c>
      <c r="C4712" t="s">
        <v>51</v>
      </c>
      <c r="D4712" s="2" t="s">
        <f>=HYPERLINK("https://main.knesset.gov.il/APPS/legislation/main/bills/2203581", "הצעת חוק למניעת אלימות במשפחה (פיקוח טכנולוגי להבטחת קיומו של צו הגנה והערכת מסוכנות - הוראת שעה), התשפ""ג-2023")</f>
        <v>9819</v>
      </c>
      <c r="E4712" t="s">
        <v>9819</v>
      </c>
      <c r="F4712" t="s">
        <v>9830</v>
      </c>
      <c r="G4712" t="s">
        <v>14</v>
      </c>
      <c r="H4712">
             </c>
      <c r="I4712" t="s">
        <v>14</v>
      </c>
      <c r="J4712" t="s">
        <v>242</v>
      </c>
      <c r="K4712" t="s">
        <v>14</v>
      </c>
      <c r="L4712" t="s">
        <v>20</v>
      </c>
      <c r="M4712" t="s">
        <v>9786</v>
      </c>
      <c r="N4712" t="s">
        <v>14</v>
      </c>
    </row>
    <row r="4713" x14ac:dyDescent="0.25">
      <c r="A4713" t="n">
        <v>25</v>
      </c>
      <c r="B4713" t="s">
        <v>14</v>
      </c>
      <c r="C4713" t="s">
        <v>51</v>
      </c>
      <c r="D4713" s="2" t="s">
        <f>=HYPERLINK("https://main.knesset.gov.il/APPS/legislation/main/bills/2203406", "הצעת חוק צער בעלי חיים (הגנה על בעלי חיים) (תיקון - חובת היתר לייצוא בעל חיים), התשפ""ג-2023")</f>
        <v>9831</v>
      </c>
      <c r="E4713" t="s">
        <v>9831</v>
      </c>
      <c r="F4713" t="s">
        <v>9832</v>
      </c>
      <c r="G4713" t="s">
        <v>14</v>
      </c>
      <c r="H4713">
             </c>
      <c r="I4713" t="s">
        <v>14</v>
      </c>
      <c r="J4713" t="s">
        <v>242</v>
      </c>
      <c r="K4713" t="s">
        <v>14</v>
      </c>
      <c r="L4713" t="s">
        <v>20</v>
      </c>
      <c r="M4713" t="s">
        <v>9786</v>
      </c>
      <c r="N4713" t="s">
        <v>14</v>
      </c>
    </row>
    <row r="4714" x14ac:dyDescent="0.25">
      <c r="A4714" t="n">
        <v>25</v>
      </c>
      <c r="B4714" t="s">
        <v>14</v>
      </c>
      <c r="C4714" t="s">
        <v>51</v>
      </c>
      <c r="D4714" s="2" t="s">
        <f>=HYPERLINK("https://main.knesset.gov.il/APPS/legislation/main/bills/2203379", "הצעת חוק חינוך מיוחד (תיקון - שפת הלימוד במוסד לחינוך מיוחד), התשפ""ג-2023")</f>
        <v>9833</v>
      </c>
      <c r="E4714" t="s">
        <v>9833</v>
      </c>
      <c r="F4714" t="s">
        <v>9834</v>
      </c>
      <c r="G4714" t="s">
        <v>14</v>
      </c>
      <c r="H4714">
             </c>
      <c r="I4714" t="s">
        <v>14</v>
      </c>
      <c r="J4714" t="s">
        <v>242</v>
      </c>
      <c r="K4714" t="s">
        <v>14</v>
      </c>
      <c r="L4714" t="s">
        <v>20</v>
      </c>
      <c r="M4714" t="s">
        <v>9786</v>
      </c>
      <c r="N4714" t="s">
        <v>14</v>
      </c>
    </row>
    <row r="4715" x14ac:dyDescent="0.25">
      <c r="A4715" t="n">
        <v>25</v>
      </c>
      <c r="B4715" t="s">
        <v>14</v>
      </c>
      <c r="C4715" t="s">
        <v>51</v>
      </c>
      <c r="D4715" s="2" t="s">
        <f>=HYPERLINK("https://main.knesset.gov.il/APPS/legislation/main/bills/2203340", "הצעת חוק העמותות (תיקון - מימון טרור כעילת פירוק), התשפ""ג-2023")</f>
        <v>9835</v>
      </c>
      <c r="E4715" t="s">
        <v>9835</v>
      </c>
      <c r="F4715" t="s">
        <v>9836</v>
      </c>
      <c r="G4715" t="s">
        <v>14</v>
      </c>
      <c r="H4715">
             </c>
      <c r="I4715" t="s">
        <v>14</v>
      </c>
      <c r="J4715" t="s">
        <v>242</v>
      </c>
      <c r="K4715" t="s">
        <v>14</v>
      </c>
      <c r="L4715" t="s">
        <v>20</v>
      </c>
      <c r="M4715" t="s">
        <v>9786</v>
      </c>
      <c r="N4715" t="s">
        <v>14</v>
      </c>
    </row>
    <row r="4716" x14ac:dyDescent="0.25">
      <c r="A4716" t="n">
        <v>25</v>
      </c>
      <c r="B4716" t="s">
        <v>14</v>
      </c>
      <c r="C4716" t="s">
        <v>51</v>
      </c>
      <c r="D4716" s="2" t="s">
        <f>=HYPERLINK("https://main.knesset.gov.il/APPS/legislation/main/bills/2203290", "הצעת חוק הפיקוח על מעונות יום לפעוטות (תיקון - כשירותם של מחנכים-מטפלים), התשפ""ג-2023")</f>
        <v>9837</v>
      </c>
      <c r="E4716" t="s">
        <v>9837</v>
      </c>
      <c r="F4716" t="s">
        <v>9838</v>
      </c>
      <c r="G4716" t="s">
        <v>14</v>
      </c>
      <c r="H4716">
             </c>
      <c r="I4716" t="s">
        <v>14</v>
      </c>
      <c r="J4716" t="s">
        <v>242</v>
      </c>
      <c r="K4716" t="s">
        <v>14</v>
      </c>
      <c r="L4716" t="s">
        <v>20</v>
      </c>
      <c r="M4716" t="s">
        <v>9786</v>
      </c>
      <c r="N4716" t="s">
        <v>14</v>
      </c>
    </row>
    <row r="4717" x14ac:dyDescent="0.25">
      <c r="A4717" t="n">
        <v>25</v>
      </c>
      <c r="B4717" t="s">
        <v>14</v>
      </c>
      <c r="C4717" t="s">
        <v>51</v>
      </c>
      <c r="D4717" s="2" t="s">
        <f>=HYPERLINK("https://main.knesset.gov.il/APPS/legislation/main/bills/2202804", "הצעת חוק בתי המשפט (תיקון - דוח גיוון וייצוג), התשפ""ג-2023")</f>
        <v>9839</v>
      </c>
      <c r="E4717" t="s">
        <v>9839</v>
      </c>
      <c r="F4717" t="s">
        <v>9840</v>
      </c>
      <c r="G4717" t="s">
        <v>14</v>
      </c>
      <c r="H4717">
             </c>
      <c r="I4717" t="s">
        <v>14</v>
      </c>
      <c r="J4717" t="s">
        <v>202</v>
      </c>
      <c r="K4717" t="s">
        <v>14</v>
      </c>
      <c r="L4717" t="s">
        <v>20</v>
      </c>
      <c r="M4717" t="s">
        <v>9786</v>
      </c>
      <c r="N4717" t="s">
        <v>14</v>
      </c>
    </row>
    <row r="4718" x14ac:dyDescent="0.25">
      <c r="A4718" t="n">
        <v>25</v>
      </c>
      <c r="B4718" t="s">
        <v>14</v>
      </c>
      <c r="C4718" t="s">
        <v>51</v>
      </c>
      <c r="D4718" s="2" t="s">
        <f>=HYPERLINK("https://main.knesset.gov.il/APPS/legislation/main/bills/2203792", "הצעת חוק ביטוח בריאות ממלכתי (תיקון - מחלה נדירה), התשפ""ג-2023")</f>
        <v>9841</v>
      </c>
      <c r="E4718" t="s">
        <v>9841</v>
      </c>
      <c r="F4718" t="s">
        <v>9842</v>
      </c>
      <c r="G4718" t="s">
        <v>14</v>
      </c>
      <c r="H4718">
             </c>
      <c r="I4718" t="s">
        <v>14</v>
      </c>
      <c r="J4718" t="s">
        <v>202</v>
      </c>
      <c r="K4718" t="s">
        <v>14</v>
      </c>
      <c r="L4718" t="s">
        <v>20</v>
      </c>
      <c r="M4718" t="s">
        <v>9786</v>
      </c>
      <c r="N4718" t="s">
        <v>14</v>
      </c>
    </row>
    <row r="4719" x14ac:dyDescent="0.25">
      <c r="A4719" t="n">
        <v>25</v>
      </c>
      <c r="B4719" t="s">
        <v>14</v>
      </c>
      <c r="C4719" t="s">
        <v>51</v>
      </c>
      <c r="D4719" s="2" t="s">
        <f>=HYPERLINK("https://main.knesset.gov.il/APPS/legislation/main/bills/2199934", "הצעת חוק ההסגרה (תיקון - סייג להסגרת אזרח תושב ישראל), התשפ""ג-2023")</f>
        <v>9843</v>
      </c>
      <c r="E4719" t="s">
        <v>9843</v>
      </c>
      <c r="F4719" t="s">
        <v>9844</v>
      </c>
      <c r="G4719" t="s">
        <v>14</v>
      </c>
      <c r="H4719">
             </c>
      <c r="I4719" t="s">
        <v>14</v>
      </c>
      <c r="J4719" t="s">
        <v>242</v>
      </c>
      <c r="K4719" t="s">
        <v>14</v>
      </c>
      <c r="L4719" t="s">
        <v>20</v>
      </c>
      <c r="M4719" t="s">
        <v>9786</v>
      </c>
      <c r="N4719" t="s">
        <v>14</v>
      </c>
    </row>
    <row r="4720" x14ac:dyDescent="0.25">
      <c r="A4720" t="n">
        <v>25</v>
      </c>
      <c r="B4720" t="s">
        <v>14</v>
      </c>
      <c r="C4720" t="s">
        <v>51</v>
      </c>
      <c r="D4720" s="2" t="s">
        <f>=HYPERLINK("https://main.knesset.gov.il/APPS/legislation/main/bills/2203249", "הצעת חוק הביטוח הלאומי (תיקון - השוואת קצבת אזרח ותיק לשכר הממוצע במשק), התשפ""ג-2023")</f>
        <v>9845</v>
      </c>
      <c r="E4720" t="s">
        <v>9845</v>
      </c>
      <c r="F4720" t="s">
        <v>9846</v>
      </c>
      <c r="G4720" t="s">
        <v>14</v>
      </c>
      <c r="H4720">
             </c>
      <c r="I4720" t="s">
        <v>14</v>
      </c>
      <c r="J4720" t="s">
        <v>242</v>
      </c>
      <c r="K4720" t="s">
        <v>14</v>
      </c>
      <c r="L4720" t="s">
        <v>20</v>
      </c>
      <c r="M4720" t="s">
        <v>9786</v>
      </c>
      <c r="N4720" t="s">
        <v>14</v>
      </c>
    </row>
    <row r="4721" x14ac:dyDescent="0.25">
      <c r="A4721" t="n">
        <v>25</v>
      </c>
      <c r="B4721" t="s">
        <v>14</v>
      </c>
      <c r="C4721" t="s">
        <v>51</v>
      </c>
      <c r="D4721" s="2" t="s">
        <f>=HYPERLINK("https://main.knesset.gov.il/APPS/legislation/main/bills/2203684", "הצעת חוק רישוי סוכני אונייה, התשפ""ג-2023 ")</f>
        <v>9847</v>
      </c>
      <c r="E4721" t="s">
        <v>9847</v>
      </c>
      <c r="F4721" t="s">
        <v>9848</v>
      </c>
      <c r="G4721" t="s">
        <v>14</v>
      </c>
      <c r="H4721">
             </c>
      <c r="I4721" t="s">
        <v>14</v>
      </c>
      <c r="J4721" t="s">
        <v>242</v>
      </c>
      <c r="K4721" t="s">
        <v>14</v>
      </c>
      <c r="L4721" t="s">
        <v>20</v>
      </c>
      <c r="M4721" t="s">
        <v>9786</v>
      </c>
      <c r="N4721" t="s">
        <v>14</v>
      </c>
    </row>
    <row r="4722" x14ac:dyDescent="0.25">
      <c r="A4722" t="n">
        <v>25</v>
      </c>
      <c r="B4722" t="s">
        <v>14</v>
      </c>
      <c r="C4722" t="s">
        <v>51</v>
      </c>
      <c r="D4722" s="2" t="s">
        <f>=HYPERLINK("https://main.knesset.gov.il/APPS/legislation/main/bills/2198230", "הצעת חוק שלילת זכויות לראש ממשלה לשעבר שכיהן תקופה קצרה, התשפ""ג-2023")</f>
        <v>9849</v>
      </c>
      <c r="E4722" t="s">
        <v>9849</v>
      </c>
      <c r="F4722" t="s">
        <v>9850</v>
      </c>
      <c r="G4722" t="s">
        <v>14</v>
      </c>
      <c r="H4722">
             </c>
      <c r="I4722" t="s">
        <v>14</v>
      </c>
      <c r="J4722" t="s">
        <v>242</v>
      </c>
      <c r="K4722" t="s">
        <v>14</v>
      </c>
      <c r="L4722" t="s">
        <v>20</v>
      </c>
      <c r="M4722" t="s">
        <v>9786</v>
      </c>
      <c r="N4722" t="s">
        <v>14</v>
      </c>
    </row>
    <row r="4723" x14ac:dyDescent="0.25">
      <c r="A4723" t="n">
        <v>25</v>
      </c>
      <c r="B4723" t="s">
        <v>14</v>
      </c>
      <c r="C4723" t="s">
        <v>51</v>
      </c>
      <c r="D4723" s="2" t="s">
        <f>=HYPERLINK("https://main.knesset.gov.il/APPS/legislation/main/bills/2203235", "הצעת חוק הביטוח הלאומי (תיקון - שיעור ההטבה לפי הסכם בדבר גמלת ניידות), התשפ""ג-2023")</f>
        <v>9851</v>
      </c>
      <c r="E4723" t="s">
        <v>9851</v>
      </c>
      <c r="F4723" t="s">
        <v>9852</v>
      </c>
      <c r="G4723" t="s">
        <v>14</v>
      </c>
      <c r="H4723">
             </c>
      <c r="I4723" t="s">
        <v>14</v>
      </c>
      <c r="J4723" t="s">
        <v>202</v>
      </c>
      <c r="K4723" t="s">
        <v>14</v>
      </c>
      <c r="L4723" t="s">
        <v>20</v>
      </c>
      <c r="M4723" t="s">
        <v>9786</v>
      </c>
      <c r="N4723" t="s">
        <v>14</v>
      </c>
    </row>
    <row r="4724" x14ac:dyDescent="0.25">
      <c r="A4724" t="n">
        <v>25</v>
      </c>
      <c r="B4724" t="s">
        <v>14</v>
      </c>
      <c r="C4724" t="s">
        <v>51</v>
      </c>
      <c r="D4724" s="2" t="s">
        <f>=HYPERLINK("https://main.knesset.gov.il/APPS/legislation/main/bills/2202799", "הצעת חוק טיפול ארוך טווח בעבירות מין חמורות, התשפ""ג-2023")</f>
        <v>9853</v>
      </c>
      <c r="E4724" t="s">
        <v>9853</v>
      </c>
      <c r="F4724" t="s">
        <v>9854</v>
      </c>
      <c r="G4724" t="s">
        <v>14</v>
      </c>
      <c r="H4724">
             </c>
      <c r="I4724" t="s">
        <v>14</v>
      </c>
      <c r="J4724" t="s">
        <v>242</v>
      </c>
      <c r="K4724" t="s">
        <v>14</v>
      </c>
      <c r="L4724" t="s">
        <v>20</v>
      </c>
      <c r="M4724" t="s">
        <v>9786</v>
      </c>
      <c r="N4724" t="s">
        <v>14</v>
      </c>
    </row>
    <row r="4725" x14ac:dyDescent="0.25">
      <c r="A4725" t="n">
        <v>25</v>
      </c>
      <c r="B4725" t="s">
        <v>14</v>
      </c>
      <c r="C4725" t="s">
        <v>51</v>
      </c>
      <c r="D4725" s="2" t="s">
        <f>=HYPERLINK("https://main.knesset.gov.il/APPS/legislation/main/bills/2203233", "הצעת חוק ביטוח בריאות ממלכתי (תיקון - מימון הסעה לבית חולים), התשפ""ג-2023")</f>
        <v>9855</v>
      </c>
      <c r="E4725" t="s">
        <v>9855</v>
      </c>
      <c r="F4725" t="s">
        <v>9856</v>
      </c>
      <c r="G4725" t="s">
        <v>14</v>
      </c>
      <c r="H4725">
             </c>
      <c r="I4725" t="s">
        <v>14</v>
      </c>
      <c r="J4725" t="s">
        <v>242</v>
      </c>
      <c r="K4725" t="s">
        <v>14</v>
      </c>
      <c r="L4725" t="s">
        <v>20</v>
      </c>
      <c r="M4725" t="s">
        <v>9786</v>
      </c>
      <c r="N4725" t="s">
        <v>14</v>
      </c>
    </row>
    <row r="4726" x14ac:dyDescent="0.25">
      <c r="A4726" t="n">
        <v>25</v>
      </c>
      <c r="B4726" t="s">
        <v>14</v>
      </c>
      <c r="C4726" t="s">
        <v>51</v>
      </c>
      <c r="D4726" s="2" t="s">
        <f>=HYPERLINK("https://main.knesset.gov.il/APPS/legislation/main/bills/2203812", "הצעת חוק לימוד חובה (תיקון - חינוך חינם לגיל הרך), התשפ""ג-2023")</f>
        <v>9487</v>
      </c>
      <c r="E4726" t="s">
        <v>9487</v>
      </c>
      <c r="F4726" t="s">
        <v>9857</v>
      </c>
      <c r="G4726" t="s">
        <v>14</v>
      </c>
      <c r="H4726">
             </c>
      <c r="I4726" t="s">
        <v>14</v>
      </c>
      <c r="J4726" t="s">
        <v>242</v>
      </c>
      <c r="K4726" t="s">
        <v>14</v>
      </c>
      <c r="L4726" t="s">
        <v>20</v>
      </c>
      <c r="M4726" t="s">
        <v>9786</v>
      </c>
      <c r="N4726" t="s">
        <v>14</v>
      </c>
    </row>
    <row r="4727" x14ac:dyDescent="0.25">
      <c r="A4727" t="n">
        <v>25</v>
      </c>
      <c r="B4727" t="s">
        <v>14</v>
      </c>
      <c r="C4727" t="s">
        <v>51</v>
      </c>
      <c r="D4727" s="2" t="s">
        <f>=HYPERLINK("https://main.knesset.gov.il/APPS/legislation/main/bills/2203736", "הצעת חוק הגנת הצרכן (תיקון - שינוי פרטים בכרטיס טיסה או בכרטיס לשיט), התשפ""ג-2023")</f>
        <v>9858</v>
      </c>
      <c r="E4727" t="s">
        <v>9858</v>
      </c>
      <c r="F4727" t="s">
        <v>9859</v>
      </c>
      <c r="G4727" t="s">
        <v>14</v>
      </c>
      <c r="H4727">
             </c>
      <c r="I4727" t="s">
        <v>14</v>
      </c>
      <c r="J4727" t="s">
        <v>242</v>
      </c>
      <c r="K4727" t="s">
        <v>14</v>
      </c>
      <c r="L4727" t="s">
        <v>20</v>
      </c>
      <c r="M4727" t="s">
        <v>9786</v>
      </c>
      <c r="N4727" t="s">
        <v>14</v>
      </c>
    </row>
    <row r="4728" x14ac:dyDescent="0.25">
      <c r="A4728" t="n">
        <v>25</v>
      </c>
      <c r="B4728" t="s">
        <v>14</v>
      </c>
      <c r="C4728" t="s">
        <v>51</v>
      </c>
      <c r="D4728" s="2" t="s">
        <f>=HYPERLINK("https://main.knesset.gov.il/APPS/legislation/main/bills/2203731", "הצעת חוק לתיקון פקודת התעבורה (הקמת מאגר מידע לריכוז דוחות חניה), התשפ""ג-2023")</f>
        <v>9683</v>
      </c>
      <c r="E4728" t="s">
        <v>9683</v>
      </c>
      <c r="F4728" t="s">
        <v>9860</v>
      </c>
      <c r="G4728" t="s">
        <v>14</v>
      </c>
      <c r="H4728">
             </c>
      <c r="I4728" t="s">
        <v>14</v>
      </c>
      <c r="J4728" t="s">
        <v>242</v>
      </c>
      <c r="K4728" t="s">
        <v>14</v>
      </c>
      <c r="L4728" t="s">
        <v>20</v>
      </c>
      <c r="M4728" t="s">
        <v>9786</v>
      </c>
      <c r="N4728" t="s">
        <v>14</v>
      </c>
    </row>
    <row r="4729" x14ac:dyDescent="0.25">
      <c r="A4729" t="n">
        <v>25</v>
      </c>
      <c r="B4729" t="s">
        <v>14</v>
      </c>
      <c r="C4729" t="s">
        <v>51</v>
      </c>
      <c r="D4729" s="2" t="s">
        <f>=HYPERLINK("https://main.knesset.gov.il/APPS/legislation/main/bills/2200919", "הצעת חוק לפיקוח על ייצור הצמח ושיווקו (תיקון - חובת סימון ארץ הייצור של הצמחים), התשפ""ג-2023")</f>
        <v>9861</v>
      </c>
      <c r="E4729" t="s">
        <v>9861</v>
      </c>
      <c r="F4729" t="s">
        <v>9862</v>
      </c>
      <c r="G4729" t="s">
        <v>14</v>
      </c>
      <c r="H4729">
             </c>
      <c r="I4729" t="s">
        <v>14</v>
      </c>
      <c r="J4729" t="s">
        <v>242</v>
      </c>
      <c r="K4729" t="s">
        <v>14</v>
      </c>
      <c r="L4729" t="s">
        <v>20</v>
      </c>
      <c r="M4729" t="s">
        <v>9786</v>
      </c>
      <c r="N4729" t="s">
        <v>14</v>
      </c>
    </row>
    <row r="4730" x14ac:dyDescent="0.25">
      <c r="A4730" t="n">
        <v>25</v>
      </c>
      <c r="B4730" t="s">
        <v>14</v>
      </c>
      <c r="C4730" t="s">
        <v>51</v>
      </c>
      <c r="D4730" s="2" t="s">
        <f>=HYPERLINK("https://main.knesset.gov.il/APPS/legislation/main/bills/2202651", "הצעת חוק שיפוט בתי דין רבניים (נישואין וגירושין) (תיקון - מינוי נציגות ציבור), התשפ""ג-2023")</f>
        <v>9676</v>
      </c>
      <c r="E4730" t="s">
        <v>9676</v>
      </c>
      <c r="F4730" t="s">
        <v>9863</v>
      </c>
      <c r="G4730" t="s">
        <v>14</v>
      </c>
      <c r="H4730">
             </c>
      <c r="I4730" t="s">
        <v>14</v>
      </c>
      <c r="J4730" t="s">
        <v>242</v>
      </c>
      <c r="K4730" t="s">
        <v>14</v>
      </c>
      <c r="L4730" t="s">
        <v>20</v>
      </c>
      <c r="M4730" t="s">
        <v>9786</v>
      </c>
      <c r="N4730" t="s">
        <v>14</v>
      </c>
    </row>
    <row r="4731" x14ac:dyDescent="0.25">
      <c r="A4731" t="n">
        <v>25</v>
      </c>
      <c r="B4731" t="s">
        <v>14</v>
      </c>
      <c r="C4731" t="s">
        <v>51</v>
      </c>
      <c r="D4731" s="2" t="s">
        <f>=HYPERLINK("https://main.knesset.gov.il/APPS/legislation/main/bills/2201650", "הצעת חוק למניעת הטרדה מינית (תיקון - החמרת הענישה על הטרדה מינית באמצעים טכנולוגיים - הפצת תוכן מיני של קטינים), התשפ""ג-2023")</f>
        <v>9523</v>
      </c>
      <c r="E4731" t="s">
        <v>9523</v>
      </c>
      <c r="F4731" t="s">
        <v>9864</v>
      </c>
      <c r="G4731" t="s">
        <v>14</v>
      </c>
      <c r="H4731">
             </c>
      <c r="I4731" t="s">
        <v>14</v>
      </c>
      <c r="J4731" t="s">
        <v>202</v>
      </c>
      <c r="K4731" t="s">
        <v>14</v>
      </c>
      <c r="L4731" t="s">
        <v>20</v>
      </c>
      <c r="M4731" t="s">
        <v>9786</v>
      </c>
      <c r="N4731" t="s">
        <v>14</v>
      </c>
    </row>
    <row r="4732" x14ac:dyDescent="0.25">
      <c r="A4732" t="n">
        <v>25</v>
      </c>
      <c r="B4732" t="s">
        <v>14</v>
      </c>
      <c r="C4732" t="s">
        <v>51</v>
      </c>
      <c r="D4732" s="2" t="s">
        <f>=HYPERLINK("https://main.knesset.gov.il/APPS/legislation/main/bills/2201648", "הצעת חוק חובת המכרזים (תיקון - עידוד העסקת עובדים מאוכלוסיות ייחודיות), התשפ""ג-2023")</f>
        <v>9865</v>
      </c>
      <c r="E4732" t="s">
        <v>9865</v>
      </c>
      <c r="F4732" t="s">
        <v>9866</v>
      </c>
      <c r="G4732" t="s">
        <v>14</v>
      </c>
      <c r="H4732">
             </c>
      <c r="I4732" t="s">
        <v>14</v>
      </c>
      <c r="J4732" t="s">
        <v>242</v>
      </c>
      <c r="K4732" t="s">
        <v>14</v>
      </c>
      <c r="L4732" t="s">
        <v>20</v>
      </c>
      <c r="M4732" t="s">
        <v>9786</v>
      </c>
      <c r="N4732" t="s">
        <v>14</v>
      </c>
    </row>
    <row r="4733" x14ac:dyDescent="0.25">
      <c r="A4733" t="n">
        <v>25</v>
      </c>
      <c r="B4733" t="s">
        <v>14</v>
      </c>
      <c r="C4733" t="s">
        <v>51</v>
      </c>
      <c r="D4733" s="2" t="s">
        <f>=HYPERLINK("https://main.knesset.gov.il/APPS/legislation/main/bills/2203781", "הצעת חוק למניעת אלימות במשפחה (תיקון - מניעת אלימות כלכלית) (הוראת שעה), התשפ""ג-2023")</f>
        <v>8491</v>
      </c>
      <c r="E4733" t="s">
        <v>8491</v>
      </c>
      <c r="F4733" t="s">
        <v>9867</v>
      </c>
      <c r="G4733" t="s">
        <v>14</v>
      </c>
      <c r="H4733">
             </c>
      <c r="I4733" t="s">
        <v>14</v>
      </c>
      <c r="J4733" t="s">
        <v>242</v>
      </c>
      <c r="K4733" t="s">
        <v>14</v>
      </c>
      <c r="L4733" t="s">
        <v>20</v>
      </c>
      <c r="M4733" t="s">
        <v>9786</v>
      </c>
      <c r="N4733" t="s">
        <v>14</v>
      </c>
    </row>
    <row r="4734" x14ac:dyDescent="0.25">
      <c r="A4734" t="n">
        <v>25</v>
      </c>
      <c r="B4734" t="s">
        <v>14</v>
      </c>
      <c r="C4734" t="s">
        <v>51</v>
      </c>
      <c r="D4734" s="2" t="s">
        <f>=HYPERLINK("https://main.knesset.gov.il/APPS/legislation/main/bills/2201627", "הצעת חוק מעונות יום לפעוטות (תנאים להשתתפות המדינה בעלות שכר הלימוד), התשפ""ג-2023")</f>
        <v>9868</v>
      </c>
      <c r="E4734" t="s">
        <v>9868</v>
      </c>
      <c r="F4734" t="s">
        <v>9869</v>
      </c>
      <c r="G4734" t="s">
        <v>14</v>
      </c>
      <c r="H4734">
             </c>
      <c r="I4734" t="s">
        <v>14</v>
      </c>
      <c r="J4734" t="s">
        <v>242</v>
      </c>
      <c r="K4734" t="s">
        <v>14</v>
      </c>
      <c r="L4734" t="s">
        <v>20</v>
      </c>
      <c r="M4734" t="s">
        <v>9786</v>
      </c>
      <c r="N4734" t="s">
        <v>14</v>
      </c>
    </row>
    <row r="4735" x14ac:dyDescent="0.25">
      <c r="A4735" t="n">
        <v>25</v>
      </c>
      <c r="B4735" t="s">
        <v>14</v>
      </c>
      <c r="C4735" t="s">
        <v>51</v>
      </c>
      <c r="D4735" s="2" t="s">
        <f>=HYPERLINK("https://main.knesset.gov.il/APPS/legislation/main/bills/2198410", "הצעת חוק לימוד חובה (תיקון - הוספת סייעת בגני ילדים), התשפ""ג-2023")</f>
        <v>9870</v>
      </c>
      <c r="E4735" t="s">
        <v>9870</v>
      </c>
      <c r="F4735" t="s">
        <v>9871</v>
      </c>
      <c r="G4735" t="s">
        <v>14</v>
      </c>
      <c r="H4735">
             </c>
      <c r="I4735" t="s">
        <v>14</v>
      </c>
      <c r="J4735" t="s">
        <v>242</v>
      </c>
      <c r="K4735" t="s">
        <v>14</v>
      </c>
      <c r="L4735" t="s">
        <v>20</v>
      </c>
      <c r="M4735" t="s">
        <v>9786</v>
      </c>
      <c r="N4735" t="s">
        <v>14</v>
      </c>
    </row>
    <row r="4736" x14ac:dyDescent="0.25">
      <c r="A4736" t="n">
        <v>25</v>
      </c>
      <c r="B4736" t="s">
        <v>14</v>
      </c>
      <c r="C4736" t="s">
        <v>51</v>
      </c>
      <c r="D4736" s="2" t="s">
        <f>=HYPERLINK("https://main.knesset.gov.il/APPS/legislation/main/bills/2203751", "הצעת חוק למניעת אלימות במשפחה (תיקון - מניעת אלימות כלכלית) (הוראת שעה), התשפ""ג-2023")</f>
        <v>8491</v>
      </c>
      <c r="E4736" t="s">
        <v>8491</v>
      </c>
      <c r="F4736" t="s">
        <v>9872</v>
      </c>
      <c r="G4736" t="s">
        <v>14</v>
      </c>
      <c r="H4736">
             </c>
      <c r="I4736" t="s">
        <v>14</v>
      </c>
      <c r="J4736" t="s">
        <v>242</v>
      </c>
      <c r="K4736" t="s">
        <v>14</v>
      </c>
      <c r="L4736" t="s">
        <v>20</v>
      </c>
      <c r="M4736" t="s">
        <v>9786</v>
      </c>
      <c r="N4736" t="s">
        <v>14</v>
      </c>
    </row>
    <row r="4737" x14ac:dyDescent="0.25">
      <c r="A4737" t="n">
        <v>25</v>
      </c>
      <c r="B4737" t="s">
        <v>14</v>
      </c>
      <c r="C4737" t="s">
        <v>51</v>
      </c>
      <c r="D4737" s="2" t="s">
        <f>=HYPERLINK("https://main.knesset.gov.il/APPS/legislation/main/bills/2200207", "הצעת חוק לתיקון פקודת התעבורה (זכות עיון בממצאי בחינה מעשית בנהיגה), התשפ""ג-2023")</f>
        <v>9672</v>
      </c>
      <c r="E4737" t="s">
        <v>9672</v>
      </c>
      <c r="F4737" t="s">
        <v>9873</v>
      </c>
      <c r="G4737" t="s">
        <v>14</v>
      </c>
      <c r="H4737">
             </c>
      <c r="I4737" t="s">
        <v>14</v>
      </c>
      <c r="J4737" t="s">
        <v>242</v>
      </c>
      <c r="K4737" t="s">
        <v>14</v>
      </c>
      <c r="L4737" t="s">
        <v>20</v>
      </c>
      <c r="M4737" t="s">
        <v>9786</v>
      </c>
      <c r="N4737" t="s">
        <v>14</v>
      </c>
    </row>
    <row r="4738" x14ac:dyDescent="0.25">
      <c r="A4738" t="n">
        <v>25</v>
      </c>
      <c r="B4738" t="s">
        <v>14</v>
      </c>
      <c r="C4738" t="s">
        <v>51</v>
      </c>
      <c r="D4738" s="2" t="s">
        <f>=HYPERLINK("https://main.knesset.gov.il/APPS/legislation/main/bills/2203670", "הצעת חוק לתיקון פקודת התעבורה (חניית נשים בהריון והורה לתינוק), התשפ""ג-2023")</f>
        <v>9874</v>
      </c>
      <c r="E4738" t="s">
        <v>9874</v>
      </c>
      <c r="F4738" t="s">
        <v>9875</v>
      </c>
      <c r="G4738" t="s">
        <v>14</v>
      </c>
      <c r="H4738">
             </c>
      <c r="I4738" t="s">
        <v>14</v>
      </c>
      <c r="J4738" t="s">
        <v>242</v>
      </c>
      <c r="K4738" t="s">
        <v>14</v>
      </c>
      <c r="L4738" t="s">
        <v>20</v>
      </c>
      <c r="M4738" t="s">
        <v>9786</v>
      </c>
      <c r="N4738" t="s">
        <v>14</v>
      </c>
    </row>
    <row r="4739" x14ac:dyDescent="0.25">
      <c r="A4739" t="n">
        <v>25</v>
      </c>
      <c r="B4739" t="s">
        <v>14</v>
      </c>
      <c r="C4739" t="s">
        <v>51</v>
      </c>
      <c r="D4739" s="2" t="s">
        <f>=HYPERLINK("https://main.knesset.gov.il/APPS/legislation/main/bills/2203532", "הצעת חוק הביטוח הלאומי (תיקון - מענק לכיסוי הוצאות בלידת בית), התשפ""ג-2023")</f>
        <v>9876</v>
      </c>
      <c r="E4739" t="s">
        <v>9876</v>
      </c>
      <c r="F4739" t="s">
        <v>9877</v>
      </c>
      <c r="G4739" t="s">
        <v>14</v>
      </c>
      <c r="H4739">
             </c>
      <c r="I4739" t="s">
        <v>14</v>
      </c>
      <c r="J4739" t="s">
        <v>242</v>
      </c>
      <c r="K4739" t="s">
        <v>14</v>
      </c>
      <c r="L4739" t="s">
        <v>20</v>
      </c>
      <c r="M4739" t="s">
        <v>9786</v>
      </c>
      <c r="N4739" t="s">
        <v>14</v>
      </c>
    </row>
    <row r="4740" x14ac:dyDescent="0.25">
      <c r="A4740" t="n">
        <v>25</v>
      </c>
      <c r="B4740" t="s">
        <v>14</v>
      </c>
      <c r="C4740" t="s">
        <v>51</v>
      </c>
      <c r="D4740" s="2" t="s">
        <f>=HYPERLINK("https://main.knesset.gov.il/APPS/legislation/main/bills/2203329", "הצעת חוק המאבק בטרור (תיקון - סיווג טרור ואכיפה משולבת), התשפ""ג-2023")</f>
        <v>9878</v>
      </c>
      <c r="E4740" t="s">
        <v>9878</v>
      </c>
      <c r="F4740" t="s">
        <v>9879</v>
      </c>
      <c r="G4740" t="s">
        <v>14</v>
      </c>
      <c r="H4740">
             </c>
      <c r="I4740" t="s">
        <v>14</v>
      </c>
      <c r="J4740" t="s">
        <v>242</v>
      </c>
      <c r="K4740" t="s">
        <v>14</v>
      </c>
      <c r="L4740" t="s">
        <v>20</v>
      </c>
      <c r="M4740" t="s">
        <v>9786</v>
      </c>
      <c r="N4740" t="s">
        <v>14</v>
      </c>
    </row>
    <row r="4741" x14ac:dyDescent="0.25">
      <c r="A4741" t="n">
        <v>25</v>
      </c>
      <c r="B4741" t="s">
        <v>14</v>
      </c>
      <c r="C4741" t="s">
        <v>51</v>
      </c>
      <c r="D4741" s="2" t="s">
        <f>=HYPERLINK("https://main.knesset.gov.il/APPS/legislation/main/bills/2203590", "הצעת חוק הבטחת הכנסה (תיקון - זכאות לגמלה למי שמצוי בהכשרה מקצועית), התשפ""ג-2023")</f>
        <v>9880</v>
      </c>
      <c r="E4741" t="s">
        <v>9880</v>
      </c>
      <c r="F4741" t="s">
        <v>9881</v>
      </c>
      <c r="G4741" t="s">
        <v>14</v>
      </c>
      <c r="H4741">
             </c>
      <c r="I4741" t="s">
        <v>14</v>
      </c>
      <c r="J4741" t="s">
        <v>242</v>
      </c>
      <c r="K4741" t="s">
        <v>14</v>
      </c>
      <c r="L4741" t="s">
        <v>20</v>
      </c>
      <c r="M4741" t="s">
        <v>9786</v>
      </c>
      <c r="N4741" t="s">
        <v>14</v>
      </c>
    </row>
    <row r="4742" x14ac:dyDescent="0.25">
      <c r="A4742" t="n">
        <v>25</v>
      </c>
      <c r="B4742" t="s">
        <v>14</v>
      </c>
      <c r="C4742" t="s">
        <v>51</v>
      </c>
      <c r="D4742" s="2" t="s">
        <f>=HYPERLINK("https://main.knesset.gov.il/APPS/legislation/main/bills/2203286", "הצעת חוק האזרחים הוותיקים (תיקון - לחצן מצוקה לקשיש), התשפ""ג-2023")</f>
        <v>9882</v>
      </c>
      <c r="E4742" t="s">
        <v>9882</v>
      </c>
      <c r="F4742" t="s">
        <v>9883</v>
      </c>
      <c r="G4742" t="s">
        <v>14</v>
      </c>
      <c r="H4742">
             </c>
      <c r="I4742" t="s">
        <v>14</v>
      </c>
      <c r="J4742" t="s">
        <v>242</v>
      </c>
      <c r="K4742" t="s">
        <v>14</v>
      </c>
      <c r="L4742" t="s">
        <v>20</v>
      </c>
      <c r="M4742" t="s">
        <v>9786</v>
      </c>
      <c r="N4742" t="s">
        <v>14</v>
      </c>
    </row>
    <row r="4743" x14ac:dyDescent="0.25">
      <c r="A4743" t="n">
        <v>25</v>
      </c>
      <c r="B4743" t="s">
        <v>14</v>
      </c>
      <c r="C4743" t="s">
        <v>51</v>
      </c>
      <c r="D4743" s="2" t="s">
        <f>=HYPERLINK("https://main.knesset.gov.il/APPS/legislation/main/bills/2203222", "הצעת חוק הביטוח הלאומי (תיקון - הגדלת סכום קצבאות הילדים), התשפ""ג-2023")</f>
        <v>9884</v>
      </c>
      <c r="E4743" t="s">
        <v>9884</v>
      </c>
      <c r="F4743" t="s">
        <v>9885</v>
      </c>
      <c r="G4743" t="s">
        <v>14</v>
      </c>
      <c r="H4743">
             </c>
      <c r="I4743" t="s">
        <v>14</v>
      </c>
      <c r="J4743" t="s">
        <v>242</v>
      </c>
      <c r="K4743" t="s">
        <v>14</v>
      </c>
      <c r="L4743" t="s">
        <v>20</v>
      </c>
      <c r="M4743" t="s">
        <v>9786</v>
      </c>
      <c r="N4743" t="s">
        <v>14</v>
      </c>
    </row>
    <row r="4744" x14ac:dyDescent="0.25">
      <c r="A4744" t="n">
        <v>25</v>
      </c>
      <c r="B4744" t="s">
        <v>14</v>
      </c>
      <c r="C4744" t="s">
        <v>51</v>
      </c>
      <c r="D4744" s="2" t="s">
        <f>=HYPERLINK("https://main.knesset.gov.il/APPS/legislation/main/bills/2202968", "הצעת חוק גוש אריאל, התשפ""ג-2023")</f>
        <v>9886</v>
      </c>
      <c r="E4744" t="s">
        <v>9886</v>
      </c>
      <c r="F4744" t="s">
        <v>9887</v>
      </c>
      <c r="G4744" t="s">
        <v>14</v>
      </c>
      <c r="H4744">
             </c>
      <c r="I4744" t="s">
        <v>14</v>
      </c>
      <c r="J4744" t="s">
        <v>242</v>
      </c>
      <c r="K4744" t="s">
        <v>14</v>
      </c>
      <c r="L4744" t="s">
        <v>20</v>
      </c>
      <c r="M4744" t="s">
        <v>9786</v>
      </c>
      <c r="N4744" t="s">
        <v>14</v>
      </c>
    </row>
    <row r="4745" x14ac:dyDescent="0.25">
      <c r="A4745" t="n">
        <v>25</v>
      </c>
      <c r="B4745" t="s">
        <v>14</v>
      </c>
      <c r="C4745" t="s">
        <v>51</v>
      </c>
      <c r="D4745" s="2" t="s">
        <f>=HYPERLINK("https://main.knesset.gov.il/APPS/legislation/main/bills/2203793", "הצעת חוק העונשין (תיקון - החמרת ענישה בשל תקיפת צוות רפואי), התשפ''ג-2023")</f>
        <v>9888</v>
      </c>
      <c r="E4745" t="s">
        <v>9888</v>
      </c>
      <c r="F4745" t="s">
        <v>9889</v>
      </c>
      <c r="G4745" t="s">
        <v>14</v>
      </c>
      <c r="H4745">
             </c>
      <c r="I4745" t="s">
        <v>14</v>
      </c>
      <c r="J4745" t="s">
        <v>242</v>
      </c>
      <c r="K4745" t="s">
        <v>14</v>
      </c>
      <c r="L4745" t="s">
        <v>20</v>
      </c>
      <c r="M4745" t="s">
        <v>9786</v>
      </c>
      <c r="N4745" t="s">
        <v>14</v>
      </c>
    </row>
    <row r="4746" x14ac:dyDescent="0.25">
      <c r="A4746" t="n">
        <v>25</v>
      </c>
      <c r="B4746" t="s">
        <v>14</v>
      </c>
      <c r="C4746" t="s">
        <v>51</v>
      </c>
      <c r="D4746" s="2" t="s">
        <f>=HYPERLINK("https://main.knesset.gov.il/APPS/legislation/main/bills/2196432", "הצעת חוק הביטוח הלאומי (תיקון - שינוי המונח נכה), התשפ""ג-2023")</f>
        <v>9517</v>
      </c>
      <c r="E4746" t="s">
        <v>9517</v>
      </c>
      <c r="F4746" t="s">
        <v>9890</v>
      </c>
      <c r="G4746" t="s">
        <v>14</v>
      </c>
      <c r="H4746">
             </c>
      <c r="I4746" t="s">
        <v>14</v>
      </c>
      <c r="J4746" t="s">
        <v>242</v>
      </c>
      <c r="K4746" t="s">
        <v>14</v>
      </c>
      <c r="L4746" t="s">
        <v>20</v>
      </c>
      <c r="M4746" t="s">
        <v>9786</v>
      </c>
      <c r="N4746" t="s">
        <v>14</v>
      </c>
    </row>
    <row r="4747" x14ac:dyDescent="0.25">
      <c r="A4747" t="n">
        <v>25</v>
      </c>
      <c r="B4747" t="s">
        <v>14</v>
      </c>
      <c r="C4747" t="s">
        <v>51</v>
      </c>
      <c r="D4747" s="2" t="s">
        <f>=HYPERLINK("https://main.knesset.gov.il/APPS/legislation/main/bills/2202963", "הצעת חוק הביטוח הלאומי (תיקון - ביטוח שאירים לאלמן), התשפ""ג-2023")</f>
        <v>8231</v>
      </c>
      <c r="E4747" t="s">
        <v>8231</v>
      </c>
      <c r="F4747" t="s">
        <v>9891</v>
      </c>
      <c r="G4747" t="s">
        <v>14</v>
      </c>
      <c r="H4747">
             </c>
      <c r="I4747" t="s">
        <v>14</v>
      </c>
      <c r="J4747" t="s">
        <v>242</v>
      </c>
      <c r="K4747" t="s">
        <v>14</v>
      </c>
      <c r="L4747" t="s">
        <v>20</v>
      </c>
      <c r="M4747" t="s">
        <v>9786</v>
      </c>
      <c r="N4747" t="s">
        <v>14</v>
      </c>
    </row>
    <row r="4748" x14ac:dyDescent="0.25">
      <c r="A4748" t="n">
        <v>25</v>
      </c>
      <c r="B4748" t="s">
        <v>14</v>
      </c>
      <c r="C4748" t="s">
        <v>51</v>
      </c>
      <c r="D4748" s="2" t="s">
        <f>=HYPERLINK("https://main.knesset.gov.il/APPS/legislation/main/bills/2203733", "הצעת חוק העונשין (תיקון - החמרת ענישה בעבירות אלימות), התשפ""ג-2023")</f>
        <v>9892</v>
      </c>
      <c r="E4748" t="s">
        <v>9892</v>
      </c>
      <c r="F4748" t="s">
        <v>9893</v>
      </c>
      <c r="G4748" t="s">
        <v>14</v>
      </c>
      <c r="H4748">
             </c>
      <c r="I4748" t="s">
        <v>14</v>
      </c>
      <c r="J4748" t="s">
        <v>242</v>
      </c>
      <c r="K4748" t="s">
        <v>14</v>
      </c>
      <c r="L4748" t="s">
        <v>20</v>
      </c>
      <c r="M4748" t="s">
        <v>9786</v>
      </c>
      <c r="N4748" t="s">
        <v>14</v>
      </c>
    </row>
    <row r="4749" x14ac:dyDescent="0.25">
      <c r="A4749" t="n">
        <v>25</v>
      </c>
      <c r="B4749" t="s">
        <v>14</v>
      </c>
      <c r="C4749" t="s">
        <v>51</v>
      </c>
      <c r="D4749" s="2" t="s">
        <f>=HYPERLINK("https://main.knesset.gov.il/APPS/legislation/main/bills/2203620", "הצעת חוק שירותי רווחה (זכויות נשים ששהו במקלט לנשים מוכות) (תיקון - העלאת סכום מענק ההסתגלות ושינוי מועד תשלומו), התשפ""ג-2023")</f>
        <v>9894</v>
      </c>
      <c r="E4749" t="s">
        <v>9894</v>
      </c>
      <c r="F4749" t="s">
        <v>9895</v>
      </c>
      <c r="G4749" t="s">
        <v>14</v>
      </c>
      <c r="H4749">
             </c>
      <c r="I4749" t="s">
        <v>14</v>
      </c>
      <c r="J4749" t="s">
        <v>242</v>
      </c>
      <c r="K4749" t="s">
        <v>14</v>
      </c>
      <c r="L4749" t="s">
        <v>20</v>
      </c>
      <c r="M4749" t="s">
        <v>9786</v>
      </c>
      <c r="N4749" t="s">
        <v>14</v>
      </c>
    </row>
    <row r="4750" x14ac:dyDescent="0.25">
      <c r="A4750" t="n">
        <v>25</v>
      </c>
      <c r="B4750" t="s">
        <v>14</v>
      </c>
      <c r="C4750" t="s">
        <v>51</v>
      </c>
      <c r="D4750" s="2" t="s">
        <f>=HYPERLINK("https://main.knesset.gov.il/APPS/legislation/main/bills/2202803", "הצעת חוק בתי המשפט (תיקון - התמודדות עם עינויי דין), התשפ""ג-2023")</f>
        <v>9896</v>
      </c>
      <c r="E4750" t="s">
        <v>9896</v>
      </c>
      <c r="F4750" t="s">
        <v>9897</v>
      </c>
      <c r="G4750" t="s">
        <v>14</v>
      </c>
      <c r="H4750">
             </c>
      <c r="I4750" t="s">
        <v>14</v>
      </c>
      <c r="J4750" t="s">
        <v>242</v>
      </c>
      <c r="K4750" t="s">
        <v>14</v>
      </c>
      <c r="L4750" t="s">
        <v>20</v>
      </c>
      <c r="M4750" t="s">
        <v>9786</v>
      </c>
      <c r="N4750" t="s">
        <v>14</v>
      </c>
    </row>
    <row r="4751" x14ac:dyDescent="0.25">
      <c r="A4751" t="n">
        <v>25</v>
      </c>
      <c r="B4751" t="s">
        <v>14</v>
      </c>
      <c r="C4751" t="s">
        <v>51</v>
      </c>
      <c r="D4751" s="2" t="s">
        <f>=HYPERLINK("https://main.knesset.gov.il/APPS/legislation/main/bills/2203220", "הצעת חוק ביטוח בריאות ממלכתי (תיקון - הגבלת סכום ההשתתפות העצמית בתכשיר מרשם), התשפ""ג-2023")</f>
        <v>9898</v>
      </c>
      <c r="E4751" t="s">
        <v>9898</v>
      </c>
      <c r="F4751" t="s">
        <v>9899</v>
      </c>
      <c r="G4751" t="s">
        <v>14</v>
      </c>
      <c r="H4751">
             </c>
      <c r="I4751" t="s">
        <v>14</v>
      </c>
      <c r="J4751" t="s">
        <v>242</v>
      </c>
      <c r="K4751" t="s">
        <v>14</v>
      </c>
      <c r="L4751" t="s">
        <v>20</v>
      </c>
      <c r="M4751" t="s">
        <v>9786</v>
      </c>
      <c r="N4751" t="s">
        <v>14</v>
      </c>
    </row>
    <row r="4752" x14ac:dyDescent="0.25">
      <c r="A4752" t="n">
        <v>25</v>
      </c>
      <c r="B4752" t="s">
        <v>14</v>
      </c>
      <c r="C4752" t="s">
        <v>51</v>
      </c>
      <c r="D4752" s="2" t="s">
        <f>=HYPERLINK("https://main.knesset.gov.il/APPS/legislation/main/bills/2203593", "הצעת חוק זכויות הסטודנט (תיקון - פעילות ציבורית), התשפ""ג-2023")</f>
        <v>9900</v>
      </c>
      <c r="E4752" t="s">
        <v>9900</v>
      </c>
      <c r="F4752" t="s">
        <v>9901</v>
      </c>
      <c r="G4752" t="s">
        <v>14</v>
      </c>
      <c r="H4752">
             </c>
      <c r="I4752" t="s">
        <v>14</v>
      </c>
      <c r="J4752" t="s">
        <v>242</v>
      </c>
      <c r="K4752" t="s">
        <v>14</v>
      </c>
      <c r="L4752" t="s">
        <v>20</v>
      </c>
      <c r="M4752" t="s">
        <v>9786</v>
      </c>
      <c r="N4752" t="s">
        <v>14</v>
      </c>
    </row>
    <row r="4753" x14ac:dyDescent="0.25">
      <c r="A4753" t="n">
        <v>25</v>
      </c>
      <c r="B4753" t="s">
        <v>14</v>
      </c>
      <c r="C4753" t="s">
        <v>51</v>
      </c>
      <c r="D4753" s="2" t="s">
        <f>=HYPERLINK("https://main.knesset.gov.il/APPS/legislation/main/bills/2203630", "הצעת חוק אומנה לילדים (תיקון - העברת תשלומים להורה אומנה במקרים מיוחדים), התשפ""ג-2023")</f>
        <v>8953</v>
      </c>
      <c r="E4753" t="s">
        <v>8953</v>
      </c>
      <c r="F4753" t="s">
        <v>9902</v>
      </c>
      <c r="G4753" t="s">
        <v>14</v>
      </c>
      <c r="H4753">
             </c>
      <c r="I4753" t="s">
        <v>14</v>
      </c>
      <c r="J4753" t="s">
        <v>242</v>
      </c>
      <c r="K4753" t="s">
        <v>14</v>
      </c>
      <c r="L4753" t="s">
        <v>20</v>
      </c>
      <c r="M4753" t="s">
        <v>9786</v>
      </c>
      <c r="N4753" t="s">
        <v>14</v>
      </c>
    </row>
    <row r="4754" x14ac:dyDescent="0.25">
      <c r="A4754" t="n">
        <v>25</v>
      </c>
      <c r="B4754" t="s">
        <v>14</v>
      </c>
      <c r="C4754" t="s">
        <v>51</v>
      </c>
      <c r="D4754" s="2" t="s">
        <f>=HYPERLINK("https://main.knesset.gov.il/APPS/legislation/main/bills/2203417", "הצעת חוק שיווי זכויות האישה (תיקון - הרחבת חובת הייצוג ההולם של נשים בגופים ציבוריים), התשפ""ג-2023")</f>
        <v>9903</v>
      </c>
      <c r="E4754" t="s">
        <v>9903</v>
      </c>
      <c r="F4754" t="s">
        <v>9904</v>
      </c>
      <c r="G4754" t="s">
        <v>14</v>
      </c>
      <c r="H4754">
             </c>
      <c r="I4754" t="s">
        <v>14</v>
      </c>
      <c r="J4754" t="s">
        <v>202</v>
      </c>
      <c r="K4754" t="s">
        <v>14</v>
      </c>
      <c r="L4754" t="s">
        <v>20</v>
      </c>
      <c r="M4754" t="s">
        <v>9786</v>
      </c>
      <c r="N4754" t="s">
        <v>14</v>
      </c>
    </row>
    <row r="4755" x14ac:dyDescent="0.25">
      <c r="A4755" t="n">
        <v>25</v>
      </c>
      <c r="B4755" t="s">
        <v>14</v>
      </c>
      <c r="C4755" t="s">
        <v>51</v>
      </c>
      <c r="D4755" s="2" t="s">
        <f>=HYPERLINK("https://main.knesset.gov.il/APPS/legislation/main/bills/2203799", "הצעת חוק כביש אגרה (כביש ארצי לישראל) (תיקון - החזר לנוסעים בשל האטה משמעותית), התשפ""ג-2023")</f>
        <v>9905</v>
      </c>
      <c r="E4755" t="s">
        <v>9905</v>
      </c>
      <c r="F4755" t="s">
        <v>9906</v>
      </c>
      <c r="G4755" t="s">
        <v>14</v>
      </c>
      <c r="H4755">
             </c>
      <c r="I4755" t="s">
        <v>14</v>
      </c>
      <c r="J4755" t="s">
        <v>242</v>
      </c>
      <c r="K4755" t="s">
        <v>14</v>
      </c>
      <c r="L4755" t="s">
        <v>20</v>
      </c>
      <c r="M4755" t="s">
        <v>9786</v>
      </c>
      <c r="N4755" t="s">
        <v>14</v>
      </c>
    </row>
    <row r="4756" x14ac:dyDescent="0.25">
      <c r="A4756" t="n">
        <v>25</v>
      </c>
      <c r="B4756" t="s">
        <v>14</v>
      </c>
      <c r="C4756" t="s">
        <v>51</v>
      </c>
      <c r="D4756" s="2" t="s">
        <f>=HYPERLINK("https://main.knesset.gov.il/APPS/legislation/main/bills/2198572", "הצעת חוק לפיטורין והשעיה של עובד הוראה שנפתח נגדו הליך פלילי בעבירת מין או אלימות חמורה (תיקוני חקיקה), התשפ""ג-2023")</f>
        <v>9907</v>
      </c>
      <c r="E4756" t="s">
        <v>9907</v>
      </c>
      <c r="F4756" t="s">
        <v>9908</v>
      </c>
      <c r="G4756" t="s">
        <v>14</v>
      </c>
      <c r="H4756">
             </c>
      <c r="I4756" t="s">
        <v>14</v>
      </c>
      <c r="J4756" t="s">
        <v>242</v>
      </c>
      <c r="K4756" t="s">
        <v>14</v>
      </c>
      <c r="L4756" t="s">
        <v>20</v>
      </c>
      <c r="M4756" t="s">
        <v>9786</v>
      </c>
      <c r="N4756" t="s">
        <v>14</v>
      </c>
    </row>
    <row r="4757" x14ac:dyDescent="0.25">
      <c r="A4757" t="n">
        <v>25</v>
      </c>
      <c r="B4757" t="s">
        <v>14</v>
      </c>
      <c r="C4757" t="s">
        <v>51</v>
      </c>
      <c r="D4757" s="2" t="s">
        <f>=HYPERLINK("https://main.knesset.gov.il/APPS/legislation/main/bills/2203526", "הצעת חוק איסור לכידת בעלי חיים באמצעות מלכודות, התשפ""ג-2023")</f>
        <v>4942</v>
      </c>
      <c r="E4757" t="s">
        <v>4942</v>
      </c>
      <c r="F4757" t="s">
        <v>9909</v>
      </c>
      <c r="G4757" t="s">
        <v>14</v>
      </c>
      <c r="H4757">
             </c>
      <c r="I4757" t="s">
        <v>14</v>
      </c>
      <c r="J4757" t="s">
        <v>242</v>
      </c>
      <c r="K4757" t="s">
        <v>14</v>
      </c>
      <c r="L4757" t="s">
        <v>20</v>
      </c>
      <c r="M4757" t="s">
        <v>9786</v>
      </c>
      <c r="N4757" t="s">
        <v>14</v>
      </c>
    </row>
    <row r="4758" x14ac:dyDescent="0.25">
      <c r="A4758" t="n">
        <v>25</v>
      </c>
      <c r="B4758" t="s">
        <v>14</v>
      </c>
      <c r="C4758" t="s">
        <v>51</v>
      </c>
      <c r="D4758" s="2" t="s">
        <f>=HYPERLINK("https://main.knesset.gov.il/APPS/legislation/main/bills/2203625", "הצעת חוק התכנון והבנייה (תיקון - מכירה ישירה של תוצרת חקלאית), התשפ""ג-2023")</f>
        <v>8947</v>
      </c>
      <c r="E4758" t="s">
        <v>8947</v>
      </c>
      <c r="F4758" t="s">
        <v>9910</v>
      </c>
      <c r="G4758" t="s">
        <v>14</v>
      </c>
      <c r="H4758">
             </c>
      <c r="I4758" t="s">
        <v>14</v>
      </c>
      <c r="J4758" t="s">
        <v>242</v>
      </c>
      <c r="K4758" t="s">
        <v>14</v>
      </c>
      <c r="L4758" t="s">
        <v>20</v>
      </c>
      <c r="M4758" t="s">
        <v>9786</v>
      </c>
      <c r="N4758" t="s">
        <v>14</v>
      </c>
    </row>
    <row r="4759" x14ac:dyDescent="0.25">
      <c r="A4759" t="n">
        <v>25</v>
      </c>
      <c r="B4759" t="s">
        <v>14</v>
      </c>
      <c r="C4759" t="s">
        <v>51</v>
      </c>
      <c r="D4759" s="2" t="s">
        <f>=HYPERLINK("https://main.knesset.gov.il/APPS/legislation/main/bills/2203735", "הצעת חוק דמי מחלה (היעדרות בשל מחלת ילד) (תיקון - היעדרות בעקבות תקיפה או התעללות בילד), התשפ""ג-2023")</f>
        <v>8399</v>
      </c>
      <c r="E4759" t="s">
        <v>8399</v>
      </c>
      <c r="F4759" t="s">
        <v>9911</v>
      </c>
      <c r="G4759" t="s">
        <v>14</v>
      </c>
      <c r="H4759">
             </c>
      <c r="I4759" t="s">
        <v>14</v>
      </c>
      <c r="J4759" t="s">
        <v>242</v>
      </c>
      <c r="K4759" t="s">
        <v>14</v>
      </c>
      <c r="L4759" t="s">
        <v>20</v>
      </c>
      <c r="M4759" t="s">
        <v>9786</v>
      </c>
      <c r="N4759" t="s">
        <v>14</v>
      </c>
    </row>
    <row r="4760" x14ac:dyDescent="0.25">
      <c r="A4760" t="n">
        <v>25</v>
      </c>
      <c r="B4760" t="s">
        <v>14</v>
      </c>
      <c r="C4760" t="s">
        <v>51</v>
      </c>
      <c r="D4760" s="2" t="s">
        <f>=HYPERLINK("https://main.knesset.gov.il/APPS/legislation/main/bills/2203111", "הצעת חוק לימוד חובה (תיקון - חינוך חינם מגיל שנתיים), התשפ""ג-2023")</f>
        <v>9912</v>
      </c>
      <c r="E4760" t="s">
        <v>9912</v>
      </c>
      <c r="F4760" t="s">
        <v>9913</v>
      </c>
      <c r="G4760" t="s">
        <v>14</v>
      </c>
      <c r="H4760">
             </c>
      <c r="I4760" t="s">
        <v>14</v>
      </c>
      <c r="J4760" t="s">
        <v>242</v>
      </c>
      <c r="K4760" t="s">
        <v>14</v>
      </c>
      <c r="L4760" t="s">
        <v>20</v>
      </c>
      <c r="M4760" t="s">
        <v>9786</v>
      </c>
      <c r="N4760" t="s">
        <v>14</v>
      </c>
    </row>
    <row r="4761" x14ac:dyDescent="0.25">
      <c r="A4761" t="n">
        <v>25</v>
      </c>
      <c r="B4761" t="s">
        <v>14</v>
      </c>
      <c r="C4761" t="s">
        <v>51</v>
      </c>
      <c r="D4761" s="2" t="s">
        <f>=HYPERLINK("https://main.knesset.gov.il/APPS/legislation/main/bills/2203629", "הצעת חוק הביטוח הלאומי (תיקון - עבודה בחינוך וסיוע להוראה או בטיפול בילדים כעבודה מועדפת), התשפ""ג-2023")</f>
        <v>9914</v>
      </c>
      <c r="E4761" t="s">
        <v>9914</v>
      </c>
      <c r="F4761" t="s">
        <v>9915</v>
      </c>
      <c r="G4761" t="s">
        <v>14</v>
      </c>
      <c r="H4761">
             </c>
      <c r="I4761" t="s">
        <v>14</v>
      </c>
      <c r="J4761" t="s">
        <v>242</v>
      </c>
      <c r="K4761" t="s">
        <v>14</v>
      </c>
      <c r="L4761" t="s">
        <v>20</v>
      </c>
      <c r="M4761" t="s">
        <v>9786</v>
      </c>
      <c r="N4761" t="s">
        <v>14</v>
      </c>
    </row>
    <row r="4762" x14ac:dyDescent="0.25">
      <c r="A4762" t="n">
        <v>25</v>
      </c>
      <c r="B4762" t="s">
        <v>14</v>
      </c>
      <c r="C4762" t="s">
        <v>51</v>
      </c>
      <c r="D4762" s="2" t="s">
        <f>=HYPERLINK("https://main.knesset.gov.il/APPS/legislation/main/bills/2203216", "הצעת חוק הביטוח הלאומי (תיקון - תשלום תוספת לגמלת אזרח ותיק לנכה שהכנסתו נמוכה משכר המינימום), התשפ""ג-2023")</f>
        <v>9916</v>
      </c>
      <c r="E4762" t="s">
        <v>9916</v>
      </c>
      <c r="F4762" t="s">
        <v>9917</v>
      </c>
      <c r="G4762" t="s">
        <v>14</v>
      </c>
      <c r="H4762">
             </c>
      <c r="I4762" t="s">
        <v>14</v>
      </c>
      <c r="J4762" t="s">
        <v>242</v>
      </c>
      <c r="K4762" t="s">
        <v>14</v>
      </c>
      <c r="L4762" t="s">
        <v>20</v>
      </c>
      <c r="M4762" t="s">
        <v>9786</v>
      </c>
      <c r="N4762" t="s">
        <v>14</v>
      </c>
    </row>
    <row r="4763" x14ac:dyDescent="0.25">
      <c r="A4763" t="n">
        <v>25</v>
      </c>
      <c r="B4763" t="s">
        <v>14</v>
      </c>
      <c r="C4763" t="s">
        <v>51</v>
      </c>
      <c r="D4763" s="2" t="s">
        <f>=HYPERLINK("https://main.knesset.gov.il/APPS/legislation/main/bills/2201995", "הצעת חוק עובדים זרים (תיקון - גביית פיצוי נזיקי מכספי פיקדון), התשפ""ג-2023")</f>
        <v>9918</v>
      </c>
      <c r="E4763" t="s">
        <v>9918</v>
      </c>
      <c r="F4763" t="s">
        <v>9919</v>
      </c>
      <c r="G4763" t="s">
        <v>14</v>
      </c>
      <c r="H4763">
             </c>
      <c r="I4763" t="s">
        <v>14</v>
      </c>
      <c r="J4763" t="s">
        <v>242</v>
      </c>
      <c r="K4763" t="s">
        <v>14</v>
      </c>
      <c r="L4763" t="s">
        <v>20</v>
      </c>
      <c r="M4763" t="s">
        <v>9786</v>
      </c>
      <c r="N4763" t="s">
        <v>14</v>
      </c>
    </row>
    <row r="4764" x14ac:dyDescent="0.25">
      <c r="A4764" t="n">
        <v>25</v>
      </c>
      <c r="B4764" t="s">
        <v>14</v>
      </c>
      <c r="C4764" t="s">
        <v>51</v>
      </c>
      <c r="D4764" s="2" t="s">
        <f>=HYPERLINK("https://main.knesset.gov.il/APPS/legislation/main/bills/2203221", "הצעת חוק התאמת אופן ההעסקה של מטפלות במשפחתונים המפוקחים על ידי משרד העבודה, התשפ""ג-2023")</f>
        <v>9920</v>
      </c>
      <c r="E4764" t="s">
        <v>9920</v>
      </c>
      <c r="F4764" t="s">
        <v>9921</v>
      </c>
      <c r="G4764" t="s">
        <v>14</v>
      </c>
      <c r="H4764">
             </c>
      <c r="I4764" t="s">
        <v>14</v>
      </c>
      <c r="J4764" t="s">
        <v>242</v>
      </c>
      <c r="K4764" t="s">
        <v>14</v>
      </c>
      <c r="L4764" t="s">
        <v>20</v>
      </c>
      <c r="M4764" t="s">
        <v>9786</v>
      </c>
      <c r="N4764" t="s">
        <v>14</v>
      </c>
    </row>
    <row r="4765" x14ac:dyDescent="0.25">
      <c r="A4765" t="n">
        <v>25</v>
      </c>
      <c r="B4765" t="s">
        <v>14</v>
      </c>
      <c r="C4765" t="s">
        <v>51</v>
      </c>
      <c r="D4765" s="2" t="s">
        <f>=HYPERLINK("https://main.knesset.gov.il/APPS/legislation/main/bills/2203775", "הצעת חוק עבודת נשים (תיקון - תקופת לידה והורות לבן זוג של יולדת), התשפ""ג-2023")</f>
        <v>9922</v>
      </c>
      <c r="E4765" t="s">
        <v>9922</v>
      </c>
      <c r="F4765" t="s">
        <v>9923</v>
      </c>
      <c r="G4765" t="s">
        <v>14</v>
      </c>
      <c r="H4765">
             </c>
      <c r="I4765" t="s">
        <v>14</v>
      </c>
      <c r="J4765" t="s">
        <v>242</v>
      </c>
      <c r="K4765" t="s">
        <v>14</v>
      </c>
      <c r="L4765" t="s">
        <v>20</v>
      </c>
      <c r="M4765" t="s">
        <v>9786</v>
      </c>
      <c r="N4765" t="s">
        <v>14</v>
      </c>
    </row>
    <row r="4766" x14ac:dyDescent="0.25">
      <c r="A4766" t="n">
        <v>25</v>
      </c>
      <c r="B4766" t="s">
        <v>14</v>
      </c>
      <c r="C4766" t="s">
        <v>51</v>
      </c>
      <c r="D4766" s="2" t="s">
        <f>=HYPERLINK("https://main.knesset.gov.il/APPS/legislation/main/bills/2202793", "הצעת חוק לאיסור מתן היתר שהייה בישראל לעבריין בנייה בשטחי c, התשפ""ג-2023")</f>
        <v>9924</v>
      </c>
      <c r="E4766" t="s">
        <v>9924</v>
      </c>
      <c r="F4766" t="s">
        <v>9925</v>
      </c>
      <c r="G4766" t="s">
        <v>14</v>
      </c>
      <c r="H4766">
             </c>
      <c r="I4766" t="s">
        <v>14</v>
      </c>
      <c r="J4766" t="s">
        <v>242</v>
      </c>
      <c r="K4766" t="s">
        <v>14</v>
      </c>
      <c r="L4766" t="s">
        <v>20</v>
      </c>
      <c r="M4766" t="s">
        <v>9786</v>
      </c>
      <c r="N4766" t="s">
        <v>14</v>
      </c>
    </row>
    <row r="4767" x14ac:dyDescent="0.25">
      <c r="A4767" t="n">
        <v>25</v>
      </c>
      <c r="B4767" t="s">
        <v>14</v>
      </c>
      <c r="C4767" t="s">
        <v>51</v>
      </c>
      <c r="D4767" s="2" t="s">
        <f>=HYPERLINK("https://main.knesset.gov.il/APPS/legislation/main/bills/2202773", "הצעת חוק הביטוח הלאומי (תיקון - הארכת הזכאות של חולה במחלה ממארת), התשפ""ג-2023")</f>
        <v>9219</v>
      </c>
      <c r="E4767" t="s">
        <v>9219</v>
      </c>
      <c r="F4767" t="s">
        <v>9926</v>
      </c>
      <c r="G4767" t="s">
        <v>14</v>
      </c>
      <c r="H4767">
             </c>
      <c r="I4767" t="s">
        <v>14</v>
      </c>
      <c r="J4767" t="s">
        <v>242</v>
      </c>
      <c r="K4767" t="s">
        <v>14</v>
      </c>
      <c r="L4767" t="s">
        <v>20</v>
      </c>
      <c r="M4767" t="s">
        <v>9786</v>
      </c>
      <c r="N4767" t="s">
        <v>14</v>
      </c>
    </row>
    <row r="4768" x14ac:dyDescent="0.25">
      <c r="A4768" t="n">
        <v>25</v>
      </c>
      <c r="B4768" t="s">
        <v>14</v>
      </c>
      <c r="C4768" t="s">
        <v>51</v>
      </c>
      <c r="D4768" s="2" t="s">
        <f>=HYPERLINK("https://main.knesset.gov.il/APPS/legislation/main/bills/2202654", "הצעת חוק זכויות הסטודנט (תיקון - הרחבת זכויות הסטודנט), התשפ""ג-2023")</f>
        <v>9927</v>
      </c>
      <c r="E4768" t="s">
        <v>9927</v>
      </c>
      <c r="F4768" t="s">
        <v>9928</v>
      </c>
      <c r="G4768" t="s">
        <v>14</v>
      </c>
      <c r="H4768">
             </c>
      <c r="I4768" t="s">
        <v>14</v>
      </c>
      <c r="J4768" t="s">
        <v>242</v>
      </c>
      <c r="K4768" t="s">
        <v>14</v>
      </c>
      <c r="L4768" t="s">
        <v>20</v>
      </c>
      <c r="M4768" t="s">
        <v>9786</v>
      </c>
      <c r="N4768" t="s">
        <v>14</v>
      </c>
    </row>
    <row r="4769" x14ac:dyDescent="0.25">
      <c r="A4769" t="n">
        <v>25</v>
      </c>
      <c r="B4769" t="s">
        <v>14</v>
      </c>
      <c r="C4769" t="s">
        <v>51</v>
      </c>
      <c r="D4769" s="2" t="s">
        <f>=HYPERLINK("https://main.knesset.gov.il/APPS/legislation/main/bills/2202567", "הצעת חוק לעידוד השקעות הון (תיקון - הטבות לחברת התחדשות עירונית בפריפריה), התשפ""ג-2023")</f>
        <v>9929</v>
      </c>
      <c r="E4769" t="s">
        <v>9929</v>
      </c>
      <c r="F4769" t="s">
        <v>9930</v>
      </c>
      <c r="G4769" t="s">
        <v>14</v>
      </c>
      <c r="H4769">
             </c>
      <c r="I4769" t="s">
        <v>14</v>
      </c>
      <c r="J4769" t="s">
        <v>202</v>
      </c>
      <c r="K4769" t="s">
        <v>14</v>
      </c>
      <c r="L4769" t="s">
        <v>20</v>
      </c>
      <c r="M4769" t="s">
        <v>9786</v>
      </c>
      <c r="N4769" t="s">
        <v>14</v>
      </c>
    </row>
    <row r="4770" x14ac:dyDescent="0.25">
      <c r="A4770" t="n">
        <v>25</v>
      </c>
      <c r="B4770" t="s">
        <v>14</v>
      </c>
      <c r="C4770" t="s">
        <v>51</v>
      </c>
      <c r="D4770" s="2" t="s">
        <f>=HYPERLINK("https://main.knesset.gov.il/APPS/legislation/main/bills/2202762", "הצעת חוק עורכי דין מיוחדים, התשפ""ג-2023")</f>
        <v>9931</v>
      </c>
      <c r="E4770" t="s">
        <v>9931</v>
      </c>
      <c r="F4770" t="s">
        <v>9932</v>
      </c>
      <c r="G4770" t="s">
        <v>14</v>
      </c>
      <c r="H4770">
             </c>
      <c r="I4770" t="s">
        <v>14</v>
      </c>
      <c r="J4770" t="s">
        <v>242</v>
      </c>
      <c r="K4770" t="s">
        <v>14</v>
      </c>
      <c r="L4770" t="s">
        <v>20</v>
      </c>
      <c r="M4770" t="s">
        <v>9786</v>
      </c>
      <c r="N4770" t="s">
        <v>14</v>
      </c>
    </row>
    <row r="4771" x14ac:dyDescent="0.25">
      <c r="A4771" t="n">
        <v>25</v>
      </c>
      <c r="B4771" t="s">
        <v>14</v>
      </c>
      <c r="C4771" t="s">
        <v>51</v>
      </c>
      <c r="D4771" s="2" t="s">
        <f>=HYPERLINK("https://main.knesset.gov.il/APPS/legislation/main/bills/2203621", "הצעת חוק הביטוח הלאומי (תיקון - הקלות בניידות), התשפ""ג-2023")</f>
        <v>9933</v>
      </c>
      <c r="E4771" t="s">
        <v>9933</v>
      </c>
      <c r="F4771" t="s">
        <v>9934</v>
      </c>
      <c r="G4771" t="s">
        <v>14</v>
      </c>
      <c r="H4771">
             </c>
      <c r="I4771" t="s">
        <v>14</v>
      </c>
      <c r="J4771" t="s">
        <v>242</v>
      </c>
      <c r="K4771" t="s">
        <v>14</v>
      </c>
      <c r="L4771" t="s">
        <v>20</v>
      </c>
      <c r="M4771" t="s">
        <v>9786</v>
      </c>
      <c r="N4771" t="s">
        <v>14</v>
      </c>
    </row>
    <row r="4772" x14ac:dyDescent="0.25">
      <c r="A4772" t="n">
        <v>25</v>
      </c>
      <c r="B4772" t="s">
        <v>14</v>
      </c>
      <c r="C4772" t="s">
        <v>51</v>
      </c>
      <c r="D4772" s="2" t="s">
        <f>=HYPERLINK("https://main.knesset.gov.il/APPS/legislation/main/bills/2201339", "הצעת חוק מערך החוץ וההסברה, התשפ""ג-2023")</f>
        <v>9935</v>
      </c>
      <c r="E4772" t="s">
        <v>9935</v>
      </c>
      <c r="F4772" t="s">
        <v>9936</v>
      </c>
      <c r="G4772" t="s">
        <v>14</v>
      </c>
      <c r="H4772">
             </c>
      <c r="I4772" t="s">
        <v>14</v>
      </c>
      <c r="J4772" t="s">
        <v>242</v>
      </c>
      <c r="K4772" t="s">
        <v>14</v>
      </c>
      <c r="L4772" t="s">
        <v>20</v>
      </c>
      <c r="M4772" t="s">
        <v>9786</v>
      </c>
      <c r="N4772" t="s">
        <v>14</v>
      </c>
    </row>
    <row r="4773" x14ac:dyDescent="0.25">
      <c r="A4773" t="n">
        <v>25</v>
      </c>
      <c r="B4773" t="s">
        <v>14</v>
      </c>
      <c r="C4773" t="s">
        <v>51</v>
      </c>
      <c r="D4773" s="2" t="s">
        <f>=HYPERLINK("https://main.knesset.gov.il/APPS/legislation/main/bills/2200955", "הצעת חוק לתיקון פקודת מס הכנסה (שינוי הקריטריונים ליישוב מוטב), התשפ""ג-2023")</f>
        <v>9937</v>
      </c>
      <c r="E4773" t="s">
        <v>9937</v>
      </c>
      <c r="F4773" t="s">
        <v>9938</v>
      </c>
      <c r="G4773" t="s">
        <v>14</v>
      </c>
      <c r="H4773">
             </c>
      <c r="I4773" t="s">
        <v>14</v>
      </c>
      <c r="J4773" t="s">
        <v>242</v>
      </c>
      <c r="K4773" t="s">
        <v>14</v>
      </c>
      <c r="L4773" t="s">
        <v>20</v>
      </c>
      <c r="M4773" t="s">
        <v>9786</v>
      </c>
      <c r="N4773" t="s">
        <v>14</v>
      </c>
    </row>
    <row r="4774" x14ac:dyDescent="0.25">
      <c r="A4774" t="n">
        <v>25</v>
      </c>
      <c r="B4774" t="s">
        <v>14</v>
      </c>
      <c r="C4774" t="s">
        <v>51</v>
      </c>
      <c r="D4774" s="2" t="s">
        <f>=HYPERLINK("https://main.knesset.gov.il/APPS/legislation/main/bills/2201643", "הצעת חוק שעות עבודה ומנוחה (תיקון - סמכויות שרים להתרת עבודות בשבת), התשפ""ג-2023")</f>
        <v>9939</v>
      </c>
      <c r="E4774" t="s">
        <v>9939</v>
      </c>
      <c r="F4774" t="s">
        <v>9940</v>
      </c>
      <c r="G4774" t="s">
        <v>14</v>
      </c>
      <c r="H4774">
             </c>
      <c r="I4774" t="s">
        <v>14</v>
      </c>
      <c r="J4774" t="s">
        <v>242</v>
      </c>
      <c r="K4774" t="s">
        <v>14</v>
      </c>
      <c r="L4774" t="s">
        <v>20</v>
      </c>
      <c r="M4774" t="s">
        <v>9786</v>
      </c>
      <c r="N4774" t="s">
        <v>14</v>
      </c>
    </row>
    <row r="4775" x14ac:dyDescent="0.25">
      <c r="A4775" t="n">
        <v>25</v>
      </c>
      <c r="B4775" t="s">
        <v>14</v>
      </c>
      <c r="C4775" t="s">
        <v>51</v>
      </c>
      <c r="D4775" s="2" t="s">
        <f>=HYPERLINK("https://main.knesset.gov.il/APPS/legislation/main/bills/2197822", "הצעת חוק לתיקון פקודת מס הכנסה (יישוב מוטב), התשפ""ג-2023")</f>
        <v>9258</v>
      </c>
      <c r="E4775" t="s">
        <v>9258</v>
      </c>
      <c r="F4775" t="s">
        <v>9941</v>
      </c>
      <c r="G4775" t="s">
        <v>14</v>
      </c>
      <c r="H4775">
             </c>
      <c r="I4775" t="s">
        <v>14</v>
      </c>
      <c r="J4775" t="s">
        <v>242</v>
      </c>
      <c r="K4775" t="s">
        <v>14</v>
      </c>
      <c r="L4775" t="s">
        <v>20</v>
      </c>
      <c r="M4775" t="s">
        <v>9786</v>
      </c>
      <c r="N4775" t="s">
        <v>14</v>
      </c>
    </row>
    <row r="4776" x14ac:dyDescent="0.25">
      <c r="A4776" t="n">
        <v>25</v>
      </c>
      <c r="B4776" t="s">
        <v>14</v>
      </c>
      <c r="C4776" t="s">
        <v>51</v>
      </c>
      <c r="D4776" s="2" t="s">
        <f>=HYPERLINK("https://main.knesset.gov.il/APPS/legislation/main/bills/2203135", "הצעת חוק ביטוח בריאות ממלכתי (תיקון - העברת תיק רפואי במעבר בין קופות חולים), התשפ""ג-2023")</f>
        <v>8351</v>
      </c>
      <c r="E4776" t="s">
        <v>8351</v>
      </c>
      <c r="F4776" t="s">
        <v>9942</v>
      </c>
      <c r="G4776" t="s">
        <v>14</v>
      </c>
      <c r="H4776">
             </c>
      <c r="I4776" t="s">
        <v>14</v>
      </c>
      <c r="J4776" t="s">
        <v>242</v>
      </c>
      <c r="K4776" t="s">
        <v>14</v>
      </c>
      <c r="L4776" t="s">
        <v>20</v>
      </c>
      <c r="M4776" t="s">
        <v>9786</v>
      </c>
      <c r="N4776" t="s">
        <v>14</v>
      </c>
    </row>
    <row r="4777" x14ac:dyDescent="0.25">
      <c r="A4777" t="n">
        <v>25</v>
      </c>
      <c r="B4777" t="s">
        <v>14</v>
      </c>
      <c r="C4777" t="s">
        <v>51</v>
      </c>
      <c r="D4777" s="2" t="s">
        <f>=HYPERLINK("https://main.knesset.gov.il/APPS/legislation/main/bills/2200376", "הצעת חוק ההתגוננות האזרחית (תיקון - אפשרות לקבלת פטור מבניית מקלט בהרחבת בית), התשפ""ג-2023")</f>
        <v>9943</v>
      </c>
      <c r="E4777" t="s">
        <v>9943</v>
      </c>
      <c r="F4777" t="s">
        <v>9944</v>
      </c>
      <c r="G4777" t="s">
        <v>14</v>
      </c>
      <c r="H4777">
             </c>
      <c r="I4777" t="s">
        <v>14</v>
      </c>
      <c r="J4777" t="s">
        <v>242</v>
      </c>
      <c r="K4777" t="s">
        <v>14</v>
      </c>
      <c r="L4777" t="s">
        <v>20</v>
      </c>
      <c r="M4777" t="s">
        <v>9786</v>
      </c>
      <c r="N4777" t="s">
        <v>14</v>
      </c>
    </row>
    <row r="4778" x14ac:dyDescent="0.25">
      <c r="A4778" t="n">
        <v>25</v>
      </c>
      <c r="B4778" t="s">
        <v>14</v>
      </c>
      <c r="C4778" t="s">
        <v>51</v>
      </c>
      <c r="D4778" s="2" t="s">
        <f>=HYPERLINK("https://main.knesset.gov.il/APPS/legislation/main/bills/2201160", "הצעת חוק לייעול האכיפה והפיקוח העירוניים ברשויות המקומיות (הוראת שעה) (תיקון - סמכויות לשמירה על הסדר הציבורי), התשפ""ג-2023")</f>
        <v>9945</v>
      </c>
      <c r="E4778" t="s">
        <v>9945</v>
      </c>
      <c r="F4778" t="s">
        <v>9946</v>
      </c>
      <c r="G4778" t="s">
        <v>14</v>
      </c>
      <c r="H4778">
             </c>
      <c r="I4778" t="s">
        <v>14</v>
      </c>
      <c r="J4778" t="s">
        <v>242</v>
      </c>
      <c r="K4778" t="s">
        <v>14</v>
      </c>
      <c r="L4778" t="s">
        <v>20</v>
      </c>
      <c r="M4778" t="s">
        <v>9786</v>
      </c>
      <c r="N4778" t="s">
        <v>14</v>
      </c>
    </row>
    <row r="4779" x14ac:dyDescent="0.25">
      <c r="A4779" t="n">
        <v>25</v>
      </c>
      <c r="B4779" t="s">
        <v>14</v>
      </c>
      <c r="C4779" t="s">
        <v>51</v>
      </c>
      <c r="D4779" s="2" t="s">
        <f>=HYPERLINK("https://main.knesset.gov.il/APPS/legislation/main/bills/2201285", "הצעת חוק המועצה להשכלה גבוהה (תיקון - ביטול חובת דרישות מבחני כניסה וציון פסיכומטרי), התשפ""ג-2023")</f>
        <v>9947</v>
      </c>
      <c r="E4779" t="s">
        <v>9947</v>
      </c>
      <c r="F4779" t="s">
        <v>9948</v>
      </c>
      <c r="G4779" t="s">
        <v>14</v>
      </c>
      <c r="H4779">
             </c>
      <c r="I4779" t="s">
        <v>14</v>
      </c>
      <c r="J4779" t="s">
        <v>242</v>
      </c>
      <c r="K4779" t="s">
        <v>14</v>
      </c>
      <c r="L4779" t="s">
        <v>20</v>
      </c>
      <c r="M4779" t="s">
        <v>9786</v>
      </c>
      <c r="N4779" t="s">
        <v>14</v>
      </c>
    </row>
    <row r="4780" x14ac:dyDescent="0.25">
      <c r="A4780" t="n">
        <v>25</v>
      </c>
      <c r="B4780" t="s">
        <v>14</v>
      </c>
      <c r="C4780" t="s">
        <v>51</v>
      </c>
      <c r="D4780" s="2" t="s">
        <f>=HYPERLINK("https://main.knesset.gov.il/APPS/legislation/main/bills/2200216", "הצעת חוק העונשין (תיקון - הגנת בית מגורים, נכס, בית עסק ומשק חקלאי), התשפ""ג-2023")</f>
        <v>9949</v>
      </c>
      <c r="E4780" t="s">
        <v>9949</v>
      </c>
      <c r="F4780" t="s">
        <v>9950</v>
      </c>
      <c r="G4780" t="s">
        <v>14</v>
      </c>
      <c r="H4780">
             </c>
      <c r="I4780" t="s">
        <v>14</v>
      </c>
      <c r="J4780" t="s">
        <v>242</v>
      </c>
      <c r="K4780" t="s">
        <v>14</v>
      </c>
      <c r="L4780" t="s">
        <v>20</v>
      </c>
      <c r="M4780" t="s">
        <v>9786</v>
      </c>
      <c r="N4780" t="s">
        <v>14</v>
      </c>
    </row>
    <row r="4781" x14ac:dyDescent="0.25">
      <c r="A4781" t="n">
        <v>25</v>
      </c>
      <c r="B4781" t="s">
        <v>14</v>
      </c>
      <c r="C4781" t="s">
        <v>51</v>
      </c>
      <c r="D4781" s="2" t="s">
        <f>=HYPERLINK("https://main.knesset.gov.il/APPS/legislation/main/bills/2202986", "הצעת חוק ביטול המינהל האזרחי, התשפ""ג-2023")</f>
        <v>9951</v>
      </c>
      <c r="E4781" t="s">
        <v>9951</v>
      </c>
      <c r="F4781" t="s">
        <v>9952</v>
      </c>
      <c r="G4781" t="s">
        <v>14</v>
      </c>
      <c r="H4781">
             </c>
      <c r="I4781" t="s">
        <v>14</v>
      </c>
      <c r="J4781" t="s">
        <v>242</v>
      </c>
      <c r="K4781" t="s">
        <v>14</v>
      </c>
      <c r="L4781" t="s">
        <v>20</v>
      </c>
      <c r="M4781" t="s">
        <v>9786</v>
      </c>
      <c r="N4781" t="s">
        <v>14</v>
      </c>
    </row>
    <row r="4782" x14ac:dyDescent="0.25">
      <c r="A4782" t="n">
        <v>25</v>
      </c>
      <c r="B4782" t="s">
        <v>14</v>
      </c>
      <c r="C4782" t="s">
        <v>51</v>
      </c>
      <c r="D4782" s="2" t="s">
        <f>=HYPERLINK("https://main.knesset.gov.il/APPS/legislation/main/bills/2203305", "הצעת חוק משפחות חיילים שנספו במערכה (תגמולים ושיקום) (תיקון - הכרה בארוסות חיילים שנספו במערכה), התשפ""ג-2023")</f>
        <v>9953</v>
      </c>
      <c r="E4782" t="s">
        <v>9953</v>
      </c>
      <c r="F4782" t="s">
        <v>9954</v>
      </c>
      <c r="G4782" t="s">
        <v>14</v>
      </c>
      <c r="H4782">
             </c>
      <c r="I4782" t="s">
        <v>14</v>
      </c>
      <c r="J4782" t="s">
        <v>202</v>
      </c>
      <c r="K4782" t="s">
        <v>14</v>
      </c>
      <c r="L4782" t="s">
        <v>20</v>
      </c>
      <c r="M4782" t="s">
        <v>9786</v>
      </c>
      <c r="N4782" t="s">
        <v>14</v>
      </c>
    </row>
    <row r="4783" x14ac:dyDescent="0.25">
      <c r="A4783" t="n">
        <v>25</v>
      </c>
      <c r="B4783" t="s">
        <v>14</v>
      </c>
      <c r="C4783" t="s">
        <v>51</v>
      </c>
      <c r="D4783" s="2" t="s">
        <f>=HYPERLINK("https://main.knesset.gov.il/APPS/legislation/main/bills/2200369", "הצעת חוק השיפוט הצבאי (תיקון - וידוא הריגה), התשפ""ג-2023")</f>
        <v>9955</v>
      </c>
      <c r="E4783" t="s">
        <v>9955</v>
      </c>
      <c r="F4783" t="s">
        <v>9956</v>
      </c>
      <c r="G4783" t="s">
        <v>14</v>
      </c>
      <c r="H4783">
             </c>
      <c r="I4783" t="s">
        <v>14</v>
      </c>
      <c r="J4783" t="s">
        <v>242</v>
      </c>
      <c r="K4783" t="s">
        <v>14</v>
      </c>
      <c r="L4783" t="s">
        <v>20</v>
      </c>
      <c r="M4783" t="s">
        <v>9786</v>
      </c>
      <c r="N4783" t="s">
        <v>14</v>
      </c>
    </row>
    <row r="4784" x14ac:dyDescent="0.25">
      <c r="A4784" t="n">
        <v>25</v>
      </c>
      <c r="B4784" t="s">
        <v>14</v>
      </c>
      <c r="C4784" t="s">
        <v>51</v>
      </c>
      <c r="D4784" s="2" t="s">
        <f>=HYPERLINK("https://main.knesset.gov.il/APPS/legislation/main/bills/2195967", "הצעת חוק השיפוט הצבאי (תיקון - קביעת ערובה חלף מעצר), התשפ""ג-2023")</f>
        <v>9957</v>
      </c>
      <c r="E4784" t="s">
        <v>9957</v>
      </c>
      <c r="F4784" t="s">
        <v>9958</v>
      </c>
      <c r="G4784" t="s">
        <v>14</v>
      </c>
      <c r="H4784">
             </c>
      <c r="I4784" t="s">
        <v>14</v>
      </c>
      <c r="J4784" t="s">
        <v>242</v>
      </c>
      <c r="K4784" t="s">
        <v>14</v>
      </c>
      <c r="L4784" t="s">
        <v>20</v>
      </c>
      <c r="M4784" t="s">
        <v>9786</v>
      </c>
      <c r="N4784" t="s">
        <v>14</v>
      </c>
    </row>
    <row r="4785" x14ac:dyDescent="0.25">
      <c r="A4785" t="n">
        <v>25</v>
      </c>
      <c r="B4785" t="s">
        <v>14</v>
      </c>
      <c r="C4785" t="s">
        <v>51</v>
      </c>
      <c r="D4785" s="2" t="s">
        <f>=HYPERLINK("https://main.knesset.gov.il/APPS/legislation/main/bills/2203607", "הצעת חוק הביטוח הלאומי (תיקון - הגדלת הסכום שאינו מובא בחשבון וסכום לקביעת זכאות לנכה), התשפ""ג-2023")</f>
        <v>8280</v>
      </c>
      <c r="E4785" t="s">
        <v>8280</v>
      </c>
      <c r="F4785" t="s">
        <v>9959</v>
      </c>
      <c r="G4785" t="s">
        <v>14</v>
      </c>
      <c r="H4785">
             </c>
      <c r="I4785" t="s">
        <v>14</v>
      </c>
      <c r="J4785" t="s">
        <v>242</v>
      </c>
      <c r="K4785" t="s">
        <v>14</v>
      </c>
      <c r="L4785" t="s">
        <v>20</v>
      </c>
      <c r="M4785" t="s">
        <v>9786</v>
      </c>
      <c r="N4785" t="s">
        <v>14</v>
      </c>
    </row>
    <row r="4786" x14ac:dyDescent="0.25">
      <c r="A4786" t="n">
        <v>25</v>
      </c>
      <c r="B4786" t="s">
        <v>14</v>
      </c>
      <c r="C4786" t="s">
        <v>15</v>
      </c>
      <c r="D4786" s="2" t="s">
        <f>=HYPERLINK("https://main.knesset.gov.il/APPS/legislation/main/bills/2201089", "חוק סדר הדין הפלילי (סמכויות אכיפה – חיפוש בגוף ונטילת אמצעי זיהוי) (תיקון מס' 8), התשפ""ג-2023")</f>
        <v>9960</v>
      </c>
      <c r="E4786" t="s">
        <v>9960</v>
      </c>
      <c r="F4786" t="s">
        <v>14</v>
      </c>
      <c r="G4786" t="s">
        <v>9961</v>
      </c>
      <c r="H4786" t="n">
        <v>3036</v>
      </c>
      <c r="I4786" t="s">
        <v>14</v>
      </c>
      <c r="J4786" t="s">
        <v>18</v>
      </c>
      <c r="K4786" t="s">
        <v>39</v>
      </c>
      <c r="L4786" t="s">
        <v>20</v>
      </c>
      <c r="M4786" t="s">
        <v>9962</v>
      </c>
      <c r="N4786" t="s">
        <v>9963</v>
      </c>
    </row>
    <row r="4787" x14ac:dyDescent="0.25">
      <c r="A4787" t="n">
        <v>25</v>
      </c>
      <c r="B4787" t="s">
        <v>14</v>
      </c>
      <c r="C4787" t="s">
        <v>15</v>
      </c>
      <c r="D4787" s="2" t="s">
        <f>=HYPERLINK("https://main.knesset.gov.il/APPS/legislation/main/bills/2168187", "חוק לתיקון פקודת הרופאים (מס' 15), התשפ""ג-2023")</f>
        <v>9964</v>
      </c>
      <c r="E4787" t="s">
        <v>9964</v>
      </c>
      <c r="F4787" t="s">
        <v>14</v>
      </c>
      <c r="G4787" t="s">
        <v>9965</v>
      </c>
      <c r="H4787" t="n">
        <v>3033</v>
      </c>
      <c r="I4787" t="s">
        <v>14</v>
      </c>
      <c r="J4787" t="s">
        <v>18</v>
      </c>
      <c r="K4787" t="s">
        <v>361</v>
      </c>
      <c r="L4787" t="s">
        <v>20</v>
      </c>
      <c r="M4787" t="s">
        <v>9962</v>
      </c>
      <c r="N4787" t="s">
        <v>9966</v>
      </c>
    </row>
    <row r="4788" x14ac:dyDescent="0.25">
      <c r="A4788" t="n">
        <v>25</v>
      </c>
      <c r="B4788" t="s">
        <v>14</v>
      </c>
      <c r="C4788" t="s">
        <v>51</v>
      </c>
      <c r="D4788" s="2" t="s">
        <f>=HYPERLINK("https://main.knesset.gov.il/APPS/legislation/main/bills/2196420", "חוק זכויות החולה (תיקון מס' 13), התשפ""ג–2023")</f>
        <v>9967</v>
      </c>
      <c r="E4788" t="s">
        <v>9967</v>
      </c>
      <c r="F4788" t="s">
        <v>9968</v>
      </c>
      <c r="G4788" t="s">
        <v>9969</v>
      </c>
      <c r="H4788" t="n">
        <v>3032</v>
      </c>
      <c r="I4788" t="s">
        <v>14</v>
      </c>
      <c r="J4788" t="s">
        <v>18</v>
      </c>
      <c r="K4788" t="s">
        <v>361</v>
      </c>
      <c r="L4788" t="s">
        <v>20</v>
      </c>
      <c r="M4788" t="s">
        <v>9962</v>
      </c>
      <c r="N4788" t="s">
        <v>9970</v>
      </c>
    </row>
    <row r="4789" x14ac:dyDescent="0.25">
      <c r="A4789" t="n">
        <v>25</v>
      </c>
      <c r="B4789" t="s">
        <v>14</v>
      </c>
      <c r="C4789" t="s">
        <v>51</v>
      </c>
      <c r="D4789" s="2" t="s">
        <f>=HYPERLINK("https://main.knesset.gov.il/APPS/legislation/main/bills/2203339", "הצעת חוק הכניסה לישראל (תיקון - איסור כניסת פעילי טרור), התשפ""ג-2023")</f>
        <v>8949</v>
      </c>
      <c r="E4789" t="s">
        <v>8949</v>
      </c>
      <c r="F4789" t="s">
        <v>9971</v>
      </c>
      <c r="G4789" t="s">
        <v>14</v>
      </c>
      <c r="H4789">
             </c>
      <c r="I4789" t="s">
        <v>14</v>
      </c>
      <c r="J4789" t="s">
        <v>242</v>
      </c>
      <c r="K4789" t="s">
        <v>14</v>
      </c>
      <c r="L4789" t="s">
        <v>20</v>
      </c>
      <c r="M4789" t="s">
        <v>9962</v>
      </c>
      <c r="N4789" t="s">
        <v>14</v>
      </c>
    </row>
    <row r="4790" x14ac:dyDescent="0.25">
      <c r="A4790" t="n">
        <v>25</v>
      </c>
      <c r="B4790" t="s">
        <v>14</v>
      </c>
      <c r="C4790" t="s">
        <v>51</v>
      </c>
      <c r="D4790" s="2" t="s">
        <f>=HYPERLINK("https://main.knesset.gov.il/APPS/legislation/main/bills/2203769", "הצעת חוק התמודדות עם תופעת נטילת דמי חסות, התשפ""ג-2023")</f>
        <v>9972</v>
      </c>
      <c r="E4790" t="s">
        <v>9972</v>
      </c>
      <c r="F4790" t="s">
        <v>9973</v>
      </c>
      <c r="G4790" t="s">
        <v>14</v>
      </c>
      <c r="H4790">
             </c>
      <c r="I4790" t="s">
        <v>14</v>
      </c>
      <c r="J4790" t="s">
        <v>242</v>
      </c>
      <c r="K4790" t="s">
        <v>14</v>
      </c>
      <c r="L4790" t="s">
        <v>20</v>
      </c>
      <c r="M4790" t="s">
        <v>9962</v>
      </c>
      <c r="N4790" t="s">
        <v>14</v>
      </c>
    </row>
    <row r="4791" x14ac:dyDescent="0.25">
      <c r="A4791" t="n">
        <v>25</v>
      </c>
      <c r="B4791" t="s">
        <v>14</v>
      </c>
      <c r="C4791" t="s">
        <v>51</v>
      </c>
      <c r="D4791" s="2" t="s">
        <f>=HYPERLINK("https://main.knesset.gov.il/APPS/legislation/main/bills/2199164", "הצעת חוק הפיקוח על שירותים פיננסיים (ביטוח) (תיקון - מוסד ליישוב סכסוכים), התשפ""ג-2023")</f>
        <v>9974</v>
      </c>
      <c r="E4791" t="s">
        <v>9974</v>
      </c>
      <c r="F4791" t="s">
        <v>9975</v>
      </c>
      <c r="G4791" t="s">
        <v>14</v>
      </c>
      <c r="H4791">
             </c>
      <c r="I4791" t="s">
        <v>14</v>
      </c>
      <c r="J4791" t="s">
        <v>242</v>
      </c>
      <c r="K4791" t="s">
        <v>14</v>
      </c>
      <c r="L4791" t="s">
        <v>20</v>
      </c>
      <c r="M4791" t="s">
        <v>9962</v>
      </c>
      <c r="N4791" t="s">
        <v>14</v>
      </c>
    </row>
    <row r="4792" x14ac:dyDescent="0.25">
      <c r="A4792" t="n">
        <v>25</v>
      </c>
      <c r="B4792" t="s">
        <v>14</v>
      </c>
      <c r="C4792" t="s">
        <v>51</v>
      </c>
      <c r="D4792" s="2" t="s">
        <f>=HYPERLINK("https://main.knesset.gov.il/APPS/legislation/main/bills/2203219", "הצעת חוק ביטוח בריאות ממלכתי (תיקון - מחלה נדירה), התשפ""ג-2023")</f>
        <v>9841</v>
      </c>
      <c r="E4792" t="s">
        <v>9841</v>
      </c>
      <c r="F4792" t="s">
        <v>9976</v>
      </c>
      <c r="G4792" t="s">
        <v>14</v>
      </c>
      <c r="H4792">
             </c>
      <c r="I4792" t="s">
        <v>14</v>
      </c>
      <c r="J4792" t="s">
        <v>242</v>
      </c>
      <c r="K4792" t="s">
        <v>14</v>
      </c>
      <c r="L4792" t="s">
        <v>20</v>
      </c>
      <c r="M4792" t="s">
        <v>9962</v>
      </c>
      <c r="N4792" t="s">
        <v>14</v>
      </c>
    </row>
    <row r="4793" x14ac:dyDescent="0.25">
      <c r="A4793" t="n">
        <v>25</v>
      </c>
      <c r="B4793" t="s">
        <v>14</v>
      </c>
      <c r="C4793" t="s">
        <v>51</v>
      </c>
      <c r="D4793" s="2" t="s">
        <f>=HYPERLINK("https://main.knesset.gov.il/APPS/legislation/main/bills/2203373", "הצעת חוק דמי מחלה (היעדרות בשל מחלת ילד) (תיקון - היעדרות בשל אשפוז פג), התשפ""ג-2023")</f>
        <v>9564</v>
      </c>
      <c r="E4793" t="s">
        <v>9564</v>
      </c>
      <c r="F4793" t="s">
        <v>9977</v>
      </c>
      <c r="G4793" t="s">
        <v>14</v>
      </c>
      <c r="H4793">
             </c>
      <c r="I4793" t="s">
        <v>14</v>
      </c>
      <c r="J4793" t="s">
        <v>242</v>
      </c>
      <c r="K4793" t="s">
        <v>14</v>
      </c>
      <c r="L4793" t="s">
        <v>20</v>
      </c>
      <c r="M4793" t="s">
        <v>9962</v>
      </c>
      <c r="N4793" t="s">
        <v>14</v>
      </c>
    </row>
    <row r="4794" x14ac:dyDescent="0.25">
      <c r="A4794" t="n">
        <v>25</v>
      </c>
      <c r="B4794" t="s">
        <v>14</v>
      </c>
      <c r="C4794" t="s">
        <v>51</v>
      </c>
      <c r="D4794" s="2" t="s">
        <f>=HYPERLINK("https://main.knesset.gov.il/APPS/legislation/main/bills/2203248", "הצעת חוק שכר מינימום (תיקון - שכר שווה לאנשים המתמודדים עם מוגבלות), התשפ""ג-2023")</f>
        <v>9634</v>
      </c>
      <c r="E4794" t="s">
        <v>9634</v>
      </c>
      <c r="F4794" t="s">
        <v>9978</v>
      </c>
      <c r="G4794" t="s">
        <v>14</v>
      </c>
      <c r="H4794">
             </c>
      <c r="I4794" t="s">
        <v>14</v>
      </c>
      <c r="J4794" t="s">
        <v>242</v>
      </c>
      <c r="K4794" t="s">
        <v>14</v>
      </c>
      <c r="L4794" t="s">
        <v>20</v>
      </c>
      <c r="M4794" t="s">
        <v>9962</v>
      </c>
      <c r="N4794" t="s">
        <v>14</v>
      </c>
    </row>
    <row r="4795" x14ac:dyDescent="0.25">
      <c r="A4795" t="n">
        <v>25</v>
      </c>
      <c r="B4795" t="s">
        <v>14</v>
      </c>
      <c r="C4795" t="s">
        <v>51</v>
      </c>
      <c r="D4795" s="2" t="s">
        <f>=HYPERLINK("https://main.knesset.gov.il/APPS/legislation/main/bills/2202707", "הצעת חוק הביטוח הלאומי (תיקון - עבודה באבטחה כעבודה מועדפת), התשפ""ג-2023")</f>
        <v>9979</v>
      </c>
      <c r="E4795" t="s">
        <v>9979</v>
      </c>
      <c r="F4795" t="s">
        <v>9980</v>
      </c>
      <c r="G4795" t="s">
        <v>14</v>
      </c>
      <c r="H4795">
             </c>
      <c r="I4795" t="s">
        <v>14</v>
      </c>
      <c r="J4795" t="s">
        <v>242</v>
      </c>
      <c r="K4795" t="s">
        <v>14</v>
      </c>
      <c r="L4795" t="s">
        <v>20</v>
      </c>
      <c r="M4795" t="s">
        <v>9962</v>
      </c>
      <c r="N4795" t="s">
        <v>14</v>
      </c>
    </row>
    <row r="4796" x14ac:dyDescent="0.25">
      <c r="A4796" t="n">
        <v>25</v>
      </c>
      <c r="B4796" t="s">
        <v>14</v>
      </c>
      <c r="C4796" t="s">
        <v>51</v>
      </c>
      <c r="D4796" s="2" t="s">
        <f>=HYPERLINK("https://main.knesset.gov.il/APPS/legislation/main/bills/2203289", "הצעת חוק הביטוח הלאומי (תיקון - השוואת זכויות אלמן ואלמנה), התשפ""ג-2023")</f>
        <v>8249</v>
      </c>
      <c r="E4796" t="s">
        <v>8249</v>
      </c>
      <c r="F4796" t="s">
        <v>9981</v>
      </c>
      <c r="G4796" t="s">
        <v>14</v>
      </c>
      <c r="H4796">
             </c>
      <c r="I4796" t="s">
        <v>14</v>
      </c>
      <c r="J4796" t="s">
        <v>242</v>
      </c>
      <c r="K4796" t="s">
        <v>14</v>
      </c>
      <c r="L4796" t="s">
        <v>20</v>
      </c>
      <c r="M4796" t="s">
        <v>9962</v>
      </c>
      <c r="N4796" t="s">
        <v>14</v>
      </c>
    </row>
    <row r="4797" x14ac:dyDescent="0.25">
      <c r="A4797" t="n">
        <v>25</v>
      </c>
      <c r="B4797" t="s">
        <v>14</v>
      </c>
      <c r="C4797" t="s">
        <v>51</v>
      </c>
      <c r="D4797" s="2" t="s">
        <f>=HYPERLINK("https://main.knesset.gov.il/APPS/legislation/main/bills/2202327", "הצעת חוק קרן קיימת לישראל (תחולת דיני המס והוראת שעה) (תיקון - היטל מימון פיתוח על מקרקעי קרן קיימת לישראל), התשפ""ג-2023")</f>
        <v>9982</v>
      </c>
      <c r="E4797" t="s">
        <v>9982</v>
      </c>
      <c r="F4797" t="s">
        <v>9983</v>
      </c>
      <c r="G4797" t="s">
        <v>14</v>
      </c>
      <c r="H4797">
             </c>
      <c r="I4797" t="s">
        <v>14</v>
      </c>
      <c r="J4797" t="s">
        <v>242</v>
      </c>
      <c r="K4797" t="s">
        <v>14</v>
      </c>
      <c r="L4797" t="s">
        <v>20</v>
      </c>
      <c r="M4797" t="s">
        <v>9962</v>
      </c>
      <c r="N4797" t="s">
        <v>14</v>
      </c>
    </row>
    <row r="4798" x14ac:dyDescent="0.25">
      <c r="A4798" t="n">
        <v>25</v>
      </c>
      <c r="B4798" t="s">
        <v>14</v>
      </c>
      <c r="C4798" t="s">
        <v>51</v>
      </c>
      <c r="D4798" s="2" t="s">
        <f>=HYPERLINK("https://main.knesset.gov.il/APPS/legislation/main/bills/2201258", "הצעת חוק לשינוי סדרי עדיפויות לאומיים (תיקוני חקיקה להשגת יעדי התקציב לשנים 2013 ו-2014) (תיקון - ביטול השיעור הנוסף), התשפ""ג-2023")</f>
        <v>9984</v>
      </c>
      <c r="E4798" t="s">
        <v>9984</v>
      </c>
      <c r="F4798" t="s">
        <v>9985</v>
      </c>
      <c r="G4798" t="s">
        <v>14</v>
      </c>
      <c r="H4798">
             </c>
      <c r="I4798" t="s">
        <v>14</v>
      </c>
      <c r="J4798" t="s">
        <v>242</v>
      </c>
      <c r="K4798" t="s">
        <v>14</v>
      </c>
      <c r="L4798" t="s">
        <v>20</v>
      </c>
      <c r="M4798" t="s">
        <v>9962</v>
      </c>
      <c r="N4798" t="s">
        <v>14</v>
      </c>
    </row>
    <row r="4799" x14ac:dyDescent="0.25">
      <c r="A4799" t="n">
        <v>25</v>
      </c>
      <c r="B4799" t="s">
        <v>14</v>
      </c>
      <c r="C4799" t="s">
        <v>51</v>
      </c>
      <c r="D4799" s="2" t="s">
        <f>=HYPERLINK("https://main.knesset.gov.il/APPS/legislation/main/bills/2203063", "הצעת חוק עבודת נשים (תיקון - שעות היעדרות מעבודה לאישה בהריון בר-סיכון), התשפ""ג-2023")</f>
        <v>9986</v>
      </c>
      <c r="E4799" t="s">
        <v>9986</v>
      </c>
      <c r="F4799" t="s">
        <v>9987</v>
      </c>
      <c r="G4799" t="s">
        <v>14</v>
      </c>
      <c r="H4799">
             </c>
      <c r="I4799" t="s">
        <v>14</v>
      </c>
      <c r="J4799" t="s">
        <v>242</v>
      </c>
      <c r="K4799" t="s">
        <v>14</v>
      </c>
      <c r="L4799" t="s">
        <v>20</v>
      </c>
      <c r="M4799" t="s">
        <v>9962</v>
      </c>
      <c r="N4799" t="s">
        <v>14</v>
      </c>
    </row>
    <row r="4800" x14ac:dyDescent="0.25">
      <c r="A4800" t="n">
        <v>25</v>
      </c>
      <c r="B4800" t="s">
        <v>14</v>
      </c>
      <c r="C4800" t="s">
        <v>51</v>
      </c>
      <c r="D4800" s="2" t="s">
        <f>=HYPERLINK("https://main.knesset.gov.il/APPS/legislation/main/bills/2203092", "הצעת חוק ביטוח בריאות ממלכתי (תיקון - החזר דמי נסיעות עבור חולה סיעודי וחולה שנפטר), התשפ""ג-2023")</f>
        <v>9988</v>
      </c>
      <c r="E4800" t="s">
        <v>9988</v>
      </c>
      <c r="F4800" t="s">
        <v>9989</v>
      </c>
      <c r="G4800" t="s">
        <v>14</v>
      </c>
      <c r="H4800">
             </c>
      <c r="I4800" t="s">
        <v>14</v>
      </c>
      <c r="J4800" t="s">
        <v>242</v>
      </c>
      <c r="K4800" t="s">
        <v>14</v>
      </c>
      <c r="L4800" t="s">
        <v>20</v>
      </c>
      <c r="M4800" t="s">
        <v>9962</v>
      </c>
      <c r="N4800" t="s">
        <v>14</v>
      </c>
    </row>
    <row r="4801" x14ac:dyDescent="0.25">
      <c r="A4801" t="n">
        <v>25</v>
      </c>
      <c r="B4801" t="s">
        <v>14</v>
      </c>
      <c r="C4801" t="s">
        <v>51</v>
      </c>
      <c r="D4801" s="2" t="s">
        <f>=HYPERLINK("https://main.knesset.gov.il/APPS/legislation/main/bills/2201173", "הצעת חוק הביטוח הלאומי (תיקון - דמי אבטלה למתמחים), התשפ""ג-2023")</f>
        <v>9990</v>
      </c>
      <c r="E4801" t="s">
        <v>9990</v>
      </c>
      <c r="F4801" t="s">
        <v>9991</v>
      </c>
      <c r="G4801" t="s">
        <v>14</v>
      </c>
      <c r="H4801">
             </c>
      <c r="I4801" t="s">
        <v>14</v>
      </c>
      <c r="J4801" t="s">
        <v>242</v>
      </c>
      <c r="K4801" t="s">
        <v>14</v>
      </c>
      <c r="L4801" t="s">
        <v>20</v>
      </c>
      <c r="M4801" t="s">
        <v>9962</v>
      </c>
      <c r="N4801" t="s">
        <v>14</v>
      </c>
    </row>
    <row r="4802" x14ac:dyDescent="0.25">
      <c r="A4802" t="n">
        <v>25</v>
      </c>
      <c r="B4802" t="s">
        <v>14</v>
      </c>
      <c r="C4802" t="s">
        <v>51</v>
      </c>
      <c r="D4802" s="2" t="s">
        <f>=HYPERLINK("https://main.knesset.gov.il/APPS/legislation/main/bills/2201174", "הצעת חוק התכנון והבנייה (תיקון - שיעור היטל השבחה), התשפ""ג-2023")</f>
        <v>9992</v>
      </c>
      <c r="E4802" t="s">
        <v>9992</v>
      </c>
      <c r="F4802" t="s">
        <v>9993</v>
      </c>
      <c r="G4802" t="s">
        <v>14</v>
      </c>
      <c r="H4802">
             </c>
      <c r="I4802" t="s">
        <v>14</v>
      </c>
      <c r="J4802" t="s">
        <v>242</v>
      </c>
      <c r="K4802" t="s">
        <v>14</v>
      </c>
      <c r="L4802" t="s">
        <v>20</v>
      </c>
      <c r="M4802" t="s">
        <v>9962</v>
      </c>
      <c r="N4802" t="s">
        <v>14</v>
      </c>
    </row>
    <row r="4803" x14ac:dyDescent="0.25">
      <c r="A4803" t="n">
        <v>25</v>
      </c>
      <c r="B4803" t="s">
        <v>14</v>
      </c>
      <c r="C4803" t="s">
        <v>51</v>
      </c>
      <c r="D4803" s="2" t="s">
        <f>=HYPERLINK("https://main.knesset.gov.il/APPS/legislation/main/bills/2203136", "הצעת חוק לתיקון פקודת בריאות העם (מכרז להצבת מכונות מזון אוטומטיות), התשפ""ג-2023")</f>
        <v>9994</v>
      </c>
      <c r="E4803" t="s">
        <v>9994</v>
      </c>
      <c r="F4803" t="s">
        <v>9995</v>
      </c>
      <c r="G4803" t="s">
        <v>14</v>
      </c>
      <c r="H4803">
             </c>
      <c r="I4803" t="s">
        <v>14</v>
      </c>
      <c r="J4803" t="s">
        <v>242</v>
      </c>
      <c r="K4803" t="s">
        <v>14</v>
      </c>
      <c r="L4803" t="s">
        <v>20</v>
      </c>
      <c r="M4803" t="s">
        <v>9962</v>
      </c>
      <c r="N4803" t="s">
        <v>14</v>
      </c>
    </row>
    <row r="4804" x14ac:dyDescent="0.25">
      <c r="A4804" t="n">
        <v>25</v>
      </c>
      <c r="B4804" t="s">
        <v>14</v>
      </c>
      <c r="C4804" t="s">
        <v>51</v>
      </c>
      <c r="D4804" s="2" t="s">
        <f>=HYPERLINK("https://main.knesset.gov.il/APPS/legislation/main/bills/2203258", "הצעת חוק מעונות יום שיקומיים (תיקון - הקדמת גיל הזכאות), התשפ""ג-2023")</f>
        <v>9996</v>
      </c>
      <c r="E4804" t="s">
        <v>9996</v>
      </c>
      <c r="F4804" t="s">
        <v>9997</v>
      </c>
      <c r="G4804" t="s">
        <v>14</v>
      </c>
      <c r="H4804">
             </c>
      <c r="I4804" t="s">
        <v>14</v>
      </c>
      <c r="J4804" t="s">
        <v>242</v>
      </c>
      <c r="K4804" t="s">
        <v>14</v>
      </c>
      <c r="L4804" t="s">
        <v>20</v>
      </c>
      <c r="M4804" t="s">
        <v>9962</v>
      </c>
      <c r="N4804" t="s">
        <v>14</v>
      </c>
    </row>
    <row r="4805" x14ac:dyDescent="0.25">
      <c r="A4805" t="n">
        <v>25</v>
      </c>
      <c r="B4805" t="s">
        <v>14</v>
      </c>
      <c r="C4805" t="s">
        <v>51</v>
      </c>
      <c r="D4805" s="2" t="s">
        <f>=HYPERLINK("https://main.knesset.gov.il/APPS/legislation/main/bills/2203419", "הצעת חוק הגנת השכר (תיקון - פנקס שכר, תלוש שכר וגליון אלקטרוני), התשפ""ג-2023")</f>
        <v>9998</v>
      </c>
      <c r="E4805" t="s">
        <v>9998</v>
      </c>
      <c r="F4805" t="s">
        <v>9999</v>
      </c>
      <c r="G4805" t="s">
        <v>14</v>
      </c>
      <c r="H4805">
             </c>
      <c r="I4805" t="s">
        <v>14</v>
      </c>
      <c r="J4805" t="s">
        <v>242</v>
      </c>
      <c r="K4805" t="s">
        <v>14</v>
      </c>
      <c r="L4805" t="s">
        <v>20</v>
      </c>
      <c r="M4805" t="s">
        <v>9962</v>
      </c>
      <c r="N4805" t="s">
        <v>14</v>
      </c>
    </row>
    <row r="4806" x14ac:dyDescent="0.25">
      <c r="A4806" t="n">
        <v>25</v>
      </c>
      <c r="B4806" t="s">
        <v>14</v>
      </c>
      <c r="C4806" t="s">
        <v>51</v>
      </c>
      <c r="D4806" s="2" t="s">
        <f>=HYPERLINK("https://main.knesset.gov.il/APPS/legislation/main/bills/2203296", "הצעת חוק הביטוח הלאומי (תיקון - מימון הסעת יולדת באמבולנס), התשפ""ג-2023")</f>
        <v>8245</v>
      </c>
      <c r="E4806" t="s">
        <v>8245</v>
      </c>
      <c r="F4806" t="s">
        <v>10000</v>
      </c>
      <c r="G4806" t="s">
        <v>14</v>
      </c>
      <c r="H4806">
             </c>
      <c r="I4806" t="s">
        <v>14</v>
      </c>
      <c r="J4806" t="s">
        <v>242</v>
      </c>
      <c r="K4806" t="s">
        <v>14</v>
      </c>
      <c r="L4806" t="s">
        <v>20</v>
      </c>
      <c r="M4806" t="s">
        <v>9962</v>
      </c>
      <c r="N4806" t="s">
        <v>14</v>
      </c>
    </row>
    <row r="4807" x14ac:dyDescent="0.25">
      <c r="A4807" t="n">
        <v>25</v>
      </c>
      <c r="B4807" t="s">
        <v>14</v>
      </c>
      <c r="C4807" t="s">
        <v>51</v>
      </c>
      <c r="D4807" s="2" t="s">
        <f>=HYPERLINK("https://main.knesset.gov.il/APPS/legislation/main/bills/2201436", "הצעת חוק לתיקון פקודת מסי העירייה ומסי הממשלה (פטורין) (פטור מארנונה לישיבת הסדר ולמכינה קדם צבאית), התשפ""ג-2023")</f>
        <v>10001</v>
      </c>
      <c r="E4807" t="s">
        <v>10001</v>
      </c>
      <c r="F4807" t="s">
        <v>10002</v>
      </c>
      <c r="G4807" t="s">
        <v>14</v>
      </c>
      <c r="H4807">
             </c>
      <c r="I4807" t="s">
        <v>14</v>
      </c>
      <c r="J4807" t="s">
        <v>242</v>
      </c>
      <c r="K4807" t="s">
        <v>14</v>
      </c>
      <c r="L4807" t="s">
        <v>20</v>
      </c>
      <c r="M4807" t="s">
        <v>9962</v>
      </c>
      <c r="N4807" t="s">
        <v>14</v>
      </c>
    </row>
    <row r="4808" x14ac:dyDescent="0.25">
      <c r="A4808" t="n">
        <v>25</v>
      </c>
      <c r="B4808" t="s">
        <v>14</v>
      </c>
      <c r="C4808" t="s">
        <v>51</v>
      </c>
      <c r="D4808" s="2" t="s">
        <f>=HYPERLINK("https://main.knesset.gov.il/APPS/legislation/main/bills/2198434", "הצעת חוק הביטוח הלאומי (תיקון - תנאי זכאות לדמי לידה), התשפ""ג-2023")</f>
        <v>8793</v>
      </c>
      <c r="E4808" t="s">
        <v>8793</v>
      </c>
      <c r="F4808" t="s">
        <v>10003</v>
      </c>
      <c r="G4808" t="s">
        <v>14</v>
      </c>
      <c r="H4808">
             </c>
      <c r="I4808" t="s">
        <v>14</v>
      </c>
      <c r="J4808" t="s">
        <v>242</v>
      </c>
      <c r="K4808" t="s">
        <v>14</v>
      </c>
      <c r="L4808" t="s">
        <v>20</v>
      </c>
      <c r="M4808" t="s">
        <v>9962</v>
      </c>
      <c r="N4808" t="s">
        <v>14</v>
      </c>
    </row>
    <row r="4809" x14ac:dyDescent="0.25">
      <c r="A4809" t="n">
        <v>25</v>
      </c>
      <c r="B4809" t="s">
        <v>14</v>
      </c>
      <c r="C4809" t="s">
        <v>51</v>
      </c>
      <c r="D4809" s="2" t="s">
        <f>=HYPERLINK("https://main.knesset.gov.il/APPS/legislation/main/bills/2202981", "הצעת חוק זכויות החולה (תיקון - שמירת דגימות שנלקחו מנפגעי עבירות מין), התשפ""ג-2023")</f>
        <v>9154</v>
      </c>
      <c r="E4809" t="s">
        <v>9154</v>
      </c>
      <c r="F4809" t="s">
        <v>10004</v>
      </c>
      <c r="G4809" t="s">
        <v>14</v>
      </c>
      <c r="H4809">
             </c>
      <c r="I4809" t="s">
        <v>14</v>
      </c>
      <c r="J4809" t="s">
        <v>242</v>
      </c>
      <c r="K4809" t="s">
        <v>14</v>
      </c>
      <c r="L4809" t="s">
        <v>20</v>
      </c>
      <c r="M4809" t="s">
        <v>9962</v>
      </c>
      <c r="N4809" t="s">
        <v>14</v>
      </c>
    </row>
    <row r="4810" x14ac:dyDescent="0.25">
      <c r="A4810" t="n">
        <v>25</v>
      </c>
      <c r="B4810" t="s">
        <v>14</v>
      </c>
      <c r="C4810" t="s">
        <v>51</v>
      </c>
      <c r="D4810" s="2" t="s">
        <f>=HYPERLINK("https://main.knesset.gov.il/APPS/legislation/main/bills/2203052", "הצעת חוק מפעל הזנה במוסדות חינוך על יסודיים לנוער בסיכון ולנוער נושר, התשפ''ג-2023")</f>
        <v>9670</v>
      </c>
      <c r="E4810" t="s">
        <v>9670</v>
      </c>
      <c r="F4810" t="s">
        <v>10005</v>
      </c>
      <c r="G4810" t="s">
        <v>14</v>
      </c>
      <c r="H4810">
             </c>
      <c r="I4810" t="s">
        <v>14</v>
      </c>
      <c r="J4810" t="s">
        <v>242</v>
      </c>
      <c r="K4810" t="s">
        <v>14</v>
      </c>
      <c r="L4810" t="s">
        <v>20</v>
      </c>
      <c r="M4810" t="s">
        <v>9962</v>
      </c>
      <c r="N4810" t="s">
        <v>14</v>
      </c>
    </row>
    <row r="4811" x14ac:dyDescent="0.25">
      <c r="A4811" t="n">
        <v>25</v>
      </c>
      <c r="B4811" t="s">
        <v>14</v>
      </c>
      <c r="C4811" t="s">
        <v>51</v>
      </c>
      <c r="D4811" s="2" t="s">
        <f>=HYPERLINK("https://main.knesset.gov.il/APPS/legislation/main/bills/2202970", "הצעת חוק טיפול במכורים לסמים קשים ואשפוזם (תיקוני חקיקה), התשפ""ג-2023")</f>
        <v>8261</v>
      </c>
      <c r="E4811" t="s">
        <v>8261</v>
      </c>
      <c r="F4811" t="s">
        <v>10006</v>
      </c>
      <c r="G4811" t="s">
        <v>14</v>
      </c>
      <c r="H4811">
             </c>
      <c r="I4811" t="s">
        <v>14</v>
      </c>
      <c r="J4811" t="s">
        <v>242</v>
      </c>
      <c r="K4811" t="s">
        <v>14</v>
      </c>
      <c r="L4811" t="s">
        <v>20</v>
      </c>
      <c r="M4811" t="s">
        <v>9962</v>
      </c>
      <c r="N4811" t="s">
        <v>14</v>
      </c>
    </row>
    <row r="4812" x14ac:dyDescent="0.25">
      <c r="A4812" t="n">
        <v>25</v>
      </c>
      <c r="B4812" t="s">
        <v>14</v>
      </c>
      <c r="C4812" t="s">
        <v>51</v>
      </c>
      <c r="D4812" s="2" t="s">
        <f>=HYPERLINK("https://main.knesset.gov.il/APPS/legislation/main/bills/2202976", "הצעת חוק הביטוח הלאומי (תיקון - קביעת אחוזי נכות ללקויי שמיעה - דו-צידי וחד-צידי), התשפ""ג-2023 ")</f>
        <v>9558</v>
      </c>
      <c r="E4812" t="s">
        <v>9558</v>
      </c>
      <c r="F4812" t="s">
        <v>10007</v>
      </c>
      <c r="G4812" t="s">
        <v>14</v>
      </c>
      <c r="H4812">
             </c>
      <c r="I4812" t="s">
        <v>14</v>
      </c>
      <c r="J4812" t="s">
        <v>242</v>
      </c>
      <c r="K4812" t="s">
        <v>14</v>
      </c>
      <c r="L4812" t="s">
        <v>20</v>
      </c>
      <c r="M4812" t="s">
        <v>9962</v>
      </c>
      <c r="N4812" t="s">
        <v>14</v>
      </c>
    </row>
    <row r="4813" x14ac:dyDescent="0.25">
      <c r="A4813" t="n">
        <v>25</v>
      </c>
      <c r="B4813" t="s">
        <v>14</v>
      </c>
      <c r="C4813" t="s">
        <v>51</v>
      </c>
      <c r="D4813" s="2" t="s">
        <f>=HYPERLINK("https://main.knesset.gov.il/APPS/legislation/main/bills/2203130", "הצעת חוק לימוד חובה (תיקון - חינוך חינם לגיל הרך), התשפ""ג-2023")</f>
        <v>9487</v>
      </c>
      <c r="E4813" t="s">
        <v>9487</v>
      </c>
      <c r="F4813" t="s">
        <v>10008</v>
      </c>
      <c r="G4813" t="s">
        <v>14</v>
      </c>
      <c r="H4813">
             </c>
      <c r="I4813" t="s">
        <v>14</v>
      </c>
      <c r="J4813" t="s">
        <v>242</v>
      </c>
      <c r="K4813" t="s">
        <v>14</v>
      </c>
      <c r="L4813" t="s">
        <v>20</v>
      </c>
      <c r="M4813" t="s">
        <v>9962</v>
      </c>
      <c r="N4813" t="s">
        <v>14</v>
      </c>
    </row>
    <row r="4814" x14ac:dyDescent="0.25">
      <c r="A4814" t="n">
        <v>25</v>
      </c>
      <c r="B4814" t="s">
        <v>14</v>
      </c>
      <c r="C4814" t="s">
        <v>51</v>
      </c>
      <c r="D4814" s="2" t="s">
        <f>=HYPERLINK("https://main.knesset.gov.il/APPS/legislation/main/bills/2203287", "הצעת חוק הביטוח הלאומי (תיקון - ערעור על החלטת ועדה לעררים), התשפ""ג-2023")</f>
        <v>10009</v>
      </c>
      <c r="E4814" t="s">
        <v>10009</v>
      </c>
      <c r="F4814" t="s">
        <v>10010</v>
      </c>
      <c r="G4814" t="s">
        <v>14</v>
      </c>
      <c r="H4814">
             </c>
      <c r="I4814" t="s">
        <v>14</v>
      </c>
      <c r="J4814" t="s">
        <v>242</v>
      </c>
      <c r="K4814" t="s">
        <v>14</v>
      </c>
      <c r="L4814" t="s">
        <v>20</v>
      </c>
      <c r="M4814" t="s">
        <v>9962</v>
      </c>
      <c r="N4814" t="s">
        <v>14</v>
      </c>
    </row>
    <row r="4815" x14ac:dyDescent="0.25">
      <c r="A4815" t="n">
        <v>25</v>
      </c>
      <c r="B4815" t="s">
        <v>14</v>
      </c>
      <c r="C4815" t="s">
        <v>51</v>
      </c>
      <c r="D4815" s="2" t="s">
        <f>=HYPERLINK("https://main.knesset.gov.il/APPS/legislation/main/bills/2203061", "הצעת חוק שוויון זכויות לאנשים עם מוגבלות (תיקון - מידע בדבר עמידת מעסיקים פרטיים גדולים ביעד הייצוג ההולם), התשפ""ג-2023")</f>
        <v>8990</v>
      </c>
      <c r="E4815" t="s">
        <v>8990</v>
      </c>
      <c r="F4815" t="s">
        <v>10011</v>
      </c>
      <c r="G4815" t="s">
        <v>14</v>
      </c>
      <c r="H4815">
             </c>
      <c r="I4815" t="s">
        <v>14</v>
      </c>
      <c r="J4815" t="s">
        <v>242</v>
      </c>
      <c r="K4815" t="s">
        <v>14</v>
      </c>
      <c r="L4815" t="s">
        <v>20</v>
      </c>
      <c r="M4815" t="s">
        <v>9962</v>
      </c>
      <c r="N4815" t="s">
        <v>14</v>
      </c>
    </row>
    <row r="4816" x14ac:dyDescent="0.25">
      <c r="A4816" t="n">
        <v>25</v>
      </c>
      <c r="B4816" t="s">
        <v>14</v>
      </c>
      <c r="C4816" t="s">
        <v>51</v>
      </c>
      <c r="D4816" s="2" t="s">
        <f>=HYPERLINK("https://main.knesset.gov.il/APPS/legislation/main/bills/2203062", "הצעת חוק להגברת האכיפה של דיני העבודה (תיקון - הפרות בטיחות בעבודה בתחום הבנייה), התשפ""ג-2023")</f>
        <v>9629</v>
      </c>
      <c r="E4816" t="s">
        <v>9629</v>
      </c>
      <c r="F4816" t="s">
        <v>10012</v>
      </c>
      <c r="G4816" t="s">
        <v>14</v>
      </c>
      <c r="H4816">
             </c>
      <c r="I4816" t="s">
        <v>14</v>
      </c>
      <c r="J4816" t="s">
        <v>202</v>
      </c>
      <c r="K4816" t="s">
        <v>14</v>
      </c>
      <c r="L4816" t="s">
        <v>20</v>
      </c>
      <c r="M4816" t="s">
        <v>9962</v>
      </c>
      <c r="N4816" t="s">
        <v>14</v>
      </c>
    </row>
    <row r="4817" x14ac:dyDescent="0.25">
      <c r="A4817" t="n">
        <v>25</v>
      </c>
      <c r="B4817" t="s">
        <v>14</v>
      </c>
      <c r="C4817" t="s">
        <v>51</v>
      </c>
      <c r="D4817" s="2" t="s">
        <f>=HYPERLINK("https://main.knesset.gov.il/APPS/legislation/main/bills/2203207", "הצעת חוק לתיקון פקודת בריאות העם (העדפות מתן רישיון למכשור רפואי בפריפריה), התשפ""ג-2023")</f>
        <v>8185</v>
      </c>
      <c r="E4817" t="s">
        <v>8185</v>
      </c>
      <c r="F4817" t="s">
        <v>10013</v>
      </c>
      <c r="G4817" t="s">
        <v>14</v>
      </c>
      <c r="H4817">
             </c>
      <c r="I4817" t="s">
        <v>14</v>
      </c>
      <c r="J4817" t="s">
        <v>242</v>
      </c>
      <c r="K4817" t="s">
        <v>14</v>
      </c>
      <c r="L4817" t="s">
        <v>20</v>
      </c>
      <c r="M4817" t="s">
        <v>9962</v>
      </c>
      <c r="N4817" t="s">
        <v>14</v>
      </c>
    </row>
    <row r="4818" x14ac:dyDescent="0.25">
      <c r="A4818" t="n">
        <v>25</v>
      </c>
      <c r="B4818" t="s">
        <v>14</v>
      </c>
      <c r="C4818" t="s">
        <v>51</v>
      </c>
      <c r="D4818" s="2" t="s">
        <f>=HYPERLINK("https://main.knesset.gov.il/APPS/legislation/main/bills/2202865", "הצעת חוק הביטוח הלאומי (תיקון - קיזוז הכנסות שאינן מעבודה או ממשלח יד מקצבת נכות), התשפ""ג-2023")</f>
        <v>9617</v>
      </c>
      <c r="E4818" t="s">
        <v>9617</v>
      </c>
      <c r="F4818" t="s">
        <v>10014</v>
      </c>
      <c r="G4818" t="s">
        <v>14</v>
      </c>
      <c r="H4818">
             </c>
      <c r="I4818" t="s">
        <v>14</v>
      </c>
      <c r="J4818" t="s">
        <v>242</v>
      </c>
      <c r="K4818" t="s">
        <v>14</v>
      </c>
      <c r="L4818" t="s">
        <v>20</v>
      </c>
      <c r="M4818" t="s">
        <v>9962</v>
      </c>
      <c r="N4818" t="s">
        <v>14</v>
      </c>
    </row>
    <row r="4819" x14ac:dyDescent="0.25">
      <c r="A4819" t="n">
        <v>25</v>
      </c>
      <c r="B4819" t="s">
        <v>14</v>
      </c>
      <c r="C4819" t="s">
        <v>51</v>
      </c>
      <c r="D4819" s="2" t="s">
        <f>=HYPERLINK("https://main.knesset.gov.il/APPS/legislation/main/bills/2199332", "הצעת חוק זכויות הסטודנט (תיקון - תמיכה בסטודנטים שהם הורים), התשפ""ג-2023")</f>
        <v>10015</v>
      </c>
      <c r="E4819" t="s">
        <v>10015</v>
      </c>
      <c r="F4819" t="s">
        <v>10016</v>
      </c>
      <c r="G4819" t="s">
        <v>14</v>
      </c>
      <c r="H4819">
             </c>
      <c r="I4819" t="s">
        <v>14</v>
      </c>
      <c r="J4819" t="s">
        <v>242</v>
      </c>
      <c r="K4819" t="s">
        <v>14</v>
      </c>
      <c r="L4819" t="s">
        <v>20</v>
      </c>
      <c r="M4819" t="s">
        <v>9962</v>
      </c>
      <c r="N4819" t="s">
        <v>14</v>
      </c>
    </row>
    <row r="4820" x14ac:dyDescent="0.25">
      <c r="A4820" t="n">
        <v>25</v>
      </c>
      <c r="B4820" t="s">
        <v>14</v>
      </c>
      <c r="C4820" t="s">
        <v>51</v>
      </c>
      <c r="D4820" s="2" t="s">
        <f>=HYPERLINK("https://main.knesset.gov.il/APPS/legislation/main/bills/2203282", "הצעת חוק הביטוח הלאומי (תיקון - טיפול בפעוטות במעונות יום כעבודה מועדפת), התשפ""ג-2023")</f>
        <v>10017</v>
      </c>
      <c r="E4820" t="s">
        <v>10017</v>
      </c>
      <c r="F4820" t="s">
        <v>10018</v>
      </c>
      <c r="G4820" t="s">
        <v>14</v>
      </c>
      <c r="H4820">
             </c>
      <c r="I4820" t="s">
        <v>14</v>
      </c>
      <c r="J4820" t="s">
        <v>242</v>
      </c>
      <c r="K4820" t="s">
        <v>14</v>
      </c>
      <c r="L4820" t="s">
        <v>20</v>
      </c>
      <c r="M4820" t="s">
        <v>9962</v>
      </c>
      <c r="N4820" t="s">
        <v>14</v>
      </c>
    </row>
    <row r="4821" x14ac:dyDescent="0.25">
      <c r="A4821" t="n">
        <v>25</v>
      </c>
      <c r="B4821" t="s">
        <v>14</v>
      </c>
      <c r="C4821" t="s">
        <v>51</v>
      </c>
      <c r="D4821" s="2" t="s">
        <f>=HYPERLINK("https://main.knesset.gov.il/APPS/legislation/main/bills/2198897", "הצעת חוק יסודות התקציב (תיקון - תמיכת משרדי ממשלה במוסדות ציבור), התשפ""ג-2023")</f>
        <v>10019</v>
      </c>
      <c r="E4821" t="s">
        <v>10019</v>
      </c>
      <c r="F4821" t="s">
        <v>10020</v>
      </c>
      <c r="G4821" t="s">
        <v>14</v>
      </c>
      <c r="H4821">
             </c>
      <c r="I4821" t="s">
        <v>14</v>
      </c>
      <c r="J4821" t="s">
        <v>242</v>
      </c>
      <c r="K4821" t="s">
        <v>14</v>
      </c>
      <c r="L4821" t="s">
        <v>20</v>
      </c>
      <c r="M4821" t="s">
        <v>9962</v>
      </c>
      <c r="N4821" t="s">
        <v>14</v>
      </c>
    </row>
    <row r="4822" x14ac:dyDescent="0.25">
      <c r="A4822" t="n">
        <v>25</v>
      </c>
      <c r="B4822" t="s">
        <v>14</v>
      </c>
      <c r="C4822" t="s">
        <v>51</v>
      </c>
      <c r="D4822" s="2" t="s">
        <f>=HYPERLINK("https://main.knesset.gov.il/APPS/legislation/main/bills/2202740", "הצעת חוק הפיקוח על שירותים פיננסיים (קופות גמל) (תיקון - הרחבת הגדרת פנסיה תקציבית), התשפ""ג-2023")</f>
        <v>10021</v>
      </c>
      <c r="E4822" t="s">
        <v>10021</v>
      </c>
      <c r="F4822" t="s">
        <v>10022</v>
      </c>
      <c r="G4822" t="s">
        <v>14</v>
      </c>
      <c r="H4822">
             </c>
      <c r="I4822" t="s">
        <v>14</v>
      </c>
      <c r="J4822" t="s">
        <v>242</v>
      </c>
      <c r="K4822" t="s">
        <v>14</v>
      </c>
      <c r="L4822" t="s">
        <v>20</v>
      </c>
      <c r="M4822" t="s">
        <v>9962</v>
      </c>
      <c r="N4822" t="s">
        <v>14</v>
      </c>
    </row>
    <row r="4823" x14ac:dyDescent="0.25">
      <c r="A4823" t="n">
        <v>25</v>
      </c>
      <c r="B4823" t="s">
        <v>14</v>
      </c>
      <c r="C4823" t="s">
        <v>51</v>
      </c>
      <c r="D4823" s="2" t="s">
        <f>=HYPERLINK("https://main.knesset.gov.il/APPS/legislation/main/bills/2202737", "הצעת חוק הגנת הצרכן (תיקון - חובת הקלטה של עסקה טלפונית), התשפ""ג-2023")</f>
        <v>2968</v>
      </c>
      <c r="E4823" t="s">
        <v>2968</v>
      </c>
      <c r="F4823" t="s">
        <v>10023</v>
      </c>
      <c r="G4823" t="s">
        <v>14</v>
      </c>
      <c r="H4823">
             </c>
      <c r="I4823" t="s">
        <v>14</v>
      </c>
      <c r="J4823" t="s">
        <v>242</v>
      </c>
      <c r="K4823" t="s">
        <v>14</v>
      </c>
      <c r="L4823" t="s">
        <v>20</v>
      </c>
      <c r="M4823" t="s">
        <v>9962</v>
      </c>
      <c r="N4823" t="s">
        <v>14</v>
      </c>
    </row>
    <row r="4824" x14ac:dyDescent="0.25">
      <c r="A4824" t="n">
        <v>25</v>
      </c>
      <c r="B4824" t="s">
        <v>14</v>
      </c>
      <c r="C4824" t="s">
        <v>51</v>
      </c>
      <c r="D4824" s="2" t="s">
        <f>=HYPERLINK("https://main.knesset.gov.il/APPS/legislation/main/bills/2203205", "הצעת חוק המועצה להשכלה גבוהה (תיקון - הקמת מוסדות להשכלה גבוהה בפריפריה), התשפ""ג-2023")</f>
        <v>10024</v>
      </c>
      <c r="E4824" t="s">
        <v>10024</v>
      </c>
      <c r="F4824" t="s">
        <v>10025</v>
      </c>
      <c r="G4824" t="s">
        <v>14</v>
      </c>
      <c r="H4824">
             </c>
      <c r="I4824" t="s">
        <v>14</v>
      </c>
      <c r="J4824" t="s">
        <v>242</v>
      </c>
      <c r="K4824" t="s">
        <v>14</v>
      </c>
      <c r="L4824" t="s">
        <v>20</v>
      </c>
      <c r="M4824" t="s">
        <v>9962</v>
      </c>
      <c r="N4824" t="s">
        <v>14</v>
      </c>
    </row>
    <row r="4825" x14ac:dyDescent="0.25">
      <c r="A4825" t="n">
        <v>25</v>
      </c>
      <c r="B4825" t="s">
        <v>14</v>
      </c>
      <c r="C4825" t="s">
        <v>51</v>
      </c>
      <c r="D4825" s="2" t="s">
        <f>=HYPERLINK("https://main.knesset.gov.il/APPS/legislation/main/bills/2203252", "הצעת חוק עובדים זרים (תיקון - הפחתת אגרה לעובדים בענף המלונאות), התשפ""ג-2023")</f>
        <v>8889</v>
      </c>
      <c r="E4825" t="s">
        <v>8889</v>
      </c>
      <c r="F4825" t="s">
        <v>10026</v>
      </c>
      <c r="G4825" t="s">
        <v>14</v>
      </c>
      <c r="H4825">
             </c>
      <c r="I4825" t="s">
        <v>14</v>
      </c>
      <c r="J4825" t="s">
        <v>242</v>
      </c>
      <c r="K4825" t="s">
        <v>14</v>
      </c>
      <c r="L4825" t="s">
        <v>20</v>
      </c>
      <c r="M4825" t="s">
        <v>9962</v>
      </c>
      <c r="N4825" t="s">
        <v>14</v>
      </c>
    </row>
    <row r="4826" x14ac:dyDescent="0.25">
      <c r="A4826" t="n">
        <v>25</v>
      </c>
      <c r="B4826" t="s">
        <v>14</v>
      </c>
      <c r="C4826" t="s">
        <v>51</v>
      </c>
      <c r="D4826" s="2" t="s">
        <f>=HYPERLINK("https://main.knesset.gov.il/APPS/legislation/main/bills/2203284", "הצעת חוק דמי מחלה (היעדרות בשל מחלת ילד) (תיקון - מחלת תינוק), התשפ""ג-2023")</f>
        <v>10027</v>
      </c>
      <c r="E4826" t="s">
        <v>10027</v>
      </c>
      <c r="F4826" t="s">
        <v>10028</v>
      </c>
      <c r="G4826" t="s">
        <v>14</v>
      </c>
      <c r="H4826">
             </c>
      <c r="I4826" t="s">
        <v>14</v>
      </c>
      <c r="J4826" t="s">
        <v>242</v>
      </c>
      <c r="K4826" t="s">
        <v>14</v>
      </c>
      <c r="L4826" t="s">
        <v>20</v>
      </c>
      <c r="M4826" t="s">
        <v>9962</v>
      </c>
      <c r="N4826" t="s">
        <v>14</v>
      </c>
    </row>
    <row r="4827" x14ac:dyDescent="0.25">
      <c r="A4827" t="n">
        <v>25</v>
      </c>
      <c r="B4827" t="s">
        <v>14</v>
      </c>
      <c r="C4827" t="s">
        <v>51</v>
      </c>
      <c r="D4827" s="2" t="s">
        <f>=HYPERLINK("https://main.knesset.gov.il/APPS/legislation/main/bills/2202784", "הצעת חוק דמי מחלה (היעדרות בשל מחלת ילד) (תיקון - היעדרות בעקבות תקיפה או התעללות בילד), התשפ""ג-2023")</f>
        <v>8399</v>
      </c>
      <c r="E4827" t="s">
        <v>8399</v>
      </c>
      <c r="F4827" t="s">
        <v>10029</v>
      </c>
      <c r="G4827" t="s">
        <v>14</v>
      </c>
      <c r="H4827">
             </c>
      <c r="I4827" t="s">
        <v>14</v>
      </c>
      <c r="J4827" t="s">
        <v>242</v>
      </c>
      <c r="K4827" t="s">
        <v>14</v>
      </c>
      <c r="L4827" t="s">
        <v>20</v>
      </c>
      <c r="M4827" t="s">
        <v>9962</v>
      </c>
      <c r="N4827" t="s">
        <v>14</v>
      </c>
    </row>
    <row r="4828" x14ac:dyDescent="0.25">
      <c r="A4828" t="n">
        <v>25</v>
      </c>
      <c r="B4828" t="s">
        <v>14</v>
      </c>
      <c r="C4828" t="s">
        <v>51</v>
      </c>
      <c r="D4828" s="2" t="s">
        <f>=HYPERLINK("https://main.knesset.gov.il/APPS/legislation/main/bills/2203114", "הצעת חוק ביטוח בריאות ממלכתי (תיקון - צמצום פערים בין הפריפריה למרכז), התשפ""ג-2023")</f>
        <v>970</v>
      </c>
      <c r="E4828" t="s">
        <v>970</v>
      </c>
      <c r="F4828" t="s">
        <v>10030</v>
      </c>
      <c r="G4828" t="s">
        <v>14</v>
      </c>
      <c r="H4828">
             </c>
      <c r="I4828" t="s">
        <v>14</v>
      </c>
      <c r="J4828" t="s">
        <v>202</v>
      </c>
      <c r="K4828" t="s">
        <v>14</v>
      </c>
      <c r="L4828" t="s">
        <v>20</v>
      </c>
      <c r="M4828" t="s">
        <v>9962</v>
      </c>
      <c r="N4828" t="s">
        <v>14</v>
      </c>
    </row>
    <row r="4829" x14ac:dyDescent="0.25">
      <c r="A4829" t="n">
        <v>25</v>
      </c>
      <c r="B4829" t="s">
        <v>14</v>
      </c>
      <c r="C4829" t="s">
        <v>51</v>
      </c>
      <c r="D4829" s="2" t="s">
        <f>=HYPERLINK("https://main.knesset.gov.il/APPS/legislation/main/bills/2202788", "הצעת חוק ביטוח בריאות ממלכתי (תיקון - הרחבת הסדרי הבחירה), התשפ""ג-2023")</f>
        <v>9519</v>
      </c>
      <c r="E4829" t="s">
        <v>9519</v>
      </c>
      <c r="F4829" t="s">
        <v>10031</v>
      </c>
      <c r="G4829" t="s">
        <v>14</v>
      </c>
      <c r="H4829">
             </c>
      <c r="I4829" t="s">
        <v>14</v>
      </c>
      <c r="J4829" t="s">
        <v>242</v>
      </c>
      <c r="K4829" t="s">
        <v>14</v>
      </c>
      <c r="L4829" t="s">
        <v>20</v>
      </c>
      <c r="M4829" t="s">
        <v>9962</v>
      </c>
      <c r="N4829" t="s">
        <v>14</v>
      </c>
    </row>
    <row r="4830" x14ac:dyDescent="0.25">
      <c r="A4830" t="n">
        <v>25</v>
      </c>
      <c r="B4830" t="s">
        <v>14</v>
      </c>
      <c r="C4830" t="s">
        <v>51</v>
      </c>
      <c r="D4830" s="2" t="s">
        <f>=HYPERLINK("https://main.knesset.gov.il/APPS/legislation/main/bills/2203209", "הצעת חוק ביטוח בריאות ממלכתי (תיקון - הפחתה בדמי ביטוח בריאות לתושבי הפריפריה), התשפ""ג-2023")</f>
        <v>9619</v>
      </c>
      <c r="E4830" t="s">
        <v>9619</v>
      </c>
      <c r="F4830" t="s">
        <v>10032</v>
      </c>
      <c r="G4830" t="s">
        <v>14</v>
      </c>
      <c r="H4830">
             </c>
      <c r="I4830" t="s">
        <v>14</v>
      </c>
      <c r="J4830" t="s">
        <v>242</v>
      </c>
      <c r="K4830" t="s">
        <v>14</v>
      </c>
      <c r="L4830" t="s">
        <v>20</v>
      </c>
      <c r="M4830" t="s">
        <v>9962</v>
      </c>
      <c r="N4830" t="s">
        <v>14</v>
      </c>
    </row>
    <row r="4831" x14ac:dyDescent="0.25">
      <c r="A4831" t="n">
        <v>25</v>
      </c>
      <c r="B4831" t="s">
        <v>14</v>
      </c>
      <c r="C4831" t="s">
        <v>51</v>
      </c>
      <c r="D4831" s="2" t="s">
        <f>=HYPERLINK("https://main.knesset.gov.il/APPS/legislation/main/bills/2203090", "הצעת חוק ביטוח בריאות ממלכתי (תיקון - פנייה לנציב קבילות הציבור), התשפ""ג-2023 ")</f>
        <v>10033</v>
      </c>
      <c r="E4831" t="s">
        <v>10033</v>
      </c>
      <c r="F4831" t="s">
        <v>10034</v>
      </c>
      <c r="G4831" t="s">
        <v>14</v>
      </c>
      <c r="H4831">
             </c>
      <c r="I4831" t="s">
        <v>14</v>
      </c>
      <c r="J4831" t="s">
        <v>242</v>
      </c>
      <c r="K4831" t="s">
        <v>14</v>
      </c>
      <c r="L4831" t="s">
        <v>20</v>
      </c>
      <c r="M4831" t="s">
        <v>9962</v>
      </c>
      <c r="N4831" t="s">
        <v>14</v>
      </c>
    </row>
    <row r="4832" x14ac:dyDescent="0.25">
      <c r="A4832" t="n">
        <v>25</v>
      </c>
      <c r="B4832" t="s">
        <v>14</v>
      </c>
      <c r="C4832" t="s">
        <v>51</v>
      </c>
      <c r="D4832" s="2" t="s">
        <f>=HYPERLINK("https://main.knesset.gov.il/APPS/legislation/main/bills/2202171", "הצעת חוק הביטוח הלאומי (תיקון - קצבת תלויים וקצבת אזרח ותיק), התשפ""ג-2023")</f>
        <v>9645</v>
      </c>
      <c r="E4832" t="s">
        <v>9645</v>
      </c>
      <c r="F4832" t="s">
        <v>10035</v>
      </c>
      <c r="G4832" t="s">
        <v>14</v>
      </c>
      <c r="H4832">
             </c>
      <c r="I4832" t="s">
        <v>14</v>
      </c>
      <c r="J4832" t="s">
        <v>242</v>
      </c>
      <c r="K4832" t="s">
        <v>14</v>
      </c>
      <c r="L4832" t="s">
        <v>20</v>
      </c>
      <c r="M4832" t="s">
        <v>9962</v>
      </c>
      <c r="N4832" t="s">
        <v>14</v>
      </c>
    </row>
    <row r="4833" x14ac:dyDescent="0.25">
      <c r="A4833" t="n">
        <v>25</v>
      </c>
      <c r="B4833" t="s">
        <v>14</v>
      </c>
      <c r="C4833" t="s">
        <v>51</v>
      </c>
      <c r="D4833" s="2" t="s">
        <f>=HYPERLINK("https://main.knesset.gov.il/APPS/legislation/main/bills/2203307", "הצעת חוק לעידוד השקעות הון בחקלאות (תיקון - השוואת ההטבות בתעשייה להטבות בחקלאות), התשפ""ג-2023")</f>
        <v>6520</v>
      </c>
      <c r="E4833" t="s">
        <v>6520</v>
      </c>
      <c r="F4833" t="s">
        <v>10036</v>
      </c>
      <c r="G4833" t="s">
        <v>14</v>
      </c>
      <c r="H4833">
             </c>
      <c r="I4833" t="s">
        <v>14</v>
      </c>
      <c r="J4833" t="s">
        <v>242</v>
      </c>
      <c r="K4833" t="s">
        <v>14</v>
      </c>
      <c r="L4833" t="s">
        <v>20</v>
      </c>
      <c r="M4833" t="s">
        <v>9962</v>
      </c>
      <c r="N4833" t="s">
        <v>14</v>
      </c>
    </row>
    <row r="4834" x14ac:dyDescent="0.25">
      <c r="A4834" t="n">
        <v>25</v>
      </c>
      <c r="B4834" t="s">
        <v>14</v>
      </c>
      <c r="C4834" t="s">
        <v>51</v>
      </c>
      <c r="D4834" s="2" t="s">
        <f>=HYPERLINK("https://main.knesset.gov.il/APPS/legislation/main/bills/2202759", "הצעת חוק שלילת זכויות למעורב בטרור ולבני משפחתו (תיקוני חקיקה), התשפ""ג-2023")</f>
        <v>10037</v>
      </c>
      <c r="E4834" t="s">
        <v>10037</v>
      </c>
      <c r="F4834" t="s">
        <v>10038</v>
      </c>
      <c r="G4834" t="s">
        <v>14</v>
      </c>
      <c r="H4834">
             </c>
      <c r="I4834" t="s">
        <v>14</v>
      </c>
      <c r="J4834" t="s">
        <v>242</v>
      </c>
      <c r="K4834" t="s">
        <v>14</v>
      </c>
      <c r="L4834" t="s">
        <v>20</v>
      </c>
      <c r="M4834" t="s">
        <v>9962</v>
      </c>
      <c r="N4834" t="s">
        <v>14</v>
      </c>
    </row>
    <row r="4835" x14ac:dyDescent="0.25">
      <c r="A4835" t="n">
        <v>25</v>
      </c>
      <c r="B4835" t="s">
        <v>14</v>
      </c>
      <c r="C4835" t="s">
        <v>51</v>
      </c>
      <c r="D4835" s="2" t="s">
        <f>=HYPERLINK("https://main.knesset.gov.il/APPS/legislation/main/bills/2201921", "הצעת חוק מגן דוד אדום (תיקון - פינוי לבית חולים כללי הקרוב בתשלום קבוע), התשפ""ג-2023")</f>
        <v>10039</v>
      </c>
      <c r="E4835" t="s">
        <v>10039</v>
      </c>
      <c r="F4835" t="s">
        <v>10040</v>
      </c>
      <c r="G4835" t="s">
        <v>14</v>
      </c>
      <c r="H4835">
             </c>
      <c r="I4835" t="s">
        <v>14</v>
      </c>
      <c r="J4835" t="s">
        <v>202</v>
      </c>
      <c r="K4835" t="s">
        <v>14</v>
      </c>
      <c r="L4835" t="s">
        <v>20</v>
      </c>
      <c r="M4835" t="s">
        <v>9962</v>
      </c>
      <c r="N4835" t="s">
        <v>14</v>
      </c>
    </row>
    <row r="4836" x14ac:dyDescent="0.25">
      <c r="A4836" t="n">
        <v>25</v>
      </c>
      <c r="B4836" t="s">
        <v>14</v>
      </c>
      <c r="C4836" t="s">
        <v>51</v>
      </c>
      <c r="D4836" s="2" t="s">
        <f>=HYPERLINK("https://main.knesset.gov.il/APPS/legislation/main/bills/2202975", "הצעת חוק להכרה, לחקר האמת, להנצחה ולפיצוי של נפגעי פרשת ילדי תימן, המזרח והבלקן, התשפ""ג-2023")</f>
        <v>10041</v>
      </c>
      <c r="E4836" t="s">
        <v>10041</v>
      </c>
      <c r="F4836" t="s">
        <v>10042</v>
      </c>
      <c r="G4836" t="s">
        <v>14</v>
      </c>
      <c r="H4836">
             </c>
      <c r="I4836" t="s">
        <v>14</v>
      </c>
      <c r="J4836" t="s">
        <v>242</v>
      </c>
      <c r="K4836" t="s">
        <v>14</v>
      </c>
      <c r="L4836" t="s">
        <v>20</v>
      </c>
      <c r="M4836" t="s">
        <v>9962</v>
      </c>
      <c r="N4836" t="s">
        <v>14</v>
      </c>
    </row>
    <row r="4837" x14ac:dyDescent="0.25">
      <c r="A4837" t="n">
        <v>25</v>
      </c>
      <c r="B4837" t="s">
        <v>14</v>
      </c>
      <c r="C4837" t="s">
        <v>51</v>
      </c>
      <c r="D4837" s="2" t="s">
        <f>=HYPERLINK("https://main.knesset.gov.il/APPS/legislation/main/bills/2203278", "הצעת חוק עוסק זעיר, התשפ""ג-2023")</f>
        <v>10043</v>
      </c>
      <c r="E4837" t="s">
        <v>10043</v>
      </c>
      <c r="F4837" t="s">
        <v>10044</v>
      </c>
      <c r="G4837" t="s">
        <v>14</v>
      </c>
      <c r="H4837">
             </c>
      <c r="I4837" t="s">
        <v>14</v>
      </c>
      <c r="J4837" t="s">
        <v>242</v>
      </c>
      <c r="K4837" t="s">
        <v>14</v>
      </c>
      <c r="L4837" t="s">
        <v>20</v>
      </c>
      <c r="M4837" t="s">
        <v>9962</v>
      </c>
      <c r="N4837" t="s">
        <v>14</v>
      </c>
    </row>
    <row r="4838" x14ac:dyDescent="0.25">
      <c r="A4838" t="n">
        <v>25</v>
      </c>
      <c r="B4838" t="s">
        <v>14</v>
      </c>
      <c r="C4838" t="s">
        <v>51</v>
      </c>
      <c r="D4838" s="2" t="s">
        <f>=HYPERLINK("https://main.knesset.gov.il/APPS/legislation/main/bills/2203283", "הצעת חוק יום אבל במות קרוב מדרגה שנייה, התשפ""ג-2023")</f>
        <v>10045</v>
      </c>
      <c r="E4838" t="s">
        <v>10045</v>
      </c>
      <c r="F4838" t="s">
        <v>10046</v>
      </c>
      <c r="G4838" t="s">
        <v>14</v>
      </c>
      <c r="H4838">
             </c>
      <c r="I4838" t="s">
        <v>14</v>
      </c>
      <c r="J4838" t="s">
        <v>242</v>
      </c>
      <c r="K4838" t="s">
        <v>14</v>
      </c>
      <c r="L4838" t="s">
        <v>20</v>
      </c>
      <c r="M4838" t="s">
        <v>9962</v>
      </c>
      <c r="N4838" t="s">
        <v>14</v>
      </c>
    </row>
    <row r="4839" x14ac:dyDescent="0.25">
      <c r="A4839" t="n">
        <v>25</v>
      </c>
      <c r="B4839" t="s">
        <v>14</v>
      </c>
      <c r="C4839" t="s">
        <v>51</v>
      </c>
      <c r="D4839" s="2" t="s">
        <f>=HYPERLINK("https://main.knesset.gov.il/APPS/legislation/main/bills/2202941", "הצעת חוק לתיקון פקודת המכס (ביטול חיוב בעד בדיקת טובין), התשפ""ג-2023")</f>
        <v>10047</v>
      </c>
      <c r="E4839" t="s">
        <v>10047</v>
      </c>
      <c r="F4839" t="s">
        <v>10048</v>
      </c>
      <c r="G4839" t="s">
        <v>14</v>
      </c>
      <c r="H4839">
             </c>
      <c r="I4839" t="s">
        <v>14</v>
      </c>
      <c r="J4839" t="s">
        <v>242</v>
      </c>
      <c r="K4839" t="s">
        <v>14</v>
      </c>
      <c r="L4839" t="s">
        <v>20</v>
      </c>
      <c r="M4839" t="s">
        <v>9962</v>
      </c>
      <c r="N4839" t="s">
        <v>14</v>
      </c>
    </row>
    <row r="4840" x14ac:dyDescent="0.25">
      <c r="A4840" t="n">
        <v>25</v>
      </c>
      <c r="B4840" t="s">
        <v>14</v>
      </c>
      <c r="C4840" t="s">
        <v>51</v>
      </c>
      <c r="D4840" s="2" t="s">
        <f>=HYPERLINK("https://main.knesset.gov.il/APPS/legislation/main/bills/2203064", "הצעת חוק להגדלת שיעור ההשתתפות בכוח העבודה ולצמצום פערים חברתיים (מענק עבודה) (תיקון - זכאות להטבות נלוות), התשפ""ג-2023")</f>
        <v>9708</v>
      </c>
      <c r="E4840" t="s">
        <v>9708</v>
      </c>
      <c r="F4840" t="s">
        <v>10049</v>
      </c>
      <c r="G4840" t="s">
        <v>14</v>
      </c>
      <c r="H4840">
             </c>
      <c r="I4840" t="s">
        <v>14</v>
      </c>
      <c r="J4840" t="s">
        <v>242</v>
      </c>
      <c r="K4840" t="s">
        <v>14</v>
      </c>
      <c r="L4840" t="s">
        <v>20</v>
      </c>
      <c r="M4840" t="s">
        <v>9962</v>
      </c>
      <c r="N4840" t="s">
        <v>14</v>
      </c>
    </row>
    <row r="4841" x14ac:dyDescent="0.25">
      <c r="A4841" t="n">
        <v>25</v>
      </c>
      <c r="B4841" t="s">
        <v>14</v>
      </c>
      <c r="C4841" t="s">
        <v>51</v>
      </c>
      <c r="D4841" s="2" t="s">
        <f>=HYPERLINK("https://main.knesset.gov.il/APPS/legislation/main/bills/2203279", "הצעת חוק מגן דוד אדום (תיקון - הענקת שירותי רפואה מרחוק), התשפ""ג-2023")</f>
        <v>10050</v>
      </c>
      <c r="E4841" t="s">
        <v>10050</v>
      </c>
      <c r="F4841" t="s">
        <v>10051</v>
      </c>
      <c r="G4841" t="s">
        <v>14</v>
      </c>
      <c r="H4841">
             </c>
      <c r="I4841" t="s">
        <v>14</v>
      </c>
      <c r="J4841" t="s">
        <v>242</v>
      </c>
      <c r="K4841" t="s">
        <v>14</v>
      </c>
      <c r="L4841" t="s">
        <v>20</v>
      </c>
      <c r="M4841" t="s">
        <v>9962</v>
      </c>
      <c r="N4841" t="s">
        <v>14</v>
      </c>
    </row>
    <row r="4842" x14ac:dyDescent="0.25">
      <c r="A4842" t="n">
        <v>25</v>
      </c>
      <c r="B4842" t="s">
        <v>14</v>
      </c>
      <c r="C4842" t="s">
        <v>51</v>
      </c>
      <c r="D4842" s="2" t="s">
        <f>=HYPERLINK("https://main.knesset.gov.il/APPS/legislation/main/bills/2198639", "הצעת חוק לתיקון פקודת מס הכנסה (פטור ממס הכנסה לנכים), התשפ""ג-2023")</f>
        <v>9194</v>
      </c>
      <c r="E4842" t="s">
        <v>9194</v>
      </c>
      <c r="F4842" t="s">
        <v>10052</v>
      </c>
      <c r="G4842" t="s">
        <v>14</v>
      </c>
      <c r="H4842">
             </c>
      <c r="I4842" t="s">
        <v>14</v>
      </c>
      <c r="J4842" t="s">
        <v>242</v>
      </c>
      <c r="K4842" t="s">
        <v>14</v>
      </c>
      <c r="L4842" t="s">
        <v>20</v>
      </c>
      <c r="M4842" t="s">
        <v>9962</v>
      </c>
      <c r="N4842" t="s">
        <v>14</v>
      </c>
    </row>
    <row r="4843" x14ac:dyDescent="0.25">
      <c r="A4843" t="n">
        <v>25</v>
      </c>
      <c r="B4843" t="s">
        <v>14</v>
      </c>
      <c r="C4843" t="s">
        <v>51</v>
      </c>
      <c r="D4843" s="2" t="s">
        <f>=HYPERLINK("https://main.knesset.gov.il/APPS/legislation/main/bills/2203124", "הצעת חוק לתיקון פקודת מס הכנסה (הטבות במס ליישוב מאוים באזור), התשפ""ג-2023")</f>
        <v>8578</v>
      </c>
      <c r="E4843" t="s">
        <v>8578</v>
      </c>
      <c r="F4843" t="s">
        <v>10053</v>
      </c>
      <c r="G4843" t="s">
        <v>14</v>
      </c>
      <c r="H4843">
             </c>
      <c r="I4843" t="s">
        <v>14</v>
      </c>
      <c r="J4843" t="s">
        <v>242</v>
      </c>
      <c r="K4843" t="s">
        <v>14</v>
      </c>
      <c r="L4843" t="s">
        <v>20</v>
      </c>
      <c r="M4843" t="s">
        <v>9962</v>
      </c>
      <c r="N4843" t="s">
        <v>14</v>
      </c>
    </row>
    <row r="4844" x14ac:dyDescent="0.25">
      <c r="A4844" t="n">
        <v>25</v>
      </c>
      <c r="B4844" t="s">
        <v>14</v>
      </c>
      <c r="C4844" t="s">
        <v>51</v>
      </c>
      <c r="D4844" s="2" t="s">
        <f>=HYPERLINK("https://main.knesset.gov.il/APPS/legislation/main/bills/2202983", "הצעת חוק היטלי סחר ואמצעי הגנה (תיקון - אי פתיחת חקירה בשל יבוא בהיצף בשוק מונופוליסטי או ריכוזי), התשפ""ג-2023")</f>
        <v>10054</v>
      </c>
      <c r="E4844" t="s">
        <v>10054</v>
      </c>
      <c r="F4844" t="s">
        <v>10055</v>
      </c>
      <c r="G4844" t="s">
        <v>14</v>
      </c>
      <c r="H4844">
             </c>
      <c r="I4844" t="s">
        <v>14</v>
      </c>
      <c r="J4844" t="s">
        <v>242</v>
      </c>
      <c r="K4844" t="s">
        <v>14</v>
      </c>
      <c r="L4844" t="s">
        <v>20</v>
      </c>
      <c r="M4844" t="s">
        <v>9962</v>
      </c>
      <c r="N4844" t="s">
        <v>14</v>
      </c>
    </row>
    <row r="4845" x14ac:dyDescent="0.25">
      <c r="A4845" t="n">
        <v>25</v>
      </c>
      <c r="B4845" t="s">
        <v>14</v>
      </c>
      <c r="C4845" t="s">
        <v>51</v>
      </c>
      <c r="D4845" s="2" t="s">
        <f>=HYPERLINK("https://main.knesset.gov.il/APPS/legislation/main/bills/2203285", "הצעת חוק הביטוח הלאומי (תיקון - דמי אבטלה לעצמאים), התשפ""ג-2023")</f>
        <v>9590</v>
      </c>
      <c r="E4845" t="s">
        <v>9590</v>
      </c>
      <c r="F4845" t="s">
        <v>10056</v>
      </c>
      <c r="G4845" t="s">
        <v>14</v>
      </c>
      <c r="H4845">
             </c>
      <c r="I4845" t="s">
        <v>14</v>
      </c>
      <c r="J4845" t="s">
        <v>242</v>
      </c>
      <c r="K4845" t="s">
        <v>14</v>
      </c>
      <c r="L4845" t="s">
        <v>20</v>
      </c>
      <c r="M4845" t="s">
        <v>9962</v>
      </c>
      <c r="N4845" t="s">
        <v>14</v>
      </c>
    </row>
    <row r="4846" x14ac:dyDescent="0.25">
      <c r="A4846" t="n">
        <v>25</v>
      </c>
      <c r="B4846" t="s">
        <v>14</v>
      </c>
      <c r="C4846" t="s">
        <v>51</v>
      </c>
      <c r="D4846" s="2" t="s">
        <f>=HYPERLINK("https://main.knesset.gov.il/APPS/legislation/main/bills/2202067", "הצעת חוק התגמולים לנפגעי פעולות איבה (תיקון - זכאות לתגמולים ולפיצויים לפי חוק אחר), התשפ""ג-2023")</f>
        <v>8638</v>
      </c>
      <c r="E4846" t="s">
        <v>8638</v>
      </c>
      <c r="F4846" t="s">
        <v>10057</v>
      </c>
      <c r="G4846" t="s">
        <v>14</v>
      </c>
      <c r="H4846">
             </c>
      <c r="I4846" t="s">
        <v>14</v>
      </c>
      <c r="J4846" t="s">
        <v>242</v>
      </c>
      <c r="K4846" t="s">
        <v>14</v>
      </c>
      <c r="L4846" t="s">
        <v>20</v>
      </c>
      <c r="M4846" t="s">
        <v>9962</v>
      </c>
      <c r="N4846" t="s">
        <v>14</v>
      </c>
    </row>
    <row r="4847" x14ac:dyDescent="0.25">
      <c r="A4847" t="n">
        <v>25</v>
      </c>
      <c r="B4847" t="s">
        <v>14</v>
      </c>
      <c r="C4847" t="s">
        <v>51</v>
      </c>
      <c r="D4847" s="2" t="s">
        <f>=HYPERLINK("https://main.knesset.gov.il/APPS/legislation/main/bills/2202875", "הצעת חוק התגמולים לנפגעי פעולות איבה (תיקון - זכאות לתגמולים ולפיצויים לפי חוק אחר), התשפ""ג-2023")</f>
        <v>8638</v>
      </c>
      <c r="E4847" t="s">
        <v>8638</v>
      </c>
      <c r="F4847" t="s">
        <v>10058</v>
      </c>
      <c r="G4847" t="s">
        <v>14</v>
      </c>
      <c r="H4847">
             </c>
      <c r="I4847" t="s">
        <v>14</v>
      </c>
      <c r="J4847" t="s">
        <v>242</v>
      </c>
      <c r="K4847" t="s">
        <v>14</v>
      </c>
      <c r="L4847" t="s">
        <v>20</v>
      </c>
      <c r="M4847" t="s">
        <v>9962</v>
      </c>
      <c r="N4847" t="s">
        <v>14</v>
      </c>
    </row>
    <row r="4848" x14ac:dyDescent="0.25">
      <c r="A4848" t="n">
        <v>25</v>
      </c>
      <c r="B4848" t="s">
        <v>14</v>
      </c>
      <c r="C4848" t="s">
        <v>51</v>
      </c>
      <c r="D4848" s="2" t="s">
        <f>=HYPERLINK("https://main.knesset.gov.il/APPS/legislation/main/bills/2199070", "הצעת חוק בינוי ופינוי של אזורי שיקום (כפר שלם), התשפ""ג-2023")</f>
        <v>10059</v>
      </c>
      <c r="E4848" t="s">
        <v>10059</v>
      </c>
      <c r="F4848" t="s">
        <v>10060</v>
      </c>
      <c r="G4848" t="s">
        <v>14</v>
      </c>
      <c r="H4848">
             </c>
      <c r="I4848" t="s">
        <v>14</v>
      </c>
      <c r="J4848" t="s">
        <v>242</v>
      </c>
      <c r="K4848" t="s">
        <v>14</v>
      </c>
      <c r="L4848" t="s">
        <v>20</v>
      </c>
      <c r="M4848" t="s">
        <v>9962</v>
      </c>
      <c r="N4848" t="s">
        <v>14</v>
      </c>
    </row>
    <row r="4849" x14ac:dyDescent="0.25">
      <c r="A4849" t="n">
        <v>25</v>
      </c>
      <c r="B4849" t="s">
        <v>14</v>
      </c>
      <c r="C4849" t="s">
        <v>51</v>
      </c>
      <c r="D4849" s="2" t="s">
        <f>=HYPERLINK("https://main.knesset.gov.il/APPS/legislation/main/bills/2203414", "הצעת חוק החלת הריבונות של מדינת ישראל בחבלי יהודה והשומרון, התשפ""ג-2023")</f>
        <v>9811</v>
      </c>
      <c r="E4849" t="s">
        <v>9811</v>
      </c>
      <c r="F4849" t="s">
        <v>10061</v>
      </c>
      <c r="G4849" t="s">
        <v>14</v>
      </c>
      <c r="H4849">
             </c>
      <c r="I4849" t="s">
        <v>14</v>
      </c>
      <c r="J4849" t="s">
        <v>242</v>
      </c>
      <c r="K4849" t="s">
        <v>14</v>
      </c>
      <c r="L4849" t="s">
        <v>20</v>
      </c>
      <c r="M4849" t="s">
        <v>9962</v>
      </c>
      <c r="N4849" t="s">
        <v>14</v>
      </c>
    </row>
    <row r="4850" x14ac:dyDescent="0.25">
      <c r="A4850" t="n">
        <v>25</v>
      </c>
      <c r="B4850" t="s">
        <v>14</v>
      </c>
      <c r="C4850" t="s">
        <v>51</v>
      </c>
      <c r="D4850" s="2" t="s">
        <f>=HYPERLINK("https://main.knesset.gov.il/APPS/legislation/main/bills/2203263", "הצעת חוק כלי הירייה (תיקון - דמויי כלי ירייה), התשפ""ג-2023")</f>
        <v>10062</v>
      </c>
      <c r="E4850" t="s">
        <v>10062</v>
      </c>
      <c r="F4850" t="s">
        <v>10063</v>
      </c>
      <c r="G4850" t="s">
        <v>14</v>
      </c>
      <c r="H4850">
             </c>
      <c r="I4850" t="s">
        <v>14</v>
      </c>
      <c r="J4850" t="s">
        <v>242</v>
      </c>
      <c r="K4850" t="s">
        <v>14</v>
      </c>
      <c r="L4850" t="s">
        <v>20</v>
      </c>
      <c r="M4850" t="s">
        <v>9962</v>
      </c>
      <c r="N4850" t="s">
        <v>14</v>
      </c>
    </row>
    <row r="4851" x14ac:dyDescent="0.25">
      <c r="A4851" t="n">
        <v>25</v>
      </c>
      <c r="B4851" t="s">
        <v>14</v>
      </c>
      <c r="C4851" t="s">
        <v>51</v>
      </c>
      <c r="D4851" s="2" t="s">
        <f>=HYPERLINK("https://main.knesset.gov.il/APPS/legislation/main/bills/2202763", "הצעת חוק מאבק בארגוני פשיעה (תיקון - הרחבת הנסיבה המחמירה לזיקה לארגון פשיעה), התשפ""ג-2023")</f>
        <v>8856</v>
      </c>
      <c r="E4851" t="s">
        <v>8856</v>
      </c>
      <c r="F4851" t="s">
        <v>10064</v>
      </c>
      <c r="G4851" t="s">
        <v>14</v>
      </c>
      <c r="H4851">
             </c>
      <c r="I4851" t="s">
        <v>14</v>
      </c>
      <c r="J4851" t="s">
        <v>242</v>
      </c>
      <c r="K4851" t="s">
        <v>14</v>
      </c>
      <c r="L4851" t="s">
        <v>20</v>
      </c>
      <c r="M4851" t="s">
        <v>9962</v>
      </c>
      <c r="N4851" t="s">
        <v>14</v>
      </c>
    </row>
    <row r="4852" x14ac:dyDescent="0.25">
      <c r="A4852" t="n">
        <v>25</v>
      </c>
      <c r="B4852" t="s">
        <v>14</v>
      </c>
      <c r="C4852" t="s">
        <v>51</v>
      </c>
      <c r="D4852" s="2" t="s">
        <f>=HYPERLINK("https://main.knesset.gov.il/APPS/legislation/main/bills/2202752", "הצעת חוק הביטוח הלאומי (תיקון - הרחבת הזכאות למענק לימודים), התשפ""ג-2023")</f>
        <v>9233</v>
      </c>
      <c r="E4852" t="s">
        <v>9233</v>
      </c>
      <c r="F4852" t="s">
        <v>10065</v>
      </c>
      <c r="G4852" t="s">
        <v>14</v>
      </c>
      <c r="H4852">
             </c>
      <c r="I4852" t="s">
        <v>14</v>
      </c>
      <c r="J4852" t="s">
        <v>242</v>
      </c>
      <c r="K4852" t="s">
        <v>14</v>
      </c>
      <c r="L4852" t="s">
        <v>20</v>
      </c>
      <c r="M4852" t="s">
        <v>9962</v>
      </c>
      <c r="N4852" t="s">
        <v>14</v>
      </c>
    </row>
    <row r="4853" x14ac:dyDescent="0.25">
      <c r="A4853" t="n">
        <v>25</v>
      </c>
      <c r="B4853" t="s">
        <v>14</v>
      </c>
      <c r="C4853" t="s">
        <v>51</v>
      </c>
      <c r="D4853" s="2" t="s">
        <f>=HYPERLINK("https://main.knesset.gov.il/APPS/legislation/main/bills/2203100", "הצעת חוק שירותי הסעד (תיקון - הגבלת מספר התיקים בטיפול עובד סוציאלי המטפל במשפחות), התשפ""ג-2023")</f>
        <v>8403</v>
      </c>
      <c r="E4853" t="s">
        <v>8403</v>
      </c>
      <c r="F4853" t="s">
        <v>10066</v>
      </c>
      <c r="G4853" t="s">
        <v>14</v>
      </c>
      <c r="H4853">
             </c>
      <c r="I4853" t="s">
        <v>14</v>
      </c>
      <c r="J4853" t="s">
        <v>242</v>
      </c>
      <c r="K4853" t="s">
        <v>14</v>
      </c>
      <c r="L4853" t="s">
        <v>20</v>
      </c>
      <c r="M4853" t="s">
        <v>9962</v>
      </c>
      <c r="N4853" t="s">
        <v>14</v>
      </c>
    </row>
    <row r="4854" x14ac:dyDescent="0.25">
      <c r="A4854" t="n">
        <v>25</v>
      </c>
      <c r="B4854" t="s">
        <v>14</v>
      </c>
      <c r="C4854" t="s">
        <v>51</v>
      </c>
      <c r="D4854" s="2" t="s">
        <f>=HYPERLINK("https://main.knesset.gov.il/APPS/legislation/main/bills/2200679", "הצעת חוק הבטחת הכנסה (תיקון - גמלה לתלמיד), התשפ""ג-2023")</f>
        <v>9724</v>
      </c>
      <c r="E4854" t="s">
        <v>9724</v>
      </c>
      <c r="F4854" t="s">
        <v>10067</v>
      </c>
      <c r="G4854" t="s">
        <v>14</v>
      </c>
      <c r="H4854">
             </c>
      <c r="I4854" t="s">
        <v>14</v>
      </c>
      <c r="J4854" t="s">
        <v>242</v>
      </c>
      <c r="K4854" t="s">
        <v>14</v>
      </c>
      <c r="L4854" t="s">
        <v>20</v>
      </c>
      <c r="M4854" t="s">
        <v>9962</v>
      </c>
      <c r="N4854" t="s">
        <v>14</v>
      </c>
    </row>
    <row r="4855" x14ac:dyDescent="0.25">
      <c r="A4855" t="n">
        <v>25</v>
      </c>
      <c r="B4855" t="s">
        <v>14</v>
      </c>
      <c r="C4855" t="s">
        <v>51</v>
      </c>
      <c r="D4855" s="2" t="s">
        <f>=HYPERLINK("https://main.knesset.gov.il/APPS/legislation/main/bills/2202849", "הצעת חוק פיקוח על מחירים, שיווק וסבסוד של מזון ללא גלוטן, התשפ""ג -2023")</f>
        <v>10068</v>
      </c>
      <c r="E4855" t="s">
        <v>10068</v>
      </c>
      <c r="F4855" t="s">
        <v>10069</v>
      </c>
      <c r="G4855" t="s">
        <v>14</v>
      </c>
      <c r="H4855">
             </c>
      <c r="I4855" t="s">
        <v>14</v>
      </c>
      <c r="J4855" t="s">
        <v>242</v>
      </c>
      <c r="K4855" t="s">
        <v>14</v>
      </c>
      <c r="L4855" t="s">
        <v>20</v>
      </c>
      <c r="M4855" t="s">
        <v>9962</v>
      </c>
      <c r="N4855" t="s">
        <v>14</v>
      </c>
    </row>
    <row r="4856" x14ac:dyDescent="0.25">
      <c r="A4856" t="n">
        <v>25</v>
      </c>
      <c r="B4856" t="s">
        <v>14</v>
      </c>
      <c r="C4856" t="s">
        <v>51</v>
      </c>
      <c r="D4856" s="2" t="s">
        <f>=HYPERLINK("https://main.knesset.gov.il/APPS/legislation/main/bills/2202669", "הצעת חוק לתיקון פקודת הראיות (עדות עובד במשרת אמון), התשפ""ג-2023")</f>
        <v>10070</v>
      </c>
      <c r="E4856" t="s">
        <v>10070</v>
      </c>
      <c r="F4856" t="s">
        <v>10071</v>
      </c>
      <c r="G4856" t="s">
        <v>14</v>
      </c>
      <c r="H4856">
             </c>
      <c r="I4856" t="s">
        <v>14</v>
      </c>
      <c r="J4856" t="s">
        <v>242</v>
      </c>
      <c r="K4856" t="s">
        <v>14</v>
      </c>
      <c r="L4856" t="s">
        <v>20</v>
      </c>
      <c r="M4856" t="s">
        <v>9962</v>
      </c>
      <c r="N4856" t="s">
        <v>14</v>
      </c>
    </row>
    <row r="4857" x14ac:dyDescent="0.25">
      <c r="A4857" t="n">
        <v>25</v>
      </c>
      <c r="B4857" t="s">
        <v>14</v>
      </c>
      <c r="C4857" t="s">
        <v>51</v>
      </c>
      <c r="D4857" s="2" t="s">
        <f>=HYPERLINK("https://main.knesset.gov.il/APPS/legislation/main/bills/2202735", "הצעת חוק ארגוני עזר רפואיים הפועלים בתחום רפואת חירום דחופה טרום אשפוזית, התשפ""ג-2023")</f>
        <v>10072</v>
      </c>
      <c r="E4857" t="s">
        <v>10072</v>
      </c>
      <c r="F4857" t="s">
        <v>10073</v>
      </c>
      <c r="G4857" t="s">
        <v>14</v>
      </c>
      <c r="H4857">
             </c>
      <c r="I4857" t="s">
        <v>14</v>
      </c>
      <c r="J4857" t="s">
        <v>242</v>
      </c>
      <c r="K4857" t="s">
        <v>14</v>
      </c>
      <c r="L4857" t="s">
        <v>20</v>
      </c>
      <c r="M4857" t="s">
        <v>9962</v>
      </c>
      <c r="N4857" t="s">
        <v>14</v>
      </c>
    </row>
    <row r="4858" x14ac:dyDescent="0.25">
      <c r="A4858" t="n">
        <v>25</v>
      </c>
      <c r="B4858" t="s">
        <v>14</v>
      </c>
      <c r="C4858" t="s">
        <v>51</v>
      </c>
      <c r="D4858" s="2" t="s">
        <f>=HYPERLINK("https://main.knesset.gov.il/APPS/legislation/main/bills/2198714", "הצעת חוק הרשות הלאומית לתרבות הארמית, התשפ""ג-2023")</f>
        <v>10074</v>
      </c>
      <c r="E4858" t="s">
        <v>10074</v>
      </c>
      <c r="F4858" t="s">
        <v>10075</v>
      </c>
      <c r="G4858" t="s">
        <v>14</v>
      </c>
      <c r="H4858">
             </c>
      <c r="I4858" t="s">
        <v>14</v>
      </c>
      <c r="J4858" t="s">
        <v>242</v>
      </c>
      <c r="K4858" t="s">
        <v>14</v>
      </c>
      <c r="L4858" t="s">
        <v>20</v>
      </c>
      <c r="M4858" t="s">
        <v>9962</v>
      </c>
      <c r="N4858" t="s">
        <v>14</v>
      </c>
    </row>
    <row r="4859" x14ac:dyDescent="0.25">
      <c r="A4859" t="n">
        <v>25</v>
      </c>
      <c r="B4859" t="s">
        <v>14</v>
      </c>
      <c r="C4859" t="s">
        <v>51</v>
      </c>
      <c r="D4859" s="2" t="s">
        <f>=HYPERLINK("https://main.knesset.gov.il/APPS/legislation/main/bills/2203288", "הצעת חוק לתיקון פקודת התעבורה (הגבלת דמי חניה בחניוני בתי חולים), התשפ""ג-2023")</f>
        <v>9093</v>
      </c>
      <c r="E4859" t="s">
        <v>9093</v>
      </c>
      <c r="F4859" t="s">
        <v>10076</v>
      </c>
      <c r="G4859" t="s">
        <v>14</v>
      </c>
      <c r="H4859">
             </c>
      <c r="I4859" t="s">
        <v>14</v>
      </c>
      <c r="J4859" t="s">
        <v>242</v>
      </c>
      <c r="K4859" t="s">
        <v>14</v>
      </c>
      <c r="L4859" t="s">
        <v>20</v>
      </c>
      <c r="M4859" t="s">
        <v>9962</v>
      </c>
      <c r="N4859" t="s">
        <v>14</v>
      </c>
    </row>
    <row r="4860" x14ac:dyDescent="0.25">
      <c r="A4860" t="n">
        <v>25</v>
      </c>
      <c r="B4860" t="s">
        <v>14</v>
      </c>
      <c r="C4860" t="s">
        <v>51</v>
      </c>
      <c r="D4860" s="2" t="s">
        <f>=HYPERLINK("https://main.knesset.gov.il/APPS/legislation/main/bills/2198510", "הצעת חוק הדגל, הסמל והמנון המדינה (תיקון - הצבת דגל המדינה בבתי ספר), התשפ""ג-2023")</f>
        <v>10077</v>
      </c>
      <c r="E4860" t="s">
        <v>10077</v>
      </c>
      <c r="F4860" t="s">
        <v>10078</v>
      </c>
      <c r="G4860" t="s">
        <v>14</v>
      </c>
      <c r="H4860">
             </c>
      <c r="I4860" t="s">
        <v>14</v>
      </c>
      <c r="J4860" t="s">
        <v>242</v>
      </c>
      <c r="K4860" t="s">
        <v>14</v>
      </c>
      <c r="L4860" t="s">
        <v>20</v>
      </c>
      <c r="M4860" t="s">
        <v>9962</v>
      </c>
      <c r="N4860" t="s">
        <v>14</v>
      </c>
    </row>
    <row r="4861" x14ac:dyDescent="0.25">
      <c r="A4861" t="n">
        <v>25</v>
      </c>
      <c r="B4861" t="s">
        <v>14</v>
      </c>
      <c r="C4861" t="s">
        <v>51</v>
      </c>
      <c r="D4861" s="2" t="s">
        <f>=HYPERLINK("https://main.knesset.gov.il/APPS/legislation/main/bills/2198717", "הצעת חוק חינוך ממלכתי (תיקון - חובת לימודי היסטוריה ומורשת ישראל בבית ספר יסודי), התשפ""ג-2023")</f>
        <v>10079</v>
      </c>
      <c r="E4861" t="s">
        <v>10079</v>
      </c>
      <c r="F4861" t="s">
        <v>10080</v>
      </c>
      <c r="G4861" t="s">
        <v>14</v>
      </c>
      <c r="H4861">
             </c>
      <c r="I4861" t="s">
        <v>14</v>
      </c>
      <c r="J4861" t="s">
        <v>242</v>
      </c>
      <c r="K4861" t="s">
        <v>14</v>
      </c>
      <c r="L4861" t="s">
        <v>20</v>
      </c>
      <c r="M4861" t="s">
        <v>9962</v>
      </c>
      <c r="N4861" t="s">
        <v>14</v>
      </c>
    </row>
    <row r="4862" x14ac:dyDescent="0.25">
      <c r="A4862" t="n">
        <v>25</v>
      </c>
      <c r="B4862" t="s">
        <v>14</v>
      </c>
      <c r="C4862" t="s">
        <v>51</v>
      </c>
      <c r="D4862" s="2" t="s">
        <f>=HYPERLINK("https://main.knesset.gov.il/APPS/legislation/main/bills/2202699", "הצעת חוק המועצה להשכלה גבוהה (תיקון - הקמת מוסדות להשכלה גבוהה בפריפריה), התשפ""ג-2023")</f>
        <v>10024</v>
      </c>
      <c r="E4862" t="s">
        <v>10024</v>
      </c>
      <c r="F4862" t="s">
        <v>10081</v>
      </c>
      <c r="G4862" t="s">
        <v>14</v>
      </c>
      <c r="H4862">
             </c>
      <c r="I4862" t="s">
        <v>14</v>
      </c>
      <c r="J4862" t="s">
        <v>242</v>
      </c>
      <c r="K4862" t="s">
        <v>14</v>
      </c>
      <c r="L4862" t="s">
        <v>20</v>
      </c>
      <c r="M4862" t="s">
        <v>9962</v>
      </c>
      <c r="N4862" t="s">
        <v>14</v>
      </c>
    </row>
    <row r="4863" x14ac:dyDescent="0.25">
      <c r="A4863" t="n">
        <v>25</v>
      </c>
      <c r="B4863" t="s">
        <v>14</v>
      </c>
      <c r="C4863" t="s">
        <v>51</v>
      </c>
      <c r="D4863" s="2" t="s">
        <f>=HYPERLINK("https://main.knesset.gov.il/APPS/legislation/main/bills/2202820", "הצעת חוק הפיקוח על מעונות יום לפעוטות (תיקון - הסמכת מתנדבים וטכנאי מצלמות), התשפ""ג-2023")</f>
        <v>9689</v>
      </c>
      <c r="E4863" t="s">
        <v>9689</v>
      </c>
      <c r="F4863" t="s">
        <v>10082</v>
      </c>
      <c r="G4863" t="s">
        <v>14</v>
      </c>
      <c r="H4863">
             </c>
      <c r="I4863" t="s">
        <v>14</v>
      </c>
      <c r="J4863" t="s">
        <v>242</v>
      </c>
      <c r="K4863" t="s">
        <v>14</v>
      </c>
      <c r="L4863" t="s">
        <v>20</v>
      </c>
      <c r="M4863" t="s">
        <v>9962</v>
      </c>
      <c r="N4863" t="s">
        <v>14</v>
      </c>
    </row>
    <row r="4864" x14ac:dyDescent="0.25">
      <c r="A4864" t="n">
        <v>25</v>
      </c>
      <c r="B4864" t="s">
        <v>14</v>
      </c>
      <c r="C4864" t="s">
        <v>51</v>
      </c>
      <c r="D4864" s="2" t="s">
        <f>=HYPERLINK("https://main.knesset.gov.il/APPS/legislation/main/bills/2203204", "הצעת חוק מס ערך מוסף (תיקון - פטור ממס בגין תרומות לבתי חולים בפריפריה), התשפ""ג-2023")</f>
        <v>10083</v>
      </c>
      <c r="E4864" t="s">
        <v>10083</v>
      </c>
      <c r="F4864" t="s">
        <v>10084</v>
      </c>
      <c r="G4864" t="s">
        <v>14</v>
      </c>
      <c r="H4864">
             </c>
      <c r="I4864" t="s">
        <v>14</v>
      </c>
      <c r="J4864" t="s">
        <v>242</v>
      </c>
      <c r="K4864" t="s">
        <v>14</v>
      </c>
      <c r="L4864" t="s">
        <v>20</v>
      </c>
      <c r="M4864" t="s">
        <v>9962</v>
      </c>
      <c r="N4864" t="s">
        <v>14</v>
      </c>
    </row>
    <row r="4865" x14ac:dyDescent="0.25">
      <c r="A4865" t="n">
        <v>25</v>
      </c>
      <c r="B4865" t="s">
        <v>14</v>
      </c>
      <c r="C4865" t="s">
        <v>51</v>
      </c>
      <c r="D4865" s="2" t="s">
        <f>=HYPERLINK("https://main.knesset.gov.il/APPS/legislation/main/bills/2203054", "הצעת חוק הבנקאות (שירות ללקוח) (תיקון - מסירת מידע על עמלות וריביות), התשפ""ג-2023")</f>
        <v>9740</v>
      </c>
      <c r="E4865" t="s">
        <v>9740</v>
      </c>
      <c r="F4865" t="s">
        <v>10085</v>
      </c>
      <c r="G4865" t="s">
        <v>14</v>
      </c>
      <c r="H4865">
             </c>
      <c r="I4865" t="s">
        <v>14</v>
      </c>
      <c r="J4865" t="s">
        <v>242</v>
      </c>
      <c r="K4865" t="s">
        <v>14</v>
      </c>
      <c r="L4865" t="s">
        <v>20</v>
      </c>
      <c r="M4865" t="s">
        <v>9962</v>
      </c>
      <c r="N4865" t="s">
        <v>14</v>
      </c>
    </row>
    <row r="4866" x14ac:dyDescent="0.25">
      <c r="A4866" t="n">
        <v>25</v>
      </c>
      <c r="B4866" t="s">
        <v>14</v>
      </c>
      <c r="C4866" t="s">
        <v>51</v>
      </c>
      <c r="D4866" s="2" t="s">
        <f>=HYPERLINK("https://main.knesset.gov.il/APPS/legislation/main/bills/2203091", "הצעת חוק הגנת הצרכן (תיקון - הגבלות על מכירה מיוחדת), התשפ""ג-2023")</f>
        <v>10086</v>
      </c>
      <c r="E4866" t="s">
        <v>10086</v>
      </c>
      <c r="F4866" t="s">
        <v>10087</v>
      </c>
      <c r="G4866" t="s">
        <v>14</v>
      </c>
      <c r="H4866">
             </c>
      <c r="I4866" t="s">
        <v>14</v>
      </c>
      <c r="J4866" t="s">
        <v>242</v>
      </c>
      <c r="K4866" t="s">
        <v>14</v>
      </c>
      <c r="L4866" t="s">
        <v>20</v>
      </c>
      <c r="M4866" t="s">
        <v>9962</v>
      </c>
      <c r="N4866" t="s">
        <v>14</v>
      </c>
    </row>
    <row r="4867" x14ac:dyDescent="0.25">
      <c r="A4867" t="n">
        <v>25</v>
      </c>
      <c r="B4867" t="s">
        <v>14</v>
      </c>
      <c r="C4867" t="s">
        <v>51</v>
      </c>
      <c r="D4867" s="2" t="s">
        <f>=HYPERLINK("https://main.knesset.gov.il/APPS/legislation/main/bills/2203291", "הצעת חוק הגנת הצרכן (תיקון - סימון תאריך ייצור ומועד תפוגה עברי), התשפ""ג-2023")</f>
        <v>10088</v>
      </c>
      <c r="E4867" t="s">
        <v>10088</v>
      </c>
      <c r="F4867" t="s">
        <v>10089</v>
      </c>
      <c r="G4867" t="s">
        <v>14</v>
      </c>
      <c r="H4867">
             </c>
      <c r="I4867" t="s">
        <v>14</v>
      </c>
      <c r="J4867" t="s">
        <v>242</v>
      </c>
      <c r="K4867" t="s">
        <v>14</v>
      </c>
      <c r="L4867" t="s">
        <v>20</v>
      </c>
      <c r="M4867" t="s">
        <v>9962</v>
      </c>
      <c r="N4867" t="s">
        <v>14</v>
      </c>
    </row>
    <row r="4868" x14ac:dyDescent="0.25">
      <c r="A4868" t="n">
        <v>25</v>
      </c>
      <c r="B4868" t="s">
        <v>14</v>
      </c>
      <c r="C4868" t="s">
        <v>51</v>
      </c>
      <c r="D4868" s="2" t="s">
        <f>=HYPERLINK("https://main.knesset.gov.il/APPS/legislation/main/bills/2203202", "הצעת חוק לתיקון פקודת מס הכנסה (הגדלת זיכוי מס על תרומה לבתי חולים בפריפריה), התשפ""ג-2023")</f>
        <v>10090</v>
      </c>
      <c r="E4868" t="s">
        <v>10090</v>
      </c>
      <c r="F4868" t="s">
        <v>10091</v>
      </c>
      <c r="G4868" t="s">
        <v>14</v>
      </c>
      <c r="H4868">
             </c>
      <c r="I4868" t="s">
        <v>14</v>
      </c>
      <c r="J4868" t="s">
        <v>202</v>
      </c>
      <c r="K4868" t="s">
        <v>14</v>
      </c>
      <c r="L4868" t="s">
        <v>20</v>
      </c>
      <c r="M4868" t="s">
        <v>9962</v>
      </c>
      <c r="N4868" t="s">
        <v>14</v>
      </c>
    </row>
    <row r="4869" x14ac:dyDescent="0.25">
      <c r="A4869" t="n">
        <v>25</v>
      </c>
      <c r="B4869" t="s">
        <v>14</v>
      </c>
      <c r="C4869" t="s">
        <v>51</v>
      </c>
      <c r="D4869" s="2" t="s">
        <f>=HYPERLINK("https://main.knesset.gov.il/APPS/legislation/main/bills/2202864", "הצעת חוק לתיקון פקודת התעבורה (חניית נשים בהריון והורה לתינוק), התשפ""ג-2023 ")</f>
        <v>10092</v>
      </c>
      <c r="E4869" t="s">
        <v>10092</v>
      </c>
      <c r="F4869" t="s">
        <v>10093</v>
      </c>
      <c r="G4869" t="s">
        <v>14</v>
      </c>
      <c r="H4869">
             </c>
      <c r="I4869" t="s">
        <v>14</v>
      </c>
      <c r="J4869" t="s">
        <v>242</v>
      </c>
      <c r="K4869" t="s">
        <v>14</v>
      </c>
      <c r="L4869" t="s">
        <v>20</v>
      </c>
      <c r="M4869" t="s">
        <v>9962</v>
      </c>
      <c r="N4869" t="s">
        <v>14</v>
      </c>
    </row>
    <row r="4870" x14ac:dyDescent="0.25">
      <c r="A4870" t="n">
        <v>25</v>
      </c>
      <c r="B4870" t="s">
        <v>14</v>
      </c>
      <c r="C4870" t="s">
        <v>51</v>
      </c>
      <c r="D4870" s="2" t="s">
        <f>=HYPERLINK("https://main.knesset.gov.il/APPS/legislation/main/bills/2196504", "הצעת חוק העונשין (תיקון - סחיטת דמי חסות), התשפ""ג-2023")</f>
        <v>10094</v>
      </c>
      <c r="E4870" t="s">
        <v>10094</v>
      </c>
      <c r="F4870" t="s">
        <v>10095</v>
      </c>
      <c r="G4870" t="s">
        <v>14</v>
      </c>
      <c r="H4870">
             </c>
      <c r="I4870" t="s">
        <v>14</v>
      </c>
      <c r="J4870" t="s">
        <v>242</v>
      </c>
      <c r="K4870" t="s">
        <v>14</v>
      </c>
      <c r="L4870" t="s">
        <v>20</v>
      </c>
      <c r="M4870" t="s">
        <v>9962</v>
      </c>
      <c r="N4870" t="s">
        <v>14</v>
      </c>
    </row>
    <row r="4871" x14ac:dyDescent="0.25">
      <c r="A4871" t="n">
        <v>25</v>
      </c>
      <c r="B4871" t="s">
        <v>14</v>
      </c>
      <c r="C4871" t="s">
        <v>51</v>
      </c>
      <c r="D4871" s="2" t="s">
        <f>=HYPERLINK("https://main.knesset.gov.il/APPS/legislation/main/bills/2201287", "הצעת חוק לימודי הכנה למבחנים פסיכומטריים לתלמידים, התשפ""ג-2023")</f>
        <v>9666</v>
      </c>
      <c r="E4871" t="s">
        <v>9666</v>
      </c>
      <c r="F4871" t="s">
        <v>10096</v>
      </c>
      <c r="G4871" t="s">
        <v>14</v>
      </c>
      <c r="H4871">
             </c>
      <c r="I4871" t="s">
        <v>14</v>
      </c>
      <c r="J4871" t="s">
        <v>242</v>
      </c>
      <c r="K4871" t="s">
        <v>14</v>
      </c>
      <c r="L4871" t="s">
        <v>20</v>
      </c>
      <c r="M4871" t="s">
        <v>9962</v>
      </c>
      <c r="N4871" t="s">
        <v>14</v>
      </c>
    </row>
    <row r="4872" x14ac:dyDescent="0.25">
      <c r="A4872" t="n">
        <v>25</v>
      </c>
      <c r="B4872" t="s">
        <v>14</v>
      </c>
      <c r="C4872" t="s">
        <v>51</v>
      </c>
      <c r="D4872" s="2" t="s">
        <f>=HYPERLINK("https://main.knesset.gov.il/APPS/legislation/main/bills/2198521", "הצעת חוק להקמת טכניון בנגב, התשפ""ג-2023")</f>
        <v>8770</v>
      </c>
      <c r="E4872" t="s">
        <v>8770</v>
      </c>
      <c r="F4872" t="s">
        <v>10097</v>
      </c>
      <c r="G4872" t="s">
        <v>14</v>
      </c>
      <c r="H4872">
             </c>
      <c r="I4872" t="s">
        <v>14</v>
      </c>
      <c r="J4872" t="s">
        <v>242</v>
      </c>
      <c r="K4872" t="s">
        <v>14</v>
      </c>
      <c r="L4872" t="s">
        <v>20</v>
      </c>
      <c r="M4872" t="s">
        <v>9962</v>
      </c>
      <c r="N4872" t="s">
        <v>14</v>
      </c>
    </row>
    <row r="4873" x14ac:dyDescent="0.25">
      <c r="A4873" t="n">
        <v>25</v>
      </c>
      <c r="B4873" t="s">
        <v>14</v>
      </c>
      <c r="C4873" t="s">
        <v>51</v>
      </c>
      <c r="D4873" s="2" t="s">
        <f>=HYPERLINK("https://main.knesset.gov.il/APPS/legislation/main/bills/2202823", "הצעת חוק הפיקוח על מעונות יום לפעוטות (תיקון - החמרת ענישה), התשפ""ג-2023")</f>
        <v>9692</v>
      </c>
      <c r="E4873" t="s">
        <v>9692</v>
      </c>
      <c r="F4873" t="s">
        <v>10098</v>
      </c>
      <c r="G4873" t="s">
        <v>14</v>
      </c>
      <c r="H4873">
             </c>
      <c r="I4873" t="s">
        <v>14</v>
      </c>
      <c r="J4873" t="s">
        <v>242</v>
      </c>
      <c r="K4873" t="s">
        <v>14</v>
      </c>
      <c r="L4873" t="s">
        <v>20</v>
      </c>
      <c r="M4873" t="s">
        <v>9962</v>
      </c>
      <c r="N4873" t="s">
        <v>14</v>
      </c>
    </row>
    <row r="4874" x14ac:dyDescent="0.25">
      <c r="A4874" t="n">
        <v>25</v>
      </c>
      <c r="B4874" t="s">
        <v>14</v>
      </c>
      <c r="C4874" t="s">
        <v>51</v>
      </c>
      <c r="D4874" s="2" t="s">
        <f>=HYPERLINK("https://main.knesset.gov.il/APPS/legislation/main/bills/2203055", "הצעת חוק איסור הפליה במוצרים, בשירותים ובכניסה למקומות בידור ולמקומות ציבוריים (תיקון - איסור הפליה בשל הובלת עגלת ילדים), התשפ""ג-2023")</f>
        <v>10099</v>
      </c>
      <c r="E4874" t="s">
        <v>10099</v>
      </c>
      <c r="F4874" t="s">
        <v>10100</v>
      </c>
      <c r="G4874" t="s">
        <v>14</v>
      </c>
      <c r="H4874">
             </c>
      <c r="I4874" t="s">
        <v>14</v>
      </c>
      <c r="J4874" t="s">
        <v>242</v>
      </c>
      <c r="K4874" t="s">
        <v>14</v>
      </c>
      <c r="L4874" t="s">
        <v>20</v>
      </c>
      <c r="M4874" t="s">
        <v>9962</v>
      </c>
      <c r="N4874" t="s">
        <v>14</v>
      </c>
    </row>
    <row r="4875" x14ac:dyDescent="0.25">
      <c r="A4875" t="n">
        <v>25</v>
      </c>
      <c r="B4875" t="s">
        <v>14</v>
      </c>
      <c r="C4875" t="s">
        <v>51</v>
      </c>
      <c r="D4875" s="2" t="s">
        <f>=HYPERLINK("https://main.knesset.gov.il/APPS/legislation/main/bills/2202977", "הצעת חוק התחרות הכלכלית (תיקון - ביטול הפטור לענף החקלאות), התשפ""ג-2023")</f>
        <v>10101</v>
      </c>
      <c r="E4875" t="s">
        <v>10101</v>
      </c>
      <c r="F4875" t="s">
        <v>10102</v>
      </c>
      <c r="G4875" t="s">
        <v>14</v>
      </c>
      <c r="H4875">
             </c>
      <c r="I4875" t="s">
        <v>14</v>
      </c>
      <c r="J4875" t="s">
        <v>242</v>
      </c>
      <c r="K4875" t="s">
        <v>14</v>
      </c>
      <c r="L4875" t="s">
        <v>20</v>
      </c>
      <c r="M4875" t="s">
        <v>9962</v>
      </c>
      <c r="N4875" t="s">
        <v>14</v>
      </c>
    </row>
    <row r="4876" x14ac:dyDescent="0.25">
      <c r="A4876" t="n">
        <v>25</v>
      </c>
      <c r="B4876" t="s">
        <v>14</v>
      </c>
      <c r="C4876" t="s">
        <v>51</v>
      </c>
      <c r="D4876" s="2" t="s">
        <f>=HYPERLINK("https://main.knesset.gov.il/APPS/legislation/main/bills/2203295", "הצעת חוק הגנת הצרכן (תיקון - חובת פרסום שם יצרן ודגם מוצר), התשפ""ג-2023")</f>
        <v>10103</v>
      </c>
      <c r="E4876" t="s">
        <v>10103</v>
      </c>
      <c r="F4876" t="s">
        <v>10104</v>
      </c>
      <c r="G4876" t="s">
        <v>14</v>
      </c>
      <c r="H4876">
             </c>
      <c r="I4876" t="s">
        <v>14</v>
      </c>
      <c r="J4876" t="s">
        <v>242</v>
      </c>
      <c r="K4876" t="s">
        <v>14</v>
      </c>
      <c r="L4876" t="s">
        <v>20</v>
      </c>
      <c r="M4876" t="s">
        <v>9962</v>
      </c>
      <c r="N4876" t="s">
        <v>14</v>
      </c>
    </row>
    <row r="4877" x14ac:dyDescent="0.25">
      <c r="A4877" t="n">
        <v>25</v>
      </c>
      <c r="B4877" t="s">
        <v>14</v>
      </c>
      <c r="C4877" t="s">
        <v>51</v>
      </c>
      <c r="D4877" s="2" t="s">
        <f>=HYPERLINK("https://main.knesset.gov.il/APPS/legislation/main/bills/2203161", "הצעת חוק ההתייעלות הכלכלית (תיקוני חקיקה להשגת יעדי התקציב לשנות התקציב 2017 ו-2018) (תיקון - הקצאת סכום לרשויות המקומיות הסמוכות לנמל התעופה בן-גוריון), התשפ""ג-2023")</f>
        <v>10105</v>
      </c>
      <c r="E4877" t="s">
        <v>10105</v>
      </c>
      <c r="F4877" t="s">
        <v>10106</v>
      </c>
      <c r="G4877" t="s">
        <v>14</v>
      </c>
      <c r="H4877">
             </c>
      <c r="I4877" t="s">
        <v>14</v>
      </c>
      <c r="J4877" t="s">
        <v>242</v>
      </c>
      <c r="K4877" t="s">
        <v>14</v>
      </c>
      <c r="L4877" t="s">
        <v>20</v>
      </c>
      <c r="M4877" t="s">
        <v>9962</v>
      </c>
      <c r="N4877" t="s">
        <v>14</v>
      </c>
    </row>
    <row r="4878" x14ac:dyDescent="0.25">
      <c r="A4878" t="n">
        <v>25</v>
      </c>
      <c r="B4878" t="s">
        <v>14</v>
      </c>
      <c r="C4878" t="s">
        <v>51</v>
      </c>
      <c r="D4878" s="2" t="s">
        <f>=HYPERLINK("https://main.knesset.gov.il/APPS/legislation/main/bills/2203356", "הצעת חוק איסור הבעת אהדה לשלטון הנאצי או הזדהות עמו (תיקוני חקיקה), התשפ""ג-2023")</f>
        <v>10107</v>
      </c>
      <c r="E4878" t="s">
        <v>10107</v>
      </c>
      <c r="F4878" t="s">
        <v>10108</v>
      </c>
      <c r="G4878" t="s">
        <v>14</v>
      </c>
      <c r="H4878">
             </c>
      <c r="I4878" t="s">
        <v>14</v>
      </c>
      <c r="J4878" t="s">
        <v>242</v>
      </c>
      <c r="K4878" t="s">
        <v>14</v>
      </c>
      <c r="L4878" t="s">
        <v>20</v>
      </c>
      <c r="M4878" t="s">
        <v>9962</v>
      </c>
      <c r="N4878" t="s">
        <v>14</v>
      </c>
    </row>
    <row r="4879" x14ac:dyDescent="0.25">
      <c r="A4879" t="n">
        <v>25</v>
      </c>
      <c r="B4879" t="s">
        <v>14</v>
      </c>
      <c r="C4879" t="s">
        <v>51</v>
      </c>
      <c r="D4879" s="2" t="s">
        <f>=HYPERLINK("https://main.knesset.gov.il/APPS/legislation/main/bills/2203228", "הצעת חוק הגנת הצרכן (תיקון - קביעת סכום מרבי לחיוב חשבון), התשפ""ג-2023")</f>
        <v>9759</v>
      </c>
      <c r="E4879" t="s">
        <v>9759</v>
      </c>
      <c r="F4879" t="s">
        <v>10109</v>
      </c>
      <c r="G4879" t="s">
        <v>14</v>
      </c>
      <c r="H4879">
             </c>
      <c r="I4879" t="s">
        <v>14</v>
      </c>
      <c r="J4879" t="s">
        <v>242</v>
      </c>
      <c r="K4879" t="s">
        <v>14</v>
      </c>
      <c r="L4879" t="s">
        <v>20</v>
      </c>
      <c r="M4879" t="s">
        <v>9962</v>
      </c>
      <c r="N4879" t="s">
        <v>14</v>
      </c>
    </row>
    <row r="4880" x14ac:dyDescent="0.25">
      <c r="A4880" t="n">
        <v>25</v>
      </c>
      <c r="B4880" t="s">
        <v>14</v>
      </c>
      <c r="C4880" t="s">
        <v>51</v>
      </c>
      <c r="D4880" s="2" t="s">
        <f>=HYPERLINK("https://main.knesset.gov.il/APPS/legislation/main/bills/2203281", "הצעת חוק חניה לנכים (תיקון - החלטה בבקשה לתג נכה), התשפ""ג-2023")</f>
        <v>8678</v>
      </c>
      <c r="E4880" t="s">
        <v>8678</v>
      </c>
      <c r="F4880" t="s">
        <v>10110</v>
      </c>
      <c r="G4880" t="s">
        <v>14</v>
      </c>
      <c r="H4880">
             </c>
      <c r="I4880" t="s">
        <v>14</v>
      </c>
      <c r="J4880" t="s">
        <v>242</v>
      </c>
      <c r="K4880" t="s">
        <v>14</v>
      </c>
      <c r="L4880" t="s">
        <v>20</v>
      </c>
      <c r="M4880" t="s">
        <v>9962</v>
      </c>
      <c r="N4880" t="s">
        <v>14</v>
      </c>
    </row>
    <row r="4881" x14ac:dyDescent="0.25">
      <c r="A4881" t="n">
        <v>25</v>
      </c>
      <c r="B4881" t="s">
        <v>14</v>
      </c>
      <c r="C4881" t="s">
        <v>51</v>
      </c>
      <c r="D4881" s="2" t="s">
        <f>=HYPERLINK("https://main.knesset.gov.il/APPS/legislation/main/bills/2202746", "הצעת חוק למניעת העסקה של עובד הוראה התומך בטרור, התשפ""ג-2023")</f>
        <v>10111</v>
      </c>
      <c r="E4881" t="s">
        <v>10111</v>
      </c>
      <c r="F4881" t="s">
        <v>10112</v>
      </c>
      <c r="G4881" t="s">
        <v>14</v>
      </c>
      <c r="H4881">
             </c>
      <c r="I4881" t="s">
        <v>14</v>
      </c>
      <c r="J4881" t="s">
        <v>242</v>
      </c>
      <c r="K4881" t="s">
        <v>14</v>
      </c>
      <c r="L4881" t="s">
        <v>20</v>
      </c>
      <c r="M4881" t="s">
        <v>9962</v>
      </c>
      <c r="N4881" t="s">
        <v>14</v>
      </c>
    </row>
    <row r="4882" x14ac:dyDescent="0.25">
      <c r="A4882" t="n">
        <v>25</v>
      </c>
      <c r="B4882" t="s">
        <v>14</v>
      </c>
      <c r="C4882" t="s">
        <v>51</v>
      </c>
      <c r="D4882" s="2" t="s">
        <f>=HYPERLINK("https://main.knesset.gov.il/APPS/legislation/main/bills/2202743", "הצעת חוק פיקוח על בתי ספר (תיקון - איסור התחזות לגננת), התשפ""ג-2023")</f>
        <v>10113</v>
      </c>
      <c r="E4882" t="s">
        <v>10113</v>
      </c>
      <c r="F4882" t="s">
        <v>10114</v>
      </c>
      <c r="G4882" t="s">
        <v>14</v>
      </c>
      <c r="H4882">
             </c>
      <c r="I4882" t="s">
        <v>14</v>
      </c>
      <c r="J4882" t="s">
        <v>242</v>
      </c>
      <c r="K4882" t="s">
        <v>14</v>
      </c>
      <c r="L4882" t="s">
        <v>20</v>
      </c>
      <c r="M4882" t="s">
        <v>9962</v>
      </c>
      <c r="N4882" t="s">
        <v>14</v>
      </c>
    </row>
    <row r="4883" x14ac:dyDescent="0.25">
      <c r="A4883" t="n">
        <v>25</v>
      </c>
      <c r="B4883" t="s">
        <v>14</v>
      </c>
      <c r="C4883" t="s">
        <v>51</v>
      </c>
      <c r="D4883" s="2" t="s">
        <f>=HYPERLINK("https://main.knesset.gov.il/APPS/legislation/main/bills/2202697", "הצעת חוק משק החשמל (תיקון - ועדה מיוחדת), התשפ''ג-2023")</f>
        <v>10115</v>
      </c>
      <c r="E4883" t="s">
        <v>10115</v>
      </c>
      <c r="F4883" t="s">
        <v>10116</v>
      </c>
      <c r="G4883" t="s">
        <v>14</v>
      </c>
      <c r="H4883">
             </c>
      <c r="I4883" t="s">
        <v>14</v>
      </c>
      <c r="J4883" t="s">
        <v>242</v>
      </c>
      <c r="K4883" t="s">
        <v>14</v>
      </c>
      <c r="L4883" t="s">
        <v>20</v>
      </c>
      <c r="M4883" t="s">
        <v>9962</v>
      </c>
      <c r="N4883" t="s">
        <v>14</v>
      </c>
    </row>
    <row r="4884" x14ac:dyDescent="0.25">
      <c r="A4884" t="n">
        <v>25</v>
      </c>
      <c r="B4884" t="s">
        <v>14</v>
      </c>
      <c r="C4884" t="s">
        <v>51</v>
      </c>
      <c r="D4884" s="2" t="s">
        <f>=HYPERLINK("https://main.knesset.gov.il/APPS/legislation/main/bills/2203125", "הצעת חוק לתיקון פקודת מס הכנסה (זיכוי בעד תרומת מזון), התשפ""ג-2023")</f>
        <v>10117</v>
      </c>
      <c r="E4884" t="s">
        <v>10117</v>
      </c>
      <c r="F4884" t="s">
        <v>10118</v>
      </c>
      <c r="G4884" t="s">
        <v>14</v>
      </c>
      <c r="H4884">
             </c>
      <c r="I4884" t="s">
        <v>14</v>
      </c>
      <c r="J4884" t="s">
        <v>242</v>
      </c>
      <c r="K4884" t="s">
        <v>14</v>
      </c>
      <c r="L4884" t="s">
        <v>20</v>
      </c>
      <c r="M4884" t="s">
        <v>9962</v>
      </c>
      <c r="N4884" t="s">
        <v>14</v>
      </c>
    </row>
    <row r="4885" x14ac:dyDescent="0.25">
      <c r="A4885" t="n">
        <v>25</v>
      </c>
      <c r="B4885" t="s">
        <v>14</v>
      </c>
      <c r="C4885" t="s">
        <v>51</v>
      </c>
      <c r="D4885" s="2" t="s">
        <f>=HYPERLINK("https://main.knesset.gov.il/APPS/legislation/main/bills/2202598", "הצעת חוק הגנת הצרכן (תיקון - מענה אנושי בשירות טלפוני לאזרח ותיק), התשפ""ג-2023")</f>
        <v>5541</v>
      </c>
      <c r="E4885" t="s">
        <v>5541</v>
      </c>
      <c r="F4885" t="s">
        <v>10119</v>
      </c>
      <c r="G4885" t="s">
        <v>14</v>
      </c>
      <c r="H4885">
             </c>
      <c r="I4885" t="s">
        <v>14</v>
      </c>
      <c r="J4885" t="s">
        <v>242</v>
      </c>
      <c r="K4885" t="s">
        <v>14</v>
      </c>
      <c r="L4885" t="s">
        <v>20</v>
      </c>
      <c r="M4885" t="s">
        <v>9962</v>
      </c>
      <c r="N4885" t="s">
        <v>14</v>
      </c>
    </row>
    <row r="4886" x14ac:dyDescent="0.25">
      <c r="A4886" t="n">
        <v>25</v>
      </c>
      <c r="B4886" t="s">
        <v>14</v>
      </c>
      <c r="C4886" t="s">
        <v>51</v>
      </c>
      <c r="D4886" s="2" t="s">
        <f>=HYPERLINK("https://main.knesset.gov.il/APPS/legislation/main/bills/2202535", "הצעת חוק לתיקון פקודת מס הכנסה (הצמדה למדד של תקרת המס בקרן השתלמות לשכירים), התשפ""ג-2023")</f>
        <v>10120</v>
      </c>
      <c r="E4886" t="s">
        <v>10120</v>
      </c>
      <c r="F4886" t="s">
        <v>10121</v>
      </c>
      <c r="G4886" t="s">
        <v>14</v>
      </c>
      <c r="H4886">
             </c>
      <c r="I4886" t="s">
        <v>14</v>
      </c>
      <c r="J4886" t="s">
        <v>242</v>
      </c>
      <c r="K4886" t="s">
        <v>14</v>
      </c>
      <c r="L4886" t="s">
        <v>20</v>
      </c>
      <c r="M4886" t="s">
        <v>9962</v>
      </c>
      <c r="N4886" t="s">
        <v>14</v>
      </c>
    </row>
    <row r="4887" x14ac:dyDescent="0.25">
      <c r="A4887" t="n">
        <v>25</v>
      </c>
      <c r="B4887" t="s">
        <v>14</v>
      </c>
      <c r="C4887" t="s">
        <v>51</v>
      </c>
      <c r="D4887" s="2" t="s">
        <f>=HYPERLINK("https://main.knesset.gov.il/APPS/legislation/main/bills/2203225", "הצעת חוק תאגידי מים וביוב (תיקון - ביטול סמכויות גבייה ואכיפה מיוחדות), התשפ""ג-2023")</f>
        <v>10122</v>
      </c>
      <c r="E4887" t="s">
        <v>10122</v>
      </c>
      <c r="F4887" t="s">
        <v>10123</v>
      </c>
      <c r="G4887" t="s">
        <v>14</v>
      </c>
      <c r="H4887">
             </c>
      <c r="I4887" t="s">
        <v>14</v>
      </c>
      <c r="J4887" t="s">
        <v>242</v>
      </c>
      <c r="K4887" t="s">
        <v>14</v>
      </c>
      <c r="L4887" t="s">
        <v>20</v>
      </c>
      <c r="M4887" t="s">
        <v>9962</v>
      </c>
      <c r="N4887" t="s">
        <v>14</v>
      </c>
    </row>
    <row r="4888" x14ac:dyDescent="0.25">
      <c r="A4888" t="n">
        <v>25</v>
      </c>
      <c r="B4888" t="s">
        <v>14</v>
      </c>
      <c r="C4888" t="s">
        <v>51</v>
      </c>
      <c r="D4888" s="2" t="s">
        <f>=HYPERLINK("https://main.knesset.gov.il/APPS/legislation/main/bills/2203280", "הצעת חוק חובת המכרזים (תיקון - עידוד עסקים קטנים ובינוניים באזור פריפריה במכרז), התשפ""ג-2023")</f>
        <v>10124</v>
      </c>
      <c r="E4888" t="s">
        <v>10124</v>
      </c>
      <c r="F4888" t="s">
        <v>10125</v>
      </c>
      <c r="G4888" t="s">
        <v>14</v>
      </c>
      <c r="H4888">
             </c>
      <c r="I4888" t="s">
        <v>14</v>
      </c>
      <c r="J4888" t="s">
        <v>242</v>
      </c>
      <c r="K4888" t="s">
        <v>14</v>
      </c>
      <c r="L4888" t="s">
        <v>20</v>
      </c>
      <c r="M4888" t="s">
        <v>9962</v>
      </c>
      <c r="N4888" t="s">
        <v>14</v>
      </c>
    </row>
    <row r="4889" x14ac:dyDescent="0.25">
      <c r="A4889" t="n">
        <v>25</v>
      </c>
      <c r="B4889" t="s">
        <v>14</v>
      </c>
      <c r="C4889" t="s">
        <v>51</v>
      </c>
      <c r="D4889" s="2" t="s">
        <f>=HYPERLINK("https://main.knesset.gov.il/APPS/legislation/main/bills/2203218", "הצעת חוק שיקים ללא כיסוי (תיקון - קביעת סכום מינימום להגבלת חשבון בנק והגבלת לקוח), התשפ""ג-2023")</f>
        <v>9744</v>
      </c>
      <c r="E4889" t="s">
        <v>9744</v>
      </c>
      <c r="F4889" t="s">
        <v>10126</v>
      </c>
      <c r="G4889" t="s">
        <v>14</v>
      </c>
      <c r="H4889">
             </c>
      <c r="I4889" t="s">
        <v>14</v>
      </c>
      <c r="J4889" t="s">
        <v>242</v>
      </c>
      <c r="K4889" t="s">
        <v>14</v>
      </c>
      <c r="L4889" t="s">
        <v>20</v>
      </c>
      <c r="M4889" t="s">
        <v>9962</v>
      </c>
      <c r="N4889" t="s">
        <v>14</v>
      </c>
    </row>
    <row r="4890" x14ac:dyDescent="0.25">
      <c r="A4890" t="n">
        <v>25</v>
      </c>
      <c r="B4890" t="s">
        <v>14</v>
      </c>
      <c r="C4890" t="s">
        <v>51</v>
      </c>
      <c r="D4890" s="2" t="s">
        <f>=HYPERLINK("https://main.knesset.gov.il/APPS/legislation/main/bills/2203049", "הצעת חוק הבנקאות (שירות ללקוח) (תיקון - חובת הצבת מכשיר אוטומטי למשיכת והפקדת מזומנים ושיקים), התשפ""ג-2023")</f>
        <v>10127</v>
      </c>
      <c r="E4890" t="s">
        <v>10127</v>
      </c>
      <c r="F4890" t="s">
        <v>10128</v>
      </c>
      <c r="G4890" t="s">
        <v>14</v>
      </c>
      <c r="H4890">
             </c>
      <c r="I4890" t="s">
        <v>14</v>
      </c>
      <c r="J4890" t="s">
        <v>242</v>
      </c>
      <c r="K4890" t="s">
        <v>14</v>
      </c>
      <c r="L4890" t="s">
        <v>20</v>
      </c>
      <c r="M4890" t="s">
        <v>9962</v>
      </c>
      <c r="N4890" t="s">
        <v>14</v>
      </c>
    </row>
    <row r="4891" x14ac:dyDescent="0.25">
      <c r="A4891" t="n">
        <v>25</v>
      </c>
      <c r="B4891" t="s">
        <v>14</v>
      </c>
      <c r="C4891" t="s">
        <v>51</v>
      </c>
      <c r="D4891" s="2" t="s">
        <f>=HYPERLINK("https://main.knesset.gov.il/APPS/legislation/main/bills/2202982", "הצעת חוק מועצת הצמחים (ייצור ושיווק) (תיקון - ביטול מועצת הצמחים), התשפ""ג-2023")</f>
        <v>10129</v>
      </c>
      <c r="E4891" t="s">
        <v>10129</v>
      </c>
      <c r="F4891" t="s">
        <v>10130</v>
      </c>
      <c r="G4891" t="s">
        <v>14</v>
      </c>
      <c r="H4891">
             </c>
      <c r="I4891" t="s">
        <v>14</v>
      </c>
      <c r="J4891" t="s">
        <v>242</v>
      </c>
      <c r="K4891" t="s">
        <v>14</v>
      </c>
      <c r="L4891" t="s">
        <v>20</v>
      </c>
      <c r="M4891" t="s">
        <v>9962</v>
      </c>
      <c r="N4891" t="s">
        <v>14</v>
      </c>
    </row>
    <row r="4892" x14ac:dyDescent="0.25">
      <c r="A4892" t="n">
        <v>25</v>
      </c>
      <c r="B4892" t="s">
        <v>14</v>
      </c>
      <c r="C4892" t="s">
        <v>51</v>
      </c>
      <c r="D4892" s="2" t="s">
        <f>=HYPERLINK("https://main.knesset.gov.il/APPS/legislation/main/bills/2202985", "הצעת חוק הפרטת גלי צה""ל, התשפ""ג-2023")</f>
        <v>10131</v>
      </c>
      <c r="E4892" t="s">
        <v>10131</v>
      </c>
      <c r="F4892" t="s">
        <v>10132</v>
      </c>
      <c r="G4892" t="s">
        <v>14</v>
      </c>
      <c r="H4892">
             </c>
      <c r="I4892" t="s">
        <v>14</v>
      </c>
      <c r="J4892" t="s">
        <v>242</v>
      </c>
      <c r="K4892" t="s">
        <v>14</v>
      </c>
      <c r="L4892" t="s">
        <v>20</v>
      </c>
      <c r="M4892" t="s">
        <v>9962</v>
      </c>
      <c r="N4892" t="s">
        <v>14</v>
      </c>
    </row>
    <row r="4893" x14ac:dyDescent="0.25">
      <c r="A4893" t="n">
        <v>25</v>
      </c>
      <c r="B4893" t="s">
        <v>14</v>
      </c>
      <c r="C4893" t="s">
        <v>51</v>
      </c>
      <c r="D4893" s="2" t="s">
        <f>=HYPERLINK("https://main.knesset.gov.il/APPS/legislation/main/bills/2203243", "הצעת חוק לתיקון פקודת התעבורה (פיצוי כספי בגין איחור אוטובוס), התשפ""ג-2023")</f>
        <v>9446</v>
      </c>
      <c r="E4893" t="s">
        <v>9446</v>
      </c>
      <c r="F4893" t="s">
        <v>10133</v>
      </c>
      <c r="G4893" t="s">
        <v>14</v>
      </c>
      <c r="H4893">
             </c>
      <c r="I4893" t="s">
        <v>14</v>
      </c>
      <c r="J4893" t="s">
        <v>242</v>
      </c>
      <c r="K4893" t="s">
        <v>14</v>
      </c>
      <c r="L4893" t="s">
        <v>20</v>
      </c>
      <c r="M4893" t="s">
        <v>9962</v>
      </c>
      <c r="N4893" t="s">
        <v>14</v>
      </c>
    </row>
    <row r="4894" x14ac:dyDescent="0.25">
      <c r="A4894" t="n">
        <v>25</v>
      </c>
      <c r="B4894" t="s">
        <v>14</v>
      </c>
      <c r="C4894" t="s">
        <v>51</v>
      </c>
      <c r="D4894" s="2" t="s">
        <f>=HYPERLINK("https://main.knesset.gov.il/APPS/legislation/main/bills/2202096", "הצעת חוק נתוני אשראי (תיקון - תקופת החזקת מידע במאגר), התשפ""ג-2023")</f>
        <v>10134</v>
      </c>
      <c r="E4894" t="s">
        <v>10134</v>
      </c>
      <c r="F4894" t="s">
        <v>10135</v>
      </c>
      <c r="G4894" t="s">
        <v>14</v>
      </c>
      <c r="H4894">
             </c>
      <c r="I4894" t="s">
        <v>14</v>
      </c>
      <c r="J4894" t="s">
        <v>242</v>
      </c>
      <c r="K4894" t="s">
        <v>14</v>
      </c>
      <c r="L4894" t="s">
        <v>20</v>
      </c>
      <c r="M4894" t="s">
        <v>9962</v>
      </c>
      <c r="N4894" t="s">
        <v>14</v>
      </c>
    </row>
    <row r="4895" x14ac:dyDescent="0.25">
      <c r="A4895" t="n">
        <v>25</v>
      </c>
      <c r="B4895" t="s">
        <v>14</v>
      </c>
      <c r="C4895" t="s">
        <v>51</v>
      </c>
      <c r="D4895" s="2" t="s">
        <f>=HYPERLINK("https://main.knesset.gov.il/APPS/legislation/main/bills/2201904", "הצעת חוק התכנון והבנייה (תיקון - ביצוע סקר מבנים מסוכנים), התשפ""ג-2023")</f>
        <v>9639</v>
      </c>
      <c r="E4895" t="s">
        <v>9639</v>
      </c>
      <c r="F4895" t="s">
        <v>10136</v>
      </c>
      <c r="G4895" t="s">
        <v>14</v>
      </c>
      <c r="H4895">
             </c>
      <c r="I4895" t="s">
        <v>14</v>
      </c>
      <c r="J4895" t="s">
        <v>242</v>
      </c>
      <c r="K4895" t="s">
        <v>14</v>
      </c>
      <c r="L4895" t="s">
        <v>20</v>
      </c>
      <c r="M4895" t="s">
        <v>9962</v>
      </c>
      <c r="N4895" t="s">
        <v>14</v>
      </c>
    </row>
    <row r="4896" x14ac:dyDescent="0.25">
      <c r="A4896" t="n">
        <v>25</v>
      </c>
      <c r="B4896" t="s">
        <v>14</v>
      </c>
      <c r="C4896" t="s">
        <v>51</v>
      </c>
      <c r="D4896" s="2" t="s">
        <f>=HYPERLINK("https://main.knesset.gov.il/APPS/legislation/main/bills/2201217", "הצעת חוק המועצה להשכלה גבוהה (תיקון - איסור הגבלת גיל בהרשמה למוסד להשכלה גבוהה), התשפ""ג-2023")</f>
        <v>10137</v>
      </c>
      <c r="E4896" t="s">
        <v>10137</v>
      </c>
      <c r="F4896" t="s">
        <v>10138</v>
      </c>
      <c r="G4896" t="s">
        <v>14</v>
      </c>
      <c r="H4896">
             </c>
      <c r="I4896" t="s">
        <v>14</v>
      </c>
      <c r="J4896" t="s">
        <v>242</v>
      </c>
      <c r="K4896" t="s">
        <v>14</v>
      </c>
      <c r="L4896" t="s">
        <v>20</v>
      </c>
      <c r="M4896" t="s">
        <v>9962</v>
      </c>
      <c r="N4896" t="s">
        <v>14</v>
      </c>
    </row>
    <row r="4897" x14ac:dyDescent="0.25">
      <c r="A4897" t="n">
        <v>25</v>
      </c>
      <c r="B4897" t="s">
        <v>14</v>
      </c>
      <c r="C4897" t="s">
        <v>51</v>
      </c>
      <c r="D4897" s="2" t="s">
        <f>=HYPERLINK("https://main.knesset.gov.il/APPS/legislation/main/bills/2203242", "הצעת חוק לתיקון פקודת התעבורה (ריבית פיגורים בגין אי-תשלום קנס על עבירת חניה), התשפ""ג-2023")</f>
        <v>10139</v>
      </c>
      <c r="E4897" t="s">
        <v>10139</v>
      </c>
      <c r="F4897" t="s">
        <v>10140</v>
      </c>
      <c r="G4897" t="s">
        <v>14</v>
      </c>
      <c r="H4897">
             </c>
      <c r="I4897" t="s">
        <v>14</v>
      </c>
      <c r="J4897" t="s">
        <v>242</v>
      </c>
      <c r="K4897" t="s">
        <v>14</v>
      </c>
      <c r="L4897" t="s">
        <v>20</v>
      </c>
      <c r="M4897" t="s">
        <v>9962</v>
      </c>
      <c r="N4897" t="s">
        <v>14</v>
      </c>
    </row>
    <row r="4898" x14ac:dyDescent="0.25">
      <c r="A4898" t="n">
        <v>25</v>
      </c>
      <c r="B4898" t="s">
        <v>14</v>
      </c>
      <c r="C4898" t="s">
        <v>51</v>
      </c>
      <c r="D4898" s="2" t="s">
        <f>=HYPERLINK("https://main.knesset.gov.il/APPS/legislation/main/bills/2203101", "הצעת חוק להגדלת שיעור ההשתתפות בכוח העבודה ולצמצום פערים חברתיים (מענק עבודה) (תיקון - הורדת גיל הזכאות), התשפ""ג-2023")</f>
        <v>10141</v>
      </c>
      <c r="E4898" t="s">
        <v>10141</v>
      </c>
      <c r="F4898" t="s">
        <v>10142</v>
      </c>
      <c r="G4898" t="s">
        <v>14</v>
      </c>
      <c r="H4898">
             </c>
      <c r="I4898" t="s">
        <v>14</v>
      </c>
      <c r="J4898" t="s">
        <v>242</v>
      </c>
      <c r="K4898" t="s">
        <v>14</v>
      </c>
      <c r="L4898" t="s">
        <v>20</v>
      </c>
      <c r="M4898" t="s">
        <v>9962</v>
      </c>
      <c r="N4898" t="s">
        <v>14</v>
      </c>
    </row>
    <row r="4899" x14ac:dyDescent="0.25">
      <c r="A4899" t="n">
        <v>25</v>
      </c>
      <c r="B4899" t="s">
        <v>14</v>
      </c>
      <c r="C4899" t="s">
        <v>51</v>
      </c>
      <c r="D4899" s="2" t="s">
        <f>=HYPERLINK("https://main.knesset.gov.il/APPS/legislation/main/bills/2203231", "הצעת חוק הגנת הצרכן (תיקון - תשלום על פי צריכה בעסקה מתמשכת), התשפ""ג-2023")</f>
        <v>10143</v>
      </c>
      <c r="E4899" t="s">
        <v>10143</v>
      </c>
      <c r="F4899" t="s">
        <v>10144</v>
      </c>
      <c r="G4899" t="s">
        <v>14</v>
      </c>
      <c r="H4899">
             </c>
      <c r="I4899" t="s">
        <v>14</v>
      </c>
      <c r="J4899" t="s">
        <v>242</v>
      </c>
      <c r="K4899" t="s">
        <v>14</v>
      </c>
      <c r="L4899" t="s">
        <v>20</v>
      </c>
      <c r="M4899" t="s">
        <v>9962</v>
      </c>
      <c r="N4899" t="s">
        <v>14</v>
      </c>
    </row>
    <row r="4900" x14ac:dyDescent="0.25">
      <c r="A4900" t="n">
        <v>25</v>
      </c>
      <c r="B4900" t="s">
        <v>14</v>
      </c>
      <c r="C4900" t="s">
        <v>51</v>
      </c>
      <c r="D4900" s="2" t="s">
        <f>=HYPERLINK("https://main.knesset.gov.il/APPS/legislation/main/bills/2200963", "הצעת חוק מתן שירות של קבלת קהל במשרדי הממשלה בשעות אחר הצהריים, התשפ""ג-2023")</f>
        <v>10145</v>
      </c>
      <c r="E4900" t="s">
        <v>10145</v>
      </c>
      <c r="F4900" t="s">
        <v>10146</v>
      </c>
      <c r="G4900" t="s">
        <v>14</v>
      </c>
      <c r="H4900">
             </c>
      <c r="I4900" t="s">
        <v>14</v>
      </c>
      <c r="J4900" t="s">
        <v>242</v>
      </c>
      <c r="K4900" t="s">
        <v>14</v>
      </c>
      <c r="L4900" t="s">
        <v>20</v>
      </c>
      <c r="M4900" t="s">
        <v>9962</v>
      </c>
      <c r="N4900" t="s">
        <v>14</v>
      </c>
    </row>
    <row r="4901" x14ac:dyDescent="0.25">
      <c r="A4901" t="n">
        <v>25</v>
      </c>
      <c r="B4901" t="s">
        <v>14</v>
      </c>
      <c r="C4901" t="s">
        <v>51</v>
      </c>
      <c r="D4901" s="2" t="s">
        <f>=HYPERLINK("https://main.knesset.gov.il/APPS/legislation/main/bills/2200212", "הצעת חוק שירות הציבור (מתנות) (תיקון - תרומה למימון הליך משפטי או טיפול רפואי וחובת דיווח), התשפ""ג-2023")</f>
        <v>10147</v>
      </c>
      <c r="E4901" t="s">
        <v>10147</v>
      </c>
      <c r="F4901" t="s">
        <v>10148</v>
      </c>
      <c r="G4901" t="s">
        <v>14</v>
      </c>
      <c r="H4901">
             </c>
      <c r="I4901" t="s">
        <v>14</v>
      </c>
      <c r="J4901" t="s">
        <v>152</v>
      </c>
      <c r="K4901" t="s">
        <v>42</v>
      </c>
      <c r="L4901" t="s">
        <v>20</v>
      </c>
      <c r="M4901" t="s">
        <v>10149</v>
      </c>
      <c r="N4901" t="s">
        <v>14</v>
      </c>
    </row>
    <row r="4902" x14ac:dyDescent="0.25">
      <c r="A4902" t="n">
        <v>25</v>
      </c>
      <c r="B4902" t="s">
        <v>14</v>
      </c>
      <c r="C4902" t="s">
        <v>51</v>
      </c>
      <c r="D4902" s="2" t="s">
        <f>=HYPERLINK("https://main.knesset.gov.il/APPS/legislation/main/bills/2198721", "הצעת חוק מס ערך מוסף (תיקון מס' 60) (פטור ממס במכירת תרופות שאינן כלולות בסל הבריאות), התשפ""ג-2023")</f>
        <v>10150</v>
      </c>
      <c r="E4902" t="s">
        <v>10150</v>
      </c>
      <c r="F4902" t="s">
        <v>10151</v>
      </c>
      <c r="G4902" t="s">
        <v>14</v>
      </c>
      <c r="H4902">
             </c>
      <c r="I4902" t="s">
        <v>14</v>
      </c>
      <c r="J4902" t="s">
        <v>152</v>
      </c>
      <c r="K4902" t="s">
        <v>24</v>
      </c>
      <c r="L4902" t="s">
        <v>20</v>
      </c>
      <c r="M4902" t="s">
        <v>10152</v>
      </c>
      <c r="N4902" t="s">
        <v>14</v>
      </c>
    </row>
    <row r="4903" x14ac:dyDescent="0.25">
      <c r="A4903" t="n">
        <v>25</v>
      </c>
      <c r="B4903" t="s">
        <v>14</v>
      </c>
      <c r="C4903" t="s">
        <v>51</v>
      </c>
      <c r="D4903" s="2" t="s">
        <f>=HYPERLINK("https://main.knesset.gov.il/APPS/legislation/main/bills/2201424", "חוק־יסוד: הממשלה (תיקון מס' 12)")</f>
        <v>10153</v>
      </c>
      <c r="E4903" t="s">
        <v>10153</v>
      </c>
      <c r="F4903" t="s">
        <v>10154</v>
      </c>
      <c r="G4903" t="s">
        <v>10155</v>
      </c>
      <c r="H4903" t="n">
        <v>3031</v>
      </c>
      <c r="I4903" t="s">
        <v>14</v>
      </c>
      <c r="J4903" t="s">
        <v>18</v>
      </c>
      <c r="K4903" t="s">
        <v>1131</v>
      </c>
      <c r="L4903" t="s">
        <v>20</v>
      </c>
      <c r="M4903" t="s">
        <v>10152</v>
      </c>
      <c r="N4903" t="s">
        <v>10156</v>
      </c>
    </row>
    <row r="4904" x14ac:dyDescent="0.25">
      <c r="A4904" t="n">
        <v>25</v>
      </c>
      <c r="B4904" t="s">
        <v>14</v>
      </c>
      <c r="C4904" t="s">
        <v>51</v>
      </c>
      <c r="D4904" s="2" t="s">
        <f>=HYPERLINK("https://main.knesset.gov.il/APPS/legislation/main/bills/2200705", "הצעת חוק למניעת אלימות במשפחה (פיקוח טכנולוגי להבטחת קיומו של צו הגנה, והערכת מסוכנות - הוראת שעה), התשפ""ג-2023")</f>
        <v>10157</v>
      </c>
      <c r="E4904" t="s">
        <v>10157</v>
      </c>
      <c r="F4904" t="s">
        <v>10158</v>
      </c>
      <c r="G4904" t="s">
        <v>14</v>
      </c>
      <c r="H4904">
             </c>
      <c r="I4904" t="s">
        <v>14</v>
      </c>
      <c r="J4904" t="s">
        <v>193</v>
      </c>
      <c r="K4904" t="s">
        <v>14</v>
      </c>
      <c r="L4904" t="s">
        <v>20</v>
      </c>
      <c r="M4904" t="s">
        <v>10152</v>
      </c>
      <c r="N4904" t="s">
        <v>14</v>
      </c>
    </row>
    <row r="4905" x14ac:dyDescent="0.25">
      <c r="A4905" t="n">
        <v>25</v>
      </c>
      <c r="B4905" t="s">
        <v>14</v>
      </c>
      <c r="C4905" t="s">
        <v>51</v>
      </c>
      <c r="D4905" s="2" t="s">
        <f>=HYPERLINK("https://main.knesset.gov.il/APPS/legislation/main/bills/2198954", "הצעת חוק למניעת אלימות במשפחה (פיקוח טכנולוגי להבטחת קיומו של צו הגנה והערכת מסוכנות - הוראת שעה), התשפ""ג-2023 ")</f>
        <v>10159</v>
      </c>
      <c r="E4905" t="s">
        <v>10159</v>
      </c>
      <c r="F4905" t="s">
        <v>10160</v>
      </c>
      <c r="G4905" t="s">
        <v>14</v>
      </c>
      <c r="H4905">
             </c>
      <c r="I4905" t="s">
        <v>14</v>
      </c>
      <c r="J4905" t="s">
        <v>193</v>
      </c>
      <c r="K4905" t="s">
        <v>14</v>
      </c>
      <c r="L4905" t="s">
        <v>20</v>
      </c>
      <c r="M4905" t="s">
        <v>10152</v>
      </c>
      <c r="N4905" t="s">
        <v>14</v>
      </c>
    </row>
    <row r="4906" x14ac:dyDescent="0.25">
      <c r="A4906" t="n">
        <v>25</v>
      </c>
      <c r="B4906" t="s">
        <v>14</v>
      </c>
      <c r="C4906" t="s">
        <v>51</v>
      </c>
      <c r="D4906" s="2" t="s">
        <f>=HYPERLINK("https://main.knesset.gov.il/APPS/legislation/main/bills/2197963", "הצעת חוק סייעות במוסדות חינוך, התשפ""ג-2023")</f>
        <v>9674</v>
      </c>
      <c r="E4906" t="s">
        <v>9674</v>
      </c>
      <c r="F4906" t="s">
        <v>10161</v>
      </c>
      <c r="G4906" t="s">
        <v>14</v>
      </c>
      <c r="H4906">
             </c>
      <c r="I4906" t="s">
        <v>14</v>
      </c>
      <c r="J4906" t="s">
        <v>202</v>
      </c>
      <c r="K4906" t="s">
        <v>14</v>
      </c>
      <c r="L4906" t="s">
        <v>20</v>
      </c>
      <c r="M4906" t="s">
        <v>10152</v>
      </c>
      <c r="N4906" t="s">
        <v>14</v>
      </c>
    </row>
    <row r="4907" x14ac:dyDescent="0.25">
      <c r="A4907" t="n">
        <v>25</v>
      </c>
      <c r="B4907" t="s">
        <v>14</v>
      </c>
      <c r="C4907" t="s">
        <v>51</v>
      </c>
      <c r="D4907" s="2" t="s">
        <f>=HYPERLINK("https://main.knesset.gov.il/APPS/legislation/main/bills/2198100", "הצעת חוק לחילוט תקבולי עבירה בשווי בעבירת גניבה חקלאית ובעבירות הגורמות נזק לרכוש חקלאי, התשפ""ג-2023")</f>
        <v>9521</v>
      </c>
      <c r="E4907" t="s">
        <v>9521</v>
      </c>
      <c r="F4907" t="s">
        <v>10162</v>
      </c>
      <c r="G4907" t="s">
        <v>14</v>
      </c>
      <c r="H4907">
             </c>
      <c r="I4907" t="s">
        <v>14</v>
      </c>
      <c r="J4907" t="s">
        <v>152</v>
      </c>
      <c r="K4907" t="s">
        <v>19</v>
      </c>
      <c r="L4907" t="s">
        <v>20</v>
      </c>
      <c r="M4907" t="s">
        <v>10152</v>
      </c>
      <c r="N4907" t="s">
        <v>14</v>
      </c>
    </row>
    <row r="4908" x14ac:dyDescent="0.25">
      <c r="A4908" t="n">
        <v>25</v>
      </c>
      <c r="B4908" t="s">
        <v>14</v>
      </c>
      <c r="C4908" t="s">
        <v>51</v>
      </c>
      <c r="D4908" s="2" t="s">
        <f>=HYPERLINK("https://main.knesset.gov.il/APPS/legislation/main/bills/2197716", "הצעת חוק התמודדות עם תופעת נטילת דמי חסות, התשפ""ג-2022")</f>
        <v>10163</v>
      </c>
      <c r="E4908" t="s">
        <v>10163</v>
      </c>
      <c r="F4908" t="s">
        <v>10164</v>
      </c>
      <c r="G4908" t="s">
        <v>14</v>
      </c>
      <c r="H4908">
             </c>
      <c r="I4908" t="s">
        <v>14</v>
      </c>
      <c r="J4908" t="s">
        <v>193</v>
      </c>
      <c r="K4908" t="s">
        <v>14</v>
      </c>
      <c r="L4908" t="s">
        <v>20</v>
      </c>
      <c r="M4908" t="s">
        <v>10152</v>
      </c>
      <c r="N4908" t="s">
        <v>14</v>
      </c>
    </row>
    <row r="4909" x14ac:dyDescent="0.25">
      <c r="A4909" t="n">
        <v>25</v>
      </c>
      <c r="B4909" t="s">
        <v>14</v>
      </c>
      <c r="C4909" t="s">
        <v>51</v>
      </c>
      <c r="D4909" s="2" t="s">
        <f>=HYPERLINK("https://main.knesset.gov.il/APPS/legislation/main/bills/2197515", "הצעת חוק למניעת אלימות במשפחה (פיקוח טכנולוגי להבטחת קיומו של צו הגנה, והערכת מסוכנות - הוראת שעה), התשפ""ג-2022")</f>
        <v>10165</v>
      </c>
      <c r="E4909" t="s">
        <v>10165</v>
      </c>
      <c r="F4909" t="s">
        <v>10166</v>
      </c>
      <c r="G4909" t="s">
        <v>14</v>
      </c>
      <c r="H4909">
             </c>
      <c r="I4909" t="s">
        <v>14</v>
      </c>
      <c r="J4909" t="s">
        <v>193</v>
      </c>
      <c r="K4909" t="s">
        <v>14</v>
      </c>
      <c r="L4909" t="s">
        <v>20</v>
      </c>
      <c r="M4909" t="s">
        <v>10152</v>
      </c>
      <c r="N4909" t="s">
        <v>14</v>
      </c>
    </row>
    <row r="4910" x14ac:dyDescent="0.25">
      <c r="A4910" t="n">
        <v>25</v>
      </c>
      <c r="B4910" t="s">
        <v>14</v>
      </c>
      <c r="C4910" t="s">
        <v>51</v>
      </c>
      <c r="D4910" s="2" t="s">
        <f>=HYPERLINK("https://main.knesset.gov.il/APPS/legislation/main/bills/2196840", "הצעת חוק למניעת אלימות במשפחה (פיקוח טכנולוגי להבטחת קיומו של צו הגנה, והערכת מסוכנות - הוראת שעה), התשפ""ג-2022")</f>
        <v>10165</v>
      </c>
      <c r="E4910" t="s">
        <v>10165</v>
      </c>
      <c r="F4910" t="s">
        <v>10167</v>
      </c>
      <c r="G4910" t="s">
        <v>14</v>
      </c>
      <c r="H4910">
             </c>
      <c r="I4910" t="s">
        <v>14</v>
      </c>
      <c r="J4910" t="s">
        <v>193</v>
      </c>
      <c r="K4910" t="s">
        <v>14</v>
      </c>
      <c r="L4910" t="s">
        <v>20</v>
      </c>
      <c r="M4910" t="s">
        <v>10152</v>
      </c>
      <c r="N4910" t="s">
        <v>14</v>
      </c>
    </row>
    <row r="4911" x14ac:dyDescent="0.25">
      <c r="A4911" t="n">
        <v>25</v>
      </c>
      <c r="B4911" t="s">
        <v>14</v>
      </c>
      <c r="C4911" t="s">
        <v>51</v>
      </c>
      <c r="D4911" s="2" t="s">
        <f>=HYPERLINK("https://main.knesset.gov.il/APPS/legislation/main/bills/2195706", "חוק יישום תוכנית ההתנתקות (תיקון מס' 7), התשפ""ג-2023")</f>
        <v>10168</v>
      </c>
      <c r="E4911" t="s">
        <v>10168</v>
      </c>
      <c r="F4911" t="s">
        <v>10169</v>
      </c>
      <c r="G4911" t="s">
        <v>10170</v>
      </c>
      <c r="H4911" t="n">
        <v>3030</v>
      </c>
      <c r="I4911" t="s">
        <v>14</v>
      </c>
      <c r="J4911" t="s">
        <v>18</v>
      </c>
      <c r="K4911" t="s">
        <v>39</v>
      </c>
      <c r="L4911" t="s">
        <v>20</v>
      </c>
      <c r="M4911" t="s">
        <v>10171</v>
      </c>
      <c r="N4911" t="s">
        <v>10172</v>
      </c>
    </row>
    <row r="4912" x14ac:dyDescent="0.25">
      <c r="A4912" t="n">
        <v>25</v>
      </c>
      <c r="B4912" t="s">
        <v>14</v>
      </c>
      <c r="C4912" t="s">
        <v>15</v>
      </c>
      <c r="D4912" s="2" t="s">
        <f>=HYPERLINK("https://main.knesset.gov.il/APPS/legislation/main/bills/2202409", "חוק חדלות פירעון ושיקום כלכלי (תיקון מס' 4 – הוראת שעה – נגיף הקורונה החדש) (תיקון), התשפ""ג-2023")</f>
        <v>10173</v>
      </c>
      <c r="E4912" t="s">
        <v>10173</v>
      </c>
      <c r="F4912" t="s">
        <v>14</v>
      </c>
      <c r="G4912" t="s">
        <v>10174</v>
      </c>
      <c r="H4912" t="n">
        <v>3029</v>
      </c>
      <c r="I4912" t="s">
        <v>14</v>
      </c>
      <c r="J4912" t="s">
        <v>18</v>
      </c>
      <c r="K4912" t="s">
        <v>27</v>
      </c>
      <c r="L4912" t="s">
        <v>20</v>
      </c>
      <c r="M4912" t="s">
        <v>10171</v>
      </c>
      <c r="N4912" t="s">
        <v>10175</v>
      </c>
    </row>
    <row r="4913" x14ac:dyDescent="0.25">
      <c r="A4913" t="n">
        <v>25</v>
      </c>
      <c r="B4913" t="s">
        <v>14</v>
      </c>
      <c r="C4913" t="s">
        <v>51</v>
      </c>
      <c r="D4913" s="2" t="s">
        <f>=HYPERLINK("https://main.knesset.gov.il/APPS/legislation/main/bills/2198704", "הצעת חוק העונשין (תיקון - הסדר חילוט לרכושו של סוחר נשק), התשפ""ג-2023")</f>
        <v>10176</v>
      </c>
      <c r="E4913" t="s">
        <v>10176</v>
      </c>
      <c r="F4913" t="s">
        <v>10177</v>
      </c>
      <c r="G4913" t="s">
        <v>14</v>
      </c>
      <c r="H4913">
             </c>
      <c r="I4913" t="s">
        <v>14</v>
      </c>
      <c r="J4913" t="s">
        <v>152</v>
      </c>
      <c r="K4913" t="s">
        <v>27</v>
      </c>
      <c r="L4913" t="s">
        <v>20</v>
      </c>
      <c r="M4913" t="s">
        <v>10171</v>
      </c>
      <c r="N4913" t="s">
        <v>14</v>
      </c>
    </row>
    <row r="4914" x14ac:dyDescent="0.25">
      <c r="A4914" t="n">
        <v>25</v>
      </c>
      <c r="B4914" t="s">
        <v>14</v>
      </c>
      <c r="C4914" t="s">
        <v>51</v>
      </c>
      <c r="D4914" s="2" t="s">
        <f>=HYPERLINK("https://main.knesset.gov.il/APPS/legislation/main/bills/2201267", "הצעת חוק לעידוד השקעות הון (תיקון - תחומי אזורי פיתוח א'), התשפ""ג-2023")</f>
        <v>10178</v>
      </c>
      <c r="E4914" t="s">
        <v>10178</v>
      </c>
      <c r="F4914" t="s">
        <v>10179</v>
      </c>
      <c r="G4914" t="s">
        <v>14</v>
      </c>
      <c r="H4914">
             </c>
      <c r="I4914" t="s">
        <v>14</v>
      </c>
      <c r="J4914" t="s">
        <v>242</v>
      </c>
      <c r="K4914" t="s">
        <v>14</v>
      </c>
      <c r="L4914" t="s">
        <v>20</v>
      </c>
      <c r="M4914" t="s">
        <v>10171</v>
      </c>
      <c r="N4914" t="s">
        <v>14</v>
      </c>
    </row>
    <row r="4915" x14ac:dyDescent="0.25">
      <c r="A4915" t="n">
        <v>25</v>
      </c>
      <c r="B4915" t="s">
        <v>14</v>
      </c>
      <c r="C4915" t="s">
        <v>51</v>
      </c>
      <c r="D4915" s="2" t="s">
        <f>=HYPERLINK("https://main.knesset.gov.il/APPS/legislation/main/bills/2202671", "הצעת חוק שירות ביטחון (תיקון - חובת פוקד לקרוא להתייצבות לשירות ביטחון), התשפ""ג-2023")</f>
        <v>10180</v>
      </c>
      <c r="E4915" t="s">
        <v>10180</v>
      </c>
      <c r="F4915" t="s">
        <v>10181</v>
      </c>
      <c r="G4915" t="s">
        <v>14</v>
      </c>
      <c r="H4915">
             </c>
      <c r="I4915" t="s">
        <v>14</v>
      </c>
      <c r="J4915" t="s">
        <v>242</v>
      </c>
      <c r="K4915" t="s">
        <v>14</v>
      </c>
      <c r="L4915" t="s">
        <v>20</v>
      </c>
      <c r="M4915" t="s">
        <v>10171</v>
      </c>
      <c r="N4915" t="s">
        <v>14</v>
      </c>
    </row>
    <row r="4916" x14ac:dyDescent="0.25">
      <c r="A4916" t="n">
        <v>25</v>
      </c>
      <c r="B4916" t="s">
        <v>14</v>
      </c>
      <c r="C4916" t="s">
        <v>51</v>
      </c>
      <c r="D4916" s="2" t="s">
        <f>=HYPERLINK("https://main.knesset.gov.il/APPS/legislation/main/bills/2202731", "הצעת חוק הכשרות המשפטית והאפוטרופסות (תיקון - ביטול חזקת הגיל הרך), התשפ""ג-2023")</f>
        <v>10182</v>
      </c>
      <c r="E4916" t="s">
        <v>10182</v>
      </c>
      <c r="F4916" t="s">
        <v>10183</v>
      </c>
      <c r="G4916" t="s">
        <v>14</v>
      </c>
      <c r="H4916">
             </c>
      <c r="I4916" t="s">
        <v>14</v>
      </c>
      <c r="J4916" t="s">
        <v>202</v>
      </c>
      <c r="K4916" t="s">
        <v>14</v>
      </c>
      <c r="L4916" t="s">
        <v>20</v>
      </c>
      <c r="M4916" t="s">
        <v>10171</v>
      </c>
      <c r="N4916" t="s">
        <v>14</v>
      </c>
    </row>
    <row r="4917" x14ac:dyDescent="0.25">
      <c r="A4917" t="n">
        <v>25</v>
      </c>
      <c r="B4917" t="s">
        <v>14</v>
      </c>
      <c r="C4917" t="s">
        <v>51</v>
      </c>
      <c r="D4917" s="2" t="s">
        <f>=HYPERLINK("https://main.knesset.gov.il/APPS/legislation/main/bills/2199357", "הצעת חוק התוכנית הכלכלית (תיקוני חקיקה ליישום המדיניות הכלכלית לשנות התקציב 2021 ו-2022) (תיקון - ביטול הרפורמה בכשרות), התשפ""ג-2023")</f>
        <v>10184</v>
      </c>
      <c r="E4917" t="s">
        <v>10184</v>
      </c>
      <c r="F4917" t="s">
        <v>10185</v>
      </c>
      <c r="G4917" t="s">
        <v>14</v>
      </c>
      <c r="H4917">
             </c>
      <c r="I4917" t="s">
        <v>14</v>
      </c>
      <c r="J4917" t="s">
        <v>242</v>
      </c>
      <c r="K4917" t="s">
        <v>14</v>
      </c>
      <c r="L4917" t="s">
        <v>20</v>
      </c>
      <c r="M4917" t="s">
        <v>10171</v>
      </c>
      <c r="N4917" t="s">
        <v>14</v>
      </c>
    </row>
    <row r="4918" x14ac:dyDescent="0.25">
      <c r="A4918" t="n">
        <v>25</v>
      </c>
      <c r="B4918" t="s">
        <v>14</v>
      </c>
      <c r="C4918" t="s">
        <v>51</v>
      </c>
      <c r="D4918" s="2" t="s">
        <f>=HYPERLINK("https://main.knesset.gov.il/APPS/legislation/main/bills/2201482", "הצעת חוק-יסוד: כינון חוקה בישראל")</f>
        <v>10186</v>
      </c>
      <c r="E4918" t="s">
        <v>10186</v>
      </c>
      <c r="F4918" t="s">
        <v>10187</v>
      </c>
      <c r="G4918" t="s">
        <v>14</v>
      </c>
      <c r="H4918">
             </c>
      <c r="I4918" t="s">
        <v>14</v>
      </c>
      <c r="J4918" t="s">
        <v>242</v>
      </c>
      <c r="K4918" t="s">
        <v>14</v>
      </c>
      <c r="L4918" t="s">
        <v>20</v>
      </c>
      <c r="M4918" t="s">
        <v>10171</v>
      </c>
      <c r="N4918" t="s">
        <v>14</v>
      </c>
    </row>
    <row r="4919" x14ac:dyDescent="0.25">
      <c r="A4919" t="n">
        <v>25</v>
      </c>
      <c r="B4919" t="s">
        <v>14</v>
      </c>
      <c r="C4919" t="s">
        <v>51</v>
      </c>
      <c r="D4919" s="2" t="s">
        <f>=HYPERLINK("https://main.knesset.gov.il/APPS/legislation/main/bills/2202250", "הצעת חוק לתיקון פקודת העיריות (ייצוג הולם בשמות מקומות ציבוריים), התשפ""ג-2023")</f>
        <v>10188</v>
      </c>
      <c r="E4919" t="s">
        <v>10188</v>
      </c>
      <c r="F4919" t="s">
        <v>10189</v>
      </c>
      <c r="G4919" t="s">
        <v>14</v>
      </c>
      <c r="H4919">
             </c>
      <c r="I4919" t="s">
        <v>14</v>
      </c>
      <c r="J4919" t="s">
        <v>242</v>
      </c>
      <c r="K4919" t="s">
        <v>14</v>
      </c>
      <c r="L4919" t="s">
        <v>20</v>
      </c>
      <c r="M4919" t="s">
        <v>10171</v>
      </c>
      <c r="N4919" t="s">
        <v>14</v>
      </c>
    </row>
    <row r="4920" x14ac:dyDescent="0.25">
      <c r="A4920" t="n">
        <v>25</v>
      </c>
      <c r="B4920" t="s">
        <v>14</v>
      </c>
      <c r="C4920" t="s">
        <v>51</v>
      </c>
      <c r="D4920" s="2" t="s">
        <f>=HYPERLINK("https://main.knesset.gov.il/APPS/legislation/main/bills/2203089", "הצעת חוק הרשויות המקומיות (ריבית והפרשי הצמדה על תשלומי חובה) (תיקון - הפחתת אחוז הריבית ברשויות המקומיות), התשפ""ג-2023")</f>
        <v>10190</v>
      </c>
      <c r="E4920" t="s">
        <v>10190</v>
      </c>
      <c r="F4920" t="s">
        <v>10191</v>
      </c>
      <c r="G4920" t="s">
        <v>14</v>
      </c>
      <c r="H4920">
             </c>
      <c r="I4920" t="s">
        <v>14</v>
      </c>
      <c r="J4920" t="s">
        <v>242</v>
      </c>
      <c r="K4920" t="s">
        <v>14</v>
      </c>
      <c r="L4920" t="s">
        <v>20</v>
      </c>
      <c r="M4920" t="s">
        <v>10171</v>
      </c>
      <c r="N4920" t="s">
        <v>14</v>
      </c>
    </row>
    <row r="4921" x14ac:dyDescent="0.25">
      <c r="A4921" t="n">
        <v>25</v>
      </c>
      <c r="B4921" t="s">
        <v>14</v>
      </c>
      <c r="C4921" t="s">
        <v>51</v>
      </c>
      <c r="D4921" s="2" t="s">
        <f>=HYPERLINK("https://main.knesset.gov.il/APPS/legislation/main/bills/2202862", "הצעת חוק-יסוד: הממשלה (תיקון - הפסקת כהונה של ראש הממשלה מחמת עבירה)")</f>
        <v>2765</v>
      </c>
      <c r="E4921" t="s">
        <v>2765</v>
      </c>
      <c r="F4921" t="s">
        <v>10192</v>
      </c>
      <c r="G4921" t="s">
        <v>14</v>
      </c>
      <c r="H4921">
             </c>
      <c r="I4921" t="s">
        <v>14</v>
      </c>
      <c r="J4921" t="s">
        <v>242</v>
      </c>
      <c r="K4921" t="s">
        <v>14</v>
      </c>
      <c r="L4921" t="s">
        <v>20</v>
      </c>
      <c r="M4921" t="s">
        <v>10171</v>
      </c>
      <c r="N4921" t="s">
        <v>14</v>
      </c>
    </row>
    <row r="4922" x14ac:dyDescent="0.25">
      <c r="A4922" t="n">
        <v>25</v>
      </c>
      <c r="B4922" t="s">
        <v>14</v>
      </c>
      <c r="C4922" t="s">
        <v>51</v>
      </c>
      <c r="D4922" s="2" t="s">
        <f>=HYPERLINK("https://main.knesset.gov.il/APPS/legislation/main/bills/2198425", "הצעת חוק לתיקון פקודת המשטרה (הרכב המחלקה לחקירות שוטרים), התשפ""ג-2023")</f>
        <v>10193</v>
      </c>
      <c r="E4922" t="s">
        <v>10193</v>
      </c>
      <c r="F4922" t="s">
        <v>10194</v>
      </c>
      <c r="G4922" t="s">
        <v>14</v>
      </c>
      <c r="H4922">
             </c>
      <c r="I4922" t="s">
        <v>14</v>
      </c>
      <c r="J4922" t="s">
        <v>242</v>
      </c>
      <c r="K4922" t="s">
        <v>14</v>
      </c>
      <c r="L4922" t="s">
        <v>20</v>
      </c>
      <c r="M4922" t="s">
        <v>10171</v>
      </c>
      <c r="N4922" t="s">
        <v>14</v>
      </c>
    </row>
    <row r="4923" x14ac:dyDescent="0.25">
      <c r="A4923" t="n">
        <v>25</v>
      </c>
      <c r="B4923" t="s">
        <v>14</v>
      </c>
      <c r="C4923" t="s">
        <v>51</v>
      </c>
      <c r="D4923" s="2" t="s">
        <f>=HYPERLINK("https://main.knesset.gov.il/APPS/legislation/main/bills/2202739", "הצעת חוק הרשות הלאומית למניעת התאבדויות, התשפ""ג-2023")</f>
        <v>10195</v>
      </c>
      <c r="E4923" t="s">
        <v>10195</v>
      </c>
      <c r="F4923" t="s">
        <v>10196</v>
      </c>
      <c r="G4923" t="s">
        <v>14</v>
      </c>
      <c r="H4923">
             </c>
      <c r="I4923" t="s">
        <v>14</v>
      </c>
      <c r="J4923" t="s">
        <v>242</v>
      </c>
      <c r="K4923" t="s">
        <v>14</v>
      </c>
      <c r="L4923" t="s">
        <v>20</v>
      </c>
      <c r="M4923" t="s">
        <v>10171</v>
      </c>
      <c r="N4923" t="s">
        <v>14</v>
      </c>
    </row>
    <row r="4924" x14ac:dyDescent="0.25">
      <c r="A4924" t="n">
        <v>25</v>
      </c>
      <c r="B4924" t="s">
        <v>14</v>
      </c>
      <c r="C4924" t="s">
        <v>51</v>
      </c>
      <c r="D4924" s="2" t="s">
        <f>=HYPERLINK("https://main.knesset.gov.il/APPS/legislation/main/bills/2202754", "הצעת חוק הביטוח הלאומי (תיקון - העלאת דמי האבטלה למי שטרם מלאו לו 28 שנים ויש עמו ילד), התשפ""ג-2023")</f>
        <v>10197</v>
      </c>
      <c r="E4924" t="s">
        <v>10197</v>
      </c>
      <c r="F4924" t="s">
        <v>10198</v>
      </c>
      <c r="G4924" t="s">
        <v>14</v>
      </c>
      <c r="H4924">
             </c>
      <c r="I4924" t="s">
        <v>14</v>
      </c>
      <c r="J4924" t="s">
        <v>242</v>
      </c>
      <c r="K4924" t="s">
        <v>14</v>
      </c>
      <c r="L4924" t="s">
        <v>20</v>
      </c>
      <c r="M4924" t="s">
        <v>10171</v>
      </c>
      <c r="N4924" t="s">
        <v>14</v>
      </c>
    </row>
    <row r="4925" x14ac:dyDescent="0.25">
      <c r="A4925" t="n">
        <v>25</v>
      </c>
      <c r="B4925" t="s">
        <v>14</v>
      </c>
      <c r="C4925" t="s">
        <v>51</v>
      </c>
      <c r="D4925" s="2" t="s">
        <f>=HYPERLINK("https://main.knesset.gov.il/APPS/legislation/main/bills/2201640", "הצעת חוק תשלומים לחיילים בשירות סדיר (הגנה על תשלומים) (תיקון - הגנה על תשלומים לעולה חדש), התשפ""ג-2023")</f>
        <v>10199</v>
      </c>
      <c r="E4925" t="s">
        <v>10199</v>
      </c>
      <c r="F4925" t="s">
        <v>10200</v>
      </c>
      <c r="G4925" t="s">
        <v>14</v>
      </c>
      <c r="H4925">
             </c>
      <c r="I4925" t="s">
        <v>14</v>
      </c>
      <c r="J4925" t="s">
        <v>242</v>
      </c>
      <c r="K4925" t="s">
        <v>14</v>
      </c>
      <c r="L4925" t="s">
        <v>20</v>
      </c>
      <c r="M4925" t="s">
        <v>10171</v>
      </c>
      <c r="N4925" t="s">
        <v>14</v>
      </c>
    </row>
    <row r="4926" x14ac:dyDescent="0.25">
      <c r="A4926" t="n">
        <v>25</v>
      </c>
      <c r="B4926" t="s">
        <v>14</v>
      </c>
      <c r="C4926" t="s">
        <v>51</v>
      </c>
      <c r="D4926" s="2" t="s">
        <f>=HYPERLINK("https://main.knesset.gov.il/APPS/legislation/main/bills/2202876", "הצעת חוק לתיקון פקודת העיריות (בניין שניזוק או נהרס), התשפ""ג-2023")</f>
        <v>10201</v>
      </c>
      <c r="E4926" t="s">
        <v>10201</v>
      </c>
      <c r="F4926" t="s">
        <v>10202</v>
      </c>
      <c r="G4926" t="s">
        <v>14</v>
      </c>
      <c r="H4926">
             </c>
      <c r="I4926" t="s">
        <v>14</v>
      </c>
      <c r="J4926" t="s">
        <v>242</v>
      </c>
      <c r="K4926" t="s">
        <v>14</v>
      </c>
      <c r="L4926" t="s">
        <v>20</v>
      </c>
      <c r="M4926" t="s">
        <v>10171</v>
      </c>
      <c r="N4926" t="s">
        <v>14</v>
      </c>
    </row>
    <row r="4927" x14ac:dyDescent="0.25">
      <c r="A4927" t="n">
        <v>25</v>
      </c>
      <c r="B4927" t="s">
        <v>14</v>
      </c>
      <c r="C4927" t="s">
        <v>51</v>
      </c>
      <c r="D4927" s="2" t="s">
        <f>=HYPERLINK("https://main.knesset.gov.il/APPS/legislation/main/bills/2202791", "הצעת חוק הביטוח הלאומי (תיקון - תשלום דמי אבטלה לנשים שיצאו לחופשה ללא תשלום לאחר לידה מסיבות מוצדקות), התשפ""ג-2023")</f>
        <v>10203</v>
      </c>
      <c r="E4927" t="s">
        <v>10203</v>
      </c>
      <c r="F4927" t="s">
        <v>10204</v>
      </c>
      <c r="G4927" t="s">
        <v>14</v>
      </c>
      <c r="H4927">
             </c>
      <c r="I4927" t="s">
        <v>14</v>
      </c>
      <c r="J4927" t="s">
        <v>242</v>
      </c>
      <c r="K4927" t="s">
        <v>14</v>
      </c>
      <c r="L4927" t="s">
        <v>20</v>
      </c>
      <c r="M4927" t="s">
        <v>10171</v>
      </c>
      <c r="N4927" t="s">
        <v>14</v>
      </c>
    </row>
    <row r="4928" x14ac:dyDescent="0.25">
      <c r="A4928" t="n">
        <v>25</v>
      </c>
      <c r="B4928" t="s">
        <v>14</v>
      </c>
      <c r="C4928" t="s">
        <v>51</v>
      </c>
      <c r="D4928" s="2" t="s">
        <f>=HYPERLINK("https://main.knesset.gov.il/APPS/legislation/main/bills/2202889", "הצעת חוק האזרחים הוותיקים (תיקון - חניה חינם לאזרח ותיק שמלאו לו 75 שנים), התשפ""ג-2023")</f>
        <v>10205</v>
      </c>
      <c r="E4928" t="s">
        <v>10205</v>
      </c>
      <c r="F4928" t="s">
        <v>10206</v>
      </c>
      <c r="G4928" t="s">
        <v>14</v>
      </c>
      <c r="H4928">
             </c>
      <c r="I4928" t="s">
        <v>14</v>
      </c>
      <c r="J4928" t="s">
        <v>242</v>
      </c>
      <c r="K4928" t="s">
        <v>14</v>
      </c>
      <c r="L4928" t="s">
        <v>20</v>
      </c>
      <c r="M4928" t="s">
        <v>10171</v>
      </c>
      <c r="N4928" t="s">
        <v>14</v>
      </c>
    </row>
    <row r="4929" x14ac:dyDescent="0.25">
      <c r="A4929" t="n">
        <v>25</v>
      </c>
      <c r="B4929" t="s">
        <v>14</v>
      </c>
      <c r="C4929" t="s">
        <v>51</v>
      </c>
      <c r="D4929" s="2" t="s">
        <f>=HYPERLINK("https://main.knesset.gov.il/APPS/legislation/main/bills/2202753", "הצעת חוק הביטוח הלאומי (תיקון - דמי פגיעה לעובד עצמאי), התשפ""ג-2023")</f>
        <v>10207</v>
      </c>
      <c r="E4929" t="s">
        <v>10207</v>
      </c>
      <c r="F4929" t="s">
        <v>10208</v>
      </c>
      <c r="G4929" t="s">
        <v>14</v>
      </c>
      <c r="H4929">
             </c>
      <c r="I4929" t="s">
        <v>14</v>
      </c>
      <c r="J4929" t="s">
        <v>242</v>
      </c>
      <c r="K4929" t="s">
        <v>14</v>
      </c>
      <c r="L4929" t="s">
        <v>20</v>
      </c>
      <c r="M4929" t="s">
        <v>10171</v>
      </c>
      <c r="N4929" t="s">
        <v>14</v>
      </c>
    </row>
    <row r="4930" x14ac:dyDescent="0.25">
      <c r="A4930" t="n">
        <v>25</v>
      </c>
      <c r="B4930" t="s">
        <v>14</v>
      </c>
      <c r="C4930" t="s">
        <v>51</v>
      </c>
      <c r="D4930" s="2" t="s">
        <f>=HYPERLINK("https://main.knesset.gov.il/APPS/legislation/main/bills/2200864", "הצעת חוק זכויות הסטודנט (תיקון - זכויות לסטודנטים הלומדים בחוץ לארץ), התשפ""ג-2023")</f>
        <v>9333</v>
      </c>
      <c r="E4930" t="s">
        <v>9333</v>
      </c>
      <c r="F4930" t="s">
        <v>10209</v>
      </c>
      <c r="G4930" t="s">
        <v>14</v>
      </c>
      <c r="H4930">
             </c>
      <c r="I4930" t="s">
        <v>14</v>
      </c>
      <c r="J4930" t="s">
        <v>242</v>
      </c>
      <c r="K4930" t="s">
        <v>14</v>
      </c>
      <c r="L4930" t="s">
        <v>20</v>
      </c>
      <c r="M4930" t="s">
        <v>10171</v>
      </c>
      <c r="N4930" t="s">
        <v>14</v>
      </c>
    </row>
    <row r="4931" x14ac:dyDescent="0.25">
      <c r="A4931" t="n">
        <v>25</v>
      </c>
      <c r="B4931" t="s">
        <v>14</v>
      </c>
      <c r="C4931" t="s">
        <v>51</v>
      </c>
      <c r="D4931" s="2" t="s">
        <f>=HYPERLINK("https://main.knesset.gov.il/APPS/legislation/main/bills/2201587", "הצעת חוק סל הקליטה (תיקון - הבטחת קיום), התשפ""ג-2023")</f>
        <v>10210</v>
      </c>
      <c r="E4931" t="s">
        <v>10210</v>
      </c>
      <c r="F4931" t="s">
        <v>10211</v>
      </c>
      <c r="G4931" t="s">
        <v>14</v>
      </c>
      <c r="H4931">
             </c>
      <c r="I4931" t="s">
        <v>14</v>
      </c>
      <c r="J4931" t="s">
        <v>202</v>
      </c>
      <c r="K4931" t="s">
        <v>14</v>
      </c>
      <c r="L4931" t="s">
        <v>20</v>
      </c>
      <c r="M4931" t="s">
        <v>10171</v>
      </c>
      <c r="N4931" t="s">
        <v>14</v>
      </c>
    </row>
    <row r="4932" x14ac:dyDescent="0.25">
      <c r="A4932" t="n">
        <v>25</v>
      </c>
      <c r="B4932" t="s">
        <v>14</v>
      </c>
      <c r="C4932" t="s">
        <v>51</v>
      </c>
      <c r="D4932" s="2" t="s">
        <f>=HYPERLINK("https://main.knesset.gov.il/APPS/legislation/main/bills/2202751", "הצעת חוק הביטוח הלאומי (תיקון - זכאות לדמי אבטלה מגיל 19), התשפ""ג-2023")</f>
        <v>10212</v>
      </c>
      <c r="E4932" t="s">
        <v>10212</v>
      </c>
      <c r="F4932" t="s">
        <v>10213</v>
      </c>
      <c r="G4932" t="s">
        <v>14</v>
      </c>
      <c r="H4932">
             </c>
      <c r="I4932" t="s">
        <v>14</v>
      </c>
      <c r="J4932" t="s">
        <v>242</v>
      </c>
      <c r="K4932" t="s">
        <v>14</v>
      </c>
      <c r="L4932" t="s">
        <v>20</v>
      </c>
      <c r="M4932" t="s">
        <v>10171</v>
      </c>
      <c r="N4932" t="s">
        <v>14</v>
      </c>
    </row>
    <row r="4933" x14ac:dyDescent="0.25">
      <c r="A4933" t="n">
        <v>25</v>
      </c>
      <c r="B4933" t="s">
        <v>14</v>
      </c>
      <c r="C4933" t="s">
        <v>51</v>
      </c>
      <c r="D4933" s="2" t="s">
        <f>=HYPERLINK("https://main.knesset.gov.il/APPS/legislation/main/bills/2202736", "הצעת חוק אומנה לילדים (תיקון - העברת תשלומים להורה אומנה במקרים מיוחדים), התשפ""ג-2023")</f>
        <v>8953</v>
      </c>
      <c r="E4933" t="s">
        <v>8953</v>
      </c>
      <c r="F4933" t="s">
        <v>10214</v>
      </c>
      <c r="G4933" t="s">
        <v>14</v>
      </c>
      <c r="H4933">
             </c>
      <c r="I4933" t="s">
        <v>14</v>
      </c>
      <c r="J4933" t="s">
        <v>242</v>
      </c>
      <c r="K4933" t="s">
        <v>14</v>
      </c>
      <c r="L4933" t="s">
        <v>20</v>
      </c>
      <c r="M4933" t="s">
        <v>10171</v>
      </c>
      <c r="N4933" t="s">
        <v>14</v>
      </c>
    </row>
    <row r="4934" x14ac:dyDescent="0.25">
      <c r="A4934" t="n">
        <v>25</v>
      </c>
      <c r="B4934" t="s">
        <v>14</v>
      </c>
      <c r="C4934" t="s">
        <v>51</v>
      </c>
      <c r="D4934" s="2" t="s">
        <f>=HYPERLINK("https://main.knesset.gov.il/APPS/legislation/main/bills/2202734", "הצעת חוק החלת הריבונות הישראלית על בקעת הירדן, התשפ""ג-2023")</f>
        <v>4516</v>
      </c>
      <c r="E4934" t="s">
        <v>4516</v>
      </c>
      <c r="F4934" t="s">
        <v>10215</v>
      </c>
      <c r="G4934" t="s">
        <v>14</v>
      </c>
      <c r="H4934">
             </c>
      <c r="I4934" t="s">
        <v>14</v>
      </c>
      <c r="J4934" t="s">
        <v>242</v>
      </c>
      <c r="K4934" t="s">
        <v>14</v>
      </c>
      <c r="L4934" t="s">
        <v>20</v>
      </c>
      <c r="M4934" t="s">
        <v>10171</v>
      </c>
      <c r="N4934" t="s">
        <v>14</v>
      </c>
    </row>
    <row r="4935" x14ac:dyDescent="0.25">
      <c r="A4935" t="n">
        <v>25</v>
      </c>
      <c r="B4935" t="s">
        <v>14</v>
      </c>
      <c r="C4935" t="s">
        <v>51</v>
      </c>
      <c r="D4935" s="2" t="s">
        <f>=HYPERLINK("https://main.knesset.gov.il/APPS/legislation/main/bills/2202881", "הצעת חוק הביטוח הלאומי (תיקון - דמי אבטלה למתמחים), התשפ""ג-2023")</f>
        <v>9990</v>
      </c>
      <c r="E4935" t="s">
        <v>9990</v>
      </c>
      <c r="F4935" t="s">
        <v>10216</v>
      </c>
      <c r="G4935" t="s">
        <v>14</v>
      </c>
      <c r="H4935">
             </c>
      <c r="I4935" t="s">
        <v>14</v>
      </c>
      <c r="J4935" t="s">
        <v>242</v>
      </c>
      <c r="K4935" t="s">
        <v>14</v>
      </c>
      <c r="L4935" t="s">
        <v>20</v>
      </c>
      <c r="M4935" t="s">
        <v>10171</v>
      </c>
      <c r="N4935" t="s">
        <v>14</v>
      </c>
    </row>
    <row r="4936" x14ac:dyDescent="0.25">
      <c r="A4936" t="n">
        <v>25</v>
      </c>
      <c r="B4936" t="s">
        <v>14</v>
      </c>
      <c r="C4936" t="s">
        <v>51</v>
      </c>
      <c r="D4936" s="2" t="s">
        <f>=HYPERLINK("https://main.knesset.gov.il/APPS/legislation/main/bills/2202658", "הצעת חוק לתיקון פקודת המשטרה (מינוי חשב המשטרה), התשפ""ג-2023")</f>
        <v>10217</v>
      </c>
      <c r="E4936" t="s">
        <v>10217</v>
      </c>
      <c r="F4936" t="s">
        <v>10218</v>
      </c>
      <c r="G4936" t="s">
        <v>14</v>
      </c>
      <c r="H4936">
             </c>
      <c r="I4936" t="s">
        <v>14</v>
      </c>
      <c r="J4936" t="s">
        <v>242</v>
      </c>
      <c r="K4936" t="s">
        <v>14</v>
      </c>
      <c r="L4936" t="s">
        <v>20</v>
      </c>
      <c r="M4936" t="s">
        <v>10171</v>
      </c>
      <c r="N4936" t="s">
        <v>14</v>
      </c>
    </row>
    <row r="4937" x14ac:dyDescent="0.25">
      <c r="A4937" t="n">
        <v>25</v>
      </c>
      <c r="B4937" t="s">
        <v>14</v>
      </c>
      <c r="C4937" t="s">
        <v>51</v>
      </c>
      <c r="D4937" s="2" t="s">
        <f>=HYPERLINK("https://main.knesset.gov.il/APPS/legislation/main/bills/2202098", "הצעת חוק הסדרת העיסוק במקצועות הבריאות (תיקון - הסדרת מקצוע הרנטגנאות והדימות), התשפ""ג-2023")</f>
        <v>8584</v>
      </c>
      <c r="E4937" t="s">
        <v>8584</v>
      </c>
      <c r="F4937" t="s">
        <v>10219</v>
      </c>
      <c r="G4937" t="s">
        <v>14</v>
      </c>
      <c r="H4937">
             </c>
      <c r="I4937" t="s">
        <v>14</v>
      </c>
      <c r="J4937" t="s">
        <v>242</v>
      </c>
      <c r="K4937" t="s">
        <v>14</v>
      </c>
      <c r="L4937" t="s">
        <v>20</v>
      </c>
      <c r="M4937" t="s">
        <v>10171</v>
      </c>
      <c r="N4937" t="s">
        <v>14</v>
      </c>
    </row>
    <row r="4938" x14ac:dyDescent="0.25">
      <c r="A4938" t="n">
        <v>25</v>
      </c>
      <c r="B4938" t="s">
        <v>14</v>
      </c>
      <c r="C4938" t="s">
        <v>51</v>
      </c>
      <c r="D4938" s="2" t="s">
        <f>=HYPERLINK("https://main.knesset.gov.il/APPS/legislation/main/bills/2202125", "הצעת חוק הביטוח הלאומי (תיקון - מימון סייעת לילדים שאינם יכולים לשהות במעון), התשפ""ג-2023")</f>
        <v>10220</v>
      </c>
      <c r="E4938" t="s">
        <v>10220</v>
      </c>
      <c r="F4938" t="s">
        <v>10221</v>
      </c>
      <c r="G4938" t="s">
        <v>14</v>
      </c>
      <c r="H4938">
             </c>
      <c r="I4938" t="s">
        <v>14</v>
      </c>
      <c r="J4938" t="s">
        <v>242</v>
      </c>
      <c r="K4938" t="s">
        <v>14</v>
      </c>
      <c r="L4938" t="s">
        <v>20</v>
      </c>
      <c r="M4938" t="s">
        <v>10171</v>
      </c>
      <c r="N4938" t="s">
        <v>14</v>
      </c>
    </row>
    <row r="4939" x14ac:dyDescent="0.25">
      <c r="A4939" t="n">
        <v>25</v>
      </c>
      <c r="B4939" t="s">
        <v>14</v>
      </c>
      <c r="C4939" t="s">
        <v>51</v>
      </c>
      <c r="D4939" s="2" t="s">
        <f>=HYPERLINK("https://main.knesset.gov.il/APPS/legislation/main/bills/2202078", "הצעת חוק חופשה שנתית (תיקון - ימי חופשה להורים שילדם נפטר), התשפ""ג-2023")</f>
        <v>10222</v>
      </c>
      <c r="E4939" t="s">
        <v>10222</v>
      </c>
      <c r="F4939" t="s">
        <v>10223</v>
      </c>
      <c r="G4939" t="s">
        <v>14</v>
      </c>
      <c r="H4939">
             </c>
      <c r="I4939" t="s">
        <v>14</v>
      </c>
      <c r="J4939" t="s">
        <v>242</v>
      </c>
      <c r="K4939" t="s">
        <v>14</v>
      </c>
      <c r="L4939" t="s">
        <v>20</v>
      </c>
      <c r="M4939" t="s">
        <v>10171</v>
      </c>
      <c r="N4939" t="s">
        <v>14</v>
      </c>
    </row>
    <row r="4940" x14ac:dyDescent="0.25">
      <c r="A4940" t="n">
        <v>25</v>
      </c>
      <c r="B4940" t="s">
        <v>14</v>
      </c>
      <c r="C4940" t="s">
        <v>51</v>
      </c>
      <c r="D4940" s="2" t="s">
        <f>=HYPERLINK("https://main.knesset.gov.il/APPS/legislation/main/bills/2201223", "הצעת חוק זכויות החולה (תיקון - הזכות למינוי מתורגמן רפואי), התשפ""ג-2023")</f>
        <v>10224</v>
      </c>
      <c r="E4940" t="s">
        <v>10224</v>
      </c>
      <c r="F4940" t="s">
        <v>10225</v>
      </c>
      <c r="G4940" t="s">
        <v>14</v>
      </c>
      <c r="H4940">
             </c>
      <c r="I4940" t="s">
        <v>14</v>
      </c>
      <c r="J4940" t="s">
        <v>242</v>
      </c>
      <c r="K4940" t="s">
        <v>14</v>
      </c>
      <c r="L4940" t="s">
        <v>20</v>
      </c>
      <c r="M4940" t="s">
        <v>10171</v>
      </c>
      <c r="N4940" t="s">
        <v>14</v>
      </c>
    </row>
    <row r="4941" x14ac:dyDescent="0.25">
      <c r="A4941" t="n">
        <v>25</v>
      </c>
      <c r="B4941" t="s">
        <v>14</v>
      </c>
      <c r="C4941" t="s">
        <v>51</v>
      </c>
      <c r="D4941" s="2" t="s">
        <f>=HYPERLINK("https://main.knesset.gov.il/APPS/legislation/main/bills/2203133", "הצעת חוק למניעת מפגעים (תיקון - הגבלת שימוש בזיקוקין די-נור באזורי מגורים), התשפ""ג-2023")</f>
        <v>10226</v>
      </c>
      <c r="E4941" t="s">
        <v>10226</v>
      </c>
      <c r="F4941" t="s">
        <v>10227</v>
      </c>
      <c r="G4941" t="s">
        <v>14</v>
      </c>
      <c r="H4941">
             </c>
      <c r="I4941" t="s">
        <v>14</v>
      </c>
      <c r="J4941" t="s">
        <v>242</v>
      </c>
      <c r="K4941" t="s">
        <v>14</v>
      </c>
      <c r="L4941" t="s">
        <v>20</v>
      </c>
      <c r="M4941" t="s">
        <v>10171</v>
      </c>
      <c r="N4941" t="s">
        <v>14</v>
      </c>
    </row>
    <row r="4942" x14ac:dyDescent="0.25">
      <c r="A4942" t="n">
        <v>25</v>
      </c>
      <c r="B4942" t="s">
        <v>14</v>
      </c>
      <c r="C4942" t="s">
        <v>51</v>
      </c>
      <c r="D4942" s="2" t="s">
        <f>=HYPERLINK("https://main.knesset.gov.il/APPS/legislation/main/bills/2201485", "הצעת חוק-יסוד: בית משפט לחוקה")</f>
        <v>10228</v>
      </c>
      <c r="E4942" t="s">
        <v>10228</v>
      </c>
      <c r="F4942" t="s">
        <v>10229</v>
      </c>
      <c r="G4942" t="s">
        <v>14</v>
      </c>
      <c r="H4942">
             </c>
      <c r="I4942" t="s">
        <v>14</v>
      </c>
      <c r="J4942" t="s">
        <v>242</v>
      </c>
      <c r="K4942" t="s">
        <v>14</v>
      </c>
      <c r="L4942" t="s">
        <v>20</v>
      </c>
      <c r="M4942" t="s">
        <v>10171</v>
      </c>
      <c r="N4942" t="s">
        <v>14</v>
      </c>
    </row>
    <row r="4943" x14ac:dyDescent="0.25">
      <c r="A4943" t="n">
        <v>25</v>
      </c>
      <c r="B4943" t="s">
        <v>14</v>
      </c>
      <c r="C4943" t="s">
        <v>51</v>
      </c>
      <c r="D4943" s="2" t="s">
        <f>=HYPERLINK("https://main.knesset.gov.il/APPS/legislation/main/bills/2202979", "הצעת חוק סדר הדין הפלילי (סמכויות אכיפה - מעצרים) (תיקון - הגדרת מסוכנות של פוגעים בבעלי חיים), התשפ""ג-2023")</f>
        <v>6083</v>
      </c>
      <c r="E4943" t="s">
        <v>6083</v>
      </c>
      <c r="F4943" t="s">
        <v>10230</v>
      </c>
      <c r="G4943" t="s">
        <v>14</v>
      </c>
      <c r="H4943">
             </c>
      <c r="I4943" t="s">
        <v>14</v>
      </c>
      <c r="J4943" t="s">
        <v>242</v>
      </c>
      <c r="K4943" t="s">
        <v>14</v>
      </c>
      <c r="L4943" t="s">
        <v>20</v>
      </c>
      <c r="M4943" t="s">
        <v>10171</v>
      </c>
      <c r="N4943" t="s">
        <v>14</v>
      </c>
    </row>
    <row r="4944" x14ac:dyDescent="0.25">
      <c r="A4944" t="n">
        <v>25</v>
      </c>
      <c r="B4944" t="s">
        <v>14</v>
      </c>
      <c r="C4944" t="s">
        <v>51</v>
      </c>
      <c r="D4944" s="2" t="s">
        <f>=HYPERLINK("https://main.knesset.gov.il/APPS/legislation/main/bills/2201214", "הצעת חוק הספורט (תיקון - ייצוג הולם לאוכלוסייה הערבית), התשפ""ג-2023")</f>
        <v>10231</v>
      </c>
      <c r="E4944" t="s">
        <v>10231</v>
      </c>
      <c r="F4944" t="s">
        <v>10232</v>
      </c>
      <c r="G4944" t="s">
        <v>14</v>
      </c>
      <c r="H4944">
             </c>
      <c r="I4944" t="s">
        <v>14</v>
      </c>
      <c r="J4944" t="s">
        <v>242</v>
      </c>
      <c r="K4944" t="s">
        <v>14</v>
      </c>
      <c r="L4944" t="s">
        <v>20</v>
      </c>
      <c r="M4944" t="s">
        <v>10171</v>
      </c>
      <c r="N4944" t="s">
        <v>14</v>
      </c>
    </row>
    <row r="4945" x14ac:dyDescent="0.25">
      <c r="A4945" t="n">
        <v>25</v>
      </c>
      <c r="B4945" t="s">
        <v>14</v>
      </c>
      <c r="C4945" t="s">
        <v>51</v>
      </c>
      <c r="D4945" s="2" t="s">
        <f>=HYPERLINK("https://main.knesset.gov.il/APPS/legislation/main/bills/2202972", "הצעת חוק איסור קבלת תרומות ממדינות אויב או מדינות תומכות טרור, התשפ""ג-2023")</f>
        <v>10233</v>
      </c>
      <c r="E4945" t="s">
        <v>10233</v>
      </c>
      <c r="F4945" t="s">
        <v>10234</v>
      </c>
      <c r="G4945" t="s">
        <v>14</v>
      </c>
      <c r="H4945">
             </c>
      <c r="I4945" t="s">
        <v>14</v>
      </c>
      <c r="J4945" t="s">
        <v>242</v>
      </c>
      <c r="K4945" t="s">
        <v>14</v>
      </c>
      <c r="L4945" t="s">
        <v>20</v>
      </c>
      <c r="M4945" t="s">
        <v>10171</v>
      </c>
      <c r="N4945" t="s">
        <v>14</v>
      </c>
    </row>
    <row r="4946" x14ac:dyDescent="0.25">
      <c r="A4946" t="n">
        <v>25</v>
      </c>
      <c r="B4946" t="s">
        <v>14</v>
      </c>
      <c r="C4946" t="s">
        <v>51</v>
      </c>
      <c r="D4946" s="2" t="s">
        <f>=HYPERLINK("https://main.knesset.gov.il/APPS/legislation/main/bills/2202185", "הצעת חוק לימוד חובה (תיקון - חובת דיווח על היעדרות תלמיד), התשפ""ג-2023")</f>
        <v>4623</v>
      </c>
      <c r="E4946" t="s">
        <v>4623</v>
      </c>
      <c r="F4946" t="s">
        <v>10235</v>
      </c>
      <c r="G4946" t="s">
        <v>14</v>
      </c>
      <c r="H4946">
             </c>
      <c r="I4946" t="s">
        <v>14</v>
      </c>
      <c r="J4946" t="s">
        <v>202</v>
      </c>
      <c r="K4946" t="s">
        <v>14</v>
      </c>
      <c r="L4946" t="s">
        <v>20</v>
      </c>
      <c r="M4946" t="s">
        <v>10171</v>
      </c>
      <c r="N4946" t="s">
        <v>14</v>
      </c>
    </row>
    <row r="4947" x14ac:dyDescent="0.25">
      <c r="A4947" t="n">
        <v>25</v>
      </c>
      <c r="B4947" t="s">
        <v>14</v>
      </c>
      <c r="C4947" t="s">
        <v>51</v>
      </c>
      <c r="D4947" s="2" t="s">
        <f>=HYPERLINK("https://main.knesset.gov.il/APPS/legislation/main/bills/2202980", "הצעת חוק זכות ייצוג לקטין המתנגד לאשפוז פסיכיאטרי (תיקוני חקיקה), התשפ""ג-2023")</f>
        <v>10236</v>
      </c>
      <c r="E4947" t="s">
        <v>10236</v>
      </c>
      <c r="F4947" t="s">
        <v>10237</v>
      </c>
      <c r="G4947" t="s">
        <v>14</v>
      </c>
      <c r="H4947">
             </c>
      <c r="I4947" t="s">
        <v>14</v>
      </c>
      <c r="J4947" t="s">
        <v>242</v>
      </c>
      <c r="K4947" t="s">
        <v>14</v>
      </c>
      <c r="L4947" t="s">
        <v>20</v>
      </c>
      <c r="M4947" t="s">
        <v>10171</v>
      </c>
      <c r="N4947" t="s">
        <v>14</v>
      </c>
    </row>
    <row r="4948" x14ac:dyDescent="0.25">
      <c r="A4948" t="n">
        <v>25</v>
      </c>
      <c r="B4948" t="s">
        <v>14</v>
      </c>
      <c r="C4948" t="s">
        <v>51</v>
      </c>
      <c r="D4948" s="2" t="s">
        <f>=HYPERLINK("https://main.knesset.gov.il/APPS/legislation/main/bills/2202124", "הצעת חוק ביטוח בריאות ממלכתי (תיקון - מימון הסעה לבית חולים), התשפ""ג-2023")</f>
        <v>9855</v>
      </c>
      <c r="E4948" t="s">
        <v>9855</v>
      </c>
      <c r="F4948" t="s">
        <v>10238</v>
      </c>
      <c r="G4948" t="s">
        <v>14</v>
      </c>
      <c r="H4948">
             </c>
      <c r="I4948" t="s">
        <v>14</v>
      </c>
      <c r="J4948" t="s">
        <v>242</v>
      </c>
      <c r="K4948" t="s">
        <v>14</v>
      </c>
      <c r="L4948" t="s">
        <v>20</v>
      </c>
      <c r="M4948" t="s">
        <v>10171</v>
      </c>
      <c r="N4948" t="s">
        <v>14</v>
      </c>
    </row>
    <row r="4949" x14ac:dyDescent="0.25">
      <c r="A4949" t="n">
        <v>25</v>
      </c>
      <c r="B4949" t="s">
        <v>14</v>
      </c>
      <c r="C4949" t="s">
        <v>51</v>
      </c>
      <c r="D4949" s="2" t="s">
        <f>=HYPERLINK("https://main.knesset.gov.il/APPS/legislation/main/bills/2200639", "הצעת חוק החולה הנוטה למות (תיקון - העדפות טיפוליות), התשפ""ג-2023")</f>
        <v>10239</v>
      </c>
      <c r="E4949" t="s">
        <v>10239</v>
      </c>
      <c r="F4949" t="s">
        <v>10240</v>
      </c>
      <c r="G4949" t="s">
        <v>14</v>
      </c>
      <c r="H4949">
             </c>
      <c r="I4949" t="s">
        <v>14</v>
      </c>
      <c r="J4949" t="s">
        <v>242</v>
      </c>
      <c r="K4949" t="s">
        <v>14</v>
      </c>
      <c r="L4949" t="s">
        <v>20</v>
      </c>
      <c r="M4949" t="s">
        <v>10171</v>
      </c>
      <c r="N4949" t="s">
        <v>14</v>
      </c>
    </row>
    <row r="4950" x14ac:dyDescent="0.25">
      <c r="A4950" t="n">
        <v>25</v>
      </c>
      <c r="B4950" t="s">
        <v>14</v>
      </c>
      <c r="C4950" t="s">
        <v>51</v>
      </c>
      <c r="D4950" s="2" t="s">
        <f>=HYPERLINK("https://main.knesset.gov.il/APPS/legislation/main/bills/2202922", "הצעת חוק הביטוח הלאומי (תיקון - עבודה בחינוך וסיוע להוראה או בטיפול בילדים כעבודה מועדפת), התשפ""ג-2023")</f>
        <v>9914</v>
      </c>
      <c r="E4950" t="s">
        <v>9914</v>
      </c>
      <c r="F4950" t="s">
        <v>10241</v>
      </c>
      <c r="G4950" t="s">
        <v>14</v>
      </c>
      <c r="H4950">
             </c>
      <c r="I4950" t="s">
        <v>14</v>
      </c>
      <c r="J4950" t="s">
        <v>242</v>
      </c>
      <c r="K4950" t="s">
        <v>14</v>
      </c>
      <c r="L4950" t="s">
        <v>20</v>
      </c>
      <c r="M4950" t="s">
        <v>10171</v>
      </c>
      <c r="N4950" t="s">
        <v>14</v>
      </c>
    </row>
    <row r="4951" x14ac:dyDescent="0.25">
      <c r="A4951" t="n">
        <v>25</v>
      </c>
      <c r="B4951" t="s">
        <v>14</v>
      </c>
      <c r="C4951" t="s">
        <v>51</v>
      </c>
      <c r="D4951" s="2" t="s">
        <f>=HYPERLINK("https://main.knesset.gov.il/APPS/legislation/main/bills/2201655", "הצעת חוק שימוש בזרע של נפטר לשם הולדה, התשפ""ג-2023 ")</f>
        <v>7347</v>
      </c>
      <c r="E4951" t="s">
        <v>7347</v>
      </c>
      <c r="F4951" t="s">
        <v>10242</v>
      </c>
      <c r="G4951" t="s">
        <v>14</v>
      </c>
      <c r="H4951">
             </c>
      <c r="I4951" t="s">
        <v>14</v>
      </c>
      <c r="J4951" t="s">
        <v>242</v>
      </c>
      <c r="K4951" t="s">
        <v>14</v>
      </c>
      <c r="L4951" t="s">
        <v>20</v>
      </c>
      <c r="M4951" t="s">
        <v>10171</v>
      </c>
      <c r="N4951" t="s">
        <v>14</v>
      </c>
    </row>
    <row r="4952" x14ac:dyDescent="0.25">
      <c r="A4952" t="n">
        <v>25</v>
      </c>
      <c r="B4952" t="s">
        <v>14</v>
      </c>
      <c r="C4952" t="s">
        <v>51</v>
      </c>
      <c r="D4952" s="2" t="s">
        <f>=HYPERLINK("https://main.knesset.gov.il/APPS/legislation/main/bills/2202108", "הצעת חוק העונשין (תיקון - החמרת ענישה בעבירות החזקת נשק שלא כדין), התשפ""ג-2023")</f>
        <v>4335</v>
      </c>
      <c r="E4952" t="s">
        <v>4335</v>
      </c>
      <c r="F4952" t="s">
        <v>10243</v>
      </c>
      <c r="G4952" t="s">
        <v>14</v>
      </c>
      <c r="H4952">
             </c>
      <c r="I4952" t="s">
        <v>14</v>
      </c>
      <c r="J4952" t="s">
        <v>242</v>
      </c>
      <c r="K4952" t="s">
        <v>14</v>
      </c>
      <c r="L4952" t="s">
        <v>20</v>
      </c>
      <c r="M4952" t="s">
        <v>10171</v>
      </c>
      <c r="N4952" t="s">
        <v>14</v>
      </c>
    </row>
    <row r="4953" x14ac:dyDescent="0.25">
      <c r="A4953" t="n">
        <v>25</v>
      </c>
      <c r="B4953" t="s">
        <v>14</v>
      </c>
      <c r="C4953" t="s">
        <v>51</v>
      </c>
      <c r="D4953" s="2" t="s">
        <f>=HYPERLINK("https://main.knesset.gov.il/APPS/legislation/main/bills/2202798", "הצעת חוק זכויות נפגעי עבירה (תיקון - חובת בית המשפט לשמוע נפגעי עבירה כולל נפגעי מעשי טרור), התשפ""ג-2023")</f>
        <v>10244</v>
      </c>
      <c r="E4953" t="s">
        <v>10244</v>
      </c>
      <c r="F4953" t="s">
        <v>10245</v>
      </c>
      <c r="G4953" t="s">
        <v>14</v>
      </c>
      <c r="H4953">
             </c>
      <c r="I4953" t="s">
        <v>14</v>
      </c>
      <c r="J4953" t="s">
        <v>242</v>
      </c>
      <c r="K4953" t="s">
        <v>14</v>
      </c>
      <c r="L4953" t="s">
        <v>20</v>
      </c>
      <c r="M4953" t="s">
        <v>10171</v>
      </c>
      <c r="N4953" t="s">
        <v>14</v>
      </c>
    </row>
    <row r="4954" x14ac:dyDescent="0.25">
      <c r="A4954" t="n">
        <v>25</v>
      </c>
      <c r="B4954" t="s">
        <v>14</v>
      </c>
      <c r="C4954" t="s">
        <v>51</v>
      </c>
      <c r="D4954" s="2" t="s">
        <f>=HYPERLINK("https://main.knesset.gov.il/APPS/legislation/main/bills/2202708", "הצעת חוק התגמולים לנפגעי פעולות איבה (תיקון - זכאות לתגמולים ולפיצויים לפי חוק אחר), התשפ""ג-2023")</f>
        <v>8638</v>
      </c>
      <c r="E4954" t="s">
        <v>8638</v>
      </c>
      <c r="F4954" t="s">
        <v>10246</v>
      </c>
      <c r="G4954" t="s">
        <v>14</v>
      </c>
      <c r="H4954">
             </c>
      <c r="I4954" t="s">
        <v>14</v>
      </c>
      <c r="J4954" t="s">
        <v>242</v>
      </c>
      <c r="K4954" t="s">
        <v>14</v>
      </c>
      <c r="L4954" t="s">
        <v>20</v>
      </c>
      <c r="M4954" t="s">
        <v>10171</v>
      </c>
      <c r="N4954" t="s">
        <v>14</v>
      </c>
    </row>
    <row r="4955" x14ac:dyDescent="0.25">
      <c r="A4955" t="n">
        <v>25</v>
      </c>
      <c r="B4955" t="s">
        <v>14</v>
      </c>
      <c r="C4955" t="s">
        <v>51</v>
      </c>
      <c r="D4955" s="2" t="s">
        <f>=HYPERLINK("https://main.knesset.gov.il/APPS/legislation/main/bills/2202595", "הצעת חוק הביטוח הלאומי (תיקון - פטור מתשלום דמי ביטוח לאומי עד גיל 21), התשפ""ג-2023")</f>
        <v>9643</v>
      </c>
      <c r="E4955" t="s">
        <v>9643</v>
      </c>
      <c r="F4955" t="s">
        <v>10247</v>
      </c>
      <c r="G4955" t="s">
        <v>14</v>
      </c>
      <c r="H4955">
             </c>
      <c r="I4955" t="s">
        <v>14</v>
      </c>
      <c r="J4955" t="s">
        <v>242</v>
      </c>
      <c r="K4955" t="s">
        <v>14</v>
      </c>
      <c r="L4955" t="s">
        <v>20</v>
      </c>
      <c r="M4955" t="s">
        <v>10171</v>
      </c>
      <c r="N4955" t="s">
        <v>14</v>
      </c>
    </row>
    <row r="4956" x14ac:dyDescent="0.25">
      <c r="A4956" t="n">
        <v>25</v>
      </c>
      <c r="B4956" t="s">
        <v>14</v>
      </c>
      <c r="C4956" t="s">
        <v>51</v>
      </c>
      <c r="D4956" s="2" t="s">
        <f>=HYPERLINK("https://main.knesset.gov.il/APPS/legislation/main/bills/2200395", "הצעת חוק שכר מינימום (תיקון - שכר אחיד לעובד צעיר), התשפ""ג-2023")</f>
        <v>10248</v>
      </c>
      <c r="E4956" t="s">
        <v>10248</v>
      </c>
      <c r="F4956" t="s">
        <v>10249</v>
      </c>
      <c r="G4956" t="s">
        <v>14</v>
      </c>
      <c r="H4956">
             </c>
      <c r="I4956" t="s">
        <v>14</v>
      </c>
      <c r="J4956" t="s">
        <v>242</v>
      </c>
      <c r="K4956" t="s">
        <v>14</v>
      </c>
      <c r="L4956" t="s">
        <v>20</v>
      </c>
      <c r="M4956" t="s">
        <v>10171</v>
      </c>
      <c r="N4956" t="s">
        <v>14</v>
      </c>
    </row>
    <row r="4957" x14ac:dyDescent="0.25">
      <c r="A4957" t="n">
        <v>25</v>
      </c>
      <c r="B4957" t="s">
        <v>14</v>
      </c>
      <c r="C4957" t="s">
        <v>51</v>
      </c>
      <c r="D4957" s="2" t="s">
        <f>=HYPERLINK("https://main.knesset.gov.il/APPS/legislation/main/bills/2202900", "הצעת חוק שוויון זכויות לאנשים עם מוגבלות (תיקון - פטור מתשלום בעד כניסת מלווה בעבור כניסה למקום שאין בו מתקנים מתאימים ובעבור תחבורה ציבורית), התשפ""ג-2023")</f>
        <v>10250</v>
      </c>
      <c r="E4957" t="s">
        <v>10250</v>
      </c>
      <c r="F4957" t="s">
        <v>10251</v>
      </c>
      <c r="G4957" t="s">
        <v>14</v>
      </c>
      <c r="H4957">
             </c>
      <c r="I4957" t="s">
        <v>14</v>
      </c>
      <c r="J4957" t="s">
        <v>242</v>
      </c>
      <c r="K4957" t="s">
        <v>14</v>
      </c>
      <c r="L4957" t="s">
        <v>20</v>
      </c>
      <c r="M4957" t="s">
        <v>10171</v>
      </c>
      <c r="N4957" t="s">
        <v>14</v>
      </c>
    </row>
    <row r="4958" x14ac:dyDescent="0.25">
      <c r="A4958" t="n">
        <v>25</v>
      </c>
      <c r="B4958" t="s">
        <v>14</v>
      </c>
      <c r="C4958" t="s">
        <v>51</v>
      </c>
      <c r="D4958" s="2" t="s">
        <f>=HYPERLINK("https://main.knesset.gov.il/APPS/legislation/main/bills/2202165", "הצעת חוק השוואת תנאי שכר לקבוצות שאסור להפלותן (תיקוני חקיקה), התשפ""ג-2023")</f>
        <v>10252</v>
      </c>
      <c r="E4958" t="s">
        <v>10252</v>
      </c>
      <c r="F4958" t="s">
        <v>10253</v>
      </c>
      <c r="G4958" t="s">
        <v>14</v>
      </c>
      <c r="H4958">
             </c>
      <c r="I4958" t="s">
        <v>14</v>
      </c>
      <c r="J4958" t="s">
        <v>242</v>
      </c>
      <c r="K4958" t="s">
        <v>14</v>
      </c>
      <c r="L4958" t="s">
        <v>20</v>
      </c>
      <c r="M4958" t="s">
        <v>10171</v>
      </c>
      <c r="N4958" t="s">
        <v>14</v>
      </c>
    </row>
    <row r="4959" x14ac:dyDescent="0.25">
      <c r="A4959" t="n">
        <v>25</v>
      </c>
      <c r="B4959" t="s">
        <v>14</v>
      </c>
      <c r="C4959" t="s">
        <v>51</v>
      </c>
      <c r="D4959" s="2" t="s">
        <f>=HYPERLINK("https://main.knesset.gov.il/APPS/legislation/main/bills/2202687", "הצעת חוק זכויות ושירותים לילדים ולבני נוער עם קשיים נפשיים, התשפ""ג-2023")</f>
        <v>10254</v>
      </c>
      <c r="E4959" t="s">
        <v>10254</v>
      </c>
      <c r="F4959" t="s">
        <v>10255</v>
      </c>
      <c r="G4959" t="s">
        <v>14</v>
      </c>
      <c r="H4959">
             </c>
      <c r="I4959" t="s">
        <v>14</v>
      </c>
      <c r="J4959" t="s">
        <v>242</v>
      </c>
      <c r="K4959" t="s">
        <v>14</v>
      </c>
      <c r="L4959" t="s">
        <v>20</v>
      </c>
      <c r="M4959" t="s">
        <v>10171</v>
      </c>
      <c r="N4959" t="s">
        <v>14</v>
      </c>
    </row>
    <row r="4960" x14ac:dyDescent="0.25">
      <c r="A4960" t="n">
        <v>25</v>
      </c>
      <c r="B4960" t="s">
        <v>14</v>
      </c>
      <c r="C4960" t="s">
        <v>51</v>
      </c>
      <c r="D4960" s="2" t="s">
        <f>=HYPERLINK("https://main.knesset.gov.il/APPS/legislation/main/bills/2201177", "הצעת חוק הגנת השכר (תיקון - איסור ניכוי חוב או קנס), התשפ""ג-2023")</f>
        <v>1888</v>
      </c>
      <c r="E4960" t="s">
        <v>1888</v>
      </c>
      <c r="F4960" t="s">
        <v>10256</v>
      </c>
      <c r="G4960" t="s">
        <v>14</v>
      </c>
      <c r="H4960">
             </c>
      <c r="I4960" t="s">
        <v>14</v>
      </c>
      <c r="J4960" t="s">
        <v>242</v>
      </c>
      <c r="K4960" t="s">
        <v>14</v>
      </c>
      <c r="L4960" t="s">
        <v>20</v>
      </c>
      <c r="M4960" t="s">
        <v>10171</v>
      </c>
      <c r="N4960" t="s">
        <v>14</v>
      </c>
    </row>
    <row r="4961" x14ac:dyDescent="0.25">
      <c r="A4961" t="n">
        <v>25</v>
      </c>
      <c r="B4961" t="s">
        <v>14</v>
      </c>
      <c r="C4961" t="s">
        <v>51</v>
      </c>
      <c r="D4961" s="2" t="s">
        <f>=HYPERLINK("https://main.knesset.gov.il/APPS/legislation/main/bills/2202835", "הצעת חוק עובדים זרים (תיקון - הפחתת אגרה לעובדים בענף המלונאות), התשפ""ג-2023")</f>
        <v>8889</v>
      </c>
      <c r="E4961" t="s">
        <v>8889</v>
      </c>
      <c r="F4961" t="s">
        <v>10257</v>
      </c>
      <c r="G4961" t="s">
        <v>14</v>
      </c>
      <c r="H4961">
             </c>
      <c r="I4961" t="s">
        <v>14</v>
      </c>
      <c r="J4961" t="s">
        <v>242</v>
      </c>
      <c r="K4961" t="s">
        <v>14</v>
      </c>
      <c r="L4961" t="s">
        <v>20</v>
      </c>
      <c r="M4961" t="s">
        <v>10171</v>
      </c>
      <c r="N4961" t="s">
        <v>14</v>
      </c>
    </row>
    <row r="4962" x14ac:dyDescent="0.25">
      <c r="A4962" t="n">
        <v>25</v>
      </c>
      <c r="B4962" t="s">
        <v>14</v>
      </c>
      <c r="C4962" t="s">
        <v>51</v>
      </c>
      <c r="D4962" s="2" t="s">
        <f>=HYPERLINK("https://main.knesset.gov.il/APPS/legislation/main/bills/2202243", "הצעת חוק הנוער (טיפול והשגחה) (תיקון - טיפול בבריחה ממשמורת), התשפ""ג-2023")</f>
        <v>10258</v>
      </c>
      <c r="E4962" t="s">
        <v>10258</v>
      </c>
      <c r="F4962" t="s">
        <v>10259</v>
      </c>
      <c r="G4962" t="s">
        <v>14</v>
      </c>
      <c r="H4962">
             </c>
      <c r="I4962" t="s">
        <v>14</v>
      </c>
      <c r="J4962" t="s">
        <v>242</v>
      </c>
      <c r="K4962" t="s">
        <v>14</v>
      </c>
      <c r="L4962" t="s">
        <v>20</v>
      </c>
      <c r="M4962" t="s">
        <v>10171</v>
      </c>
      <c r="N4962" t="s">
        <v>14</v>
      </c>
    </row>
    <row r="4963" x14ac:dyDescent="0.25">
      <c r="A4963" t="n">
        <v>25</v>
      </c>
      <c r="B4963" t="s">
        <v>14</v>
      </c>
      <c r="C4963" t="s">
        <v>51</v>
      </c>
      <c r="D4963" s="2" t="s">
        <f>=HYPERLINK("https://main.knesset.gov.il/APPS/legislation/main/bills/2200731", "הצעת חוק דמי הבראה, התשפ""ג-2023")</f>
        <v>10260</v>
      </c>
      <c r="E4963" t="s">
        <v>10260</v>
      </c>
      <c r="F4963" t="s">
        <v>10261</v>
      </c>
      <c r="G4963" t="s">
        <v>14</v>
      </c>
      <c r="H4963">
             </c>
      <c r="I4963" t="s">
        <v>14</v>
      </c>
      <c r="J4963" t="s">
        <v>242</v>
      </c>
      <c r="K4963" t="s">
        <v>14</v>
      </c>
      <c r="L4963" t="s">
        <v>20</v>
      </c>
      <c r="M4963" t="s">
        <v>10171</v>
      </c>
      <c r="N4963" t="s">
        <v>14</v>
      </c>
    </row>
    <row r="4964" x14ac:dyDescent="0.25">
      <c r="A4964" t="n">
        <v>25</v>
      </c>
      <c r="B4964" t="s">
        <v>14</v>
      </c>
      <c r="C4964" t="s">
        <v>51</v>
      </c>
      <c r="D4964" s="2" t="s">
        <f>=HYPERLINK("https://main.knesset.gov.il/APPS/legislation/main/bills/2200782", "הצעת חוק הביטוח הלאומי (תיקון - דמי אבטלה לעצמאים), התשפ""ג-2023")</f>
        <v>9590</v>
      </c>
      <c r="E4964" t="s">
        <v>9590</v>
      </c>
      <c r="F4964" t="s">
        <v>10262</v>
      </c>
      <c r="G4964" t="s">
        <v>14</v>
      </c>
      <c r="H4964">
             </c>
      <c r="I4964" t="s">
        <v>14</v>
      </c>
      <c r="J4964" t="s">
        <v>242</v>
      </c>
      <c r="K4964" t="s">
        <v>14</v>
      </c>
      <c r="L4964" t="s">
        <v>20</v>
      </c>
      <c r="M4964" t="s">
        <v>10171</v>
      </c>
      <c r="N4964" t="s">
        <v>14</v>
      </c>
    </row>
    <row r="4965" x14ac:dyDescent="0.25">
      <c r="A4965" t="n">
        <v>25</v>
      </c>
      <c r="B4965" t="s">
        <v>14</v>
      </c>
      <c r="C4965" t="s">
        <v>51</v>
      </c>
      <c r="D4965" s="2" t="s">
        <f>=HYPERLINK("https://main.knesset.gov.il/APPS/legislation/main/bills/2202874", "הצעת חוק סדר הדין הפלילי (סמכויות אכיפה - מעצרים) (תיקון - החמרת תנאי שחרור בערובה), התשפ""ג-2023")</f>
        <v>10263</v>
      </c>
      <c r="E4965" t="s">
        <v>10263</v>
      </c>
      <c r="F4965" t="s">
        <v>10264</v>
      </c>
      <c r="G4965" t="s">
        <v>14</v>
      </c>
      <c r="H4965">
             </c>
      <c r="I4965" t="s">
        <v>14</v>
      </c>
      <c r="J4965" t="s">
        <v>242</v>
      </c>
      <c r="K4965" t="s">
        <v>14</v>
      </c>
      <c r="L4965" t="s">
        <v>20</v>
      </c>
      <c r="M4965" t="s">
        <v>10171</v>
      </c>
      <c r="N4965" t="s">
        <v>14</v>
      </c>
    </row>
    <row r="4966" x14ac:dyDescent="0.25">
      <c r="A4966" t="n">
        <v>25</v>
      </c>
      <c r="B4966" t="s">
        <v>14</v>
      </c>
      <c r="C4966" t="s">
        <v>51</v>
      </c>
      <c r="D4966" s="2" t="s">
        <f>=HYPERLINK("https://main.knesset.gov.il/APPS/legislation/main/bills/2203051", "הצעת חוק סדר הדין הפלילי (תיקון - מועד תשלום הקנס), התשפ""ג-2023")</f>
        <v>10265</v>
      </c>
      <c r="E4966" t="s">
        <v>10265</v>
      </c>
      <c r="F4966" t="s">
        <v>10266</v>
      </c>
      <c r="G4966" t="s">
        <v>14</v>
      </c>
      <c r="H4966">
             </c>
      <c r="I4966" t="s">
        <v>14</v>
      </c>
      <c r="J4966" t="s">
        <v>242</v>
      </c>
      <c r="K4966" t="s">
        <v>14</v>
      </c>
      <c r="L4966" t="s">
        <v>20</v>
      </c>
      <c r="M4966" t="s">
        <v>10171</v>
      </c>
      <c r="N4966" t="s">
        <v>14</v>
      </c>
    </row>
    <row r="4967" x14ac:dyDescent="0.25">
      <c r="A4967" t="n">
        <v>25</v>
      </c>
      <c r="B4967" t="s">
        <v>14</v>
      </c>
      <c r="C4967" t="s">
        <v>51</v>
      </c>
      <c r="D4967" s="2" t="s">
        <f>=HYPERLINK("https://main.knesset.gov.il/APPS/legislation/main/bills/2198313", "הצעת חוק החברות הממשלתיות (תיקון - ייצוג הולם בתאגידים ממשלתיים וגופים סטטוטוריים), התשפ""ג-2023")</f>
        <v>10267</v>
      </c>
      <c r="E4967" t="s">
        <v>10267</v>
      </c>
      <c r="F4967" t="s">
        <v>10268</v>
      </c>
      <c r="G4967" t="s">
        <v>14</v>
      </c>
      <c r="H4967">
             </c>
      <c r="I4967" t="s">
        <v>14</v>
      </c>
      <c r="J4967" t="s">
        <v>242</v>
      </c>
      <c r="K4967" t="s">
        <v>14</v>
      </c>
      <c r="L4967" t="s">
        <v>20</v>
      </c>
      <c r="M4967" t="s">
        <v>10171</v>
      </c>
      <c r="N4967" t="s">
        <v>14</v>
      </c>
    </row>
    <row r="4968" x14ac:dyDescent="0.25">
      <c r="A4968" t="n">
        <v>25</v>
      </c>
      <c r="B4968" t="s">
        <v>14</v>
      </c>
      <c r="C4968" t="s">
        <v>51</v>
      </c>
      <c r="D4968" s="2" t="s">
        <f>=HYPERLINK("https://main.knesset.gov.il/APPS/legislation/main/bills/2203066", "הצעת חוק העונשין (תיקון - ביטול עבירת השוטטות), התשפ""ג-2023")</f>
        <v>10269</v>
      </c>
      <c r="E4968" t="s">
        <v>10269</v>
      </c>
      <c r="F4968" t="s">
        <v>10270</v>
      </c>
      <c r="G4968" t="s">
        <v>14</v>
      </c>
      <c r="H4968">
             </c>
      <c r="I4968" t="s">
        <v>14</v>
      </c>
      <c r="J4968" t="s">
        <v>242</v>
      </c>
      <c r="K4968" t="s">
        <v>14</v>
      </c>
      <c r="L4968" t="s">
        <v>20</v>
      </c>
      <c r="M4968" t="s">
        <v>10171</v>
      </c>
      <c r="N4968" t="s">
        <v>14</v>
      </c>
    </row>
    <row r="4969" x14ac:dyDescent="0.25">
      <c r="A4969" t="n">
        <v>25</v>
      </c>
      <c r="B4969" t="s">
        <v>14</v>
      </c>
      <c r="C4969" t="s">
        <v>51</v>
      </c>
      <c r="D4969" s="2" t="s">
        <f>=HYPERLINK("https://main.knesset.gov.il/APPS/legislation/main/bills/2203065", "הצעת חוק העונשין (תיקון - תקיפת עורך דין כתקיפת עובד ציבור), התשפ""ג-2023")</f>
        <v>8811</v>
      </c>
      <c r="E4969" t="s">
        <v>8811</v>
      </c>
      <c r="F4969" t="s">
        <v>10271</v>
      </c>
      <c r="G4969" t="s">
        <v>14</v>
      </c>
      <c r="H4969">
             </c>
      <c r="I4969" t="s">
        <v>14</v>
      </c>
      <c r="J4969" t="s">
        <v>242</v>
      </c>
      <c r="K4969" t="s">
        <v>14</v>
      </c>
      <c r="L4969" t="s">
        <v>20</v>
      </c>
      <c r="M4969" t="s">
        <v>10171</v>
      </c>
      <c r="N4969" t="s">
        <v>14</v>
      </c>
    </row>
    <row r="4970" x14ac:dyDescent="0.25">
      <c r="A4970" t="n">
        <v>25</v>
      </c>
      <c r="B4970" t="s">
        <v>14</v>
      </c>
      <c r="C4970" t="s">
        <v>51</v>
      </c>
      <c r="D4970" s="2" t="s">
        <f>=HYPERLINK("https://main.knesset.gov.il/APPS/legislation/main/bills/2202789", "הצעת חוק הגנת הצרכן (תיקון - שינוי פרטים בכרטיס טיסה או בכרטיס לשיט), התשפ""ג-2023")</f>
        <v>9858</v>
      </c>
      <c r="E4970" t="s">
        <v>9858</v>
      </c>
      <c r="F4970" t="s">
        <v>10272</v>
      </c>
      <c r="G4970" t="s">
        <v>14</v>
      </c>
      <c r="H4970">
             </c>
      <c r="I4970" t="s">
        <v>14</v>
      </c>
      <c r="J4970" t="s">
        <v>242</v>
      </c>
      <c r="K4970" t="s">
        <v>14</v>
      </c>
      <c r="L4970" t="s">
        <v>20</v>
      </c>
      <c r="M4970" t="s">
        <v>10171</v>
      </c>
      <c r="N4970" t="s">
        <v>14</v>
      </c>
    </row>
    <row r="4971" x14ac:dyDescent="0.25">
      <c r="A4971" t="n">
        <v>25</v>
      </c>
      <c r="B4971" t="s">
        <v>14</v>
      </c>
      <c r="C4971" t="s">
        <v>51</v>
      </c>
      <c r="D4971" s="2" t="s">
        <f>=HYPERLINK("https://main.knesset.gov.il/APPS/legislation/main/bills/2202597", "הצעת חוק הגנת הצרכן (תיקון - שינוי פרטים בכרטיס טיסה או בכרטיס לשיט), התשפ""ג-2023")</f>
        <v>9858</v>
      </c>
      <c r="E4971" t="s">
        <v>9858</v>
      </c>
      <c r="F4971" t="s">
        <v>10273</v>
      </c>
      <c r="G4971" t="s">
        <v>14</v>
      </c>
      <c r="H4971">
             </c>
      <c r="I4971" t="s">
        <v>14</v>
      </c>
      <c r="J4971" t="s">
        <v>242</v>
      </c>
      <c r="K4971" t="s">
        <v>14</v>
      </c>
      <c r="L4971" t="s">
        <v>20</v>
      </c>
      <c r="M4971" t="s">
        <v>10171</v>
      </c>
      <c r="N4971" t="s">
        <v>14</v>
      </c>
    </row>
    <row r="4972" x14ac:dyDescent="0.25">
      <c r="A4972" t="n">
        <v>25</v>
      </c>
      <c r="B4972" t="s">
        <v>14</v>
      </c>
      <c r="C4972" t="s">
        <v>51</v>
      </c>
      <c r="D4972" s="2" t="s">
        <f>=HYPERLINK("https://main.knesset.gov.il/APPS/legislation/main/bills/2202667", "הצעת חוק חסינות חברי הכנסת, זכויותיהם וחובותיהם (תיקון - חסינות בפני דין פלילי), התשפ""ג-2023")</f>
        <v>10274</v>
      </c>
      <c r="E4972" t="s">
        <v>10274</v>
      </c>
      <c r="F4972" t="s">
        <v>10275</v>
      </c>
      <c r="G4972" t="s">
        <v>14</v>
      </c>
      <c r="H4972">
             </c>
      <c r="I4972" t="s">
        <v>14</v>
      </c>
      <c r="J4972" t="s">
        <v>242</v>
      </c>
      <c r="K4972" t="s">
        <v>14</v>
      </c>
      <c r="L4972" t="s">
        <v>20</v>
      </c>
      <c r="M4972" t="s">
        <v>10171</v>
      </c>
      <c r="N4972" t="s">
        <v>14</v>
      </c>
    </row>
    <row r="4973" x14ac:dyDescent="0.25">
      <c r="A4973" t="n">
        <v>25</v>
      </c>
      <c r="B4973" t="s">
        <v>14</v>
      </c>
      <c r="C4973" t="s">
        <v>51</v>
      </c>
      <c r="D4973" s="2" t="s">
        <f>=HYPERLINK("https://main.knesset.gov.il/APPS/legislation/main/bills/2202281", "הצעת חוק עידוד מעורבות סטודנטים בפעילות חברתית וקהילתית (תיקון - הקלות למשרתי מילואים), התשפ""ג-2023")</f>
        <v>10276</v>
      </c>
      <c r="E4973" t="s">
        <v>10276</v>
      </c>
      <c r="F4973" t="s">
        <v>10277</v>
      </c>
      <c r="G4973" t="s">
        <v>14</v>
      </c>
      <c r="H4973">
             </c>
      <c r="I4973" t="s">
        <v>14</v>
      </c>
      <c r="J4973" t="s">
        <v>242</v>
      </c>
      <c r="K4973" t="s">
        <v>14</v>
      </c>
      <c r="L4973" t="s">
        <v>20</v>
      </c>
      <c r="M4973" t="s">
        <v>10171</v>
      </c>
      <c r="N4973" t="s">
        <v>14</v>
      </c>
    </row>
    <row r="4974" x14ac:dyDescent="0.25">
      <c r="A4974" t="n">
        <v>25</v>
      </c>
      <c r="B4974" t="s">
        <v>14</v>
      </c>
      <c r="C4974" t="s">
        <v>51</v>
      </c>
      <c r="D4974" s="2" t="s">
        <f>=HYPERLINK("https://main.knesset.gov.il/APPS/legislation/main/bills/2202183", "הצעת חוק הביטוח הלאומי (תיקון - הגדלת סכום קצבאות הילדים), התשפ""ג-2023")</f>
        <v>9884</v>
      </c>
      <c r="E4974" t="s">
        <v>9884</v>
      </c>
      <c r="F4974" t="s">
        <v>10278</v>
      </c>
      <c r="G4974" t="s">
        <v>14</v>
      </c>
      <c r="H4974">
             </c>
      <c r="I4974" t="s">
        <v>14</v>
      </c>
      <c r="J4974" t="s">
        <v>242</v>
      </c>
      <c r="K4974" t="s">
        <v>14</v>
      </c>
      <c r="L4974" t="s">
        <v>20</v>
      </c>
      <c r="M4974" t="s">
        <v>10171</v>
      </c>
      <c r="N4974" t="s">
        <v>14</v>
      </c>
    </row>
    <row r="4975" x14ac:dyDescent="0.25">
      <c r="A4975" t="n">
        <v>25</v>
      </c>
      <c r="B4975" t="s">
        <v>14</v>
      </c>
      <c r="C4975" t="s">
        <v>51</v>
      </c>
      <c r="D4975" s="2" t="s">
        <f>=HYPERLINK("https://main.knesset.gov.il/APPS/legislation/main/bills/2199528", "הצעת חוק הביטוח הלאומי (תיקון - העלאת קצבת אזרח ותיק), התשפ""ג-2023")</f>
        <v>10279</v>
      </c>
      <c r="E4975" t="s">
        <v>10279</v>
      </c>
      <c r="F4975" t="s">
        <v>10280</v>
      </c>
      <c r="G4975" t="s">
        <v>14</v>
      </c>
      <c r="H4975">
             </c>
      <c r="I4975" t="s">
        <v>14</v>
      </c>
      <c r="J4975" t="s">
        <v>242</v>
      </c>
      <c r="K4975" t="s">
        <v>14</v>
      </c>
      <c r="L4975" t="s">
        <v>20</v>
      </c>
      <c r="M4975" t="s">
        <v>10171</v>
      </c>
      <c r="N4975" t="s">
        <v>14</v>
      </c>
    </row>
    <row r="4976" x14ac:dyDescent="0.25">
      <c r="A4976" t="n">
        <v>25</v>
      </c>
      <c r="B4976" t="s">
        <v>14</v>
      </c>
      <c r="C4976" t="s">
        <v>51</v>
      </c>
      <c r="D4976" s="2" t="s">
        <f>=HYPERLINK("https://main.knesset.gov.il/APPS/legislation/main/bills/2201850", "הצעת חוק הביטוח הלאומי (תיקון - הוראות לעניין עקרת בית), התשפ""ג-2023")</f>
        <v>10281</v>
      </c>
      <c r="E4976" t="s">
        <v>10281</v>
      </c>
      <c r="F4976" t="s">
        <v>10282</v>
      </c>
      <c r="G4976" t="s">
        <v>14</v>
      </c>
      <c r="H4976">
             </c>
      <c r="I4976" t="s">
        <v>14</v>
      </c>
      <c r="J4976" t="s">
        <v>242</v>
      </c>
      <c r="K4976" t="s">
        <v>14</v>
      </c>
      <c r="L4976" t="s">
        <v>20</v>
      </c>
      <c r="M4976" t="s">
        <v>10171</v>
      </c>
      <c r="N4976" t="s">
        <v>14</v>
      </c>
    </row>
    <row r="4977" x14ac:dyDescent="0.25">
      <c r="A4977" t="n">
        <v>25</v>
      </c>
      <c r="B4977" t="s">
        <v>14</v>
      </c>
      <c r="C4977" t="s">
        <v>51</v>
      </c>
      <c r="D4977" s="2" t="s">
        <f>=HYPERLINK("https://main.knesset.gov.il/APPS/legislation/main/bills/2202155", "הצעת חוק חינוך ממלכתי (תיקון - חובת לימוד עברית וערבית במוסדות חינוך תיכוניים), התשפ""ג-2023")</f>
        <v>10283</v>
      </c>
      <c r="E4977" t="s">
        <v>10283</v>
      </c>
      <c r="F4977" t="s">
        <v>10284</v>
      </c>
      <c r="G4977" t="s">
        <v>14</v>
      </c>
      <c r="H4977">
             </c>
      <c r="I4977" t="s">
        <v>14</v>
      </c>
      <c r="J4977" t="s">
        <v>242</v>
      </c>
      <c r="K4977" t="s">
        <v>14</v>
      </c>
      <c r="L4977" t="s">
        <v>20</v>
      </c>
      <c r="M4977" t="s">
        <v>10171</v>
      </c>
      <c r="N4977" t="s">
        <v>14</v>
      </c>
    </row>
    <row r="4978" x14ac:dyDescent="0.25">
      <c r="A4978" t="n">
        <v>25</v>
      </c>
      <c r="B4978" t="s">
        <v>14</v>
      </c>
      <c r="C4978" t="s">
        <v>51</v>
      </c>
      <c r="D4978" s="2" t="s">
        <f>=HYPERLINK("https://main.knesset.gov.il/APPS/legislation/main/bills/2201852", "הצעת חוק ביטוח בריאות ממלכתי (תיקון - החזר עבור פינוי באמבולנס), התשפ""ג-2023")</f>
        <v>9796</v>
      </c>
      <c r="E4978" t="s">
        <v>9796</v>
      </c>
      <c r="F4978" t="s">
        <v>10285</v>
      </c>
      <c r="G4978" t="s">
        <v>14</v>
      </c>
      <c r="H4978">
             </c>
      <c r="I4978" t="s">
        <v>14</v>
      </c>
      <c r="J4978" t="s">
        <v>242</v>
      </c>
      <c r="K4978" t="s">
        <v>14</v>
      </c>
      <c r="L4978" t="s">
        <v>20</v>
      </c>
      <c r="M4978" t="s">
        <v>10171</v>
      </c>
      <c r="N4978" t="s">
        <v>14</v>
      </c>
    </row>
    <row r="4979" x14ac:dyDescent="0.25">
      <c r="A4979" t="n">
        <v>25</v>
      </c>
      <c r="B4979" t="s">
        <v>14</v>
      </c>
      <c r="C4979" t="s">
        <v>51</v>
      </c>
      <c r="D4979" s="2" t="s">
        <f>=HYPERLINK("https://main.knesset.gov.il/APPS/legislation/main/bills/2200561", "הצעת חוק חינוך ממלכתי (תיקון - לימוד מורשת יהודי ברית המועצות לשעבר), התשפ""ג-2023")</f>
        <v>2255</v>
      </c>
      <c r="E4979" t="s">
        <v>2255</v>
      </c>
      <c r="F4979" t="s">
        <v>10286</v>
      </c>
      <c r="G4979" t="s">
        <v>14</v>
      </c>
      <c r="H4979">
             </c>
      <c r="I4979" t="s">
        <v>14</v>
      </c>
      <c r="J4979" t="s">
        <v>242</v>
      </c>
      <c r="K4979" t="s">
        <v>14</v>
      </c>
      <c r="L4979" t="s">
        <v>20</v>
      </c>
      <c r="M4979" t="s">
        <v>10171</v>
      </c>
      <c r="N4979" t="s">
        <v>14</v>
      </c>
    </row>
    <row r="4980" x14ac:dyDescent="0.25">
      <c r="A4980" t="n">
        <v>25</v>
      </c>
      <c r="B4980" t="s">
        <v>14</v>
      </c>
      <c r="C4980" t="s">
        <v>51</v>
      </c>
      <c r="D4980" s="2" t="s">
        <f>=HYPERLINK("https://main.knesset.gov.il/APPS/legislation/main/bills/2202882", "הצעת חוק להגבלת שכר טרחת כונסי נכסים (תיקוני חקיקה), התשפ""ג-2023")</f>
        <v>10287</v>
      </c>
      <c r="E4980" t="s">
        <v>10287</v>
      </c>
      <c r="F4980" t="s">
        <v>10288</v>
      </c>
      <c r="G4980" t="s">
        <v>14</v>
      </c>
      <c r="H4980">
             </c>
      <c r="I4980" t="s">
        <v>14</v>
      </c>
      <c r="J4980" t="s">
        <v>242</v>
      </c>
      <c r="K4980" t="s">
        <v>14</v>
      </c>
      <c r="L4980" t="s">
        <v>20</v>
      </c>
      <c r="M4980" t="s">
        <v>10171</v>
      </c>
      <c r="N4980" t="s">
        <v>14</v>
      </c>
    </row>
    <row r="4981" x14ac:dyDescent="0.25">
      <c r="A4981" t="n">
        <v>25</v>
      </c>
      <c r="B4981" t="s">
        <v>14</v>
      </c>
      <c r="C4981" t="s">
        <v>51</v>
      </c>
      <c r="D4981" s="2" t="s">
        <f>=HYPERLINK("https://main.knesset.gov.il/APPS/legislation/main/bills/2202839", "הצעת חוק הנגשת שירותי קבלת קהל הניתנים בגופי שלטון לשפות נוספות, התשפ""ג-2023")</f>
        <v>9800</v>
      </c>
      <c r="E4981" t="s">
        <v>9800</v>
      </c>
      <c r="F4981" t="s">
        <v>10289</v>
      </c>
      <c r="G4981" t="s">
        <v>14</v>
      </c>
      <c r="H4981">
             </c>
      <c r="I4981" t="s">
        <v>14</v>
      </c>
      <c r="J4981" t="s">
        <v>242</v>
      </c>
      <c r="K4981" t="s">
        <v>14</v>
      </c>
      <c r="L4981" t="s">
        <v>20</v>
      </c>
      <c r="M4981" t="s">
        <v>10171</v>
      </c>
      <c r="N4981" t="s">
        <v>14</v>
      </c>
    </row>
    <row r="4982" x14ac:dyDescent="0.25">
      <c r="A4982" t="n">
        <v>25</v>
      </c>
      <c r="B4982" t="s">
        <v>14</v>
      </c>
      <c r="C4982" t="s">
        <v>51</v>
      </c>
      <c r="D4982" s="2" t="s">
        <f>=HYPERLINK("https://main.knesset.gov.il/APPS/legislation/main/bills/2200682", "הצעת חוק ההוצאה לפועל (תיקון - הגבלת סכום עיקול בידי צד שלישי שהוא תאגיד בנקאי), התשפ""ג-2023")</f>
        <v>10290</v>
      </c>
      <c r="E4982" t="s">
        <v>10290</v>
      </c>
      <c r="F4982" t="s">
        <v>10291</v>
      </c>
      <c r="G4982" t="s">
        <v>14</v>
      </c>
      <c r="H4982">
             </c>
      <c r="I4982" t="s">
        <v>14</v>
      </c>
      <c r="J4982" t="s">
        <v>242</v>
      </c>
      <c r="K4982" t="s">
        <v>14</v>
      </c>
      <c r="L4982" t="s">
        <v>20</v>
      </c>
      <c r="M4982" t="s">
        <v>10171</v>
      </c>
      <c r="N4982" t="s">
        <v>14</v>
      </c>
    </row>
    <row r="4983" x14ac:dyDescent="0.25">
      <c r="A4983" t="n">
        <v>25</v>
      </c>
      <c r="B4983" t="s">
        <v>14</v>
      </c>
      <c r="C4983" t="s">
        <v>51</v>
      </c>
      <c r="D4983" s="2" t="s">
        <f>=HYPERLINK("https://main.knesset.gov.il/APPS/legislation/main/bills/2201041", "הצעת חוק עוסק זעיר, התשפ""ג-2023")</f>
        <v>10043</v>
      </c>
      <c r="E4983" t="s">
        <v>10043</v>
      </c>
      <c r="F4983" t="s">
        <v>10292</v>
      </c>
      <c r="G4983" t="s">
        <v>14</v>
      </c>
      <c r="H4983">
             </c>
      <c r="I4983" t="s">
        <v>14</v>
      </c>
      <c r="J4983" t="s">
        <v>242</v>
      </c>
      <c r="K4983" t="s">
        <v>14</v>
      </c>
      <c r="L4983" t="s">
        <v>20</v>
      </c>
      <c r="M4983" t="s">
        <v>10171</v>
      </c>
      <c r="N4983" t="s">
        <v>14</v>
      </c>
    </row>
    <row r="4984" x14ac:dyDescent="0.25">
      <c r="A4984" t="n">
        <v>25</v>
      </c>
      <c r="B4984" t="s">
        <v>14</v>
      </c>
      <c r="C4984" t="s">
        <v>51</v>
      </c>
      <c r="D4984" s="2" t="s">
        <f>=HYPERLINK("https://main.knesset.gov.il/APPS/legislation/main/bills/2202852", "הצעת חוק העונשין (תיקון - החמרת ענישה בשל תקיפת צוות רפואי), התשפ""ג-2023")</f>
        <v>6344</v>
      </c>
      <c r="E4984" t="s">
        <v>6344</v>
      </c>
      <c r="F4984" t="s">
        <v>10293</v>
      </c>
      <c r="G4984" t="s">
        <v>14</v>
      </c>
      <c r="H4984">
             </c>
      <c r="I4984" t="s">
        <v>14</v>
      </c>
      <c r="J4984" t="s">
        <v>242</v>
      </c>
      <c r="K4984" t="s">
        <v>14</v>
      </c>
      <c r="L4984" t="s">
        <v>20</v>
      </c>
      <c r="M4984" t="s">
        <v>10171</v>
      </c>
      <c r="N4984" t="s">
        <v>14</v>
      </c>
    </row>
    <row r="4985" x14ac:dyDescent="0.25">
      <c r="A4985" t="n">
        <v>25</v>
      </c>
      <c r="B4985" t="s">
        <v>14</v>
      </c>
      <c r="C4985" t="s">
        <v>51</v>
      </c>
      <c r="D4985" s="2" t="s">
        <f>=HYPERLINK("https://main.knesset.gov.il/APPS/legislation/main/bills/2202698", "הצעת חוק לתיקון פקודת המסים (גבייה) (תנאים למתן כתב הרשאה וצו עיקול), התשפ""ג-2023")</f>
        <v>9341</v>
      </c>
      <c r="E4985" t="s">
        <v>9341</v>
      </c>
      <c r="F4985" t="s">
        <v>10294</v>
      </c>
      <c r="G4985" t="s">
        <v>14</v>
      </c>
      <c r="H4985">
             </c>
      <c r="I4985" t="s">
        <v>14</v>
      </c>
      <c r="J4985" t="s">
        <v>202</v>
      </c>
      <c r="K4985" t="s">
        <v>14</v>
      </c>
      <c r="L4985" t="s">
        <v>20</v>
      </c>
      <c r="M4985" t="s">
        <v>10171</v>
      </c>
      <c r="N4985" t="s">
        <v>14</v>
      </c>
    </row>
    <row r="4986" x14ac:dyDescent="0.25">
      <c r="A4986" t="n">
        <v>25</v>
      </c>
      <c r="B4986" t="s">
        <v>14</v>
      </c>
      <c r="C4986" t="s">
        <v>51</v>
      </c>
      <c r="D4986" s="2" t="s">
        <f>=HYPERLINK("https://main.knesset.gov.il/APPS/legislation/main/bills/2200730", "הצעת חוק דמי מחלה (היעדרות בשל מחלת ילד) (תיקון - היעדרות בעקבות פגיעה בעבירת מין או אלימות חמורה), התשפ""ג-2023")</f>
        <v>8227</v>
      </c>
      <c r="E4986" t="s">
        <v>8227</v>
      </c>
      <c r="F4986" t="s">
        <v>10295</v>
      </c>
      <c r="G4986" t="s">
        <v>14</v>
      </c>
      <c r="H4986">
             </c>
      <c r="I4986" t="s">
        <v>14</v>
      </c>
      <c r="J4986" t="s">
        <v>242</v>
      </c>
      <c r="K4986" t="s">
        <v>14</v>
      </c>
      <c r="L4986" t="s">
        <v>20</v>
      </c>
      <c r="M4986" t="s">
        <v>10171</v>
      </c>
      <c r="N4986" t="s">
        <v>14</v>
      </c>
    </row>
    <row r="4987" x14ac:dyDescent="0.25">
      <c r="A4987" t="n">
        <v>25</v>
      </c>
      <c r="B4987" t="s">
        <v>14</v>
      </c>
      <c r="C4987" t="s">
        <v>51</v>
      </c>
      <c r="D4987" s="2" t="s">
        <f>=HYPERLINK("https://main.knesset.gov.il/APPS/legislation/main/bills/2200729", "הצעת חוק שוויון ההזדמנויות בעבודה (תיקון - עצמאות נציבות שוויון הזדמנויות בעבודה), התשפ""ג-2023")</f>
        <v>10296</v>
      </c>
      <c r="E4987" t="s">
        <v>10296</v>
      </c>
      <c r="F4987" t="s">
        <v>10297</v>
      </c>
      <c r="G4987" t="s">
        <v>14</v>
      </c>
      <c r="H4987">
             </c>
      <c r="I4987" t="s">
        <v>14</v>
      </c>
      <c r="J4987" t="s">
        <v>242</v>
      </c>
      <c r="K4987" t="s">
        <v>14</v>
      </c>
      <c r="L4987" t="s">
        <v>20</v>
      </c>
      <c r="M4987" t="s">
        <v>10171</v>
      </c>
      <c r="N4987" t="s">
        <v>14</v>
      </c>
    </row>
    <row r="4988" x14ac:dyDescent="0.25">
      <c r="A4988" t="n">
        <v>25</v>
      </c>
      <c r="B4988" t="s">
        <v>14</v>
      </c>
      <c r="C4988" t="s">
        <v>51</v>
      </c>
      <c r="D4988" s="2" t="s">
        <f>=HYPERLINK("https://main.knesset.gov.il/APPS/legislation/main/bills/2200398", "הצעת חוק דמי מחלה עבור מלווה בן משפחה לבדיקה רפואית (תיקוני חקיקה), התשפ""ג-2023")</f>
        <v>10298</v>
      </c>
      <c r="E4988" t="s">
        <v>10298</v>
      </c>
      <c r="F4988" t="s">
        <v>10299</v>
      </c>
      <c r="G4988" t="s">
        <v>14</v>
      </c>
      <c r="H4988">
             </c>
      <c r="I4988" t="s">
        <v>14</v>
      </c>
      <c r="J4988" t="s">
        <v>242</v>
      </c>
      <c r="K4988" t="s">
        <v>14</v>
      </c>
      <c r="L4988" t="s">
        <v>20</v>
      </c>
      <c r="M4988" t="s">
        <v>10171</v>
      </c>
      <c r="N4988" t="s">
        <v>14</v>
      </c>
    </row>
    <row r="4989" x14ac:dyDescent="0.25">
      <c r="A4989" t="n">
        <v>25</v>
      </c>
      <c r="B4989" t="s">
        <v>14</v>
      </c>
      <c r="C4989" t="s">
        <v>51</v>
      </c>
      <c r="D4989" s="2" t="s">
        <f>=HYPERLINK("https://main.knesset.gov.il/APPS/legislation/main/bills/2202685", "הצעת חוק חניה לנכים (תיקון - תג נכה אישי), התשפ""ג-2023")</f>
        <v>10300</v>
      </c>
      <c r="E4989" t="s">
        <v>10300</v>
      </c>
      <c r="F4989" t="s">
        <v>10301</v>
      </c>
      <c r="G4989" t="s">
        <v>14</v>
      </c>
      <c r="H4989">
             </c>
      <c r="I4989" t="s">
        <v>14</v>
      </c>
      <c r="J4989" t="s">
        <v>242</v>
      </c>
      <c r="K4989" t="s">
        <v>14</v>
      </c>
      <c r="L4989" t="s">
        <v>20</v>
      </c>
      <c r="M4989" t="s">
        <v>10171</v>
      </c>
      <c r="N4989" t="s">
        <v>14</v>
      </c>
    </row>
    <row r="4990" x14ac:dyDescent="0.25">
      <c r="A4990" t="n">
        <v>25</v>
      </c>
      <c r="B4990" t="s">
        <v>14</v>
      </c>
      <c r="C4990" t="s">
        <v>51</v>
      </c>
      <c r="D4990" s="2" t="s">
        <f>=HYPERLINK("https://main.knesset.gov.il/APPS/legislation/main/bills/2202277", "הצעת חוק לעידוד השקעות הון (תיקון - עידוד חברות ממשלתיות הפועלות בסביבה בין-לאומית תחרותית), התשפ""ג-2023")</f>
        <v>10302</v>
      </c>
      <c r="E4990" t="s">
        <v>10302</v>
      </c>
      <c r="F4990" t="s">
        <v>10303</v>
      </c>
      <c r="G4990" t="s">
        <v>14</v>
      </c>
      <c r="H4990">
             </c>
      <c r="I4990" t="s">
        <v>14</v>
      </c>
      <c r="J4990" t="s">
        <v>242</v>
      </c>
      <c r="K4990" t="s">
        <v>14</v>
      </c>
      <c r="L4990" t="s">
        <v>20</v>
      </c>
      <c r="M4990" t="s">
        <v>10171</v>
      </c>
      <c r="N4990" t="s">
        <v>14</v>
      </c>
    </row>
    <row r="4991" x14ac:dyDescent="0.25">
      <c r="A4991" t="n">
        <v>25</v>
      </c>
      <c r="B4991" t="s">
        <v>14</v>
      </c>
      <c r="C4991" t="s">
        <v>51</v>
      </c>
      <c r="D4991" s="2" t="s">
        <f>=HYPERLINK("https://main.knesset.gov.il/APPS/legislation/main/bills/2202700", "הצעת חוק לתיקון פקודת מס הכנסה (משיכה מקרן השתלמות) (הוראת שעה), התשפ""ג-2023")</f>
        <v>10304</v>
      </c>
      <c r="E4991" t="s">
        <v>10304</v>
      </c>
      <c r="F4991" t="s">
        <v>10305</v>
      </c>
      <c r="G4991" t="s">
        <v>14</v>
      </c>
      <c r="H4991">
             </c>
      <c r="I4991" t="s">
        <v>14</v>
      </c>
      <c r="J4991" t="s">
        <v>242</v>
      </c>
      <c r="K4991" t="s">
        <v>14</v>
      </c>
      <c r="L4991" t="s">
        <v>20</v>
      </c>
      <c r="M4991" t="s">
        <v>10171</v>
      </c>
      <c r="N4991" t="s">
        <v>14</v>
      </c>
    </row>
    <row r="4992" x14ac:dyDescent="0.25">
      <c r="A4992" t="n">
        <v>25</v>
      </c>
      <c r="B4992" t="s">
        <v>14</v>
      </c>
      <c r="C4992" t="s">
        <v>51</v>
      </c>
      <c r="D4992" s="2" t="s">
        <f>=HYPERLINK("https://main.knesset.gov.il/APPS/legislation/main/bills/2202928", "הצעת חוק זכויות נפגעי עבירה (תיקון - הקמת נציבות זכויות נפגעי עבירה), התשפ""ג-2023")</f>
        <v>10306</v>
      </c>
      <c r="E4992" t="s">
        <v>10306</v>
      </c>
      <c r="F4992" t="s">
        <v>10307</v>
      </c>
      <c r="G4992" t="s">
        <v>14</v>
      </c>
      <c r="H4992">
             </c>
      <c r="I4992" t="s">
        <v>14</v>
      </c>
      <c r="J4992" t="s">
        <v>202</v>
      </c>
      <c r="K4992" t="s">
        <v>14</v>
      </c>
      <c r="L4992" t="s">
        <v>20</v>
      </c>
      <c r="M4992" t="s">
        <v>10171</v>
      </c>
      <c r="N4992" t="s">
        <v>14</v>
      </c>
    </row>
    <row r="4993" x14ac:dyDescent="0.25">
      <c r="A4993" t="n">
        <v>25</v>
      </c>
      <c r="B4993" t="s">
        <v>14</v>
      </c>
      <c r="C4993" t="s">
        <v>51</v>
      </c>
      <c r="D4993" s="2" t="s">
        <f>=HYPERLINK("https://main.knesset.gov.il/APPS/legislation/main/bills/2200724", "הצעת חוק שוויון ההזדמנויות בעבודה (תיקון - הארכת תקופת ההתיישנות), התשפ""ג-2023")</f>
        <v>6201</v>
      </c>
      <c r="E4993" t="s">
        <v>6201</v>
      </c>
      <c r="F4993" t="s">
        <v>10308</v>
      </c>
      <c r="G4993" t="s">
        <v>14</v>
      </c>
      <c r="H4993">
             </c>
      <c r="I4993" t="s">
        <v>14</v>
      </c>
      <c r="J4993" t="s">
        <v>242</v>
      </c>
      <c r="K4993" t="s">
        <v>14</v>
      </c>
      <c r="L4993" t="s">
        <v>20</v>
      </c>
      <c r="M4993" t="s">
        <v>10171</v>
      </c>
      <c r="N4993" t="s">
        <v>14</v>
      </c>
    </row>
    <row r="4994" x14ac:dyDescent="0.25">
      <c r="A4994" t="n">
        <v>25</v>
      </c>
      <c r="B4994" t="s">
        <v>14</v>
      </c>
      <c r="C4994" t="s">
        <v>51</v>
      </c>
      <c r="D4994" s="2" t="s">
        <f>=HYPERLINK("https://main.knesset.gov.il/APPS/legislation/main/bills/2202724", "הצעת חוק הגנת הצרכן (תיקון - אחריות מנהל כללי ונושא משרה בשל הפרת הוראות החוק), התשפ""ג-2023")</f>
        <v>9668</v>
      </c>
      <c r="E4994" t="s">
        <v>9668</v>
      </c>
      <c r="F4994" t="s">
        <v>10309</v>
      </c>
      <c r="G4994" t="s">
        <v>14</v>
      </c>
      <c r="H4994">
             </c>
      <c r="I4994" t="s">
        <v>14</v>
      </c>
      <c r="J4994" t="s">
        <v>242</v>
      </c>
      <c r="K4994" t="s">
        <v>14</v>
      </c>
      <c r="L4994" t="s">
        <v>20</v>
      </c>
      <c r="M4994" t="s">
        <v>10171</v>
      </c>
      <c r="N4994" t="s">
        <v>14</v>
      </c>
    </row>
    <row r="4995" x14ac:dyDescent="0.25">
      <c r="A4995" t="n">
        <v>25</v>
      </c>
      <c r="B4995" t="s">
        <v>14</v>
      </c>
      <c r="C4995" t="s">
        <v>51</v>
      </c>
      <c r="D4995" s="2" t="s">
        <f>=HYPERLINK("https://main.knesset.gov.il/APPS/legislation/main/bills/2202560", "הצעת חוק הקמת חדר מיון בקריית שמונה, התשפ""ג-2023")</f>
        <v>9647</v>
      </c>
      <c r="E4995" t="s">
        <v>9647</v>
      </c>
      <c r="F4995" t="s">
        <v>10310</v>
      </c>
      <c r="G4995" t="s">
        <v>14</v>
      </c>
      <c r="H4995">
             </c>
      <c r="I4995" t="s">
        <v>14</v>
      </c>
      <c r="J4995" t="s">
        <v>242</v>
      </c>
      <c r="K4995" t="s">
        <v>14</v>
      </c>
      <c r="L4995" t="s">
        <v>20</v>
      </c>
      <c r="M4995" t="s">
        <v>10171</v>
      </c>
      <c r="N4995" t="s">
        <v>14</v>
      </c>
    </row>
    <row r="4996" x14ac:dyDescent="0.25">
      <c r="A4996" t="n">
        <v>25</v>
      </c>
      <c r="B4996" t="s">
        <v>14</v>
      </c>
      <c r="C4996" t="s">
        <v>51</v>
      </c>
      <c r="D4996" s="2" t="s">
        <f>=HYPERLINK("https://main.knesset.gov.il/APPS/legislation/main/bills/2202873", "הצעת חוק העונשין (תיקון - קביעת עונש מינימום בגין נטילת דמי חסות), התשפ""ג-2023")</f>
        <v>8924</v>
      </c>
      <c r="E4996" t="s">
        <v>8924</v>
      </c>
      <c r="F4996" t="s">
        <v>10311</v>
      </c>
      <c r="G4996" t="s">
        <v>14</v>
      </c>
      <c r="H4996">
             </c>
      <c r="I4996" t="s">
        <v>14</v>
      </c>
      <c r="J4996" t="s">
        <v>242</v>
      </c>
      <c r="K4996" t="s">
        <v>14</v>
      </c>
      <c r="L4996" t="s">
        <v>20</v>
      </c>
      <c r="M4996" t="s">
        <v>10171</v>
      </c>
      <c r="N4996" t="s">
        <v>14</v>
      </c>
    </row>
    <row r="4997" x14ac:dyDescent="0.25">
      <c r="A4997" t="n">
        <v>25</v>
      </c>
      <c r="B4997" t="s">
        <v>14</v>
      </c>
      <c r="C4997" t="s">
        <v>51</v>
      </c>
      <c r="D4997" s="2" t="s">
        <f>=HYPERLINK("https://main.knesset.gov.il/APPS/legislation/main/bills/2202888", "הצעת חוק מס ערך מוסף (תיקון - פטור ממס ממכירת תרופות מאריכות חיים שאינן כלולות בסל הבריאות), התשפ""ג-2023")</f>
        <v>10312</v>
      </c>
      <c r="E4997" t="s">
        <v>10312</v>
      </c>
      <c r="F4997" t="s">
        <v>10313</v>
      </c>
      <c r="G4997" t="s">
        <v>14</v>
      </c>
      <c r="H4997">
             </c>
      <c r="I4997" t="s">
        <v>14</v>
      </c>
      <c r="J4997" t="s">
        <v>242</v>
      </c>
      <c r="K4997" t="s">
        <v>14</v>
      </c>
      <c r="L4997" t="s">
        <v>20</v>
      </c>
      <c r="M4997" t="s">
        <v>10171</v>
      </c>
      <c r="N4997" t="s">
        <v>14</v>
      </c>
    </row>
    <row r="4998" x14ac:dyDescent="0.25">
      <c r="A4998" t="n">
        <v>25</v>
      </c>
      <c r="B4998" t="s">
        <v>14</v>
      </c>
      <c r="C4998" t="s">
        <v>51</v>
      </c>
      <c r="D4998" s="2" t="s">
        <f>=HYPERLINK("https://main.knesset.gov.il/APPS/legislation/main/bills/2202861", "הצעת חוק ליישוב תחת איום מיידי (הוראת שעה), התשפ""ג-2023")</f>
        <v>10314</v>
      </c>
      <c r="E4998" t="s">
        <v>10314</v>
      </c>
      <c r="F4998" t="s">
        <v>10315</v>
      </c>
      <c r="G4998" t="s">
        <v>14</v>
      </c>
      <c r="H4998">
             </c>
      <c r="I4998" t="s">
        <v>14</v>
      </c>
      <c r="J4998" t="s">
        <v>242</v>
      </c>
      <c r="K4998" t="s">
        <v>14</v>
      </c>
      <c r="L4998" t="s">
        <v>20</v>
      </c>
      <c r="M4998" t="s">
        <v>10171</v>
      </c>
      <c r="N4998" t="s">
        <v>14</v>
      </c>
    </row>
    <row r="4999" x14ac:dyDescent="0.25">
      <c r="A4999" t="n">
        <v>25</v>
      </c>
      <c r="B4999" t="s">
        <v>14</v>
      </c>
      <c r="C4999" t="s">
        <v>51</v>
      </c>
      <c r="D4999" s="2" t="s">
        <f>=HYPERLINK("https://main.knesset.gov.il/APPS/legislation/main/bills/2201878", "הצעת חוק עבודת נשים (תיקון - היעדרות עקב לידה של בת זוג), התשפ""ג-2023")</f>
        <v>10316</v>
      </c>
      <c r="E4999" t="s">
        <v>10316</v>
      </c>
      <c r="F4999" t="s">
        <v>10317</v>
      </c>
      <c r="G4999" t="s">
        <v>14</v>
      </c>
      <c r="H4999">
             </c>
      <c r="I4999" t="s">
        <v>14</v>
      </c>
      <c r="J4999" t="s">
        <v>242</v>
      </c>
      <c r="K4999" t="s">
        <v>14</v>
      </c>
      <c r="L4999" t="s">
        <v>20</v>
      </c>
      <c r="M4999" t="s">
        <v>10171</v>
      </c>
      <c r="N4999" t="s">
        <v>14</v>
      </c>
    </row>
    <row r="5000" x14ac:dyDescent="0.25">
      <c r="A5000" t="n">
        <v>25</v>
      </c>
      <c r="B5000" t="s">
        <v>14</v>
      </c>
      <c r="C5000" t="s">
        <v>51</v>
      </c>
      <c r="D5000" s="2" t="s">
        <f>=HYPERLINK("https://main.knesset.gov.il/APPS/legislation/main/bills/2201006", "הצעת חוק המאבק בכלי הנשק הבלתי חוקיים (תיקוני חקיקה) (הוראת שעה), התשפ""ג-2023")</f>
        <v>10318</v>
      </c>
      <c r="E5000" t="s">
        <v>10318</v>
      </c>
      <c r="F5000" t="s">
        <v>10319</v>
      </c>
      <c r="G5000" t="s">
        <v>14</v>
      </c>
      <c r="H5000">
             </c>
      <c r="I5000" t="s">
        <v>14</v>
      </c>
      <c r="J5000" t="s">
        <v>183</v>
      </c>
      <c r="K5000" t="s">
        <v>14</v>
      </c>
      <c r="L5000" t="s">
        <v>20</v>
      </c>
      <c r="M5000" t="s">
        <v>10320</v>
      </c>
      <c r="N5000" t="s">
        <v>14</v>
      </c>
    </row>
    <row r="5001" x14ac:dyDescent="0.25">
      <c r="A5001" t="n">
        <v>25</v>
      </c>
      <c r="B5001" t="s">
        <v>14</v>
      </c>
      <c r="C5001" t="s">
        <v>51</v>
      </c>
      <c r="D5001" s="2" t="s">
        <f>=HYPERLINK("https://main.knesset.gov.il/APPS/legislation/main/bills/2198963", "הצעת חוק-יסוד: הממשלה (תיקון – תקופת כהונה מרבית בתפקיד ראש הממשלה)")</f>
        <v>10321</v>
      </c>
      <c r="E5001" t="s">
        <v>10321</v>
      </c>
      <c r="F5001" t="s">
        <v>10322</v>
      </c>
      <c r="G5001" t="s">
        <v>14</v>
      </c>
      <c r="H5001">
             </c>
      <c r="I5001" t="s">
        <v>14</v>
      </c>
      <c r="J5001" t="s">
        <v>193</v>
      </c>
      <c r="K5001" t="s">
        <v>14</v>
      </c>
      <c r="L5001" t="s">
        <v>20</v>
      </c>
      <c r="M5001" t="s">
        <v>10320</v>
      </c>
      <c r="N5001" t="s">
        <v>14</v>
      </c>
    </row>
    <row r="5002" x14ac:dyDescent="0.25">
      <c r="A5002" t="n">
        <v>25</v>
      </c>
      <c r="B5002" t="s">
        <v>14</v>
      </c>
      <c r="C5002" t="s">
        <v>51</v>
      </c>
      <c r="D5002" s="2" t="s">
        <f>=HYPERLINK("https://main.knesset.gov.il/APPS/legislation/main/bills/2199518", "הצעת חוק הרשות לפיתוח הפריפריה החברתית, התשפ""ג-2023 ")</f>
        <v>10323</v>
      </c>
      <c r="E5002" t="s">
        <v>10323</v>
      </c>
      <c r="F5002" t="s">
        <v>10324</v>
      </c>
      <c r="G5002" t="s">
        <v>14</v>
      </c>
      <c r="H5002">
             </c>
      <c r="I5002" t="s">
        <v>14</v>
      </c>
      <c r="J5002" t="s">
        <v>152</v>
      </c>
      <c r="K5002" t="s">
        <v>84</v>
      </c>
      <c r="L5002" t="s">
        <v>20</v>
      </c>
      <c r="M5002" t="s">
        <v>10320</v>
      </c>
      <c r="N5002" t="s">
        <v>14</v>
      </c>
    </row>
    <row r="5003" x14ac:dyDescent="0.25">
      <c r="A5003" t="n">
        <v>25</v>
      </c>
      <c r="B5003" t="s">
        <v>14</v>
      </c>
      <c r="C5003" t="s">
        <v>51</v>
      </c>
      <c r="D5003" s="2" t="s">
        <f>=HYPERLINK("https://main.knesset.gov.il/APPS/legislation/main/bills/2201126", "הצעת חוק חינוך ממלכתי (תיקון – שלילת השתתפות בתקציב עקב הפליה), התשפ""ג–2023")</f>
        <v>10325</v>
      </c>
      <c r="E5003" t="s">
        <v>10325</v>
      </c>
      <c r="F5003" t="s">
        <v>10326</v>
      </c>
      <c r="G5003" t="s">
        <v>14</v>
      </c>
      <c r="H5003">
             </c>
      <c r="I5003" t="s">
        <v>14</v>
      </c>
      <c r="J5003" t="s">
        <v>193</v>
      </c>
      <c r="K5003" t="s">
        <v>14</v>
      </c>
      <c r="L5003" t="s">
        <v>20</v>
      </c>
      <c r="M5003" t="s">
        <v>10320</v>
      </c>
      <c r="N5003" t="s">
        <v>14</v>
      </c>
    </row>
    <row r="5004" x14ac:dyDescent="0.25">
      <c r="A5004" t="n">
        <v>25</v>
      </c>
      <c r="B5004" t="s">
        <v>14</v>
      </c>
      <c r="C5004" t="s">
        <v>51</v>
      </c>
      <c r="D5004" s="2" t="s">
        <f>=HYPERLINK("https://main.knesset.gov.il/APPS/legislation/main/bills/2199901", "הצעת חוק הביטוח הלאומי (תיקון - שמירה חקלאית כעבודה מועדפת), התשפ""ג-2023")</f>
        <v>8497</v>
      </c>
      <c r="E5004" t="s">
        <v>8497</v>
      </c>
      <c r="F5004" t="s">
        <v>10327</v>
      </c>
      <c r="G5004" t="s">
        <v>14</v>
      </c>
      <c r="H5004">
             </c>
      <c r="I5004" t="s">
        <v>14</v>
      </c>
      <c r="J5004" t="s">
        <v>202</v>
      </c>
      <c r="K5004" t="s">
        <v>14</v>
      </c>
      <c r="L5004" t="s">
        <v>20</v>
      </c>
      <c r="M5004" t="s">
        <v>10320</v>
      </c>
      <c r="N5004" t="s">
        <v>14</v>
      </c>
    </row>
    <row r="5005" x14ac:dyDescent="0.25">
      <c r="A5005" t="n">
        <v>25</v>
      </c>
      <c r="B5005" t="s">
        <v>14</v>
      </c>
      <c r="C5005" t="s">
        <v>51</v>
      </c>
      <c r="D5005" s="2" t="s">
        <f>=HYPERLINK("https://main.knesset.gov.il/APPS/legislation/main/bills/2199956", "הצעת חוק-יסוד: הממשלה (תיקון - הגבלת כהונת ראש הממשלה לשתי תקופות כהונה רצופות)")</f>
        <v>1488</v>
      </c>
      <c r="E5005" t="s">
        <v>1488</v>
      </c>
      <c r="F5005" t="s">
        <v>10328</v>
      </c>
      <c r="G5005" t="s">
        <v>14</v>
      </c>
      <c r="H5005">
             </c>
      <c r="I5005" t="s">
        <v>14</v>
      </c>
      <c r="J5005" t="s">
        <v>193</v>
      </c>
      <c r="K5005" t="s">
        <v>14</v>
      </c>
      <c r="L5005" t="s">
        <v>20</v>
      </c>
      <c r="M5005" t="s">
        <v>10320</v>
      </c>
      <c r="N5005" t="s">
        <v>14</v>
      </c>
    </row>
    <row r="5006" x14ac:dyDescent="0.25">
      <c r="A5006" t="n">
        <v>25</v>
      </c>
      <c r="B5006" t="s">
        <v>14</v>
      </c>
      <c r="C5006" t="s">
        <v>51</v>
      </c>
      <c r="D5006" s="2" t="s">
        <f>=HYPERLINK("https://main.knesset.gov.il/APPS/legislation/main/bills/2198957", "הצעת חוק-יסוד: הממשלה (תיקון - הגבלת כהונת ראש הממשלה לשתי תקופות כהונה רצופות)")</f>
        <v>1488</v>
      </c>
      <c r="E5006" t="s">
        <v>1488</v>
      </c>
      <c r="F5006" t="s">
        <v>10329</v>
      </c>
      <c r="G5006" t="s">
        <v>14</v>
      </c>
      <c r="H5006">
             </c>
      <c r="I5006" t="s">
        <v>14</v>
      </c>
      <c r="J5006" t="s">
        <v>193</v>
      </c>
      <c r="K5006" t="s">
        <v>14</v>
      </c>
      <c r="L5006" t="s">
        <v>20</v>
      </c>
      <c r="M5006" t="s">
        <v>10320</v>
      </c>
      <c r="N5006" t="s">
        <v>14</v>
      </c>
    </row>
    <row r="5007" x14ac:dyDescent="0.25">
      <c r="A5007" t="n">
        <v>25</v>
      </c>
      <c r="B5007" t="s">
        <v>14</v>
      </c>
      <c r="C5007" t="s">
        <v>51</v>
      </c>
      <c r="D5007" s="2" t="s">
        <f>=HYPERLINK("https://main.knesset.gov.il/APPS/legislation/main/bills/2197049", "הצעת חוק בטיחות בתעסוקה ובריאות תעסוקתית, התשפ""ג-2023")</f>
        <v>10330</v>
      </c>
      <c r="E5007" t="s">
        <v>10330</v>
      </c>
      <c r="F5007" t="s">
        <v>10331</v>
      </c>
      <c r="G5007" t="s">
        <v>14</v>
      </c>
      <c r="H5007">
             </c>
      <c r="I5007" t="s">
        <v>14</v>
      </c>
      <c r="J5007" t="s">
        <v>202</v>
      </c>
      <c r="K5007" t="s">
        <v>14</v>
      </c>
      <c r="L5007" t="s">
        <v>20</v>
      </c>
      <c r="M5007" t="s">
        <v>10320</v>
      </c>
      <c r="N5007" t="s">
        <v>14</v>
      </c>
    </row>
    <row r="5008" x14ac:dyDescent="0.25">
      <c r="A5008" t="n">
        <v>25</v>
      </c>
      <c r="B5008" t="s">
        <v>14</v>
      </c>
      <c r="C5008" t="s">
        <v>51</v>
      </c>
      <c r="D5008" s="2" t="s">
        <f>=HYPERLINK("https://main.knesset.gov.il/APPS/legislation/main/bills/2198938", "הצעת חוק החלת הריבונות הישראלית על בקעת הירדן, התשפ""ג-2023")</f>
        <v>4516</v>
      </c>
      <c r="E5008" t="s">
        <v>4516</v>
      </c>
      <c r="F5008" t="s">
        <v>10332</v>
      </c>
      <c r="G5008" t="s">
        <v>14</v>
      </c>
      <c r="H5008">
             </c>
      <c r="I5008" t="s">
        <v>14</v>
      </c>
      <c r="J5008" t="s">
        <v>193</v>
      </c>
      <c r="K5008" t="s">
        <v>14</v>
      </c>
      <c r="L5008" t="s">
        <v>20</v>
      </c>
      <c r="M5008" t="s">
        <v>10320</v>
      </c>
      <c r="N5008" t="s">
        <v>14</v>
      </c>
    </row>
    <row r="5009" x14ac:dyDescent="0.25">
      <c r="A5009" t="n">
        <v>25</v>
      </c>
      <c r="B5009" t="s">
        <v>14</v>
      </c>
      <c r="C5009" t="s">
        <v>51</v>
      </c>
      <c r="D5009" s="2" t="s">
        <f>=HYPERLINK("https://main.knesset.gov.il/APPS/legislation/main/bills/2199099", "הצעת חוק הגנה על ישראלים מפני מוסדות בין-לאומיים עוינים, התשפ""ג-2023")</f>
        <v>4621</v>
      </c>
      <c r="E5009" t="s">
        <v>4621</v>
      </c>
      <c r="F5009" t="s">
        <v>10333</v>
      </c>
      <c r="G5009" t="s">
        <v>14</v>
      </c>
      <c r="H5009">
             </c>
      <c r="I5009" t="s">
        <v>14</v>
      </c>
      <c r="J5009" t="s">
        <v>193</v>
      </c>
      <c r="K5009" t="s">
        <v>14</v>
      </c>
      <c r="L5009" t="s">
        <v>20</v>
      </c>
      <c r="M5009" t="s">
        <v>10320</v>
      </c>
      <c r="N5009" t="s">
        <v>14</v>
      </c>
    </row>
    <row r="5010" x14ac:dyDescent="0.25">
      <c r="A5010" t="n">
        <v>25</v>
      </c>
      <c r="B5010" t="s">
        <v>14</v>
      </c>
      <c r="C5010" t="s">
        <v>51</v>
      </c>
      <c r="D5010" s="2" t="s">
        <f>=HYPERLINK("https://main.knesset.gov.il/APPS/legislation/main/bills/2199014", "הצעת חוק שלילת תקצוב מוסדות חינוך המפלים תלמידים ברישום אליהם (תיקוני חקיקה), התשפ""ג-2023")</f>
        <v>10334</v>
      </c>
      <c r="E5010" t="s">
        <v>10334</v>
      </c>
      <c r="F5010" t="s">
        <v>10335</v>
      </c>
      <c r="G5010" t="s">
        <v>14</v>
      </c>
      <c r="H5010">
             </c>
      <c r="I5010" t="s">
        <v>14</v>
      </c>
      <c r="J5010" t="s">
        <v>193</v>
      </c>
      <c r="K5010" t="s">
        <v>14</v>
      </c>
      <c r="L5010" t="s">
        <v>20</v>
      </c>
      <c r="M5010" t="s">
        <v>10320</v>
      </c>
      <c r="N5010" t="s">
        <v>14</v>
      </c>
    </row>
    <row r="5011" x14ac:dyDescent="0.25">
      <c r="A5011" t="n">
        <v>25</v>
      </c>
      <c r="B5011" t="s">
        <v>14</v>
      </c>
      <c r="C5011" t="s">
        <v>51</v>
      </c>
      <c r="D5011" s="2" t="s">
        <f>=HYPERLINK("https://main.knesset.gov.il/APPS/legislation/main/bills/2197938", "הצעת חוק העונשין (תיקון - חילוט בעבירות החזקת נשק בלתי חוקי ללא אישום או הרשעה), התשפ""ג-2023")</f>
        <v>10336</v>
      </c>
      <c r="E5011" t="s">
        <v>10336</v>
      </c>
      <c r="F5011" t="s">
        <v>10337</v>
      </c>
      <c r="G5011" t="s">
        <v>14</v>
      </c>
      <c r="H5011">
             </c>
      <c r="I5011" t="s">
        <v>14</v>
      </c>
      <c r="J5011" t="s">
        <v>152</v>
      </c>
      <c r="K5011" t="s">
        <v>27</v>
      </c>
      <c r="L5011" t="s">
        <v>20</v>
      </c>
      <c r="M5011" t="s">
        <v>10320</v>
      </c>
      <c r="N5011" t="s">
        <v>14</v>
      </c>
    </row>
    <row r="5012" x14ac:dyDescent="0.25">
      <c r="A5012" t="n">
        <v>25</v>
      </c>
      <c r="B5012" t="s">
        <v>14</v>
      </c>
      <c r="C5012" t="s">
        <v>51</v>
      </c>
      <c r="D5012" s="2" t="s">
        <f>=HYPERLINK("https://main.knesset.gov.il/APPS/legislation/main/bills/2196684", "הצעת חוק-יסוד: הממשלה (תיקון - תקופה מרבית לכהונה בתפקיד כראש הממשלה)")</f>
        <v>1205</v>
      </c>
      <c r="E5012" t="s">
        <v>1205</v>
      </c>
      <c r="F5012" t="s">
        <v>10338</v>
      </c>
      <c r="G5012" t="s">
        <v>14</v>
      </c>
      <c r="H5012">
             </c>
      <c r="I5012" t="s">
        <v>14</v>
      </c>
      <c r="J5012" t="s">
        <v>193</v>
      </c>
      <c r="K5012" t="s">
        <v>14</v>
      </c>
      <c r="L5012" t="s">
        <v>20</v>
      </c>
      <c r="M5012" t="s">
        <v>10320</v>
      </c>
      <c r="N5012" t="s">
        <v>14</v>
      </c>
    </row>
    <row r="5013" x14ac:dyDescent="0.25">
      <c r="A5013" t="n">
        <v>25</v>
      </c>
      <c r="B5013" t="s">
        <v>14</v>
      </c>
      <c r="C5013" t="s">
        <v>51</v>
      </c>
      <c r="D5013" s="2" t="s">
        <f>=HYPERLINK("https://main.knesset.gov.il/APPS/legislation/main/bills/2198673", "החלק שפוצל מהצעת חוק לתיקון פקודת המשטרה (מס' 39) (סמכויות), התשפ""ג-2022 - סעיפים ")</f>
        <v>10339</v>
      </c>
      <c r="E5013" t="s">
        <v>10339</v>
      </c>
      <c r="F5013" t="s">
        <v>10340</v>
      </c>
      <c r="G5013" t="s">
        <v>10341</v>
      </c>
      <c r="H5013">
             </c>
      <c r="I5013" t="s">
        <v>14</v>
      </c>
      <c r="J5013" t="s">
        <v>38</v>
      </c>
      <c r="K5013" t="s">
        <v>10342</v>
      </c>
      <c r="L5013" t="s">
        <v>20</v>
      </c>
      <c r="M5013" t="s">
        <v>10343</v>
      </c>
      <c r="N5013" t="s">
        <v>14</v>
      </c>
    </row>
    <row r="5014" x14ac:dyDescent="0.25">
      <c r="A5014" t="n">
        <v>25</v>
      </c>
      <c r="B5014" t="s">
        <v>14</v>
      </c>
      <c r="C5014" t="s">
        <v>51</v>
      </c>
      <c r="D5014" s="2" t="s">
        <f>=HYPERLINK("https://main.knesset.gov.il/APPS/legislation/main/bills/2198838", "הצעת חוק דמי מחלה (היעדרות בשל מחלת ילד) (תיקון - היעדרות בשל אשפוז פג), התשפ""ג-2023")</f>
        <v>9564</v>
      </c>
      <c r="E5014" t="s">
        <v>9564</v>
      </c>
      <c r="F5014" t="s">
        <v>10344</v>
      </c>
      <c r="G5014" t="s">
        <v>14</v>
      </c>
      <c r="H5014">
             </c>
      <c r="I5014" t="s">
        <v>14</v>
      </c>
      <c r="J5014" t="s">
        <v>183</v>
      </c>
      <c r="K5014" t="s">
        <v>46</v>
      </c>
      <c r="L5014" t="s">
        <v>20</v>
      </c>
      <c r="M5014" t="s">
        <v>10345</v>
      </c>
      <c r="N5014" t="s">
        <v>14</v>
      </c>
    </row>
    <row r="5015" x14ac:dyDescent="0.25">
      <c r="A5015" t="n">
        <v>25</v>
      </c>
      <c r="B5015" t="s">
        <v>14</v>
      </c>
      <c r="C5015" t="s">
        <v>51</v>
      </c>
      <c r="D5015" s="2" t="s">
        <f>=HYPERLINK("https://main.knesset.gov.il/APPS/legislation/main/bills/2198143", "הצעת חוק דמי מחלה (היעדרות בשל מחלת ילד) (תיקון - היעדרות בשל אשפוז פג), התשפ""ג-2022")</f>
        <v>10346</v>
      </c>
      <c r="E5015" t="s">
        <v>10346</v>
      </c>
      <c r="F5015" t="s">
        <v>10347</v>
      </c>
      <c r="G5015" t="s">
        <v>14</v>
      </c>
      <c r="H5015">
             </c>
      <c r="I5015" t="s">
        <v>14</v>
      </c>
      <c r="J5015" t="s">
        <v>183</v>
      </c>
      <c r="K5015" t="s">
        <v>46</v>
      </c>
      <c r="L5015" t="s">
        <v>20</v>
      </c>
      <c r="M5015" t="s">
        <v>10345</v>
      </c>
      <c r="N5015" t="s">
        <v>14</v>
      </c>
    </row>
    <row r="5016" x14ac:dyDescent="0.25">
      <c r="A5016" t="n">
        <v>25</v>
      </c>
      <c r="B5016" t="s">
        <v>14</v>
      </c>
      <c r="C5016" t="s">
        <v>51</v>
      </c>
      <c r="D5016" s="2" t="s">
        <f>=HYPERLINK("https://main.knesset.gov.il/APPS/legislation/main/bills/2196071", "הצעת חוק ההוצאה לפועל (תיקון - ביטול האפשרות לצוות על עיכוב יציאה מהארץ בגין חוב כספי נמוך), התשפ""ג-2023")</f>
        <v>10348</v>
      </c>
      <c r="E5016" t="s">
        <v>10348</v>
      </c>
      <c r="F5016" t="s">
        <v>10349</v>
      </c>
      <c r="G5016" t="s">
        <v>14</v>
      </c>
      <c r="H5016">
             </c>
      <c r="I5016" t="s">
        <v>14</v>
      </c>
      <c r="J5016" t="s">
        <v>183</v>
      </c>
      <c r="K5016" t="s">
        <v>46</v>
      </c>
      <c r="L5016" t="s">
        <v>20</v>
      </c>
      <c r="M5016" t="s">
        <v>10345</v>
      </c>
      <c r="N5016" t="s">
        <v>14</v>
      </c>
    </row>
    <row r="5017" x14ac:dyDescent="0.25">
      <c r="A5017" t="n">
        <v>25</v>
      </c>
      <c r="B5017" t="s">
        <v>14</v>
      </c>
      <c r="C5017" t="s">
        <v>51</v>
      </c>
      <c r="D5017" s="2" t="s">
        <f>=HYPERLINK("https://main.knesset.gov.il/APPS/legislation/main/bills/2196921", "הצעת חוק עובדים זרים (תיקון - שימוש בכספים שלא הוצאו על ידי עובדים זרים ומסתננים), התשפ''ג-2022")</f>
        <v>10350</v>
      </c>
      <c r="E5017" t="s">
        <v>10350</v>
      </c>
      <c r="F5017" t="s">
        <v>10351</v>
      </c>
      <c r="G5017" t="s">
        <v>14</v>
      </c>
      <c r="H5017">
             </c>
      <c r="I5017" t="s">
        <v>14</v>
      </c>
      <c r="J5017" t="s">
        <v>152</v>
      </c>
      <c r="K5017" t="s">
        <v>46</v>
      </c>
      <c r="L5017" t="s">
        <v>20</v>
      </c>
      <c r="M5017" t="s">
        <v>10345</v>
      </c>
      <c r="N5017" t="s">
        <v>14</v>
      </c>
    </row>
    <row r="5018" x14ac:dyDescent="0.25">
      <c r="A5018" t="n">
        <v>25</v>
      </c>
      <c r="B5018" t="s">
        <v>14</v>
      </c>
      <c r="C5018" t="s">
        <v>51</v>
      </c>
      <c r="D5018" s="2" t="s">
        <f>=HYPERLINK("https://main.knesset.gov.il/APPS/legislation/main/bills/2202902", "הצעת חוק הספריה הלאומית (תיקון - הגברת הפיקוח הציבורי בספריה הלאומית), התשפ""ג-2023")</f>
        <v>10352</v>
      </c>
      <c r="E5018" t="s">
        <v>10352</v>
      </c>
      <c r="F5018" t="s">
        <v>10353</v>
      </c>
      <c r="G5018" t="s">
        <v>14</v>
      </c>
      <c r="H5018">
             </c>
      <c r="I5018" t="s">
        <v>14</v>
      </c>
      <c r="J5018" t="s">
        <v>242</v>
      </c>
      <c r="K5018" t="s">
        <v>14</v>
      </c>
      <c r="L5018" t="s">
        <v>20</v>
      </c>
      <c r="M5018" t="s">
        <v>10345</v>
      </c>
      <c r="N5018" t="s">
        <v>14</v>
      </c>
    </row>
    <row r="5019" x14ac:dyDescent="0.25">
      <c r="A5019" t="n">
        <v>25</v>
      </c>
      <c r="B5019" t="s">
        <v>14</v>
      </c>
      <c r="C5019" t="s">
        <v>51</v>
      </c>
      <c r="D5019" s="2" t="s">
        <f>=HYPERLINK("https://main.knesset.gov.il/APPS/legislation/main/bills/2201656", "הצעת חוק שכר נושאי משרה ברשויות השלטון, התשפ""ג-2023")</f>
        <v>10354</v>
      </c>
      <c r="E5019" t="s">
        <v>10354</v>
      </c>
      <c r="F5019" t="s">
        <v>10355</v>
      </c>
      <c r="G5019" t="s">
        <v>14</v>
      </c>
      <c r="H5019">
             </c>
      <c r="I5019" t="s">
        <v>14</v>
      </c>
      <c r="J5019" t="s">
        <v>242</v>
      </c>
      <c r="K5019" t="s">
        <v>14</v>
      </c>
      <c r="L5019" t="s">
        <v>20</v>
      </c>
      <c r="M5019" t="s">
        <v>10345</v>
      </c>
      <c r="N5019" t="s">
        <v>14</v>
      </c>
    </row>
    <row r="5020" x14ac:dyDescent="0.25">
      <c r="A5020" t="n">
        <v>25</v>
      </c>
      <c r="B5020" t="s">
        <v>14</v>
      </c>
      <c r="C5020" t="s">
        <v>51</v>
      </c>
      <c r="D5020" s="2" t="s">
        <f>=HYPERLINK("https://main.knesset.gov.il/APPS/legislation/main/bills/2202906", "הצעת חוק-יסוד: שכר נושאי משרה ברשויות השלטון (תיקוני חקיקה)")</f>
        <v>10356</v>
      </c>
      <c r="E5020" t="s">
        <v>10356</v>
      </c>
      <c r="F5020" t="s">
        <v>10357</v>
      </c>
      <c r="G5020" t="s">
        <v>14</v>
      </c>
      <c r="H5020">
             </c>
      <c r="I5020" t="s">
        <v>14</v>
      </c>
      <c r="J5020" t="s">
        <v>242</v>
      </c>
      <c r="K5020" t="s">
        <v>14</v>
      </c>
      <c r="L5020" t="s">
        <v>20</v>
      </c>
      <c r="M5020" t="s">
        <v>10345</v>
      </c>
      <c r="N5020" t="s">
        <v>14</v>
      </c>
    </row>
    <row r="5021" x14ac:dyDescent="0.25">
      <c r="A5021" t="n">
        <v>25</v>
      </c>
      <c r="B5021" t="s">
        <v>14</v>
      </c>
      <c r="C5021" t="s">
        <v>51</v>
      </c>
      <c r="D5021" s="2" t="s">
        <f>=HYPERLINK("https://main.knesset.gov.il/APPS/legislation/main/bills/2202670", "הצעת חוק הקמת ועדת חקירה ממלכתית לפרשת מסמך הרפז, התשפ""ג-2023")</f>
        <v>10358</v>
      </c>
      <c r="E5021" t="s">
        <v>10358</v>
      </c>
      <c r="F5021" t="s">
        <v>10359</v>
      </c>
      <c r="G5021" t="s">
        <v>14</v>
      </c>
      <c r="H5021">
             </c>
      <c r="I5021" t="s">
        <v>14</v>
      </c>
      <c r="J5021" t="s">
        <v>242</v>
      </c>
      <c r="K5021" t="s">
        <v>14</v>
      </c>
      <c r="L5021" t="s">
        <v>20</v>
      </c>
      <c r="M5021" t="s">
        <v>10345</v>
      </c>
      <c r="N5021" t="s">
        <v>14</v>
      </c>
    </row>
    <row r="5022" x14ac:dyDescent="0.25">
      <c r="A5022" t="n">
        <v>25</v>
      </c>
      <c r="B5022" t="s">
        <v>14</v>
      </c>
      <c r="C5022" t="s">
        <v>51</v>
      </c>
      <c r="D5022" s="2" t="s">
        <f>=HYPERLINK("https://main.knesset.gov.il/APPS/legislation/main/bills/2202673", "הצעת חוק המפלגות (תיקון - הגבלת מימון של נבחרי ציבור), התשפ""ג-2023")</f>
        <v>10360</v>
      </c>
      <c r="E5022" t="s">
        <v>10360</v>
      </c>
      <c r="F5022" t="s">
        <v>10361</v>
      </c>
      <c r="G5022" t="s">
        <v>14</v>
      </c>
      <c r="H5022">
             </c>
      <c r="I5022" t="s">
        <v>14</v>
      </c>
      <c r="J5022" t="s">
        <v>242</v>
      </c>
      <c r="K5022" t="s">
        <v>14</v>
      </c>
      <c r="L5022" t="s">
        <v>20</v>
      </c>
      <c r="M5022" t="s">
        <v>10345</v>
      </c>
      <c r="N5022" t="s">
        <v>14</v>
      </c>
    </row>
    <row r="5023" x14ac:dyDescent="0.25">
      <c r="A5023" t="n">
        <v>25</v>
      </c>
      <c r="B5023" t="s">
        <v>14</v>
      </c>
      <c r="C5023" t="s">
        <v>51</v>
      </c>
      <c r="D5023" s="2" t="s">
        <f>=HYPERLINK("https://main.knesset.gov.il/APPS/legislation/main/bills/2202672", "הצעת חוק הקמת ועדת חקירה ממלכתית לפרשת המימד החמישי, התשפ""ג-2023")</f>
        <v>10362</v>
      </c>
      <c r="E5023" t="s">
        <v>10362</v>
      </c>
      <c r="F5023" t="s">
        <v>10363</v>
      </c>
      <c r="G5023" t="s">
        <v>14</v>
      </c>
      <c r="H5023">
             </c>
      <c r="I5023" t="s">
        <v>14</v>
      </c>
      <c r="J5023" t="s">
        <v>242</v>
      </c>
      <c r="K5023" t="s">
        <v>14</v>
      </c>
      <c r="L5023" t="s">
        <v>20</v>
      </c>
      <c r="M5023" t="s">
        <v>10345</v>
      </c>
      <c r="N5023" t="s">
        <v>14</v>
      </c>
    </row>
    <row r="5024" x14ac:dyDescent="0.25">
      <c r="A5024" t="n">
        <v>25</v>
      </c>
      <c r="B5024" t="s">
        <v>14</v>
      </c>
      <c r="C5024" t="s">
        <v>51</v>
      </c>
      <c r="D5024" s="2" t="s">
        <f>=HYPERLINK("https://main.knesset.gov.il/APPS/legislation/main/bills/2202668", "הצעת חוק-יסוד: הממשלה (תיקון - מקום מושבו של ראש הממשלה)")</f>
        <v>10364</v>
      </c>
      <c r="E5024" t="s">
        <v>10364</v>
      </c>
      <c r="F5024" t="s">
        <v>10365</v>
      </c>
      <c r="G5024" t="s">
        <v>14</v>
      </c>
      <c r="H5024">
             </c>
      <c r="I5024" t="s">
        <v>14</v>
      </c>
      <c r="J5024" t="s">
        <v>242</v>
      </c>
      <c r="K5024" t="s">
        <v>14</v>
      </c>
      <c r="L5024" t="s">
        <v>20</v>
      </c>
      <c r="M5024" t="s">
        <v>10345</v>
      </c>
      <c r="N5024" t="s">
        <v>14</v>
      </c>
    </row>
    <row r="5025" x14ac:dyDescent="0.25">
      <c r="A5025" t="n">
        <v>25</v>
      </c>
      <c r="B5025" t="s">
        <v>14</v>
      </c>
      <c r="C5025" t="s">
        <v>51</v>
      </c>
      <c r="D5025" s="2" t="s">
        <f>=HYPERLINK("https://main.knesset.gov.il/APPS/legislation/main/bills/2202666", "הצעת חוק טובות הנאה לראש ממשלה או ראש ממשלה חלופי שחדל לכהן, התשפ""ג-2023")</f>
        <v>10366</v>
      </c>
      <c r="E5025" t="s">
        <v>10366</v>
      </c>
      <c r="F5025" t="s">
        <v>10367</v>
      </c>
      <c r="G5025" t="s">
        <v>14</v>
      </c>
      <c r="H5025">
             </c>
      <c r="I5025" t="s">
        <v>14</v>
      </c>
      <c r="J5025" t="s">
        <v>242</v>
      </c>
      <c r="K5025" t="s">
        <v>14</v>
      </c>
      <c r="L5025" t="s">
        <v>20</v>
      </c>
      <c r="M5025" t="s">
        <v>10345</v>
      </c>
      <c r="N5025" t="s">
        <v>14</v>
      </c>
    </row>
    <row r="5026" x14ac:dyDescent="0.25">
      <c r="A5026" t="n">
        <v>25</v>
      </c>
      <c r="B5026" t="s">
        <v>14</v>
      </c>
      <c r="C5026" t="s">
        <v>51</v>
      </c>
      <c r="D5026" s="2" t="s">
        <f>=HYPERLINK("https://main.knesset.gov.il/APPS/legislation/main/bills/2202665", "הצעת חוק בתי המשפט (תיקון - צווי איסור פרסום), התשפ""ג-2023")</f>
        <v>10368</v>
      </c>
      <c r="E5026" t="s">
        <v>10368</v>
      </c>
      <c r="F5026" t="s">
        <v>10369</v>
      </c>
      <c r="G5026" t="s">
        <v>14</v>
      </c>
      <c r="H5026">
             </c>
      <c r="I5026" t="s">
        <v>14</v>
      </c>
      <c r="J5026" t="s">
        <v>242</v>
      </c>
      <c r="K5026" t="s">
        <v>14</v>
      </c>
      <c r="L5026" t="s">
        <v>20</v>
      </c>
      <c r="M5026" t="s">
        <v>10345</v>
      </c>
      <c r="N5026" t="s">
        <v>14</v>
      </c>
    </row>
    <row r="5027" x14ac:dyDescent="0.25">
      <c r="A5027" t="n">
        <v>25</v>
      </c>
      <c r="B5027" t="s">
        <v>14</v>
      </c>
      <c r="C5027" t="s">
        <v>51</v>
      </c>
      <c r="D5027" s="2" t="s">
        <f>=HYPERLINK("https://main.knesset.gov.il/APPS/legislation/main/bills/2202664", "הצעת חוק שירות המדינה (מינויים) (תיקון - מינוי יועצים משפטיים של משרדים, היועץ המשפטי לממשלה ופרקליט מדינה), התשפ""ג-2023")</f>
        <v>10370</v>
      </c>
      <c r="E5027" t="s">
        <v>10370</v>
      </c>
      <c r="F5027" t="s">
        <v>10371</v>
      </c>
      <c r="G5027" t="s">
        <v>14</v>
      </c>
      <c r="H5027">
             </c>
      <c r="I5027" t="s">
        <v>14</v>
      </c>
      <c r="J5027" t="s">
        <v>242</v>
      </c>
      <c r="K5027" t="s">
        <v>14</v>
      </c>
      <c r="L5027" t="s">
        <v>20</v>
      </c>
      <c r="M5027" t="s">
        <v>10345</v>
      </c>
      <c r="N5027" t="s">
        <v>14</v>
      </c>
    </row>
    <row r="5028" x14ac:dyDescent="0.25">
      <c r="A5028" t="n">
        <v>25</v>
      </c>
      <c r="B5028" t="s">
        <v>14</v>
      </c>
      <c r="C5028" t="s">
        <v>51</v>
      </c>
      <c r="D5028" s="2" t="s">
        <f>=HYPERLINK("https://main.knesset.gov.il/APPS/legislation/main/bills/2202662", "הצעת חוק העונשין (תיקון - ביטול עבירת מרמה והפרת אמונים), התשפ""ג-2023")</f>
        <v>10372</v>
      </c>
      <c r="E5028" t="s">
        <v>10372</v>
      </c>
      <c r="F5028" t="s">
        <v>10373</v>
      </c>
      <c r="G5028" t="s">
        <v>14</v>
      </c>
      <c r="H5028">
             </c>
      <c r="I5028" t="s">
        <v>14</v>
      </c>
      <c r="J5028" t="s">
        <v>242</v>
      </c>
      <c r="K5028" t="s">
        <v>14</v>
      </c>
      <c r="L5028" t="s">
        <v>20</v>
      </c>
      <c r="M5028" t="s">
        <v>10345</v>
      </c>
      <c r="N5028" t="s">
        <v>14</v>
      </c>
    </row>
    <row r="5029" x14ac:dyDescent="0.25">
      <c r="A5029" t="n">
        <v>25</v>
      </c>
      <c r="B5029" t="s">
        <v>14</v>
      </c>
      <c r="C5029" t="s">
        <v>51</v>
      </c>
      <c r="D5029" s="2" t="s">
        <f>=HYPERLINK("https://main.knesset.gov.il/APPS/legislation/main/bills/2202661", "הצעת חוק-יסוד: הממשלה (תיקון - איסור חקירה פלילית נגד ראש הממשלה במהלך תקופת כהונתו)")</f>
        <v>10374</v>
      </c>
      <c r="E5029" t="s">
        <v>10374</v>
      </c>
      <c r="F5029" t="s">
        <v>10375</v>
      </c>
      <c r="G5029" t="s">
        <v>14</v>
      </c>
      <c r="H5029">
             </c>
      <c r="I5029" t="s">
        <v>14</v>
      </c>
      <c r="J5029" t="s">
        <v>242</v>
      </c>
      <c r="K5029" t="s">
        <v>14</v>
      </c>
      <c r="L5029" t="s">
        <v>20</v>
      </c>
      <c r="M5029" t="s">
        <v>10345</v>
      </c>
      <c r="N5029" t="s">
        <v>14</v>
      </c>
    </row>
    <row r="5030" x14ac:dyDescent="0.25">
      <c r="A5030" t="n">
        <v>25</v>
      </c>
      <c r="B5030" t="s">
        <v>14</v>
      </c>
      <c r="C5030" t="s">
        <v>51</v>
      </c>
      <c r="D5030" s="2" t="s">
        <f>=HYPERLINK("https://main.knesset.gov.il/APPS/legislation/main/bills/2201626", "הצעת חוק הביטוח הלאומי (תיקון - תשלום דמי אבטלה לנשים שיצאו לחופשה ללא תשלום לאחר לידה), התשפ""ג-2023")</f>
        <v>9509</v>
      </c>
      <c r="E5030" t="s">
        <v>9509</v>
      </c>
      <c r="F5030" t="s">
        <v>10376</v>
      </c>
      <c r="G5030" t="s">
        <v>14</v>
      </c>
      <c r="H5030">
             </c>
      <c r="I5030" t="s">
        <v>14</v>
      </c>
      <c r="J5030" t="s">
        <v>242</v>
      </c>
      <c r="K5030" t="s">
        <v>14</v>
      </c>
      <c r="L5030" t="s">
        <v>20</v>
      </c>
      <c r="M5030" t="s">
        <v>10345</v>
      </c>
      <c r="N5030" t="s">
        <v>14</v>
      </c>
    </row>
    <row r="5031" x14ac:dyDescent="0.25">
      <c r="A5031" t="n">
        <v>25</v>
      </c>
      <c r="B5031" t="s">
        <v>14</v>
      </c>
      <c r="C5031" t="s">
        <v>51</v>
      </c>
      <c r="D5031" s="2" t="s">
        <f>=HYPERLINK("https://main.knesset.gov.il/APPS/legislation/main/bills/2202275", "הצעת חוק דמי מחלה (היעדרות בשל מחלת ילד) (תיקון - היעדרות בשל אשפוז פג), התשפ""ג-2023")</f>
        <v>9564</v>
      </c>
      <c r="E5031" t="s">
        <v>9564</v>
      </c>
      <c r="F5031" t="s">
        <v>10377</v>
      </c>
      <c r="G5031" t="s">
        <v>14</v>
      </c>
      <c r="H5031">
             </c>
      <c r="I5031" t="s">
        <v>14</v>
      </c>
      <c r="J5031" t="s">
        <v>242</v>
      </c>
      <c r="K5031" t="s">
        <v>14</v>
      </c>
      <c r="L5031" t="s">
        <v>20</v>
      </c>
      <c r="M5031" t="s">
        <v>10345</v>
      </c>
      <c r="N5031" t="s">
        <v>14</v>
      </c>
    </row>
    <row r="5032" x14ac:dyDescent="0.25">
      <c r="A5032" t="n">
        <v>25</v>
      </c>
      <c r="B5032" t="s">
        <v>14</v>
      </c>
      <c r="C5032" t="s">
        <v>51</v>
      </c>
      <c r="D5032" s="2" t="s">
        <f>=HYPERLINK("https://main.knesset.gov.il/APPS/legislation/main/bills/2202190", "הצעת חוק דמי מחלה עבור מלווה בן משפחה לבדיקה רפואית (תיקוני חקיקה), התשפ""ג-2023")</f>
        <v>10298</v>
      </c>
      <c r="E5032" t="s">
        <v>10298</v>
      </c>
      <c r="F5032" t="s">
        <v>10378</v>
      </c>
      <c r="G5032" t="s">
        <v>14</v>
      </c>
      <c r="H5032">
             </c>
      <c r="I5032" t="s">
        <v>14</v>
      </c>
      <c r="J5032" t="s">
        <v>242</v>
      </c>
      <c r="K5032" t="s">
        <v>14</v>
      </c>
      <c r="L5032" t="s">
        <v>20</v>
      </c>
      <c r="M5032" t="s">
        <v>10345</v>
      </c>
      <c r="N5032" t="s">
        <v>14</v>
      </c>
    </row>
    <row r="5033" x14ac:dyDescent="0.25">
      <c r="A5033" t="n">
        <v>25</v>
      </c>
      <c r="B5033" t="s">
        <v>14</v>
      </c>
      <c r="C5033" t="s">
        <v>51</v>
      </c>
      <c r="D5033" s="2" t="s">
        <f>=HYPERLINK("https://main.knesset.gov.il/APPS/legislation/main/bills/2202169", "הצעת חוק דמי מחלה (היעדרות בשל מחלת ילד) (תיקון - היעדרות בשל אשפוז ילד), התשפ""ג-2023")</f>
        <v>10379</v>
      </c>
      <c r="E5033" t="s">
        <v>10379</v>
      </c>
      <c r="F5033" t="s">
        <v>10380</v>
      </c>
      <c r="G5033" t="s">
        <v>14</v>
      </c>
      <c r="H5033">
             </c>
      <c r="I5033" t="s">
        <v>14</v>
      </c>
      <c r="J5033" t="s">
        <v>242</v>
      </c>
      <c r="K5033" t="s">
        <v>14</v>
      </c>
      <c r="L5033" t="s">
        <v>20</v>
      </c>
      <c r="M5033" t="s">
        <v>10345</v>
      </c>
      <c r="N5033" t="s">
        <v>14</v>
      </c>
    </row>
    <row r="5034" x14ac:dyDescent="0.25">
      <c r="A5034" t="n">
        <v>25</v>
      </c>
      <c r="B5034" t="s">
        <v>14</v>
      </c>
      <c r="C5034" t="s">
        <v>51</v>
      </c>
      <c r="D5034" s="2" t="s">
        <f>=HYPERLINK("https://main.knesset.gov.il/APPS/legislation/main/bills/2202168", "הצעת חוק הביטוח הלאומי (תיקון - התפטרות הורה על מנת לטפל בילדו), התשפ""ג-2023")</f>
        <v>10381</v>
      </c>
      <c r="E5034" t="s">
        <v>10381</v>
      </c>
      <c r="F5034" t="s">
        <v>10382</v>
      </c>
      <c r="G5034" t="s">
        <v>14</v>
      </c>
      <c r="H5034">
             </c>
      <c r="I5034" t="s">
        <v>14</v>
      </c>
      <c r="J5034" t="s">
        <v>242</v>
      </c>
      <c r="K5034" t="s">
        <v>14</v>
      </c>
      <c r="L5034" t="s">
        <v>20</v>
      </c>
      <c r="M5034" t="s">
        <v>10345</v>
      </c>
      <c r="N5034" t="s">
        <v>14</v>
      </c>
    </row>
    <row r="5035" x14ac:dyDescent="0.25">
      <c r="A5035" t="n">
        <v>25</v>
      </c>
      <c r="B5035" t="s">
        <v>14</v>
      </c>
      <c r="C5035" t="s">
        <v>51</v>
      </c>
      <c r="D5035" s="2" t="s">
        <f>=HYPERLINK("https://main.knesset.gov.il/APPS/legislation/main/bills/2201220", "הצעת חוק הביטוח הלאומי (תיקון - קצבת ילדים כפולה בלידת תאומים או יותר), התשפ""ג-2023")</f>
        <v>8206</v>
      </c>
      <c r="E5035" t="s">
        <v>8206</v>
      </c>
      <c r="F5035" t="s">
        <v>10383</v>
      </c>
      <c r="G5035" t="s">
        <v>14</v>
      </c>
      <c r="H5035">
             </c>
      <c r="I5035" t="s">
        <v>14</v>
      </c>
      <c r="J5035" t="s">
        <v>242</v>
      </c>
      <c r="K5035" t="s">
        <v>14</v>
      </c>
      <c r="L5035" t="s">
        <v>20</v>
      </c>
      <c r="M5035" t="s">
        <v>10345</v>
      </c>
      <c r="N5035" t="s">
        <v>14</v>
      </c>
    </row>
    <row r="5036" x14ac:dyDescent="0.25">
      <c r="A5036" t="n">
        <v>25</v>
      </c>
      <c r="B5036" t="s">
        <v>14</v>
      </c>
      <c r="C5036" t="s">
        <v>51</v>
      </c>
      <c r="D5036" s="2" t="s">
        <f>=HYPERLINK("https://main.knesset.gov.il/APPS/legislation/main/bills/2201231", "הצעת חוק הביטוח הלאומי (תיקון - השוואת קצבת אזרח ותיק לשכר המינימום), התשפ""ג-2023")</f>
        <v>10384</v>
      </c>
      <c r="E5036" t="s">
        <v>10384</v>
      </c>
      <c r="F5036" t="s">
        <v>10385</v>
      </c>
      <c r="G5036" t="s">
        <v>14</v>
      </c>
      <c r="H5036">
             </c>
      <c r="I5036" t="s">
        <v>14</v>
      </c>
      <c r="J5036" t="s">
        <v>242</v>
      </c>
      <c r="K5036" t="s">
        <v>14</v>
      </c>
      <c r="L5036" t="s">
        <v>20</v>
      </c>
      <c r="M5036" t="s">
        <v>10345</v>
      </c>
      <c r="N5036" t="s">
        <v>14</v>
      </c>
    </row>
    <row r="5037" x14ac:dyDescent="0.25">
      <c r="A5037" t="n">
        <v>25</v>
      </c>
      <c r="B5037" t="s">
        <v>14</v>
      </c>
      <c r="C5037" t="s">
        <v>51</v>
      </c>
      <c r="D5037" s="2" t="s">
        <f>=HYPERLINK("https://main.knesset.gov.il/APPS/legislation/main/bills/2200717", "הצעת חוק הביטוח הלאומי (תיקון - מענק לכיסוי הוצאות בלידת בית), התשפ""ג-2023")</f>
        <v>9876</v>
      </c>
      <c r="E5037" t="s">
        <v>9876</v>
      </c>
      <c r="F5037" t="s">
        <v>10386</v>
      </c>
      <c r="G5037" t="s">
        <v>14</v>
      </c>
      <c r="H5037">
             </c>
      <c r="I5037" t="s">
        <v>14</v>
      </c>
      <c r="J5037" t="s">
        <v>242</v>
      </c>
      <c r="K5037" t="s">
        <v>14</v>
      </c>
      <c r="L5037" t="s">
        <v>20</v>
      </c>
      <c r="M5037" t="s">
        <v>10345</v>
      </c>
      <c r="N5037" t="s">
        <v>14</v>
      </c>
    </row>
    <row r="5038" x14ac:dyDescent="0.25">
      <c r="A5038" t="n">
        <v>25</v>
      </c>
      <c r="B5038" t="s">
        <v>14</v>
      </c>
      <c r="C5038" t="s">
        <v>51</v>
      </c>
      <c r="D5038" s="2" t="s">
        <f>=HYPERLINK("https://main.knesset.gov.il/APPS/legislation/main/bills/2202674", "הצעת חוק החברות הממשלתיות (תיקון - ביטול מעורבות רשות החברות הממשלתיות במינוי דירקטורים), התשפ""ג-2023")</f>
        <v>10387</v>
      </c>
      <c r="E5038" t="s">
        <v>10387</v>
      </c>
      <c r="F5038" t="s">
        <v>10388</v>
      </c>
      <c r="G5038" t="s">
        <v>14</v>
      </c>
      <c r="H5038">
             </c>
      <c r="I5038" t="s">
        <v>14</v>
      </c>
      <c r="J5038" t="s">
        <v>242</v>
      </c>
      <c r="K5038" t="s">
        <v>14</v>
      </c>
      <c r="L5038" t="s">
        <v>20</v>
      </c>
      <c r="M5038" t="s">
        <v>10345</v>
      </c>
      <c r="N5038" t="s">
        <v>14</v>
      </c>
    </row>
    <row r="5039" x14ac:dyDescent="0.25">
      <c r="A5039" t="n">
        <v>25</v>
      </c>
      <c r="B5039" t="s">
        <v>14</v>
      </c>
      <c r="C5039" t="s">
        <v>51</v>
      </c>
      <c r="D5039" s="2" t="s">
        <f>=HYPERLINK("https://main.knesset.gov.il/APPS/legislation/main/bills/2202087", "הצעת חוק התכנון והבנייה (תיקון - ייצוג הולם לאוכלוסייה הערבית במוסדות התכנון), התשפ""ג-2023")</f>
        <v>10389</v>
      </c>
      <c r="E5039" t="s">
        <v>10389</v>
      </c>
      <c r="F5039" t="s">
        <v>10390</v>
      </c>
      <c r="G5039" t="s">
        <v>14</v>
      </c>
      <c r="H5039">
             </c>
      <c r="I5039" t="s">
        <v>14</v>
      </c>
      <c r="J5039" t="s">
        <v>202</v>
      </c>
      <c r="K5039" t="s">
        <v>14</v>
      </c>
      <c r="L5039" t="s">
        <v>20</v>
      </c>
      <c r="M5039" t="s">
        <v>10345</v>
      </c>
      <c r="N5039" t="s">
        <v>14</v>
      </c>
    </row>
    <row r="5040" x14ac:dyDescent="0.25">
      <c r="A5040" t="n">
        <v>25</v>
      </c>
      <c r="B5040" t="s">
        <v>14</v>
      </c>
      <c r="C5040" t="s">
        <v>51</v>
      </c>
      <c r="D5040" s="2" t="s">
        <f>=HYPERLINK("https://main.knesset.gov.il/APPS/legislation/main/bills/2202552", "הצעת חוק סדר הדין הפלילי (תיקון - מועד תשלום הקנס), התשפ""ג-2023")</f>
        <v>10265</v>
      </c>
      <c r="E5040" t="s">
        <v>10265</v>
      </c>
      <c r="F5040" t="s">
        <v>10391</v>
      </c>
      <c r="G5040" t="s">
        <v>14</v>
      </c>
      <c r="H5040">
             </c>
      <c r="I5040" t="s">
        <v>14</v>
      </c>
      <c r="J5040" t="s">
        <v>242</v>
      </c>
      <c r="K5040" t="s">
        <v>14</v>
      </c>
      <c r="L5040" t="s">
        <v>20</v>
      </c>
      <c r="M5040" t="s">
        <v>10345</v>
      </c>
      <c r="N5040" t="s">
        <v>14</v>
      </c>
    </row>
    <row r="5041" x14ac:dyDescent="0.25">
      <c r="A5041" t="n">
        <v>25</v>
      </c>
      <c r="B5041" t="s">
        <v>14</v>
      </c>
      <c r="C5041" t="s">
        <v>51</v>
      </c>
      <c r="D5041" s="2" t="s">
        <f>=HYPERLINK("https://main.knesset.gov.il/APPS/legislation/main/bills/2202729", "הצעת חוק העונשין (תיקון - איסור הנפת דגל של רשות עוינת), התשפ""ג-2023")</f>
        <v>10392</v>
      </c>
      <c r="E5041" t="s">
        <v>10392</v>
      </c>
      <c r="F5041" t="s">
        <v>10393</v>
      </c>
      <c r="G5041" t="s">
        <v>14</v>
      </c>
      <c r="H5041">
             </c>
      <c r="I5041" t="s">
        <v>14</v>
      </c>
      <c r="J5041" t="s">
        <v>242</v>
      </c>
      <c r="K5041" t="s">
        <v>14</v>
      </c>
      <c r="L5041" t="s">
        <v>20</v>
      </c>
      <c r="M5041" t="s">
        <v>10345</v>
      </c>
      <c r="N5041" t="s">
        <v>14</v>
      </c>
    </row>
    <row r="5042" x14ac:dyDescent="0.25">
      <c r="A5042" t="n">
        <v>25</v>
      </c>
      <c r="B5042" t="s">
        <v>14</v>
      </c>
      <c r="C5042" t="s">
        <v>51</v>
      </c>
      <c r="D5042" s="2" t="s">
        <f>=HYPERLINK("https://main.knesset.gov.il/APPS/legislation/main/bills/2202696", "הצעת חוק הסיוע המשפטי (תיקון - סיוע משפטי לנפגעי הונאה ועושק), התשפ""ג-2023")</f>
        <v>8297</v>
      </c>
      <c r="E5042" t="s">
        <v>8297</v>
      </c>
      <c r="F5042" t="s">
        <v>10394</v>
      </c>
      <c r="G5042" t="s">
        <v>14</v>
      </c>
      <c r="H5042">
             </c>
      <c r="I5042" t="s">
        <v>14</v>
      </c>
      <c r="J5042" t="s">
        <v>202</v>
      </c>
      <c r="K5042" t="s">
        <v>14</v>
      </c>
      <c r="L5042" t="s">
        <v>20</v>
      </c>
      <c r="M5042" t="s">
        <v>10345</v>
      </c>
      <c r="N5042" t="s">
        <v>14</v>
      </c>
    </row>
    <row r="5043" x14ac:dyDescent="0.25">
      <c r="A5043" t="n">
        <v>25</v>
      </c>
      <c r="B5043" t="s">
        <v>14</v>
      </c>
      <c r="C5043" t="s">
        <v>51</v>
      </c>
      <c r="D5043" s="2" t="s">
        <f>=HYPERLINK("https://main.knesset.gov.il/APPS/legislation/main/bills/2202594", "הצעת חוק ההוצאה לפועל (תיקון - הקפאת ריבית פיגורים בימי שביתה), התשפ""ג-2023")</f>
        <v>10395</v>
      </c>
      <c r="E5043" t="s">
        <v>10395</v>
      </c>
      <c r="F5043" t="s">
        <v>10396</v>
      </c>
      <c r="G5043" t="s">
        <v>14</v>
      </c>
      <c r="H5043">
             </c>
      <c r="I5043" t="s">
        <v>14</v>
      </c>
      <c r="J5043" t="s">
        <v>242</v>
      </c>
      <c r="K5043" t="s">
        <v>14</v>
      </c>
      <c r="L5043" t="s">
        <v>20</v>
      </c>
      <c r="M5043" t="s">
        <v>10345</v>
      </c>
      <c r="N5043" t="s">
        <v>14</v>
      </c>
    </row>
    <row r="5044" x14ac:dyDescent="0.25">
      <c r="A5044" t="n">
        <v>25</v>
      </c>
      <c r="B5044" t="s">
        <v>14</v>
      </c>
      <c r="C5044" t="s">
        <v>51</v>
      </c>
      <c r="D5044" s="2" t="s">
        <f>=HYPERLINK("https://main.knesset.gov.il/APPS/legislation/main/bills/2201097", "הצעת חוק לתיקון פקודת מס הכנסה (הטבות במס במועצות אזוריות בעלות רוב מוטב), התשפ""ג-2023 ")</f>
        <v>10397</v>
      </c>
      <c r="E5044" t="s">
        <v>10397</v>
      </c>
      <c r="F5044" t="s">
        <v>10398</v>
      </c>
      <c r="G5044" t="s">
        <v>14</v>
      </c>
      <c r="H5044">
             </c>
      <c r="I5044" t="s">
        <v>14</v>
      </c>
      <c r="J5044" t="s">
        <v>202</v>
      </c>
      <c r="K5044" t="s">
        <v>14</v>
      </c>
      <c r="L5044" t="s">
        <v>20</v>
      </c>
      <c r="M5044" t="s">
        <v>10345</v>
      </c>
      <c r="N5044" t="s">
        <v>14</v>
      </c>
    </row>
    <row r="5045" x14ac:dyDescent="0.25">
      <c r="A5045" t="n">
        <v>25</v>
      </c>
      <c r="B5045" t="s">
        <v>14</v>
      </c>
      <c r="C5045" t="s">
        <v>51</v>
      </c>
      <c r="D5045" s="2" t="s">
        <f>=HYPERLINK("https://main.knesset.gov.il/APPS/legislation/main/bills/2202640", "הצעת חוק העונשין (תיקון - הפחתת ריבית פיגורים בשל אי-תשלום קנס), התשפ""ג-2023")</f>
        <v>10399</v>
      </c>
      <c r="E5045" t="s">
        <v>10399</v>
      </c>
      <c r="F5045" t="s">
        <v>10400</v>
      </c>
      <c r="G5045" t="s">
        <v>14</v>
      </c>
      <c r="H5045">
             </c>
      <c r="I5045" t="s">
        <v>14</v>
      </c>
      <c r="J5045" t="s">
        <v>242</v>
      </c>
      <c r="K5045" t="s">
        <v>14</v>
      </c>
      <c r="L5045" t="s">
        <v>20</v>
      </c>
      <c r="M5045" t="s">
        <v>10345</v>
      </c>
      <c r="N5045" t="s">
        <v>14</v>
      </c>
    </row>
    <row r="5046" x14ac:dyDescent="0.25">
      <c r="A5046" t="n">
        <v>25</v>
      </c>
      <c r="B5046" t="s">
        <v>14</v>
      </c>
      <c r="C5046" t="s">
        <v>51</v>
      </c>
      <c r="D5046" s="2" t="s">
        <f>=HYPERLINK("https://main.knesset.gov.il/APPS/legislation/main/bills/2201663", "הצעת חוק מס הכנסה (פטור ממס על הכנסה מהשכרת דירת מגורים) (תיקון - ניכוי דמי שכירות ששולמו בעד דירת מגורים), התשפ""ג-2023")</f>
        <v>10401</v>
      </c>
      <c r="E5046" t="s">
        <v>10401</v>
      </c>
      <c r="F5046" t="s">
        <v>10402</v>
      </c>
      <c r="G5046" t="s">
        <v>14</v>
      </c>
      <c r="H5046">
             </c>
      <c r="I5046" t="s">
        <v>14</v>
      </c>
      <c r="J5046" t="s">
        <v>242</v>
      </c>
      <c r="K5046" t="s">
        <v>14</v>
      </c>
      <c r="L5046" t="s">
        <v>20</v>
      </c>
      <c r="M5046" t="s">
        <v>10345</v>
      </c>
      <c r="N5046" t="s">
        <v>14</v>
      </c>
    </row>
    <row r="5047" x14ac:dyDescent="0.25">
      <c r="A5047" t="n">
        <v>25</v>
      </c>
      <c r="B5047" t="s">
        <v>14</v>
      </c>
      <c r="C5047" t="s">
        <v>51</v>
      </c>
      <c r="D5047" s="2" t="s">
        <f>=HYPERLINK("https://main.knesset.gov.il/APPS/legislation/main/bills/2202738", "הצעת חוק הפחתת תוספות פיגור שנוספו על קנסות הנגבים בידי המרכז לגביית קנסות, אגרות והוצאות (הוראת שעה), התשפ""ג-2023")</f>
        <v>10403</v>
      </c>
      <c r="E5047" t="s">
        <v>10403</v>
      </c>
      <c r="F5047" t="s">
        <v>10404</v>
      </c>
      <c r="G5047" t="s">
        <v>14</v>
      </c>
      <c r="H5047">
             </c>
      <c r="I5047" t="s">
        <v>14</v>
      </c>
      <c r="J5047" t="s">
        <v>242</v>
      </c>
      <c r="K5047" t="s">
        <v>14</v>
      </c>
      <c r="L5047" t="s">
        <v>20</v>
      </c>
      <c r="M5047" t="s">
        <v>10345</v>
      </c>
      <c r="N5047" t="s">
        <v>14</v>
      </c>
    </row>
    <row r="5048" x14ac:dyDescent="0.25">
      <c r="A5048" t="n">
        <v>25</v>
      </c>
      <c r="B5048" t="s">
        <v>14</v>
      </c>
      <c r="C5048" t="s">
        <v>51</v>
      </c>
      <c r="D5048" s="2" t="s">
        <f>=HYPERLINK("https://main.knesset.gov.il/APPS/legislation/main/bills/2202043", "הצעת חוק הכשרות המשפטית והאפוטרופסות (תיקון - שלילת אפוטרופסות בשל עבירת מעשה מגונה בנסיבות מחמירות), התשפ""ג-2023")</f>
        <v>8687</v>
      </c>
      <c r="E5048" t="s">
        <v>8687</v>
      </c>
      <c r="F5048" t="s">
        <v>10405</v>
      </c>
      <c r="G5048" t="s">
        <v>14</v>
      </c>
      <c r="H5048">
             </c>
      <c r="I5048" t="s">
        <v>14</v>
      </c>
      <c r="J5048" t="s">
        <v>242</v>
      </c>
      <c r="K5048" t="s">
        <v>14</v>
      </c>
      <c r="L5048" t="s">
        <v>20</v>
      </c>
      <c r="M5048" t="s">
        <v>10345</v>
      </c>
      <c r="N5048" t="s">
        <v>14</v>
      </c>
    </row>
    <row r="5049" x14ac:dyDescent="0.25">
      <c r="A5049" t="n">
        <v>25</v>
      </c>
      <c r="B5049" t="s">
        <v>14</v>
      </c>
      <c r="C5049" t="s">
        <v>51</v>
      </c>
      <c r="D5049" s="2" t="s">
        <f>=HYPERLINK("https://main.knesset.gov.il/APPS/legislation/main/bills/2202518", "הצעת חוק לתיקון פקודת מסי העירייה ומסי הממשלה (פטורין) (פטור מארנונה למעון), התשפ""ג-2023")</f>
        <v>10406</v>
      </c>
      <c r="E5049" t="s">
        <v>10406</v>
      </c>
      <c r="F5049" t="s">
        <v>10407</v>
      </c>
      <c r="G5049" t="s">
        <v>14</v>
      </c>
      <c r="H5049">
             </c>
      <c r="I5049" t="s">
        <v>14</v>
      </c>
      <c r="J5049" t="s">
        <v>242</v>
      </c>
      <c r="K5049" t="s">
        <v>14</v>
      </c>
      <c r="L5049" t="s">
        <v>20</v>
      </c>
      <c r="M5049" t="s">
        <v>10345</v>
      </c>
      <c r="N5049" t="s">
        <v>14</v>
      </c>
    </row>
    <row r="5050" x14ac:dyDescent="0.25">
      <c r="A5050" t="n">
        <v>25</v>
      </c>
      <c r="B5050" t="s">
        <v>14</v>
      </c>
      <c r="C5050" t="s">
        <v>51</v>
      </c>
      <c r="D5050" s="2" t="s">
        <f>=HYPERLINK("https://main.knesset.gov.il/APPS/legislation/main/bills/2201881", "הצעת חוק מיסוי מקרקעין (שבח ורכישה) (תיקון - דירה שאינה בבעלותם המשותפת של בני זוג), התשפ""ג-2023")</f>
        <v>10408</v>
      </c>
      <c r="E5050" t="s">
        <v>10408</v>
      </c>
      <c r="F5050" t="s">
        <v>10409</v>
      </c>
      <c r="G5050" t="s">
        <v>14</v>
      </c>
      <c r="H5050">
             </c>
      <c r="I5050" t="s">
        <v>14</v>
      </c>
      <c r="J5050" t="s">
        <v>242</v>
      </c>
      <c r="K5050" t="s">
        <v>14</v>
      </c>
      <c r="L5050" t="s">
        <v>20</v>
      </c>
      <c r="M5050" t="s">
        <v>10345</v>
      </c>
      <c r="N5050" t="s">
        <v>14</v>
      </c>
    </row>
    <row r="5051" x14ac:dyDescent="0.25">
      <c r="A5051" t="n">
        <v>25</v>
      </c>
      <c r="B5051" t="s">
        <v>14</v>
      </c>
      <c r="C5051" t="s">
        <v>51</v>
      </c>
      <c r="D5051" s="2" t="s">
        <f>=HYPERLINK("https://main.knesset.gov.il/APPS/legislation/main/bills/2201723", "הצעת חוק לתיקון פקודת הבנקאות (תקופת צינון למפקח על הבנקים), התשפ""ג-2023")</f>
        <v>10410</v>
      </c>
      <c r="E5051" t="s">
        <v>10410</v>
      </c>
      <c r="F5051" t="s">
        <v>10411</v>
      </c>
      <c r="G5051" t="s">
        <v>14</v>
      </c>
      <c r="H5051">
             </c>
      <c r="I5051" t="s">
        <v>14</v>
      </c>
      <c r="J5051" t="s">
        <v>242</v>
      </c>
      <c r="K5051" t="s">
        <v>14</v>
      </c>
      <c r="L5051" t="s">
        <v>20</v>
      </c>
      <c r="M5051" t="s">
        <v>10345</v>
      </c>
      <c r="N5051" t="s">
        <v>14</v>
      </c>
    </row>
    <row r="5052" x14ac:dyDescent="0.25">
      <c r="A5052" t="n">
        <v>25</v>
      </c>
      <c r="B5052" t="s">
        <v>14</v>
      </c>
      <c r="C5052" t="s">
        <v>51</v>
      </c>
      <c r="D5052" s="2" t="s">
        <f>=HYPERLINK("https://main.knesset.gov.il/APPS/legislation/main/bills/2198506", "הצעת חוק לתיקון פקודת מס הכנסה (נקודות זיכוי למשפחות אומנה), התשפ""ג-2023")</f>
        <v>10412</v>
      </c>
      <c r="E5052" t="s">
        <v>10412</v>
      </c>
      <c r="F5052" t="s">
        <v>10413</v>
      </c>
      <c r="G5052" t="s">
        <v>14</v>
      </c>
      <c r="H5052">
             </c>
      <c r="I5052" t="s">
        <v>14</v>
      </c>
      <c r="J5052" t="s">
        <v>242</v>
      </c>
      <c r="K5052" t="s">
        <v>14</v>
      </c>
      <c r="L5052" t="s">
        <v>20</v>
      </c>
      <c r="M5052" t="s">
        <v>10345</v>
      </c>
      <c r="N5052" t="s">
        <v>14</v>
      </c>
    </row>
    <row r="5053" x14ac:dyDescent="0.25">
      <c r="A5053" t="n">
        <v>25</v>
      </c>
      <c r="B5053" t="s">
        <v>14</v>
      </c>
      <c r="C5053" t="s">
        <v>51</v>
      </c>
      <c r="D5053" s="2" t="s">
        <f>=HYPERLINK("https://main.knesset.gov.il/APPS/legislation/main/bills/2202308", "הצעת חוק לתיקון פקודת מס הכנסה (זיכוי בעד לימודי תואר ראשון), התשפ""ג-2023")</f>
        <v>10414</v>
      </c>
      <c r="E5053" t="s">
        <v>10414</v>
      </c>
      <c r="F5053" t="s">
        <v>10415</v>
      </c>
      <c r="G5053" t="s">
        <v>14</v>
      </c>
      <c r="H5053">
             </c>
      <c r="I5053" t="s">
        <v>14</v>
      </c>
      <c r="J5053" t="s">
        <v>242</v>
      </c>
      <c r="K5053" t="s">
        <v>14</v>
      </c>
      <c r="L5053" t="s">
        <v>20</v>
      </c>
      <c r="M5053" t="s">
        <v>10345</v>
      </c>
      <c r="N5053" t="s">
        <v>14</v>
      </c>
    </row>
    <row r="5054" x14ac:dyDescent="0.25">
      <c r="A5054" t="n">
        <v>25</v>
      </c>
      <c r="B5054" t="s">
        <v>14</v>
      </c>
      <c r="C5054" t="s">
        <v>51</v>
      </c>
      <c r="D5054" s="2" t="s">
        <f>=HYPERLINK("https://main.knesset.gov.il/APPS/legislation/main/bills/2202371", "הצעת חוק העונשין (תיקון - חסימת כבישים), התשפ""ג-2023")</f>
        <v>10416</v>
      </c>
      <c r="E5054" t="s">
        <v>10416</v>
      </c>
      <c r="F5054" t="s">
        <v>10417</v>
      </c>
      <c r="G5054" t="s">
        <v>14</v>
      </c>
      <c r="H5054">
             </c>
      <c r="I5054" t="s">
        <v>14</v>
      </c>
      <c r="J5054" t="s">
        <v>1372</v>
      </c>
      <c r="K5054" t="s">
        <v>14</v>
      </c>
      <c r="L5054" t="s">
        <v>20</v>
      </c>
      <c r="M5054" t="s">
        <v>10345</v>
      </c>
      <c r="N5054" t="s">
        <v>14</v>
      </c>
    </row>
    <row r="5055" x14ac:dyDescent="0.25">
      <c r="A5055" t="n">
        <v>25</v>
      </c>
      <c r="B5055" t="s">
        <v>14</v>
      </c>
      <c r="C5055" t="s">
        <v>51</v>
      </c>
      <c r="D5055" s="2" t="s">
        <f>=HYPERLINK("https://main.knesset.gov.il/APPS/legislation/main/bills/2201857", "הצעת חוק הרשויות המקומיות (פטור חיילים, נפגעי מלחמה ושוטרים מארנונה) (תיקון - הארכת תקופת פטור מארנונה לחיילים בודדים), התשפ""ג-2023")</f>
        <v>10418</v>
      </c>
      <c r="E5055" t="s">
        <v>10418</v>
      </c>
      <c r="F5055" t="s">
        <v>10419</v>
      </c>
      <c r="G5055" t="s">
        <v>14</v>
      </c>
      <c r="H5055">
             </c>
      <c r="I5055" t="s">
        <v>14</v>
      </c>
      <c r="J5055" t="s">
        <v>242</v>
      </c>
      <c r="K5055" t="s">
        <v>14</v>
      </c>
      <c r="L5055" t="s">
        <v>20</v>
      </c>
      <c r="M5055" t="s">
        <v>10345</v>
      </c>
      <c r="N5055" t="s">
        <v>14</v>
      </c>
    </row>
    <row r="5056" x14ac:dyDescent="0.25">
      <c r="A5056" t="n">
        <v>25</v>
      </c>
      <c r="B5056" t="s">
        <v>14</v>
      </c>
      <c r="C5056" t="s">
        <v>51</v>
      </c>
      <c r="D5056" s="2" t="s">
        <f>=HYPERLINK("https://main.knesset.gov.il/APPS/legislation/main/bills/2200389", "הצעת חוק ביטול עונש המוות (תיקוני חקיקה), התשפ""ג-2023")</f>
        <v>10420</v>
      </c>
      <c r="E5056" t="s">
        <v>10420</v>
      </c>
      <c r="F5056" t="s">
        <v>10421</v>
      </c>
      <c r="G5056" t="s">
        <v>14</v>
      </c>
      <c r="H5056">
             </c>
      <c r="I5056" t="s">
        <v>14</v>
      </c>
      <c r="J5056" t="s">
        <v>242</v>
      </c>
      <c r="K5056" t="s">
        <v>14</v>
      </c>
      <c r="L5056" t="s">
        <v>20</v>
      </c>
      <c r="M5056" t="s">
        <v>10345</v>
      </c>
      <c r="N5056" t="s">
        <v>14</v>
      </c>
    </row>
    <row r="5057" x14ac:dyDescent="0.25">
      <c r="A5057" t="n">
        <v>25</v>
      </c>
      <c r="B5057" t="s">
        <v>14</v>
      </c>
      <c r="C5057" t="s">
        <v>51</v>
      </c>
      <c r="D5057" s="2" t="s">
        <f>=HYPERLINK("https://main.knesset.gov.il/APPS/legislation/main/bills/2202531", "הצעת חוק מס להפחתת גודש התנועה באזור גוש דן (תיקון - ביטול החוק), התשפ""ג-2023")</f>
        <v>10422</v>
      </c>
      <c r="E5057" t="s">
        <v>10422</v>
      </c>
      <c r="F5057" t="s">
        <v>10423</v>
      </c>
      <c r="G5057" t="s">
        <v>14</v>
      </c>
      <c r="H5057">
             </c>
      <c r="I5057" t="s">
        <v>14</v>
      </c>
      <c r="J5057" t="s">
        <v>242</v>
      </c>
      <c r="K5057" t="s">
        <v>14</v>
      </c>
      <c r="L5057" t="s">
        <v>20</v>
      </c>
      <c r="M5057" t="s">
        <v>10345</v>
      </c>
      <c r="N5057" t="s">
        <v>14</v>
      </c>
    </row>
    <row r="5058" x14ac:dyDescent="0.25">
      <c r="A5058" t="n">
        <v>25</v>
      </c>
      <c r="B5058" t="s">
        <v>14</v>
      </c>
      <c r="C5058" t="s">
        <v>51</v>
      </c>
      <c r="D5058" s="2" t="s">
        <f>=HYPERLINK("https://main.knesset.gov.il/APPS/legislation/main/bills/2201593", "הצעת חוק העונשין (תיקון - קביעת עונשים מזעריים לעבירות מין), התשפ""ג-2023")</f>
        <v>10424</v>
      </c>
      <c r="E5058" t="s">
        <v>10424</v>
      </c>
      <c r="F5058" t="s">
        <v>10425</v>
      </c>
      <c r="G5058" t="s">
        <v>14</v>
      </c>
      <c r="H5058">
             </c>
      <c r="I5058" t="s">
        <v>14</v>
      </c>
      <c r="J5058" t="s">
        <v>202</v>
      </c>
      <c r="K5058" t="s">
        <v>14</v>
      </c>
      <c r="L5058" t="s">
        <v>20</v>
      </c>
      <c r="M5058" t="s">
        <v>10345</v>
      </c>
      <c r="N5058" t="s">
        <v>14</v>
      </c>
    </row>
    <row r="5059" x14ac:dyDescent="0.25">
      <c r="A5059" t="n">
        <v>25</v>
      </c>
      <c r="B5059" t="s">
        <v>14</v>
      </c>
      <c r="C5059" t="s">
        <v>51</v>
      </c>
      <c r="D5059" s="2" t="s">
        <f>=HYPERLINK("https://main.knesset.gov.il/APPS/legislation/main/bills/2202534", "הצעת חוק הסדרים במשק המדינה (תיקוני חקיקה להשגת יעדי התקציב) (תיקון - חובת הענקת הנחה בארנונה לאדם בעל מוגבלות), התשפ""ג-2023")</f>
        <v>10426</v>
      </c>
      <c r="E5059" t="s">
        <v>10426</v>
      </c>
      <c r="F5059" t="s">
        <v>10427</v>
      </c>
      <c r="G5059" t="s">
        <v>14</v>
      </c>
      <c r="H5059">
             </c>
      <c r="I5059" t="s">
        <v>14</v>
      </c>
      <c r="J5059" t="s">
        <v>242</v>
      </c>
      <c r="K5059" t="s">
        <v>14</v>
      </c>
      <c r="L5059" t="s">
        <v>20</v>
      </c>
      <c r="M5059" t="s">
        <v>10345</v>
      </c>
      <c r="N5059" t="s">
        <v>14</v>
      </c>
    </row>
    <row r="5060" x14ac:dyDescent="0.25">
      <c r="A5060" t="n">
        <v>25</v>
      </c>
      <c r="B5060" t="s">
        <v>14</v>
      </c>
      <c r="C5060" t="s">
        <v>51</v>
      </c>
      <c r="D5060" s="2" t="s">
        <f>=HYPERLINK("https://main.knesset.gov.il/APPS/legislation/main/bills/2200868", "הצעת חוק לעידוד השקעות בשכירות ארוכת טווח (תיקוני חקיקה), התשפ""ג-2023")</f>
        <v>10428</v>
      </c>
      <c r="E5060" t="s">
        <v>10428</v>
      </c>
      <c r="F5060" t="s">
        <v>10429</v>
      </c>
      <c r="G5060" t="s">
        <v>14</v>
      </c>
      <c r="H5060">
             </c>
      <c r="I5060" t="s">
        <v>14</v>
      </c>
      <c r="J5060" t="s">
        <v>242</v>
      </c>
      <c r="K5060" t="s">
        <v>14</v>
      </c>
      <c r="L5060" t="s">
        <v>20</v>
      </c>
      <c r="M5060" t="s">
        <v>10345</v>
      </c>
      <c r="N5060" t="s">
        <v>14</v>
      </c>
    </row>
    <row r="5061" x14ac:dyDescent="0.25">
      <c r="A5061" t="n">
        <v>25</v>
      </c>
      <c r="B5061" t="s">
        <v>14</v>
      </c>
      <c r="C5061" t="s">
        <v>20</v>
      </c>
      <c r="D5061" s="2" t="s">
        <f>=HYPERLINK("https://main.knesset.gov.il/APPS/legislation/main/bills/2201660", "הצעת חוק-יסוד: השפיטה (תיקון מס' 4) (ביקורת שיפוטית בעניין תוקפו של חוק)")</f>
        <v>10430</v>
      </c>
      <c r="E5061" t="s">
        <v>10430</v>
      </c>
      <c r="F5061" t="s">
        <v>14</v>
      </c>
      <c r="G5061" t="s">
        <v>10431</v>
      </c>
      <c r="H5061">
             </c>
      <c r="I5061" t="s">
        <v>14</v>
      </c>
      <c r="J5061" t="s">
        <v>38</v>
      </c>
      <c r="K5061" t="s">
        <v>27</v>
      </c>
      <c r="L5061" t="s">
        <v>20</v>
      </c>
      <c r="M5061" t="s">
        <v>10345</v>
      </c>
      <c r="N5061" t="s">
        <v>14</v>
      </c>
    </row>
    <row r="5062" x14ac:dyDescent="0.25">
      <c r="A5062" t="n">
        <v>25</v>
      </c>
      <c r="B5062" t="s">
        <v>14</v>
      </c>
      <c r="C5062" t="s">
        <v>51</v>
      </c>
      <c r="D5062" s="2" t="s">
        <f>=HYPERLINK("https://main.knesset.gov.il/APPS/legislation/main/bills/2198761", "הצעת חוק יישום תוכנית ההתנתקות (תיקון - ביטול סעיפי הפינוי), התשפ""ג-2023")</f>
        <v>10432</v>
      </c>
      <c r="E5062" t="s">
        <v>10432</v>
      </c>
      <c r="F5062" t="s">
        <v>10433</v>
      </c>
      <c r="G5062" t="s">
        <v>14</v>
      </c>
      <c r="H5062">
             </c>
      <c r="I5062" t="s">
        <v>14</v>
      </c>
      <c r="J5062" t="s">
        <v>183</v>
      </c>
      <c r="K5062" t="s">
        <v>39</v>
      </c>
      <c r="L5062" t="s">
        <v>20</v>
      </c>
      <c r="M5062" t="s">
        <v>10434</v>
      </c>
      <c r="N5062" t="s">
        <v>14</v>
      </c>
    </row>
    <row r="5063" x14ac:dyDescent="0.25">
      <c r="A5063" t="n">
        <v>25</v>
      </c>
      <c r="B5063" t="s">
        <v>14</v>
      </c>
      <c r="C5063" t="s">
        <v>51</v>
      </c>
      <c r="D5063" s="2" t="s">
        <f>=HYPERLINK("https://main.knesset.gov.il/APPS/legislation/main/bills/2201860", "הצעת חוק פיצויי פיטורים (תיקון - התפטרות בשל השתתפות במכינה קדם צבאית), התשפ""ג-2023")</f>
        <v>10435</v>
      </c>
      <c r="E5063" t="s">
        <v>10435</v>
      </c>
      <c r="F5063" t="s">
        <v>10436</v>
      </c>
      <c r="G5063" t="s">
        <v>14</v>
      </c>
      <c r="H5063">
             </c>
      <c r="I5063" t="s">
        <v>14</v>
      </c>
      <c r="J5063" t="s">
        <v>242</v>
      </c>
      <c r="K5063" t="s">
        <v>14</v>
      </c>
      <c r="L5063" t="s">
        <v>20</v>
      </c>
      <c r="M5063" t="s">
        <v>10437</v>
      </c>
      <c r="N5063" t="s">
        <v>14</v>
      </c>
    </row>
    <row r="5064" x14ac:dyDescent="0.25">
      <c r="A5064" t="n">
        <v>25</v>
      </c>
      <c r="B5064" t="s">
        <v>14</v>
      </c>
      <c r="C5064" t="s">
        <v>51</v>
      </c>
      <c r="D5064" s="2" t="s">
        <f>=HYPERLINK("https://main.knesset.gov.il/APPS/legislation/main/bills/2202151", "הצעת חוק סיוע לצעירים חסרי עורף משפחתי, התשפ""ג-2023")</f>
        <v>10438</v>
      </c>
      <c r="E5064" t="s">
        <v>10438</v>
      </c>
      <c r="F5064" t="s">
        <v>10439</v>
      </c>
      <c r="G5064" t="s">
        <v>14</v>
      </c>
      <c r="H5064">
             </c>
      <c r="I5064" t="s">
        <v>14</v>
      </c>
      <c r="J5064" t="s">
        <v>202</v>
      </c>
      <c r="K5064" t="s">
        <v>14</v>
      </c>
      <c r="L5064" t="s">
        <v>20</v>
      </c>
      <c r="M5064" t="s">
        <v>10437</v>
      </c>
      <c r="N5064" t="s">
        <v>14</v>
      </c>
    </row>
    <row r="5065" x14ac:dyDescent="0.25">
      <c r="A5065" t="n">
        <v>25</v>
      </c>
      <c r="B5065" t="s">
        <v>14</v>
      </c>
      <c r="C5065" t="s">
        <v>51</v>
      </c>
      <c r="D5065" s="2" t="s">
        <f>=HYPERLINK("https://main.knesset.gov.il/APPS/legislation/main/bills/2201961", "הצעת חוק האזרחים הוותיקים (תיקון - חניה חינם לאזרח ותיק שמלאו לו 75 שנים), התשפ""ג-2023")</f>
        <v>10205</v>
      </c>
      <c r="E5065" t="s">
        <v>10205</v>
      </c>
      <c r="F5065" t="s">
        <v>10440</v>
      </c>
      <c r="G5065" t="s">
        <v>14</v>
      </c>
      <c r="H5065">
             </c>
      <c r="I5065" t="s">
        <v>14</v>
      </c>
      <c r="J5065" t="s">
        <v>242</v>
      </c>
      <c r="K5065" t="s">
        <v>14</v>
      </c>
      <c r="L5065" t="s">
        <v>20</v>
      </c>
      <c r="M5065" t="s">
        <v>10437</v>
      </c>
      <c r="N5065" t="s">
        <v>14</v>
      </c>
    </row>
    <row r="5066" x14ac:dyDescent="0.25">
      <c r="A5066" t="n">
        <v>25</v>
      </c>
      <c r="B5066" t="s">
        <v>14</v>
      </c>
      <c r="C5066" t="s">
        <v>51</v>
      </c>
      <c r="D5066" s="2" t="s">
        <f>=HYPERLINK("https://main.knesset.gov.il/APPS/legislation/main/bills/2201828", "הצעת חוק עבודת נשים (תיקון - הארכת תקופת הלידה וההורות להורי פעוט עם מוגבלות מורכבת), התשפ""ג-2023")</f>
        <v>3878</v>
      </c>
      <c r="E5066" t="s">
        <v>3878</v>
      </c>
      <c r="F5066" t="s">
        <v>10441</v>
      </c>
      <c r="G5066" t="s">
        <v>14</v>
      </c>
      <c r="H5066">
             </c>
      <c r="I5066" t="s">
        <v>14</v>
      </c>
      <c r="J5066" t="s">
        <v>242</v>
      </c>
      <c r="K5066" t="s">
        <v>14</v>
      </c>
      <c r="L5066" t="s">
        <v>20</v>
      </c>
      <c r="M5066" t="s">
        <v>10437</v>
      </c>
      <c r="N5066" t="s">
        <v>14</v>
      </c>
    </row>
    <row r="5067" x14ac:dyDescent="0.25">
      <c r="A5067" t="n">
        <v>25</v>
      </c>
      <c r="B5067" t="s">
        <v>14</v>
      </c>
      <c r="C5067" t="s">
        <v>51</v>
      </c>
      <c r="D5067" s="2" t="s">
        <f>=HYPERLINK("https://main.knesset.gov.il/APPS/legislation/main/bills/2202292", "הצעת חוק סיוע למשפחות ברוכות ילדים (תיקוני חקיקה), התשפ""ג-2023")</f>
        <v>9730</v>
      </c>
      <c r="E5067" t="s">
        <v>9730</v>
      </c>
      <c r="F5067" t="s">
        <v>10442</v>
      </c>
      <c r="G5067" t="s">
        <v>14</v>
      </c>
      <c r="H5067">
             </c>
      <c r="I5067" t="s">
        <v>14</v>
      </c>
      <c r="J5067" t="s">
        <v>242</v>
      </c>
      <c r="K5067" t="s">
        <v>14</v>
      </c>
      <c r="L5067" t="s">
        <v>20</v>
      </c>
      <c r="M5067" t="s">
        <v>10437</v>
      </c>
      <c r="N5067" t="s">
        <v>14</v>
      </c>
    </row>
    <row r="5068" x14ac:dyDescent="0.25">
      <c r="A5068" t="n">
        <v>25</v>
      </c>
      <c r="B5068" t="s">
        <v>14</v>
      </c>
      <c r="C5068" t="s">
        <v>51</v>
      </c>
      <c r="D5068" s="2" t="s">
        <f>=HYPERLINK("https://main.knesset.gov.il/APPS/legislation/main/bills/2202156", "הצעת חוק הביטוח הלאומי (תיקון - תשלום גמלת ילד נכה לאומן בעד ילד הנמצא אצלו באומנה), התשפ""ג-2023")</f>
        <v>7469</v>
      </c>
      <c r="E5068" t="s">
        <v>7469</v>
      </c>
      <c r="F5068" t="s">
        <v>10443</v>
      </c>
      <c r="G5068" t="s">
        <v>14</v>
      </c>
      <c r="H5068">
             </c>
      <c r="I5068" t="s">
        <v>14</v>
      </c>
      <c r="J5068" t="s">
        <v>242</v>
      </c>
      <c r="K5068" t="s">
        <v>14</v>
      </c>
      <c r="L5068" t="s">
        <v>20</v>
      </c>
      <c r="M5068" t="s">
        <v>10437</v>
      </c>
      <c r="N5068" t="s">
        <v>14</v>
      </c>
    </row>
    <row r="5069" x14ac:dyDescent="0.25">
      <c r="A5069" t="n">
        <v>25</v>
      </c>
      <c r="B5069" t="s">
        <v>14</v>
      </c>
      <c r="C5069" t="s">
        <v>51</v>
      </c>
      <c r="D5069" s="2" t="s">
        <f>=HYPERLINK("https://main.knesset.gov.il/APPS/legislation/main/bills/2200709", "הצעת חוק שירותי הדת היהודיים (תיקון - ביטול המועצות הדתיות), התשפ""ג-2023")</f>
        <v>10444</v>
      </c>
      <c r="E5069" t="s">
        <v>10444</v>
      </c>
      <c r="F5069" t="s">
        <v>10445</v>
      </c>
      <c r="G5069" t="s">
        <v>14</v>
      </c>
      <c r="H5069">
             </c>
      <c r="I5069" t="s">
        <v>14</v>
      </c>
      <c r="J5069" t="s">
        <v>242</v>
      </c>
      <c r="K5069" t="s">
        <v>14</v>
      </c>
      <c r="L5069" t="s">
        <v>20</v>
      </c>
      <c r="M5069" t="s">
        <v>10437</v>
      </c>
      <c r="N5069" t="s">
        <v>14</v>
      </c>
    </row>
    <row r="5070" x14ac:dyDescent="0.25">
      <c r="A5070" t="n">
        <v>25</v>
      </c>
      <c r="B5070" t="s">
        <v>14</v>
      </c>
      <c r="C5070" t="s">
        <v>51</v>
      </c>
      <c r="D5070" s="2" t="s">
        <f>=HYPERLINK("https://main.knesset.gov.il/APPS/legislation/main/bills/2201135", "הצעת חוק לקידום התחרות ולצמצום הריכוזיות (תיקון - קביעת תאגיד שאינו מדווח או שותפות כחברת שכבה), התשפ""ג-2023")</f>
        <v>10446</v>
      </c>
      <c r="E5070" t="s">
        <v>10446</v>
      </c>
      <c r="F5070" t="s">
        <v>10447</v>
      </c>
      <c r="G5070" t="s">
        <v>14</v>
      </c>
      <c r="H5070">
             </c>
      <c r="I5070" t="s">
        <v>14</v>
      </c>
      <c r="J5070" t="s">
        <v>242</v>
      </c>
      <c r="K5070" t="s">
        <v>14</v>
      </c>
      <c r="L5070" t="s">
        <v>20</v>
      </c>
      <c r="M5070" t="s">
        <v>10437</v>
      </c>
      <c r="N5070" t="s">
        <v>14</v>
      </c>
    </row>
    <row r="5071" x14ac:dyDescent="0.25">
      <c r="A5071" t="n">
        <v>25</v>
      </c>
      <c r="B5071" t="s">
        <v>14</v>
      </c>
      <c r="C5071" t="s">
        <v>51</v>
      </c>
      <c r="D5071" s="2" t="s">
        <f>=HYPERLINK("https://main.knesset.gov.il/APPS/legislation/main/bills/2202191", "הצעת חוק זכויות החולה (תיקון - טיפול בזמן סביר), התשפ""ג-2023")</f>
        <v>4059</v>
      </c>
      <c r="E5071" t="s">
        <v>4059</v>
      </c>
      <c r="F5071" t="s">
        <v>10448</v>
      </c>
      <c r="G5071" t="s">
        <v>14</v>
      </c>
      <c r="H5071">
             </c>
      <c r="I5071" t="s">
        <v>14</v>
      </c>
      <c r="J5071" t="s">
        <v>242</v>
      </c>
      <c r="K5071" t="s">
        <v>14</v>
      </c>
      <c r="L5071" t="s">
        <v>20</v>
      </c>
      <c r="M5071" t="s">
        <v>10437</v>
      </c>
      <c r="N5071" t="s">
        <v>14</v>
      </c>
    </row>
    <row r="5072" x14ac:dyDescent="0.25">
      <c r="A5072" t="n">
        <v>25</v>
      </c>
      <c r="B5072" t="s">
        <v>14</v>
      </c>
      <c r="C5072" t="s">
        <v>51</v>
      </c>
      <c r="D5072" s="2" t="s">
        <f>=HYPERLINK("https://main.knesset.gov.il/APPS/legislation/main/bills/2202103", "הצעת חוק יישום הסכם הביניים בדבר הגדה המערבית ורצועת עזה (הגבלת פעילות) (תיקון - עונשין על קיום פעילות וחובות דיווח לכנסת), התשפ""ג-2023")</f>
        <v>10449</v>
      </c>
      <c r="E5072" t="s">
        <v>10449</v>
      </c>
      <c r="F5072" t="s">
        <v>10450</v>
      </c>
      <c r="G5072" t="s">
        <v>14</v>
      </c>
      <c r="H5072">
             </c>
      <c r="I5072" t="s">
        <v>14</v>
      </c>
      <c r="J5072" t="s">
        <v>242</v>
      </c>
      <c r="K5072" t="s">
        <v>14</v>
      </c>
      <c r="L5072" t="s">
        <v>20</v>
      </c>
      <c r="M5072" t="s">
        <v>10437</v>
      </c>
      <c r="N5072" t="s">
        <v>14</v>
      </c>
    </row>
    <row r="5073" x14ac:dyDescent="0.25">
      <c r="A5073" t="n">
        <v>25</v>
      </c>
      <c r="B5073" t="s">
        <v>14</v>
      </c>
      <c r="C5073" t="s">
        <v>51</v>
      </c>
      <c r="D5073" s="2" t="s">
        <f>=HYPERLINK("https://main.knesset.gov.il/APPS/legislation/main/bills/2200845", "הצעת חוק הביטוח הלאומי (תיקון - הגבלת קצבאות הילדים), התשפ""ג-2023")</f>
        <v>10451</v>
      </c>
      <c r="E5073" t="s">
        <v>10451</v>
      </c>
      <c r="F5073" t="s">
        <v>10452</v>
      </c>
      <c r="G5073" t="s">
        <v>14</v>
      </c>
      <c r="H5073">
             </c>
      <c r="I5073" t="s">
        <v>14</v>
      </c>
      <c r="J5073" t="s">
        <v>242</v>
      </c>
      <c r="K5073" t="s">
        <v>14</v>
      </c>
      <c r="L5073" t="s">
        <v>20</v>
      </c>
      <c r="M5073" t="s">
        <v>10437</v>
      </c>
      <c r="N5073" t="s">
        <v>14</v>
      </c>
    </row>
    <row r="5074" x14ac:dyDescent="0.25">
      <c r="A5074" t="n">
        <v>25</v>
      </c>
      <c r="B5074" t="s">
        <v>14</v>
      </c>
      <c r="C5074" t="s">
        <v>51</v>
      </c>
      <c r="D5074" s="2" t="s">
        <f>=HYPERLINK("https://main.knesset.gov.il/APPS/legislation/main/bills/2200355", "הצעת חוק הצבת מכשירי החייאה במקומות ציבוריים (תיקון - צעדים ליישום מיטבי של החוק), התשפ""ג-2023")</f>
        <v>10453</v>
      </c>
      <c r="E5074" t="s">
        <v>10453</v>
      </c>
      <c r="F5074" t="s">
        <v>10454</v>
      </c>
      <c r="G5074" t="s">
        <v>14</v>
      </c>
      <c r="H5074">
             </c>
      <c r="I5074" t="s">
        <v>14</v>
      </c>
      <c r="J5074" t="s">
        <v>242</v>
      </c>
      <c r="K5074" t="s">
        <v>14</v>
      </c>
      <c r="L5074" t="s">
        <v>20</v>
      </c>
      <c r="M5074" t="s">
        <v>10437</v>
      </c>
      <c r="N5074" t="s">
        <v>14</v>
      </c>
    </row>
    <row r="5075" x14ac:dyDescent="0.25">
      <c r="A5075" t="n">
        <v>25</v>
      </c>
      <c r="B5075" t="s">
        <v>14</v>
      </c>
      <c r="C5075" t="s">
        <v>51</v>
      </c>
      <c r="D5075" s="2" t="s">
        <f>=HYPERLINK("https://main.knesset.gov.il/APPS/legislation/main/bills/2201545", "הצעת חוק ניירות ערך (תיקון - קנס מוגדל בגין הרצת מניות), התשפ""ג-2023")</f>
        <v>10455</v>
      </c>
      <c r="E5075" t="s">
        <v>10455</v>
      </c>
      <c r="F5075" t="s">
        <v>10456</v>
      </c>
      <c r="G5075" t="s">
        <v>14</v>
      </c>
      <c r="H5075">
             </c>
      <c r="I5075" t="s">
        <v>14</v>
      </c>
      <c r="J5075" t="s">
        <v>242</v>
      </c>
      <c r="K5075" t="s">
        <v>14</v>
      </c>
      <c r="L5075" t="s">
        <v>20</v>
      </c>
      <c r="M5075" t="s">
        <v>10437</v>
      </c>
      <c r="N5075" t="s">
        <v>14</v>
      </c>
    </row>
    <row r="5076" x14ac:dyDescent="0.25">
      <c r="A5076" t="n">
        <v>25</v>
      </c>
      <c r="B5076" t="s">
        <v>14</v>
      </c>
      <c r="C5076" t="s">
        <v>51</v>
      </c>
      <c r="D5076" s="2" t="s">
        <f>=HYPERLINK("https://main.knesset.gov.il/APPS/legislation/main/bills/2201952", "הצעת חוק ביטוח בריאות ממלכתי (תיקון - החזר הוצאות עבור נסיעה באמבולנס), התשפ""ג-2023")</f>
        <v>10457</v>
      </c>
      <c r="E5076" t="s">
        <v>10457</v>
      </c>
      <c r="F5076" t="s">
        <v>10458</v>
      </c>
      <c r="G5076" t="s">
        <v>14</v>
      </c>
      <c r="H5076">
             </c>
      <c r="I5076" t="s">
        <v>14</v>
      </c>
      <c r="J5076" t="s">
        <v>242</v>
      </c>
      <c r="K5076" t="s">
        <v>14</v>
      </c>
      <c r="L5076" t="s">
        <v>20</v>
      </c>
      <c r="M5076" t="s">
        <v>10437</v>
      </c>
      <c r="N5076" t="s">
        <v>14</v>
      </c>
    </row>
    <row r="5077" x14ac:dyDescent="0.25">
      <c r="A5077" t="n">
        <v>25</v>
      </c>
      <c r="B5077" t="s">
        <v>14</v>
      </c>
      <c r="C5077" t="s">
        <v>51</v>
      </c>
      <c r="D5077" s="2" t="s">
        <f>=HYPERLINK("https://main.knesset.gov.il/APPS/legislation/main/bills/2201175", "הצעת חוק ביטוח בריאות ממלכתי (תיקון - החזר הוצאות עבור נסיעה באמבולנס), התשפ""ג-2023")</f>
        <v>10457</v>
      </c>
      <c r="E5077" t="s">
        <v>10457</v>
      </c>
      <c r="F5077" t="s">
        <v>10459</v>
      </c>
      <c r="G5077" t="s">
        <v>14</v>
      </c>
      <c r="H5077">
             </c>
      <c r="I5077" t="s">
        <v>14</v>
      </c>
      <c r="J5077" t="s">
        <v>242</v>
      </c>
      <c r="K5077" t="s">
        <v>14</v>
      </c>
      <c r="L5077" t="s">
        <v>20</v>
      </c>
      <c r="M5077" t="s">
        <v>10437</v>
      </c>
      <c r="N5077" t="s">
        <v>14</v>
      </c>
    </row>
    <row r="5078" x14ac:dyDescent="0.25">
      <c r="A5078" t="n">
        <v>25</v>
      </c>
      <c r="B5078" t="s">
        <v>14</v>
      </c>
      <c r="C5078" t="s">
        <v>51</v>
      </c>
      <c r="D5078" s="2" t="s">
        <f>=HYPERLINK("https://main.knesset.gov.il/APPS/legislation/main/bills/2202127", "הצעת חוק הביטוח הלאומי (תיקון - תשלום תוספת לגמלת אזרח ותיק לנכה שהכנסתו נמוכה משכר המינימום), התשפ""ג-2023")</f>
        <v>9916</v>
      </c>
      <c r="E5078" t="s">
        <v>9916</v>
      </c>
      <c r="F5078" t="s">
        <v>10460</v>
      </c>
      <c r="G5078" t="s">
        <v>14</v>
      </c>
      <c r="H5078">
             </c>
      <c r="I5078" t="s">
        <v>14</v>
      </c>
      <c r="J5078" t="s">
        <v>242</v>
      </c>
      <c r="K5078" t="s">
        <v>14</v>
      </c>
      <c r="L5078" t="s">
        <v>20</v>
      </c>
      <c r="M5078" t="s">
        <v>10437</v>
      </c>
      <c r="N5078" t="s">
        <v>14</v>
      </c>
    </row>
    <row r="5079" x14ac:dyDescent="0.25">
      <c r="A5079" t="n">
        <v>25</v>
      </c>
      <c r="B5079" t="s">
        <v>14</v>
      </c>
      <c r="C5079" t="s">
        <v>51</v>
      </c>
      <c r="D5079" s="2" t="s">
        <f>=HYPERLINK("https://main.knesset.gov.il/APPS/legislation/main/bills/2202463", "הצעת חוק לתיקון פקודת העיריות (ייצוג הולם בשמות מקומות ציבוריים), התשפ""ג-2023")</f>
        <v>10188</v>
      </c>
      <c r="E5079" t="s">
        <v>10188</v>
      </c>
      <c r="F5079" t="s">
        <v>10461</v>
      </c>
      <c r="G5079" t="s">
        <v>14</v>
      </c>
      <c r="H5079">
             </c>
      <c r="I5079" t="s">
        <v>14</v>
      </c>
      <c r="J5079" t="s">
        <v>242</v>
      </c>
      <c r="K5079" t="s">
        <v>14</v>
      </c>
      <c r="L5079" t="s">
        <v>20</v>
      </c>
      <c r="M5079" t="s">
        <v>10437</v>
      </c>
      <c r="N5079" t="s">
        <v>14</v>
      </c>
    </row>
    <row r="5080" x14ac:dyDescent="0.25">
      <c r="A5080" t="n">
        <v>25</v>
      </c>
      <c r="B5080" t="s">
        <v>14</v>
      </c>
      <c r="C5080" t="s">
        <v>51</v>
      </c>
      <c r="D5080" s="2" t="s">
        <f>=HYPERLINK("https://main.knesset.gov.il/APPS/legislation/main/bills/2199500", "הצעת חוק לימודי בטיחות בדרכים בבתי ספר, התשפ""ג-2023")</f>
        <v>10462</v>
      </c>
      <c r="E5080" t="s">
        <v>10462</v>
      </c>
      <c r="F5080" t="s">
        <v>10463</v>
      </c>
      <c r="G5080" t="s">
        <v>14</v>
      </c>
      <c r="H5080">
             </c>
      <c r="I5080" t="s">
        <v>14</v>
      </c>
      <c r="J5080" t="s">
        <v>242</v>
      </c>
      <c r="K5080" t="s">
        <v>14</v>
      </c>
      <c r="L5080" t="s">
        <v>20</v>
      </c>
      <c r="M5080" t="s">
        <v>10437</v>
      </c>
      <c r="N5080" t="s">
        <v>14</v>
      </c>
    </row>
    <row r="5081" x14ac:dyDescent="0.25">
      <c r="A5081" t="n">
        <v>25</v>
      </c>
      <c r="B5081" t="s">
        <v>14</v>
      </c>
      <c r="C5081" t="s">
        <v>51</v>
      </c>
      <c r="D5081" s="2" t="s">
        <f>=HYPERLINK("https://main.knesset.gov.il/APPS/legislation/main/bills/2201197", "הצעת חוק לימוד חובה (תיקון - חובת לימודי ליבה), התשפ""ג-2023")</f>
        <v>10464</v>
      </c>
      <c r="E5081" t="s">
        <v>10464</v>
      </c>
      <c r="F5081" t="s">
        <v>10465</v>
      </c>
      <c r="G5081" t="s">
        <v>14</v>
      </c>
      <c r="H5081">
             </c>
      <c r="I5081" t="s">
        <v>14</v>
      </c>
      <c r="J5081" t="s">
        <v>242</v>
      </c>
      <c r="K5081" t="s">
        <v>14</v>
      </c>
      <c r="L5081" t="s">
        <v>20</v>
      </c>
      <c r="M5081" t="s">
        <v>10437</v>
      </c>
      <c r="N5081" t="s">
        <v>14</v>
      </c>
    </row>
    <row r="5082" x14ac:dyDescent="0.25">
      <c r="A5082" t="n">
        <v>25</v>
      </c>
      <c r="B5082" t="s">
        <v>14</v>
      </c>
      <c r="C5082" t="s">
        <v>51</v>
      </c>
      <c r="D5082" s="2" t="s">
        <f>=HYPERLINK("https://main.knesset.gov.il/APPS/legislation/main/bills/2201743", "הצעת חוק גנים לאומיים, שמורות טבע, אתרים לאומיים ואתרי הנצחה (תיקון - מניעת שוד והרס אתרי מורשת והעצמת תשתיות במדבר יהודה, ביהודה והשומרון ובקעת הירדן), התשפ""ג-2023")</f>
        <v>10466</v>
      </c>
      <c r="E5082" t="s">
        <v>10466</v>
      </c>
      <c r="F5082" t="s">
        <v>10467</v>
      </c>
      <c r="G5082" t="s">
        <v>14</v>
      </c>
      <c r="H5082">
             </c>
      <c r="I5082" t="s">
        <v>14</v>
      </c>
      <c r="J5082" t="s">
        <v>242</v>
      </c>
      <c r="K5082" t="s">
        <v>14</v>
      </c>
      <c r="L5082" t="s">
        <v>20</v>
      </c>
      <c r="M5082" t="s">
        <v>10437</v>
      </c>
      <c r="N5082" t="s">
        <v>14</v>
      </c>
    </row>
    <row r="5083" x14ac:dyDescent="0.25">
      <c r="A5083" t="n">
        <v>25</v>
      </c>
      <c r="B5083" t="s">
        <v>14</v>
      </c>
      <c r="C5083" t="s">
        <v>51</v>
      </c>
      <c r="D5083" s="2" t="s">
        <f>=HYPERLINK("https://main.knesset.gov.il/APPS/legislation/main/bills/2201865", "הצעת חוק כלי הירייה (תיקון - דמויי כלי ירייה), התשפ""ג-2023")</f>
        <v>10062</v>
      </c>
      <c r="E5083" t="s">
        <v>10062</v>
      </c>
      <c r="F5083" t="s">
        <v>10468</v>
      </c>
      <c r="G5083" t="s">
        <v>14</v>
      </c>
      <c r="H5083">
             </c>
      <c r="I5083" t="s">
        <v>14</v>
      </c>
      <c r="J5083" t="s">
        <v>242</v>
      </c>
      <c r="K5083" t="s">
        <v>14</v>
      </c>
      <c r="L5083" t="s">
        <v>20</v>
      </c>
      <c r="M5083" t="s">
        <v>10437</v>
      </c>
      <c r="N5083" t="s">
        <v>14</v>
      </c>
    </row>
    <row r="5084" x14ac:dyDescent="0.25">
      <c r="A5084" t="n">
        <v>25</v>
      </c>
      <c r="B5084" t="s">
        <v>14</v>
      </c>
      <c r="C5084" t="s">
        <v>51</v>
      </c>
      <c r="D5084" s="2" t="s">
        <f>=HYPERLINK("https://main.knesset.gov.il/APPS/legislation/main/bills/2201910", "הצעת חוק שריון איסור הפליה על רקע נטייה מינית או זהות מגדרית (תיקוני חקיקה), התשפ""ג-2023")</f>
        <v>10469</v>
      </c>
      <c r="E5084" t="s">
        <v>10469</v>
      </c>
      <c r="F5084" t="s">
        <v>10470</v>
      </c>
      <c r="G5084" t="s">
        <v>14</v>
      </c>
      <c r="H5084">
             </c>
      <c r="I5084" t="s">
        <v>14</v>
      </c>
      <c r="J5084" t="s">
        <v>242</v>
      </c>
      <c r="K5084" t="s">
        <v>14</v>
      </c>
      <c r="L5084" t="s">
        <v>20</v>
      </c>
      <c r="M5084" t="s">
        <v>10437</v>
      </c>
      <c r="N5084" t="s">
        <v>14</v>
      </c>
    </row>
    <row r="5085" x14ac:dyDescent="0.25">
      <c r="A5085" t="n">
        <v>25</v>
      </c>
      <c r="B5085" t="s">
        <v>14</v>
      </c>
      <c r="C5085" t="s">
        <v>51</v>
      </c>
      <c r="D5085" s="2" t="s">
        <f>=HYPERLINK("https://main.knesset.gov.il/APPS/legislation/main/bills/2198466", "הצעת חוק המלחמה בפדופיליה (מאגר מידע), התשפ""ג-2023")</f>
        <v>10471</v>
      </c>
      <c r="E5085" t="s">
        <v>10471</v>
      </c>
      <c r="F5085" t="s">
        <v>10472</v>
      </c>
      <c r="G5085" t="s">
        <v>14</v>
      </c>
      <c r="H5085">
             </c>
      <c r="I5085" t="s">
        <v>14</v>
      </c>
      <c r="J5085" t="s">
        <v>242</v>
      </c>
      <c r="K5085" t="s">
        <v>14</v>
      </c>
      <c r="L5085" t="s">
        <v>20</v>
      </c>
      <c r="M5085" t="s">
        <v>10437</v>
      </c>
      <c r="N5085" t="s">
        <v>14</v>
      </c>
    </row>
    <row r="5086" x14ac:dyDescent="0.25">
      <c r="A5086" t="n">
        <v>25</v>
      </c>
      <c r="B5086" t="s">
        <v>14</v>
      </c>
      <c r="C5086" t="s">
        <v>51</v>
      </c>
      <c r="D5086" s="2" t="s">
        <f>=HYPERLINK("https://main.knesset.gov.il/APPS/legislation/main/bills/2201312", "הצעת חוק המועצה להשכלה גבוהה (תיקון - שכר לימוד לסטודנטים יהודים זכאי חוק השבות), התשפ""ג-2023")</f>
        <v>10473</v>
      </c>
      <c r="E5086" t="s">
        <v>10473</v>
      </c>
      <c r="F5086" t="s">
        <v>10474</v>
      </c>
      <c r="G5086" t="s">
        <v>14</v>
      </c>
      <c r="H5086">
             </c>
      <c r="I5086" t="s">
        <v>14</v>
      </c>
      <c r="J5086" t="s">
        <v>242</v>
      </c>
      <c r="K5086" t="s">
        <v>14</v>
      </c>
      <c r="L5086" t="s">
        <v>20</v>
      </c>
      <c r="M5086" t="s">
        <v>10437</v>
      </c>
      <c r="N5086" t="s">
        <v>14</v>
      </c>
    </row>
    <row r="5087" x14ac:dyDescent="0.25">
      <c r="A5087" t="n">
        <v>25</v>
      </c>
      <c r="B5087" t="s">
        <v>14</v>
      </c>
      <c r="C5087" t="s">
        <v>51</v>
      </c>
      <c r="D5087" s="2" t="s">
        <f>=HYPERLINK("https://main.knesset.gov.il/APPS/legislation/main/bills/2201867", "הצעת חוק הביטוח הלאומי (תיקון - טיפול בפעוטות במעונות יום כעבודה מועדפת), התשפ""ג-2023")</f>
        <v>10017</v>
      </c>
      <c r="E5087" t="s">
        <v>10017</v>
      </c>
      <c r="F5087" t="s">
        <v>10475</v>
      </c>
      <c r="G5087" t="s">
        <v>14</v>
      </c>
      <c r="H5087">
             </c>
      <c r="I5087" t="s">
        <v>14</v>
      </c>
      <c r="J5087" t="s">
        <v>242</v>
      </c>
      <c r="K5087" t="s">
        <v>14</v>
      </c>
      <c r="L5087" t="s">
        <v>20</v>
      </c>
      <c r="M5087" t="s">
        <v>10437</v>
      </c>
      <c r="N5087" t="s">
        <v>14</v>
      </c>
    </row>
    <row r="5088" x14ac:dyDescent="0.25">
      <c r="A5088" t="n">
        <v>25</v>
      </c>
      <c r="B5088" t="s">
        <v>14</v>
      </c>
      <c r="C5088" t="s">
        <v>51</v>
      </c>
      <c r="D5088" s="2" t="s">
        <f>=HYPERLINK("https://main.knesset.gov.il/APPS/legislation/main/bills/2202004", "הצעת חוק ביטוח בריאות ממלכתי (תיקון - העברת תיק רפואי במעבר בין קופות), התשפ""ג-2023")</f>
        <v>10476</v>
      </c>
      <c r="E5088" t="s">
        <v>10476</v>
      </c>
      <c r="F5088" t="s">
        <v>10477</v>
      </c>
      <c r="G5088" t="s">
        <v>14</v>
      </c>
      <c r="H5088">
             </c>
      <c r="I5088" t="s">
        <v>14</v>
      </c>
      <c r="J5088" t="s">
        <v>242</v>
      </c>
      <c r="K5088" t="s">
        <v>14</v>
      </c>
      <c r="L5088" t="s">
        <v>20</v>
      </c>
      <c r="M5088" t="s">
        <v>10437</v>
      </c>
      <c r="N5088" t="s">
        <v>14</v>
      </c>
    </row>
    <row r="5089" x14ac:dyDescent="0.25">
      <c r="A5089" t="n">
        <v>25</v>
      </c>
      <c r="B5089" t="s">
        <v>14</v>
      </c>
      <c r="C5089" t="s">
        <v>51</v>
      </c>
      <c r="D5089" s="2" t="s">
        <f>=HYPERLINK("https://main.knesset.gov.il/APPS/legislation/main/bills/2201862", "הצעת חוק הסדרת מקומות רחצה (תיקון – קביעת מקומות לרחצה נפרדת), התשפ""ג–2023")</f>
        <v>10478</v>
      </c>
      <c r="E5089" t="s">
        <v>10478</v>
      </c>
      <c r="F5089" t="s">
        <v>10479</v>
      </c>
      <c r="G5089" t="s">
        <v>14</v>
      </c>
      <c r="H5089">
             </c>
      <c r="I5089" t="s">
        <v>14</v>
      </c>
      <c r="J5089" t="s">
        <v>242</v>
      </c>
      <c r="K5089" t="s">
        <v>14</v>
      </c>
      <c r="L5089" t="s">
        <v>20</v>
      </c>
      <c r="M5089" t="s">
        <v>10437</v>
      </c>
      <c r="N5089" t="s">
        <v>14</v>
      </c>
    </row>
    <row r="5090" x14ac:dyDescent="0.25">
      <c r="A5090" t="n">
        <v>25</v>
      </c>
      <c r="B5090" t="s">
        <v>14</v>
      </c>
      <c r="C5090" t="s">
        <v>51</v>
      </c>
      <c r="D5090" s="2" t="s">
        <f>=HYPERLINK("https://main.knesset.gov.il/APPS/legislation/main/bills/2202530", "הצעת חוק שירותי הדת היהודיים (תיקון - סכום ההשתתפות בהוצאות התקציב של מועצה דתית), התשפ""ג-2023")</f>
        <v>10480</v>
      </c>
      <c r="E5090" t="s">
        <v>10480</v>
      </c>
      <c r="F5090" t="s">
        <v>10481</v>
      </c>
      <c r="G5090" t="s">
        <v>14</v>
      </c>
      <c r="H5090">
             </c>
      <c r="I5090" t="s">
        <v>14</v>
      </c>
      <c r="J5090" t="s">
        <v>242</v>
      </c>
      <c r="K5090" t="s">
        <v>14</v>
      </c>
      <c r="L5090" t="s">
        <v>20</v>
      </c>
      <c r="M5090" t="s">
        <v>10437</v>
      </c>
      <c r="N5090" t="s">
        <v>14</v>
      </c>
    </row>
    <row r="5091" x14ac:dyDescent="0.25">
      <c r="A5091" t="n">
        <v>25</v>
      </c>
      <c r="B5091" t="s">
        <v>14</v>
      </c>
      <c r="C5091" t="s">
        <v>51</v>
      </c>
      <c r="D5091" s="2" t="s">
        <f>=HYPERLINK("https://main.knesset.gov.il/APPS/legislation/main/bills/2202017", "הצעת חוק להגדלת שיעור ההשתתפות בכוח העבודה ולצמצום פערים חברתיים (מענק עבודה) (תיקון - זכות במקרקעין בקבוצת רכישה), התשפ""ג-2023 ")</f>
        <v>10482</v>
      </c>
      <c r="E5091" t="s">
        <v>10482</v>
      </c>
      <c r="F5091" t="s">
        <v>10483</v>
      </c>
      <c r="G5091" t="s">
        <v>14</v>
      </c>
      <c r="H5091">
             </c>
      <c r="I5091" t="s">
        <v>14</v>
      </c>
      <c r="J5091" t="s">
        <v>242</v>
      </c>
      <c r="K5091" t="s">
        <v>14</v>
      </c>
      <c r="L5091" t="s">
        <v>20</v>
      </c>
      <c r="M5091" t="s">
        <v>10437</v>
      </c>
      <c r="N5091" t="s">
        <v>14</v>
      </c>
    </row>
    <row r="5092" x14ac:dyDescent="0.25">
      <c r="A5092" t="n">
        <v>25</v>
      </c>
      <c r="B5092" t="s">
        <v>14</v>
      </c>
      <c r="C5092" t="s">
        <v>51</v>
      </c>
      <c r="D5092" s="2" t="s">
        <f>=HYPERLINK("https://main.knesset.gov.il/APPS/legislation/main/bills/2200308", "הצעת חוק הפיקוח על מעונות יום לפעוטות (תיקון - העברת האחריות למשרד החינוך), התשפ""ג-2023")</f>
        <v>10484</v>
      </c>
      <c r="E5092" t="s">
        <v>10484</v>
      </c>
      <c r="F5092" t="s">
        <v>10485</v>
      </c>
      <c r="G5092" t="s">
        <v>14</v>
      </c>
      <c r="H5092">
             </c>
      <c r="I5092" t="s">
        <v>14</v>
      </c>
      <c r="J5092" t="s">
        <v>242</v>
      </c>
      <c r="K5092" t="s">
        <v>14</v>
      </c>
      <c r="L5092" t="s">
        <v>20</v>
      </c>
      <c r="M5092" t="s">
        <v>10437</v>
      </c>
      <c r="N5092" t="s">
        <v>14</v>
      </c>
    </row>
    <row r="5093" x14ac:dyDescent="0.25">
      <c r="A5093" t="n">
        <v>25</v>
      </c>
      <c r="B5093" t="s">
        <v>14</v>
      </c>
      <c r="C5093" t="s">
        <v>51</v>
      </c>
      <c r="D5093" s="2" t="s">
        <f>=HYPERLINK("https://main.knesset.gov.il/APPS/legislation/main/bills/2201900", "הצעת חוק הסדרת העיסוק במקצועות הבריאות (תיקון - הסדרת העיסוק בפודולוגיה), התשפ""ג-2023")</f>
        <v>7473</v>
      </c>
      <c r="E5093" t="s">
        <v>7473</v>
      </c>
      <c r="F5093" t="s">
        <v>10486</v>
      </c>
      <c r="G5093" t="s">
        <v>14</v>
      </c>
      <c r="H5093">
             </c>
      <c r="I5093" t="s">
        <v>14</v>
      </c>
      <c r="J5093" t="s">
        <v>242</v>
      </c>
      <c r="K5093" t="s">
        <v>14</v>
      </c>
      <c r="L5093" t="s">
        <v>20</v>
      </c>
      <c r="M5093" t="s">
        <v>10437</v>
      </c>
      <c r="N5093" t="s">
        <v>14</v>
      </c>
    </row>
    <row r="5094" x14ac:dyDescent="0.25">
      <c r="A5094" t="n">
        <v>25</v>
      </c>
      <c r="B5094" t="s">
        <v>14</v>
      </c>
      <c r="C5094" t="s">
        <v>51</v>
      </c>
      <c r="D5094" s="2" t="s">
        <f>=HYPERLINK("https://main.knesset.gov.il/APPS/legislation/main/bills/2202529", "הצעת חוק זכויות נפגעי עבירה (תיקון - חובת יידוע נפגעי עבירה בדבר זכויותיהם), התשפ""ג-2023")</f>
        <v>10487</v>
      </c>
      <c r="E5094" t="s">
        <v>10487</v>
      </c>
      <c r="F5094" t="s">
        <v>10488</v>
      </c>
      <c r="G5094" t="s">
        <v>14</v>
      </c>
      <c r="H5094">
             </c>
      <c r="I5094" t="s">
        <v>14</v>
      </c>
      <c r="J5094" t="s">
        <v>242</v>
      </c>
      <c r="K5094" t="s">
        <v>14</v>
      </c>
      <c r="L5094" t="s">
        <v>20</v>
      </c>
      <c r="M5094" t="s">
        <v>10437</v>
      </c>
      <c r="N5094" t="s">
        <v>14</v>
      </c>
    </row>
    <row r="5095" x14ac:dyDescent="0.25">
      <c r="A5095" t="n">
        <v>25</v>
      </c>
      <c r="B5095" t="s">
        <v>14</v>
      </c>
      <c r="C5095" t="s">
        <v>51</v>
      </c>
      <c r="D5095" s="2" t="s">
        <f>=HYPERLINK("https://main.knesset.gov.il/APPS/legislation/main/bills/2201192", "הצעת חוק לתיקון סדרי המינהל (החלטות והנמקות) (תיקון - קיצור זמן המענה בפניות ציבור), התשפ""ג-2023")</f>
        <v>10489</v>
      </c>
      <c r="E5095" t="s">
        <v>10489</v>
      </c>
      <c r="F5095" t="s">
        <v>10490</v>
      </c>
      <c r="G5095" t="s">
        <v>14</v>
      </c>
      <c r="H5095">
             </c>
      <c r="I5095" t="s">
        <v>14</v>
      </c>
      <c r="J5095" t="s">
        <v>242</v>
      </c>
      <c r="K5095" t="s">
        <v>14</v>
      </c>
      <c r="L5095" t="s">
        <v>20</v>
      </c>
      <c r="M5095" t="s">
        <v>10437</v>
      </c>
      <c r="N5095" t="s">
        <v>14</v>
      </c>
    </row>
    <row r="5096" x14ac:dyDescent="0.25">
      <c r="A5096" t="n">
        <v>25</v>
      </c>
      <c r="B5096" t="s">
        <v>14</v>
      </c>
      <c r="C5096" t="s">
        <v>51</v>
      </c>
      <c r="D5096" s="2" t="s">
        <f>=HYPERLINK("https://main.knesset.gov.il/APPS/legislation/main/bills/2202099", "הצעת חוק חוזה הביטוח (תיקון - התיישנות וריבית מיוחדת), התשפ""ג-2023")</f>
        <v>9065</v>
      </c>
      <c r="E5096" t="s">
        <v>9065</v>
      </c>
      <c r="F5096" t="s">
        <v>10491</v>
      </c>
      <c r="G5096" t="s">
        <v>14</v>
      </c>
      <c r="H5096">
             </c>
      <c r="I5096" t="s">
        <v>14</v>
      </c>
      <c r="J5096" t="s">
        <v>242</v>
      </c>
      <c r="K5096" t="s">
        <v>14</v>
      </c>
      <c r="L5096" t="s">
        <v>20</v>
      </c>
      <c r="M5096" t="s">
        <v>10437</v>
      </c>
      <c r="N5096" t="s">
        <v>14</v>
      </c>
    </row>
    <row r="5097" x14ac:dyDescent="0.25">
      <c r="A5097" t="n">
        <v>25</v>
      </c>
      <c r="B5097" t="s">
        <v>14</v>
      </c>
      <c r="C5097" t="s">
        <v>51</v>
      </c>
      <c r="D5097" s="2" t="s">
        <f>=HYPERLINK("https://main.knesset.gov.il/APPS/legislation/main/bills/2201232", "הצעת חוק-יסוד: כבוד האדם וחירותו (תיקון - הוספת סעיף שוויון)")</f>
        <v>2311</v>
      </c>
      <c r="E5097" t="s">
        <v>2311</v>
      </c>
      <c r="F5097" t="s">
        <v>10492</v>
      </c>
      <c r="G5097" t="s">
        <v>14</v>
      </c>
      <c r="H5097">
             </c>
      <c r="I5097" t="s">
        <v>14</v>
      </c>
      <c r="J5097" t="s">
        <v>242</v>
      </c>
      <c r="K5097" t="s">
        <v>14</v>
      </c>
      <c r="L5097" t="s">
        <v>20</v>
      </c>
      <c r="M5097" t="s">
        <v>10437</v>
      </c>
      <c r="N5097" t="s">
        <v>14</v>
      </c>
    </row>
    <row r="5098" x14ac:dyDescent="0.25">
      <c r="A5098" t="n">
        <v>25</v>
      </c>
      <c r="B5098" t="s">
        <v>14</v>
      </c>
      <c r="C5098" t="s">
        <v>51</v>
      </c>
      <c r="D5098" s="2" t="s">
        <f>=HYPERLINK("https://main.knesset.gov.il/APPS/legislation/main/bills/2202381", "הצעת חוק-יסוד: נשיא המדינה (תיקון - כשירות מועמדים לכהונה כנשיא המדינה)")</f>
        <v>2769</v>
      </c>
      <c r="E5098" t="s">
        <v>2769</v>
      </c>
      <c r="F5098" t="s">
        <v>10493</v>
      </c>
      <c r="G5098" t="s">
        <v>14</v>
      </c>
      <c r="H5098">
             </c>
      <c r="I5098" t="s">
        <v>14</v>
      </c>
      <c r="J5098" t="s">
        <v>242</v>
      </c>
      <c r="K5098" t="s">
        <v>14</v>
      </c>
      <c r="L5098" t="s">
        <v>20</v>
      </c>
      <c r="M5098" t="s">
        <v>10437</v>
      </c>
      <c r="N5098" t="s">
        <v>14</v>
      </c>
    </row>
    <row r="5099" x14ac:dyDescent="0.25">
      <c r="A5099" t="n">
        <v>25</v>
      </c>
      <c r="B5099" t="s">
        <v>14</v>
      </c>
      <c r="C5099" t="s">
        <v>51</v>
      </c>
      <c r="D5099" s="2" t="s">
        <f>=HYPERLINK("https://main.knesset.gov.il/APPS/legislation/main/bills/2201234", "הצעת חוק הרשות לפיתוח הנגב (תיקון מס' 4) (תיקון - ביטול החוק), התשפ""ג-2023")</f>
        <v>10494</v>
      </c>
      <c r="E5099" t="s">
        <v>10494</v>
      </c>
      <c r="F5099" t="s">
        <v>10495</v>
      </c>
      <c r="G5099" t="s">
        <v>14</v>
      </c>
      <c r="H5099">
             </c>
      <c r="I5099" t="s">
        <v>14</v>
      </c>
      <c r="J5099" t="s">
        <v>242</v>
      </c>
      <c r="K5099" t="s">
        <v>14</v>
      </c>
      <c r="L5099" t="s">
        <v>20</v>
      </c>
      <c r="M5099" t="s">
        <v>10437</v>
      </c>
      <c r="N5099" t="s">
        <v>14</v>
      </c>
    </row>
    <row r="5100" x14ac:dyDescent="0.25">
      <c r="A5100" t="n">
        <v>25</v>
      </c>
      <c r="B5100" t="s">
        <v>14</v>
      </c>
      <c r="C5100" t="s">
        <v>51</v>
      </c>
      <c r="D5100" s="2" t="s">
        <f>=HYPERLINK("https://main.knesset.gov.il/APPS/legislation/main/bills/2199068", "הצעת חוק עובדים זרים (תיקון - הפחתת אגרה לעובדים בענף המלונאות), התשפ""ג-2023")</f>
        <v>8889</v>
      </c>
      <c r="E5100" t="s">
        <v>8889</v>
      </c>
      <c r="F5100" t="s">
        <v>10496</v>
      </c>
      <c r="G5100" t="s">
        <v>14</v>
      </c>
      <c r="H5100">
             </c>
      <c r="I5100" t="s">
        <v>14</v>
      </c>
      <c r="J5100" t="s">
        <v>242</v>
      </c>
      <c r="K5100" t="s">
        <v>14</v>
      </c>
      <c r="L5100" t="s">
        <v>20</v>
      </c>
      <c r="M5100" t="s">
        <v>10437</v>
      </c>
      <c r="N5100" t="s">
        <v>14</v>
      </c>
    </row>
    <row r="5101" x14ac:dyDescent="0.25">
      <c r="A5101" t="n">
        <v>25</v>
      </c>
      <c r="B5101" t="s">
        <v>14</v>
      </c>
      <c r="C5101" t="s">
        <v>51</v>
      </c>
      <c r="D5101" s="2" t="s">
        <f>=HYPERLINK("https://main.knesset.gov.il/APPS/legislation/main/bills/2200784", "הצעת חוק נכסי נפקדים (תיקון - החזרת נכסים לנפקד שהפך לאזרח), התשפ""ג-2023")</f>
        <v>10497</v>
      </c>
      <c r="E5101" t="s">
        <v>10497</v>
      </c>
      <c r="F5101" t="s">
        <v>10498</v>
      </c>
      <c r="G5101" t="s">
        <v>14</v>
      </c>
      <c r="H5101">
             </c>
      <c r="I5101" t="s">
        <v>14</v>
      </c>
      <c r="J5101" t="s">
        <v>242</v>
      </c>
      <c r="K5101" t="s">
        <v>14</v>
      </c>
      <c r="L5101" t="s">
        <v>20</v>
      </c>
      <c r="M5101" t="s">
        <v>10437</v>
      </c>
      <c r="N5101" t="s">
        <v>14</v>
      </c>
    </row>
    <row r="5102" x14ac:dyDescent="0.25">
      <c r="A5102" t="n">
        <v>25</v>
      </c>
      <c r="B5102" t="s">
        <v>14</v>
      </c>
      <c r="C5102" t="s">
        <v>51</v>
      </c>
      <c r="D5102" s="2" t="s">
        <f>=HYPERLINK("https://main.knesset.gov.il/APPS/legislation/main/bills/2200727", "הצעת חוק איסור הפליה במוצרים, בשירותים ובכניסה למקומות בידור ולמקומות ציבוריים (תיקון - איסור הפליה בשל הובלת עגלת ילדים), התשפ""ג-2023")</f>
        <v>10099</v>
      </c>
      <c r="E5102" t="s">
        <v>10099</v>
      </c>
      <c r="F5102" t="s">
        <v>10499</v>
      </c>
      <c r="G5102" t="s">
        <v>14</v>
      </c>
      <c r="H5102">
             </c>
      <c r="I5102" t="s">
        <v>14</v>
      </c>
      <c r="J5102" t="s">
        <v>242</v>
      </c>
      <c r="K5102" t="s">
        <v>14</v>
      </c>
      <c r="L5102" t="s">
        <v>20</v>
      </c>
      <c r="M5102" t="s">
        <v>10437</v>
      </c>
      <c r="N5102" t="s">
        <v>14</v>
      </c>
    </row>
    <row r="5103" x14ac:dyDescent="0.25">
      <c r="A5103" t="n">
        <v>25</v>
      </c>
      <c r="B5103" t="s">
        <v>14</v>
      </c>
      <c r="C5103" t="s">
        <v>51</v>
      </c>
      <c r="D5103" s="2" t="s">
        <f>=HYPERLINK("https://main.knesset.gov.il/APPS/legislation/main/bills/2201890", "הצעת חוק הביטוח הלאומי (תיקון - זכאות לדמי אבטלה מגיל 19), התשפ""ג-2023")</f>
        <v>10212</v>
      </c>
      <c r="E5103" t="s">
        <v>10212</v>
      </c>
      <c r="F5103" t="s">
        <v>10500</v>
      </c>
      <c r="G5103" t="s">
        <v>14</v>
      </c>
      <c r="H5103">
             </c>
      <c r="I5103" t="s">
        <v>14</v>
      </c>
      <c r="J5103" t="s">
        <v>242</v>
      </c>
      <c r="K5103" t="s">
        <v>14</v>
      </c>
      <c r="L5103" t="s">
        <v>20</v>
      </c>
      <c r="M5103" t="s">
        <v>10437</v>
      </c>
      <c r="N5103" t="s">
        <v>14</v>
      </c>
    </row>
    <row r="5104" x14ac:dyDescent="0.25">
      <c r="A5104" t="n">
        <v>25</v>
      </c>
      <c r="B5104" t="s">
        <v>14</v>
      </c>
      <c r="C5104" t="s">
        <v>51</v>
      </c>
      <c r="D5104" s="2" t="s">
        <f>=HYPERLINK("https://main.knesset.gov.il/APPS/legislation/main/bills/2200902", "הצעת חוק לתיקון פקודת מסי העירייה ומסי הממשלה (פטורין) (פטור מארנונה למכללה טכנולוגית מוכרת), התשפ""ג-2023")</f>
        <v>10501</v>
      </c>
      <c r="E5104" t="s">
        <v>10501</v>
      </c>
      <c r="F5104" t="s">
        <v>10502</v>
      </c>
      <c r="G5104" t="s">
        <v>14</v>
      </c>
      <c r="H5104">
             </c>
      <c r="I5104" t="s">
        <v>14</v>
      </c>
      <c r="J5104" t="s">
        <v>242</v>
      </c>
      <c r="K5104" t="s">
        <v>14</v>
      </c>
      <c r="L5104" t="s">
        <v>20</v>
      </c>
      <c r="M5104" t="s">
        <v>10437</v>
      </c>
      <c r="N5104" t="s">
        <v>14</v>
      </c>
    </row>
    <row r="5105" x14ac:dyDescent="0.25">
      <c r="A5105" t="n">
        <v>25</v>
      </c>
      <c r="B5105" t="s">
        <v>14</v>
      </c>
      <c r="C5105" t="s">
        <v>51</v>
      </c>
      <c r="D5105" s="2" t="s">
        <f>=HYPERLINK("https://main.knesset.gov.il/APPS/legislation/main/bills/2201320", "הצעת חוק לעידוד השקעות הון (תיקון - ביטול מסלול הטבות המס), התשפ""ג-2023")</f>
        <v>10503</v>
      </c>
      <c r="E5105" t="s">
        <v>10503</v>
      </c>
      <c r="F5105" t="s">
        <v>10504</v>
      </c>
      <c r="G5105" t="s">
        <v>14</v>
      </c>
      <c r="H5105">
             </c>
      <c r="I5105" t="s">
        <v>14</v>
      </c>
      <c r="J5105" t="s">
        <v>242</v>
      </c>
      <c r="K5105" t="s">
        <v>14</v>
      </c>
      <c r="L5105" t="s">
        <v>20</v>
      </c>
      <c r="M5105" t="s">
        <v>10437</v>
      </c>
      <c r="N5105" t="s">
        <v>14</v>
      </c>
    </row>
    <row r="5106" x14ac:dyDescent="0.25">
      <c r="A5106" t="n">
        <v>25</v>
      </c>
      <c r="B5106" t="s">
        <v>14</v>
      </c>
      <c r="C5106" t="s">
        <v>51</v>
      </c>
      <c r="D5106" s="2" t="s">
        <f>=HYPERLINK("https://main.knesset.gov.il/APPS/legislation/main/bills/2199791", "הצעת חוק התכנון והבנייה (תיקון - התקנת תשתית לעמדת טעינה לרכב חשמלי), התשפ""ג-2023")</f>
        <v>10505</v>
      </c>
      <c r="E5106" t="s">
        <v>10505</v>
      </c>
      <c r="F5106" t="s">
        <v>10506</v>
      </c>
      <c r="G5106" t="s">
        <v>14</v>
      </c>
      <c r="H5106">
             </c>
      <c r="I5106" t="s">
        <v>14</v>
      </c>
      <c r="J5106" t="s">
        <v>242</v>
      </c>
      <c r="K5106" t="s">
        <v>14</v>
      </c>
      <c r="L5106" t="s">
        <v>20</v>
      </c>
      <c r="M5106" t="s">
        <v>10437</v>
      </c>
      <c r="N5106" t="s">
        <v>14</v>
      </c>
    </row>
    <row r="5107" x14ac:dyDescent="0.25">
      <c r="A5107" t="n">
        <v>25</v>
      </c>
      <c r="B5107" t="s">
        <v>14</v>
      </c>
      <c r="C5107" t="s">
        <v>51</v>
      </c>
      <c r="D5107" s="2" t="s">
        <f>=HYPERLINK("https://main.knesset.gov.il/APPS/legislation/main/bills/2200900", "הצעת חוק הפסיכולוגים (תיקון - איסור טיפולי המרה), התשפ""ג-2023")</f>
        <v>9527</v>
      </c>
      <c r="E5107" t="s">
        <v>9527</v>
      </c>
      <c r="F5107" t="s">
        <v>10507</v>
      </c>
      <c r="G5107" t="s">
        <v>14</v>
      </c>
      <c r="H5107">
             </c>
      <c r="I5107" t="s">
        <v>14</v>
      </c>
      <c r="J5107" t="s">
        <v>202</v>
      </c>
      <c r="K5107" t="s">
        <v>14</v>
      </c>
      <c r="L5107" t="s">
        <v>20</v>
      </c>
      <c r="M5107" t="s">
        <v>10437</v>
      </c>
      <c r="N5107" t="s">
        <v>14</v>
      </c>
    </row>
    <row r="5108" x14ac:dyDescent="0.25">
      <c r="A5108" t="n">
        <v>25</v>
      </c>
      <c r="B5108" t="s">
        <v>14</v>
      </c>
      <c r="C5108" t="s">
        <v>51</v>
      </c>
      <c r="D5108" s="2" t="s">
        <f>=HYPERLINK("https://main.knesset.gov.il/APPS/legislation/main/bills/2201936", "הצעת חוק לתיקון פקודת המסים (גבייה) (פיצוי עקב טעות), התשפ""ג-2023")</f>
        <v>10508</v>
      </c>
      <c r="E5108" t="s">
        <v>10508</v>
      </c>
      <c r="F5108" t="s">
        <v>10509</v>
      </c>
      <c r="G5108" t="s">
        <v>14</v>
      </c>
      <c r="H5108">
             </c>
      <c r="I5108" t="s">
        <v>14</v>
      </c>
      <c r="J5108" t="s">
        <v>242</v>
      </c>
      <c r="K5108" t="s">
        <v>14</v>
      </c>
      <c r="L5108" t="s">
        <v>20</v>
      </c>
      <c r="M5108" t="s">
        <v>10437</v>
      </c>
      <c r="N5108" t="s">
        <v>14</v>
      </c>
    </row>
    <row r="5109" x14ac:dyDescent="0.25">
      <c r="A5109" t="n">
        <v>25</v>
      </c>
      <c r="B5109" t="s">
        <v>14</v>
      </c>
      <c r="C5109" t="s">
        <v>51</v>
      </c>
      <c r="D5109" s="2" t="s">
        <f>=HYPERLINK("https://main.knesset.gov.il/APPS/legislation/main/bills/2201052", "הצעת חוק למניעת מפגעים (תיקון - הגבלת שימוש בזיקוקין די-נור באזורי מגורים), התשפ""ג-2023")</f>
        <v>10226</v>
      </c>
      <c r="E5109" t="s">
        <v>10226</v>
      </c>
      <c r="F5109" t="s">
        <v>10510</v>
      </c>
      <c r="G5109" t="s">
        <v>14</v>
      </c>
      <c r="H5109">
             </c>
      <c r="I5109" t="s">
        <v>14</v>
      </c>
      <c r="J5109" t="s">
        <v>242</v>
      </c>
      <c r="K5109" t="s">
        <v>14</v>
      </c>
      <c r="L5109" t="s">
        <v>20</v>
      </c>
      <c r="M5109" t="s">
        <v>10437</v>
      </c>
      <c r="N5109" t="s">
        <v>14</v>
      </c>
    </row>
    <row r="5110" x14ac:dyDescent="0.25">
      <c r="A5110" t="n">
        <v>25</v>
      </c>
      <c r="B5110" t="s">
        <v>14</v>
      </c>
      <c r="C5110" t="s">
        <v>51</v>
      </c>
      <c r="D5110" s="2" t="s">
        <f>=HYPERLINK("https://main.knesset.gov.il/APPS/legislation/main/bills/2201873", "הצעת חוק להקפאת כספים ששילמה הרשות הפלסטינית בזיקה לטרור מהכספים המועברים אליה מממשלת ישראל (תיקון - חילוט הכספים וניהולם), התשפ""ג-2023")</f>
        <v>9794</v>
      </c>
      <c r="E5110" t="s">
        <v>9794</v>
      </c>
      <c r="F5110" t="s">
        <v>10511</v>
      </c>
      <c r="G5110" t="s">
        <v>14</v>
      </c>
      <c r="H5110">
             </c>
      <c r="I5110" t="s">
        <v>14</v>
      </c>
      <c r="J5110" t="s">
        <v>242</v>
      </c>
      <c r="K5110" t="s">
        <v>14</v>
      </c>
      <c r="L5110" t="s">
        <v>20</v>
      </c>
      <c r="M5110" t="s">
        <v>10437</v>
      </c>
      <c r="N5110" t="s">
        <v>14</v>
      </c>
    </row>
    <row r="5111" x14ac:dyDescent="0.25">
      <c r="A5111" t="n">
        <v>25</v>
      </c>
      <c r="B5111" t="s">
        <v>14</v>
      </c>
      <c r="C5111" t="s">
        <v>51</v>
      </c>
      <c r="D5111" s="2" t="s">
        <f>=HYPERLINK("https://main.knesset.gov.il/APPS/legislation/main/bills/2202311", "הצעת חוק להארכת מועד לקבלת דברי דואר (הוראת שעה), התשפ""ג-2023")</f>
        <v>9766</v>
      </c>
      <c r="E5111" t="s">
        <v>9766</v>
      </c>
      <c r="F5111" t="s">
        <v>10512</v>
      </c>
      <c r="G5111" t="s">
        <v>14</v>
      </c>
      <c r="H5111">
             </c>
      <c r="I5111" t="s">
        <v>14</v>
      </c>
      <c r="J5111" t="s">
        <v>242</v>
      </c>
      <c r="K5111" t="s">
        <v>14</v>
      </c>
      <c r="L5111" t="s">
        <v>20</v>
      </c>
      <c r="M5111" t="s">
        <v>10437</v>
      </c>
      <c r="N5111" t="s">
        <v>14</v>
      </c>
    </row>
    <row r="5112" x14ac:dyDescent="0.25">
      <c r="A5112" t="n">
        <v>25</v>
      </c>
      <c r="B5112" t="s">
        <v>14</v>
      </c>
      <c r="C5112" t="s">
        <v>51</v>
      </c>
      <c r="D5112" s="2" t="s">
        <f>=HYPERLINK("https://main.knesset.gov.il/APPS/legislation/main/bills/2201657", "הצעת חוק הסדרים במשק המדינה (תיקוני חקיקה להשגת יעדי התקציב) (תיקון - חובת הענקת הנחה בארנונה לאדם בעל מוגבלות), התשפ""ג-2023")</f>
        <v>10426</v>
      </c>
      <c r="E5112" t="s">
        <v>10426</v>
      </c>
      <c r="F5112" t="s">
        <v>10513</v>
      </c>
      <c r="G5112" t="s">
        <v>14</v>
      </c>
      <c r="H5112">
             </c>
      <c r="I5112" t="s">
        <v>14</v>
      </c>
      <c r="J5112" t="s">
        <v>242</v>
      </c>
      <c r="K5112" t="s">
        <v>14</v>
      </c>
      <c r="L5112" t="s">
        <v>20</v>
      </c>
      <c r="M5112" t="s">
        <v>10437</v>
      </c>
      <c r="N5112" t="s">
        <v>14</v>
      </c>
    </row>
    <row r="5113" x14ac:dyDescent="0.25">
      <c r="A5113" t="n">
        <v>25</v>
      </c>
      <c r="B5113" t="s">
        <v>14</v>
      </c>
      <c r="C5113" t="s">
        <v>51</v>
      </c>
      <c r="D5113" s="2" t="s">
        <f>=HYPERLINK("https://main.knesset.gov.il/APPS/legislation/main/bills/2199770", "הצעת חוק הגבלת ייבוא צאן לישראל, התשפ''ג-2023")</f>
        <v>10514</v>
      </c>
      <c r="E5113" t="s">
        <v>10514</v>
      </c>
      <c r="F5113" t="s">
        <v>10515</v>
      </c>
      <c r="G5113" t="s">
        <v>14</v>
      </c>
      <c r="H5113">
             </c>
      <c r="I5113" t="s">
        <v>14</v>
      </c>
      <c r="J5113" t="s">
        <v>1372</v>
      </c>
      <c r="K5113" t="s">
        <v>14</v>
      </c>
      <c r="L5113" t="s">
        <v>20</v>
      </c>
      <c r="M5113" t="s">
        <v>10437</v>
      </c>
      <c r="N5113" t="s">
        <v>14</v>
      </c>
    </row>
    <row r="5114" x14ac:dyDescent="0.25">
      <c r="A5114" t="n">
        <v>25</v>
      </c>
      <c r="B5114" t="s">
        <v>14</v>
      </c>
      <c r="C5114" t="s">
        <v>51</v>
      </c>
      <c r="D5114" s="2" t="s">
        <f>=HYPERLINK("https://main.knesset.gov.il/APPS/legislation/main/bills/2201887", "הצעת חוק לתיקון פקודת מס הכנסה (ניכוי הוצאות בשל ארוחה עסקית לעצמאים), התשפ""ג-2023")</f>
        <v>10516</v>
      </c>
      <c r="E5114" t="s">
        <v>10516</v>
      </c>
      <c r="F5114" t="s">
        <v>10517</v>
      </c>
      <c r="G5114" t="s">
        <v>14</v>
      </c>
      <c r="H5114">
             </c>
      <c r="I5114" t="s">
        <v>14</v>
      </c>
      <c r="J5114" t="s">
        <v>242</v>
      </c>
      <c r="K5114" t="s">
        <v>14</v>
      </c>
      <c r="L5114" t="s">
        <v>20</v>
      </c>
      <c r="M5114" t="s">
        <v>10437</v>
      </c>
      <c r="N5114" t="s">
        <v>14</v>
      </c>
    </row>
    <row r="5115" x14ac:dyDescent="0.25">
      <c r="A5115" t="n">
        <v>25</v>
      </c>
      <c r="B5115" t="s">
        <v>14</v>
      </c>
      <c r="C5115" t="s">
        <v>51</v>
      </c>
      <c r="D5115" s="2" t="s">
        <f>=HYPERLINK("https://main.knesset.gov.il/APPS/legislation/main/bills/2201370", "הצעת חוק חינוך ממלכתי (תיקון - הטמעת עקרונות מגילת העצמאות בתוכנית הלימודים), התשפ""ג-2023")</f>
        <v>10518</v>
      </c>
      <c r="E5115" t="s">
        <v>10518</v>
      </c>
      <c r="F5115" t="s">
        <v>10519</v>
      </c>
      <c r="G5115" t="s">
        <v>14</v>
      </c>
      <c r="H5115">
             </c>
      <c r="I5115" t="s">
        <v>14</v>
      </c>
      <c r="J5115" t="s">
        <v>242</v>
      </c>
      <c r="K5115" t="s">
        <v>14</v>
      </c>
      <c r="L5115" t="s">
        <v>20</v>
      </c>
      <c r="M5115" t="s">
        <v>10437</v>
      </c>
      <c r="N5115" t="s">
        <v>14</v>
      </c>
    </row>
    <row r="5116" x14ac:dyDescent="0.25">
      <c r="A5116" t="n">
        <v>25</v>
      </c>
      <c r="B5116" t="s">
        <v>14</v>
      </c>
      <c r="C5116" t="s">
        <v>51</v>
      </c>
      <c r="D5116" s="2" t="s">
        <f>=HYPERLINK("https://main.knesset.gov.il/APPS/legislation/main/bills/2201925", "הצעת חוק הסדרת העיסוק במקצועות הבריאות (תיקון - הסדרת העיסוק בניתוח התנהגות), התשפ""ג-2023")</f>
        <v>9706</v>
      </c>
      <c r="E5116" t="s">
        <v>9706</v>
      </c>
      <c r="F5116" t="s">
        <v>10520</v>
      </c>
      <c r="G5116" t="s">
        <v>14</v>
      </c>
      <c r="H5116">
             </c>
      <c r="I5116" t="s">
        <v>14</v>
      </c>
      <c r="J5116" t="s">
        <v>242</v>
      </c>
      <c r="K5116" t="s">
        <v>14</v>
      </c>
      <c r="L5116" t="s">
        <v>20</v>
      </c>
      <c r="M5116" t="s">
        <v>10437</v>
      </c>
      <c r="N5116" t="s">
        <v>14</v>
      </c>
    </row>
    <row r="5117" x14ac:dyDescent="0.25">
      <c r="A5117" t="n">
        <v>25</v>
      </c>
      <c r="B5117" t="s">
        <v>14</v>
      </c>
      <c r="C5117" t="s">
        <v>51</v>
      </c>
      <c r="D5117" s="2" t="s">
        <f>=HYPERLINK("https://main.knesset.gov.il/APPS/legislation/main/bills/2201885", "הצעת חוק שעות עבודה ומנוחה (תיקון - הגבלת שעות העסקה של מתמחה ברפואה), התשפ""ג-2023")</f>
        <v>10521</v>
      </c>
      <c r="E5117" t="s">
        <v>10521</v>
      </c>
      <c r="F5117" t="s">
        <v>10522</v>
      </c>
      <c r="G5117" t="s">
        <v>14</v>
      </c>
      <c r="H5117">
             </c>
      <c r="I5117" t="s">
        <v>14</v>
      </c>
      <c r="J5117" t="s">
        <v>242</v>
      </c>
      <c r="K5117" t="s">
        <v>14</v>
      </c>
      <c r="L5117" t="s">
        <v>20</v>
      </c>
      <c r="M5117" t="s">
        <v>10437</v>
      </c>
      <c r="N5117" t="s">
        <v>14</v>
      </c>
    </row>
    <row r="5118" x14ac:dyDescent="0.25">
      <c r="A5118" t="n">
        <v>25</v>
      </c>
      <c r="B5118" t="s">
        <v>14</v>
      </c>
      <c r="C5118" t="s">
        <v>51</v>
      </c>
      <c r="D5118" s="2" t="s">
        <f>=HYPERLINK("https://main.knesset.gov.il/APPS/legislation/main/bills/2201665", "הצעת חוק לעידוד הנקה ושמירה על אופן הזנת תינוקות, התשפ""ג-2023")</f>
        <v>10523</v>
      </c>
      <c r="E5118" t="s">
        <v>10523</v>
      </c>
      <c r="F5118" t="s">
        <v>10524</v>
      </c>
      <c r="G5118" t="s">
        <v>14</v>
      </c>
      <c r="H5118">
             </c>
      <c r="I5118" t="s">
        <v>14</v>
      </c>
      <c r="J5118" t="s">
        <v>242</v>
      </c>
      <c r="K5118" t="s">
        <v>14</v>
      </c>
      <c r="L5118" t="s">
        <v>20</v>
      </c>
      <c r="M5118" t="s">
        <v>10437</v>
      </c>
      <c r="N5118" t="s">
        <v>14</v>
      </c>
    </row>
    <row r="5119" x14ac:dyDescent="0.25">
      <c r="A5119" t="n">
        <v>25</v>
      </c>
      <c r="B5119" t="s">
        <v>14</v>
      </c>
      <c r="C5119" t="s">
        <v>51</v>
      </c>
      <c r="D5119" s="2" t="s">
        <f>=HYPERLINK("https://main.knesset.gov.il/APPS/legislation/main/bills/2201889", "הצעת חוק עידוד תרומות מזון (תיקון - הצלת מזון), התשפ""ג-2023")</f>
        <v>10525</v>
      </c>
      <c r="E5119" t="s">
        <v>10525</v>
      </c>
      <c r="F5119" t="s">
        <v>10526</v>
      </c>
      <c r="G5119" t="s">
        <v>14</v>
      </c>
      <c r="H5119">
             </c>
      <c r="I5119" t="s">
        <v>14</v>
      </c>
      <c r="J5119" t="s">
        <v>242</v>
      </c>
      <c r="K5119" t="s">
        <v>14</v>
      </c>
      <c r="L5119" t="s">
        <v>20</v>
      </c>
      <c r="M5119" t="s">
        <v>10437</v>
      </c>
      <c r="N5119" t="s">
        <v>14</v>
      </c>
    </row>
    <row r="5120" x14ac:dyDescent="0.25">
      <c r="A5120" t="n">
        <v>25</v>
      </c>
      <c r="B5120" t="s">
        <v>14</v>
      </c>
      <c r="C5120" t="s">
        <v>51</v>
      </c>
      <c r="D5120" s="2" t="s">
        <f>=HYPERLINK("https://main.knesset.gov.il/APPS/legislation/main/bills/2200270", "הצעת חוק לימוד חובה (תיקון - חינוך חינם לגיל הרך), התשפ""ג-2023")</f>
        <v>9487</v>
      </c>
      <c r="E5120" t="s">
        <v>9487</v>
      </c>
      <c r="F5120" t="s">
        <v>10527</v>
      </c>
      <c r="G5120" t="s">
        <v>14</v>
      </c>
      <c r="H5120">
             </c>
      <c r="I5120" t="s">
        <v>14</v>
      </c>
      <c r="J5120" t="s">
        <v>242</v>
      </c>
      <c r="K5120" t="s">
        <v>14</v>
      </c>
      <c r="L5120" t="s">
        <v>20</v>
      </c>
      <c r="M5120" t="s">
        <v>10437</v>
      </c>
      <c r="N5120" t="s">
        <v>14</v>
      </c>
    </row>
    <row r="5121" x14ac:dyDescent="0.25">
      <c r="A5121" t="n">
        <v>25</v>
      </c>
      <c r="B5121" t="s">
        <v>14</v>
      </c>
      <c r="C5121" t="s">
        <v>51</v>
      </c>
      <c r="D5121" s="2" t="s">
        <f>=HYPERLINK("https://main.knesset.gov.il/APPS/legislation/main/bills/2201661", "הצעת חוק הסדרת העיסוק בייצוג דוגמנים, התשפ""ג-2023")</f>
        <v>10528</v>
      </c>
      <c r="E5121" t="s">
        <v>10528</v>
      </c>
      <c r="F5121" t="s">
        <v>10529</v>
      </c>
      <c r="G5121" t="s">
        <v>14</v>
      </c>
      <c r="H5121">
             </c>
      <c r="I5121" t="s">
        <v>14</v>
      </c>
      <c r="J5121" t="s">
        <v>242</v>
      </c>
      <c r="K5121" t="s">
        <v>14</v>
      </c>
      <c r="L5121" t="s">
        <v>20</v>
      </c>
      <c r="M5121" t="s">
        <v>10437</v>
      </c>
      <c r="N5121" t="s">
        <v>14</v>
      </c>
    </row>
    <row r="5122" x14ac:dyDescent="0.25">
      <c r="A5122" t="n">
        <v>25</v>
      </c>
      <c r="B5122" t="s">
        <v>14</v>
      </c>
      <c r="C5122" t="s">
        <v>51</v>
      </c>
      <c r="D5122" s="2" t="s">
        <f>=HYPERLINK("https://main.knesset.gov.il/APPS/legislation/main/bills/2201733", "הצעת חוק שירות המדינה (גמלאות) (תיקון - ביטול שלילת גמלאות מאלמנים שנישאו), התשפ""ג-2023")</f>
        <v>10530</v>
      </c>
      <c r="E5122" t="s">
        <v>10530</v>
      </c>
      <c r="F5122" t="s">
        <v>10531</v>
      </c>
      <c r="G5122" t="s">
        <v>14</v>
      </c>
      <c r="H5122">
             </c>
      <c r="I5122" t="s">
        <v>14</v>
      </c>
      <c r="J5122" t="s">
        <v>242</v>
      </c>
      <c r="K5122" t="s">
        <v>14</v>
      </c>
      <c r="L5122" t="s">
        <v>20</v>
      </c>
      <c r="M5122" t="s">
        <v>10437</v>
      </c>
      <c r="N5122" t="s">
        <v>14</v>
      </c>
    </row>
    <row r="5123" x14ac:dyDescent="0.25">
      <c r="A5123" t="n">
        <v>25</v>
      </c>
      <c r="B5123" t="s">
        <v>14</v>
      </c>
      <c r="C5123" t="s">
        <v>51</v>
      </c>
      <c r="D5123" s="2" t="s">
        <f>=HYPERLINK("https://main.knesset.gov.il/APPS/legislation/main/bills/2201695", "הצעת חוק המזונות (הבטחת תשלום) (תיקון - סכום שלא יובא בחשבון במבחן ההכנסה), התשפ""ג-2023")</f>
        <v>10532</v>
      </c>
      <c r="E5123" t="s">
        <v>10532</v>
      </c>
      <c r="F5123" t="s">
        <v>10533</v>
      </c>
      <c r="G5123" t="s">
        <v>14</v>
      </c>
      <c r="H5123">
             </c>
      <c r="I5123" t="s">
        <v>14</v>
      </c>
      <c r="J5123" t="s">
        <v>242</v>
      </c>
      <c r="K5123" t="s">
        <v>14</v>
      </c>
      <c r="L5123" t="s">
        <v>20</v>
      </c>
      <c r="M5123" t="s">
        <v>10437</v>
      </c>
      <c r="N5123" t="s">
        <v>14</v>
      </c>
    </row>
    <row r="5124" x14ac:dyDescent="0.25">
      <c r="A5124" t="n">
        <v>25</v>
      </c>
      <c r="B5124" t="s">
        <v>14</v>
      </c>
      <c r="C5124" t="s">
        <v>51</v>
      </c>
      <c r="D5124" s="2" t="s">
        <f>=HYPERLINK("https://main.knesset.gov.il/APPS/legislation/main/bills/2202024", "הצעת חוק הביטוח הלאומי (תיקון - דמי אבטלה למתמחים), התשפ""ג-2023")</f>
        <v>9990</v>
      </c>
      <c r="E5124" t="s">
        <v>9990</v>
      </c>
      <c r="F5124" t="s">
        <v>10534</v>
      </c>
      <c r="G5124" t="s">
        <v>14</v>
      </c>
      <c r="H5124">
             </c>
      <c r="I5124" t="s">
        <v>14</v>
      </c>
      <c r="J5124" t="s">
        <v>242</v>
      </c>
      <c r="K5124" t="s">
        <v>14</v>
      </c>
      <c r="L5124" t="s">
        <v>20</v>
      </c>
      <c r="M5124" t="s">
        <v>10437</v>
      </c>
      <c r="N5124" t="s">
        <v>14</v>
      </c>
    </row>
    <row r="5125" x14ac:dyDescent="0.25">
      <c r="A5125" t="n">
        <v>25</v>
      </c>
      <c r="B5125" t="s">
        <v>14</v>
      </c>
      <c r="C5125" t="s">
        <v>51</v>
      </c>
      <c r="D5125" s="2" t="s">
        <f>=HYPERLINK("https://main.knesset.gov.il/APPS/legislation/main/bills/2198649", "הצעת חוק לתיקון פקודת מס הכנסה (זיכוי בעד תרומת מזון), התשפ""ג-2023")</f>
        <v>10117</v>
      </c>
      <c r="E5125" t="s">
        <v>10117</v>
      </c>
      <c r="F5125" t="s">
        <v>10535</v>
      </c>
      <c r="G5125" t="s">
        <v>14</v>
      </c>
      <c r="H5125">
             </c>
      <c r="I5125" t="s">
        <v>14</v>
      </c>
      <c r="J5125" t="s">
        <v>242</v>
      </c>
      <c r="K5125" t="s">
        <v>14</v>
      </c>
      <c r="L5125" t="s">
        <v>20</v>
      </c>
      <c r="M5125" t="s">
        <v>10437</v>
      </c>
      <c r="N5125" t="s">
        <v>14</v>
      </c>
    </row>
    <row r="5126" x14ac:dyDescent="0.25">
      <c r="A5126" t="n">
        <v>25</v>
      </c>
      <c r="B5126" t="s">
        <v>14</v>
      </c>
      <c r="C5126" t="s">
        <v>51</v>
      </c>
      <c r="D5126" s="2" t="s">
        <f>=HYPERLINK("https://main.knesset.gov.il/APPS/legislation/main/bills/2197883", "הצעת חוק מענק יובל לעובדי הוראה עולים, התשפ""ג-2023")</f>
        <v>10536</v>
      </c>
      <c r="E5126" t="s">
        <v>10536</v>
      </c>
      <c r="F5126" t="s">
        <v>10537</v>
      </c>
      <c r="G5126" t="s">
        <v>14</v>
      </c>
      <c r="H5126">
             </c>
      <c r="I5126" t="s">
        <v>14</v>
      </c>
      <c r="J5126" t="s">
        <v>242</v>
      </c>
      <c r="K5126" t="s">
        <v>14</v>
      </c>
      <c r="L5126" t="s">
        <v>20</v>
      </c>
      <c r="M5126" t="s">
        <v>10437</v>
      </c>
      <c r="N5126" t="s">
        <v>14</v>
      </c>
    </row>
    <row r="5127" x14ac:dyDescent="0.25">
      <c r="A5127" t="n">
        <v>25</v>
      </c>
      <c r="B5127" t="s">
        <v>14</v>
      </c>
      <c r="C5127" t="s">
        <v>51</v>
      </c>
      <c r="D5127" s="2" t="s">
        <f>=HYPERLINK("https://main.knesset.gov.il/APPS/legislation/main/bills/2202285", "הצעת חוק הרשות לפיתוח הפריפריה החברתית, התשפ""ג-2023 ")</f>
        <v>10323</v>
      </c>
      <c r="E5127" t="s">
        <v>10323</v>
      </c>
      <c r="F5127" t="s">
        <v>10538</v>
      </c>
      <c r="G5127" t="s">
        <v>14</v>
      </c>
      <c r="H5127">
             </c>
      <c r="I5127" t="s">
        <v>14</v>
      </c>
      <c r="J5127" t="s">
        <v>242</v>
      </c>
      <c r="K5127" t="s">
        <v>14</v>
      </c>
      <c r="L5127" t="s">
        <v>20</v>
      </c>
      <c r="M5127" t="s">
        <v>10437</v>
      </c>
      <c r="N5127" t="s">
        <v>14</v>
      </c>
    </row>
    <row r="5128" x14ac:dyDescent="0.25">
      <c r="A5128" t="n">
        <v>25</v>
      </c>
      <c r="B5128" t="s">
        <v>14</v>
      </c>
      <c r="C5128" t="s">
        <v>51</v>
      </c>
      <c r="D5128" s="2" t="s">
        <f>=HYPERLINK("https://main.knesset.gov.il/APPS/legislation/main/bills/2202129", "הצעת חוק הרשות לפיתוח הפריפריה החברתית, התשפ""ג-2023")</f>
        <v>10539</v>
      </c>
      <c r="E5128" t="s">
        <v>10539</v>
      </c>
      <c r="F5128" t="s">
        <v>10540</v>
      </c>
      <c r="G5128" t="s">
        <v>14</v>
      </c>
      <c r="H5128">
             </c>
      <c r="I5128" t="s">
        <v>14</v>
      </c>
      <c r="J5128" t="s">
        <v>242</v>
      </c>
      <c r="K5128" t="s">
        <v>14</v>
      </c>
      <c r="L5128" t="s">
        <v>20</v>
      </c>
      <c r="M5128" t="s">
        <v>10437</v>
      </c>
      <c r="N5128" t="s">
        <v>14</v>
      </c>
    </row>
    <row r="5129" x14ac:dyDescent="0.25">
      <c r="A5129" t="n">
        <v>25</v>
      </c>
      <c r="B5129" t="s">
        <v>14</v>
      </c>
      <c r="C5129" t="s">
        <v>51</v>
      </c>
      <c r="D5129" s="2" t="s">
        <f>=HYPERLINK("https://main.knesset.gov.il/APPS/legislation/main/bills/2201625", "הצעת חוק הביטוח הלאומי (תיקון - ביטול מבחן ההכנסה לצורך קבלת גמלת סיעוד), התשפ""ג-2023")</f>
        <v>9694</v>
      </c>
      <c r="E5129" t="s">
        <v>9694</v>
      </c>
      <c r="F5129" t="s">
        <v>10541</v>
      </c>
      <c r="G5129" t="s">
        <v>14</v>
      </c>
      <c r="H5129">
             </c>
      <c r="I5129" t="s">
        <v>14</v>
      </c>
      <c r="J5129" t="s">
        <v>242</v>
      </c>
      <c r="K5129" t="s">
        <v>14</v>
      </c>
      <c r="L5129" t="s">
        <v>20</v>
      </c>
      <c r="M5129" t="s">
        <v>10437</v>
      </c>
      <c r="N5129" t="s">
        <v>14</v>
      </c>
    </row>
    <row r="5130" x14ac:dyDescent="0.25">
      <c r="A5130" t="n">
        <v>25</v>
      </c>
      <c r="B5130" t="s">
        <v>14</v>
      </c>
      <c r="C5130" t="s">
        <v>51</v>
      </c>
      <c r="D5130" s="2" t="s">
        <f>=HYPERLINK("https://main.knesset.gov.il/APPS/legislation/main/bills/2201268", "הצעת חוק לתיקון פקודת מס הכנסה (הטבות במס ליישוב מאוים באזור), התשפ""ג-2023")</f>
        <v>8578</v>
      </c>
      <c r="E5130" t="s">
        <v>8578</v>
      </c>
      <c r="F5130" t="s">
        <v>10542</v>
      </c>
      <c r="G5130" t="s">
        <v>14</v>
      </c>
      <c r="H5130">
             </c>
      <c r="I5130" t="s">
        <v>14</v>
      </c>
      <c r="J5130" t="s">
        <v>242</v>
      </c>
      <c r="K5130" t="s">
        <v>14</v>
      </c>
      <c r="L5130" t="s">
        <v>20</v>
      </c>
      <c r="M5130" t="s">
        <v>10437</v>
      </c>
      <c r="N5130" t="s">
        <v>14</v>
      </c>
    </row>
    <row r="5131" x14ac:dyDescent="0.25">
      <c r="A5131" t="n">
        <v>25</v>
      </c>
      <c r="B5131" t="s">
        <v>14</v>
      </c>
      <c r="C5131" t="s">
        <v>51</v>
      </c>
      <c r="D5131" s="2" t="s">
        <f>=HYPERLINK("https://main.knesset.gov.il/APPS/legislation/main/bills/2201710", "הצעת חוק ביטוח בריאות ממלכתי (תיקון - סבסוד מחוללי חמצן ניידים), התשפ""ג-2023")</f>
        <v>5217</v>
      </c>
      <c r="E5131" t="s">
        <v>5217</v>
      </c>
      <c r="F5131" t="s">
        <v>10543</v>
      </c>
      <c r="G5131" t="s">
        <v>14</v>
      </c>
      <c r="H5131">
             </c>
      <c r="I5131" t="s">
        <v>14</v>
      </c>
      <c r="J5131" t="s">
        <v>242</v>
      </c>
      <c r="K5131" t="s">
        <v>14</v>
      </c>
      <c r="L5131" t="s">
        <v>20</v>
      </c>
      <c r="M5131" t="s">
        <v>10437</v>
      </c>
      <c r="N5131" t="s">
        <v>14</v>
      </c>
    </row>
    <row r="5132" x14ac:dyDescent="0.25">
      <c r="A5132" t="n">
        <v>25</v>
      </c>
      <c r="B5132" t="s">
        <v>14</v>
      </c>
      <c r="C5132" t="s">
        <v>51</v>
      </c>
      <c r="D5132" s="2" t="s">
        <f>=HYPERLINK("https://main.knesset.gov.il/APPS/legislation/main/bills/2201896", "הצעת חוק מס ערך מוסף (תיקון - מס בשיעור אפס על תרופות), התשפ""ג-2023")</f>
        <v>8233</v>
      </c>
      <c r="E5132" t="s">
        <v>8233</v>
      </c>
      <c r="F5132" t="s">
        <v>10544</v>
      </c>
      <c r="G5132" t="s">
        <v>14</v>
      </c>
      <c r="H5132">
             </c>
      <c r="I5132" t="s">
        <v>14</v>
      </c>
      <c r="J5132" t="s">
        <v>242</v>
      </c>
      <c r="K5132" t="s">
        <v>14</v>
      </c>
      <c r="L5132" t="s">
        <v>20</v>
      </c>
      <c r="M5132" t="s">
        <v>10437</v>
      </c>
      <c r="N5132" t="s">
        <v>14</v>
      </c>
    </row>
    <row r="5133" x14ac:dyDescent="0.25">
      <c r="A5133" t="n">
        <v>25</v>
      </c>
      <c r="B5133" t="s">
        <v>14</v>
      </c>
      <c r="C5133" t="s">
        <v>51</v>
      </c>
      <c r="D5133" s="2" t="s">
        <f>=HYPERLINK("https://main.knesset.gov.il/APPS/legislation/main/bills/2201895", "הצעת חוק לתיקון פקודת מס הכנסה (ניכוי תשלומים לעצמאים), התשפ""ג-2023")</f>
        <v>10545</v>
      </c>
      <c r="E5133" t="s">
        <v>10545</v>
      </c>
      <c r="F5133" t="s">
        <v>10546</v>
      </c>
      <c r="G5133" t="s">
        <v>14</v>
      </c>
      <c r="H5133">
             </c>
      <c r="I5133" t="s">
        <v>14</v>
      </c>
      <c r="J5133" t="s">
        <v>242</v>
      </c>
      <c r="K5133" t="s">
        <v>14</v>
      </c>
      <c r="L5133" t="s">
        <v>20</v>
      </c>
      <c r="M5133" t="s">
        <v>10437</v>
      </c>
      <c r="N5133" t="s">
        <v>14</v>
      </c>
    </row>
    <row r="5134" x14ac:dyDescent="0.25">
      <c r="A5134" t="n">
        <v>25</v>
      </c>
      <c r="B5134" t="s">
        <v>14</v>
      </c>
      <c r="C5134" t="s">
        <v>51</v>
      </c>
      <c r="D5134" s="2" t="s">
        <f>=HYPERLINK("https://main.knesset.gov.il/APPS/legislation/main/bills/2201484", "הצעת חוק-יסוד: משק המדינה (תיקון - בחינת העלות לרשויות מקומיות)")</f>
        <v>2941</v>
      </c>
      <c r="E5134" t="s">
        <v>2941</v>
      </c>
      <c r="F5134" t="s">
        <v>10547</v>
      </c>
      <c r="G5134" t="s">
        <v>14</v>
      </c>
      <c r="H5134">
             </c>
      <c r="I5134" t="s">
        <v>14</v>
      </c>
      <c r="J5134" t="s">
        <v>242</v>
      </c>
      <c r="K5134" t="s">
        <v>14</v>
      </c>
      <c r="L5134" t="s">
        <v>20</v>
      </c>
      <c r="M5134" t="s">
        <v>10437</v>
      </c>
      <c r="N5134" t="s">
        <v>14</v>
      </c>
    </row>
    <row r="5135" x14ac:dyDescent="0.25">
      <c r="A5135" t="n">
        <v>25</v>
      </c>
      <c r="B5135" t="s">
        <v>14</v>
      </c>
      <c r="C5135" t="s">
        <v>51</v>
      </c>
      <c r="D5135" s="2" t="s">
        <f>=HYPERLINK("https://main.knesset.gov.il/APPS/legislation/main/bills/2202189", "הצעת חוק משק החשמל (תיקון - גביית תשלומים), התשפ""ג-2023")</f>
        <v>10548</v>
      </c>
      <c r="E5135" t="s">
        <v>10548</v>
      </c>
      <c r="F5135" t="s">
        <v>10549</v>
      </c>
      <c r="G5135" t="s">
        <v>14</v>
      </c>
      <c r="H5135">
             </c>
      <c r="I5135" t="s">
        <v>14</v>
      </c>
      <c r="J5135" t="s">
        <v>242</v>
      </c>
      <c r="K5135" t="s">
        <v>14</v>
      </c>
      <c r="L5135" t="s">
        <v>20</v>
      </c>
      <c r="M5135" t="s">
        <v>10437</v>
      </c>
      <c r="N5135" t="s">
        <v>14</v>
      </c>
    </row>
    <row r="5136" x14ac:dyDescent="0.25">
      <c r="A5136" t="n">
        <v>25</v>
      </c>
      <c r="B5136" t="s">
        <v>14</v>
      </c>
      <c r="C5136" t="s">
        <v>51</v>
      </c>
      <c r="D5136" s="2" t="s">
        <f>=HYPERLINK("https://main.knesset.gov.il/APPS/legislation/main/bills/2201168", "הצעת חוק שיעור ריבית פיגורים מקסימלי (תיקוני חקיקה), התשפ""ג-2023")</f>
        <v>10550</v>
      </c>
      <c r="E5136" t="s">
        <v>10550</v>
      </c>
      <c r="F5136" t="s">
        <v>10551</v>
      </c>
      <c r="G5136" t="s">
        <v>14</v>
      </c>
      <c r="H5136">
             </c>
      <c r="I5136" t="s">
        <v>14</v>
      </c>
      <c r="J5136" t="s">
        <v>242</v>
      </c>
      <c r="K5136" t="s">
        <v>14</v>
      </c>
      <c r="L5136" t="s">
        <v>20</v>
      </c>
      <c r="M5136" t="s">
        <v>10437</v>
      </c>
      <c r="N5136" t="s">
        <v>14</v>
      </c>
    </row>
    <row r="5137" x14ac:dyDescent="0.25">
      <c r="A5137" t="n">
        <v>25</v>
      </c>
      <c r="B5137" t="s">
        <v>14</v>
      </c>
      <c r="C5137" t="s">
        <v>51</v>
      </c>
      <c r="D5137" s="2" t="s">
        <f>=HYPERLINK("https://main.knesset.gov.il/APPS/legislation/main/bills/2201123", "הצעת חוק חינוך ממלכתי (תיקון - ביטול השתתפות רשות מקומית בתקציבי מוסדות חינוך מוכרים לא רשמיים), התשפ""ג-2023")</f>
        <v>10552</v>
      </c>
      <c r="E5137" t="s">
        <v>10552</v>
      </c>
      <c r="F5137" t="s">
        <v>10553</v>
      </c>
      <c r="G5137" t="s">
        <v>14</v>
      </c>
      <c r="H5137">
             </c>
      <c r="I5137" t="s">
        <v>14</v>
      </c>
      <c r="J5137" t="s">
        <v>242</v>
      </c>
      <c r="K5137" t="s">
        <v>14</v>
      </c>
      <c r="L5137" t="s">
        <v>20</v>
      </c>
      <c r="M5137" t="s">
        <v>10437</v>
      </c>
      <c r="N5137" t="s">
        <v>14</v>
      </c>
    </row>
    <row r="5138" x14ac:dyDescent="0.25">
      <c r="A5138" t="n">
        <v>25</v>
      </c>
      <c r="B5138" t="s">
        <v>14</v>
      </c>
      <c r="C5138" t="s">
        <v>51</v>
      </c>
      <c r="D5138" s="2" t="s">
        <f>=HYPERLINK("https://main.knesset.gov.il/APPS/legislation/main/bills/2202305", "הצעת חוק ההוצאה לפועל (תיקון - החרגת עיקול רכב), התשפ""ג-2023")</f>
        <v>9656</v>
      </c>
      <c r="E5138" t="s">
        <v>9656</v>
      </c>
      <c r="F5138" t="s">
        <v>10554</v>
      </c>
      <c r="G5138" t="s">
        <v>14</v>
      </c>
      <c r="H5138">
             </c>
      <c r="I5138" t="s">
        <v>14</v>
      </c>
      <c r="J5138" t="s">
        <v>242</v>
      </c>
      <c r="K5138" t="s">
        <v>14</v>
      </c>
      <c r="L5138" t="s">
        <v>20</v>
      </c>
      <c r="M5138" t="s">
        <v>10437</v>
      </c>
      <c r="N5138" t="s">
        <v>14</v>
      </c>
    </row>
    <row r="5139" x14ac:dyDescent="0.25">
      <c r="A5139" t="n">
        <v>25</v>
      </c>
      <c r="B5139" t="s">
        <v>14</v>
      </c>
      <c r="C5139" t="s">
        <v>51</v>
      </c>
      <c r="D5139" s="2" t="s">
        <f>=HYPERLINK("https://main.knesset.gov.il/APPS/legislation/main/bills/2200560", "הצעת חוק העונשין (תיקון - תקיפת איש כוחות הביטחון וההצלה), התשפ""ג-2023")</f>
        <v>10555</v>
      </c>
      <c r="E5139" t="s">
        <v>10555</v>
      </c>
      <c r="F5139" t="s">
        <v>10556</v>
      </c>
      <c r="G5139" t="s">
        <v>14</v>
      </c>
      <c r="H5139">
             </c>
      <c r="I5139" t="s">
        <v>14</v>
      </c>
      <c r="J5139" t="s">
        <v>202</v>
      </c>
      <c r="K5139" t="s">
        <v>14</v>
      </c>
      <c r="L5139" t="s">
        <v>20</v>
      </c>
      <c r="M5139" t="s">
        <v>10437</v>
      </c>
      <c r="N5139" t="s">
        <v>14</v>
      </c>
    </row>
    <row r="5140" x14ac:dyDescent="0.25">
      <c r="A5140" t="n">
        <v>25</v>
      </c>
      <c r="B5140" t="s">
        <v>14</v>
      </c>
      <c r="C5140" t="s">
        <v>51</v>
      </c>
      <c r="D5140" s="2" t="s">
        <f>=HYPERLINK("https://main.knesset.gov.il/APPS/legislation/main/bills/2202283", "הצעת חוק העונשין (תיקון - קביעת עונש מינימום בגין נטילת דמי חסות), התשפ""ג-2023")</f>
        <v>8924</v>
      </c>
      <c r="E5140" t="s">
        <v>8924</v>
      </c>
      <c r="F5140" t="s">
        <v>10557</v>
      </c>
      <c r="G5140" t="s">
        <v>14</v>
      </c>
      <c r="H5140">
             </c>
      <c r="I5140" t="s">
        <v>14</v>
      </c>
      <c r="J5140" t="s">
        <v>242</v>
      </c>
      <c r="K5140" t="s">
        <v>14</v>
      </c>
      <c r="L5140" t="s">
        <v>20</v>
      </c>
      <c r="M5140" t="s">
        <v>10437</v>
      </c>
      <c r="N5140" t="s">
        <v>14</v>
      </c>
    </row>
    <row r="5141" x14ac:dyDescent="0.25">
      <c r="A5141" t="n">
        <v>25</v>
      </c>
      <c r="B5141" t="s">
        <v>14</v>
      </c>
      <c r="C5141" t="s">
        <v>51</v>
      </c>
      <c r="D5141" s="2" t="s">
        <f>=HYPERLINK("https://main.knesset.gov.il/APPS/legislation/main/bills/2200548", "הצעת חוק העונשין (תיקון - עונש מינימום למצית נכס ציבורי) (הוראת שעה), התשפ""ג-2023")</f>
        <v>10558</v>
      </c>
      <c r="E5141" t="s">
        <v>10558</v>
      </c>
      <c r="F5141" t="s">
        <v>10559</v>
      </c>
      <c r="G5141" t="s">
        <v>14</v>
      </c>
      <c r="H5141">
             </c>
      <c r="I5141" t="s">
        <v>14</v>
      </c>
      <c r="J5141" t="s">
        <v>242</v>
      </c>
      <c r="K5141" t="s">
        <v>14</v>
      </c>
      <c r="L5141" t="s">
        <v>20</v>
      </c>
      <c r="M5141" t="s">
        <v>10437</v>
      </c>
      <c r="N5141" t="s">
        <v>14</v>
      </c>
    </row>
    <row r="5142" x14ac:dyDescent="0.25">
      <c r="A5142" t="n">
        <v>25</v>
      </c>
      <c r="B5142" t="s">
        <v>14</v>
      </c>
      <c r="C5142" t="s">
        <v>51</v>
      </c>
      <c r="D5142" s="2" t="s">
        <f>=HYPERLINK("https://main.knesset.gov.il/APPS/legislation/main/bills/2197743", "הצעת חוק לתיקון פקודת העיריות (קיצור תקופת הפטור מתשלום ארנונה לבניין שנהרס או ניזוק), התשפ""ג-2022")</f>
        <v>10560</v>
      </c>
      <c r="E5142" t="s">
        <v>10560</v>
      </c>
      <c r="F5142" t="s">
        <v>10561</v>
      </c>
      <c r="G5142" t="s">
        <v>14</v>
      </c>
      <c r="H5142">
             </c>
      <c r="I5142" t="s">
        <v>14</v>
      </c>
      <c r="J5142" t="s">
        <v>193</v>
      </c>
      <c r="K5142" t="s">
        <v>14</v>
      </c>
      <c r="L5142" t="s">
        <v>20</v>
      </c>
      <c r="M5142" t="s">
        <v>10437</v>
      </c>
      <c r="N5142" t="s">
        <v>14</v>
      </c>
    </row>
    <row r="5143" x14ac:dyDescent="0.25">
      <c r="A5143" t="n">
        <v>25</v>
      </c>
      <c r="B5143" t="s">
        <v>14</v>
      </c>
      <c r="C5143" t="s">
        <v>51</v>
      </c>
      <c r="D5143" s="2" t="s">
        <f>=HYPERLINK("https://main.knesset.gov.il/APPS/legislation/main/bills/2195963", "הצעת חוק השכירות והשאילה (תיקון - הגבלה על העלאת דמי השכירות), התשפ""ג-2022")</f>
        <v>10562</v>
      </c>
      <c r="E5143" t="s">
        <v>10562</v>
      </c>
      <c r="F5143" t="s">
        <v>10563</v>
      </c>
      <c r="G5143" t="s">
        <v>14</v>
      </c>
      <c r="H5143">
             </c>
      <c r="I5143" t="s">
        <v>14</v>
      </c>
      <c r="J5143" t="s">
        <v>193</v>
      </c>
      <c r="K5143" t="s">
        <v>14</v>
      </c>
      <c r="L5143" t="s">
        <v>20</v>
      </c>
      <c r="M5143" t="s">
        <v>10437</v>
      </c>
      <c r="N5143" t="s">
        <v>14</v>
      </c>
    </row>
    <row r="5144" x14ac:dyDescent="0.25">
      <c r="A5144" t="n">
        <v>25</v>
      </c>
      <c r="B5144" t="s">
        <v>14</v>
      </c>
      <c r="C5144" t="s">
        <v>51</v>
      </c>
      <c r="D5144" s="2" t="s">
        <f>=HYPERLINK("https://main.knesset.gov.il/APPS/legislation/main/bills/2196349", "הצעת חוק זכויות החולה (תיקון - קביעת הוראות לעניין הכנסת חפצים ודברי מאכל למוסד רפואי), התשפ""ג-2023")</f>
        <v>10564</v>
      </c>
      <c r="E5144" t="s">
        <v>10564</v>
      </c>
      <c r="F5144" t="s">
        <v>10565</v>
      </c>
      <c r="G5144" t="s">
        <v>14</v>
      </c>
      <c r="H5144">
             </c>
      <c r="I5144" t="s">
        <v>14</v>
      </c>
      <c r="J5144" t="s">
        <v>183</v>
      </c>
      <c r="K5144" t="s">
        <v>361</v>
      </c>
      <c r="L5144" t="s">
        <v>20</v>
      </c>
      <c r="M5144" t="s">
        <v>10566</v>
      </c>
      <c r="N5144" t="s">
        <v>14</v>
      </c>
    </row>
    <row r="5145" x14ac:dyDescent="0.25">
      <c r="A5145" t="n">
        <v>25</v>
      </c>
      <c r="B5145" t="s">
        <v>14</v>
      </c>
      <c r="C5145" t="s">
        <v>51</v>
      </c>
      <c r="D5145" s="2" t="s">
        <f>=HYPERLINK("https://main.knesset.gov.il/APPS/legislation/main/bills/2198887", "הצעת חוק זכויות החולה (תיקון - הכנסת מזון למוסדות רפואיים בחג הפסח), התשפ""ג-2023")</f>
        <v>10567</v>
      </c>
      <c r="E5145" t="s">
        <v>10567</v>
      </c>
      <c r="F5145" t="s">
        <v>10568</v>
      </c>
      <c r="G5145" t="s">
        <v>14</v>
      </c>
      <c r="H5145">
             </c>
      <c r="I5145" t="s">
        <v>14</v>
      </c>
      <c r="J5145" t="s">
        <v>183</v>
      </c>
      <c r="K5145" t="s">
        <v>361</v>
      </c>
      <c r="L5145" t="s">
        <v>20</v>
      </c>
      <c r="M5145" t="s">
        <v>10566</v>
      </c>
      <c r="N5145" t="s">
        <v>14</v>
      </c>
    </row>
    <row r="5146" x14ac:dyDescent="0.25">
      <c r="A5146" t="n">
        <v>25</v>
      </c>
      <c r="B5146" t="s">
        <v>14</v>
      </c>
      <c r="C5146" t="s">
        <v>51</v>
      </c>
      <c r="D5146" s="2" t="s">
        <f>=HYPERLINK("https://main.knesset.gov.il/APPS/legislation/main/bills/2197299", "הצעת חוק חג המצות (איסורי חמץ) (תיקון - איסור הצגת חמץ בפסח בבתי חולים), התשפ""ג-2022")</f>
        <v>10569</v>
      </c>
      <c r="E5146" t="s">
        <v>10569</v>
      </c>
      <c r="F5146" t="s">
        <v>10570</v>
      </c>
      <c r="G5146" t="s">
        <v>14</v>
      </c>
      <c r="H5146">
             </c>
      <c r="I5146" t="s">
        <v>14</v>
      </c>
      <c r="J5146" t="s">
        <v>183</v>
      </c>
      <c r="K5146" t="s">
        <v>361</v>
      </c>
      <c r="L5146" t="s">
        <v>20</v>
      </c>
      <c r="M5146" t="s">
        <v>10566</v>
      </c>
      <c r="N5146" t="s">
        <v>14</v>
      </c>
    </row>
    <row r="5147" x14ac:dyDescent="0.25">
      <c r="A5147" t="n">
        <v>25</v>
      </c>
      <c r="B5147" t="s">
        <v>14</v>
      </c>
      <c r="C5147" t="s">
        <v>51</v>
      </c>
      <c r="D5147" s="2" t="s">
        <f>=HYPERLINK("https://main.knesset.gov.il/APPS/legislation/main/bills/2197279", "הצעת חוק חג המצות (איסורי חמץ) (תיקון - איסור הצגת חמץ בפסח בבתי חולים), התשפ""ג-2022")</f>
        <v>10569</v>
      </c>
      <c r="E5147" t="s">
        <v>10569</v>
      </c>
      <c r="F5147" t="s">
        <v>10571</v>
      </c>
      <c r="G5147" t="s">
        <v>14</v>
      </c>
      <c r="H5147">
             </c>
      <c r="I5147" t="s">
        <v>14</v>
      </c>
      <c r="J5147" t="s">
        <v>183</v>
      </c>
      <c r="K5147" t="s">
        <v>361</v>
      </c>
      <c r="L5147" t="s">
        <v>20</v>
      </c>
      <c r="M5147" t="s">
        <v>10566</v>
      </c>
      <c r="N5147" t="s">
        <v>14</v>
      </c>
    </row>
    <row r="5148" x14ac:dyDescent="0.25">
      <c r="A5148" t="n">
        <v>25</v>
      </c>
      <c r="B5148" t="s">
        <v>14</v>
      </c>
      <c r="C5148" t="s">
        <v>51</v>
      </c>
      <c r="D5148" s="2" t="s">
        <f>=HYPERLINK("https://main.knesset.gov.il/APPS/legislation/main/bills/2196154", "הצעת חוק-יסוד: ההתגברות (תיקוני חקיקה) ")</f>
        <v>10572</v>
      </c>
      <c r="E5148" t="s">
        <v>10572</v>
      </c>
      <c r="F5148" t="s">
        <v>10573</v>
      </c>
      <c r="G5148" t="s">
        <v>14</v>
      </c>
      <c r="H5148">
             </c>
      <c r="I5148" t="s">
        <v>14</v>
      </c>
      <c r="J5148" t="s">
        <v>152</v>
      </c>
      <c r="K5148" t="s">
        <v>27</v>
      </c>
      <c r="L5148" t="s">
        <v>20</v>
      </c>
      <c r="M5148" t="s">
        <v>10566</v>
      </c>
      <c r="N5148" t="s">
        <v>14</v>
      </c>
    </row>
    <row r="5149" x14ac:dyDescent="0.25">
      <c r="A5149" t="n">
        <v>25</v>
      </c>
      <c r="B5149" t="s">
        <v>14</v>
      </c>
      <c r="C5149" t="s">
        <v>15</v>
      </c>
      <c r="D5149" s="2" t="s">
        <f>=HYPERLINK("https://main.knesset.gov.il/APPS/legislation/main/bills/2201568", "חוק תכנון משק החלב (תיקון מס' 5), התשפ""ג-2023")</f>
        <v>10574</v>
      </c>
      <c r="E5149" t="s">
        <v>10574</v>
      </c>
      <c r="F5149" t="s">
        <v>14</v>
      </c>
      <c r="G5149" t="s">
        <v>10575</v>
      </c>
      <c r="H5149" t="n">
        <v>3028</v>
      </c>
      <c r="I5149" t="s">
        <v>14</v>
      </c>
      <c r="J5149" t="s">
        <v>18</v>
      </c>
      <c r="K5149" t="s">
        <v>84</v>
      </c>
      <c r="L5149" t="s">
        <v>20</v>
      </c>
      <c r="M5149" t="s">
        <v>10576</v>
      </c>
      <c r="N5149" t="s">
        <v>10577</v>
      </c>
    </row>
    <row r="5150" x14ac:dyDescent="0.25">
      <c r="A5150" t="n">
        <v>25</v>
      </c>
      <c r="B5150" t="s">
        <v>14</v>
      </c>
      <c r="C5150" t="s">
        <v>51</v>
      </c>
      <c r="D5150" s="2" t="s">
        <f>=HYPERLINK("https://main.knesset.gov.il/APPS/legislation/main/bills/2201164", "הצעת חוק פיצויים בעד נזק עקב אסון טבע, התשפ""ג-2023")</f>
        <v>10578</v>
      </c>
      <c r="E5150" t="s">
        <v>10578</v>
      </c>
      <c r="F5150" t="s">
        <v>10579</v>
      </c>
      <c r="G5150" t="s">
        <v>14</v>
      </c>
      <c r="H5150">
             </c>
      <c r="I5150" t="s">
        <v>14</v>
      </c>
      <c r="J5150" t="s">
        <v>242</v>
      </c>
      <c r="K5150" t="s">
        <v>14</v>
      </c>
      <c r="L5150" t="s">
        <v>20</v>
      </c>
      <c r="M5150" t="s">
        <v>10576</v>
      </c>
      <c r="N5150" t="s">
        <v>14</v>
      </c>
    </row>
    <row r="5151" x14ac:dyDescent="0.25">
      <c r="A5151" t="n">
        <v>25</v>
      </c>
      <c r="B5151" t="s">
        <v>14</v>
      </c>
      <c r="C5151" t="s">
        <v>51</v>
      </c>
      <c r="D5151" s="2" t="s">
        <f>=HYPERLINK("https://main.knesset.gov.il/APPS/legislation/main/bills/2200738", "הצעת חוק מרשם שמות מתחם בישראל, התשפ""ג-2023")</f>
        <v>10580</v>
      </c>
      <c r="E5151" t="s">
        <v>10580</v>
      </c>
      <c r="F5151" t="s">
        <v>10581</v>
      </c>
      <c r="G5151" t="s">
        <v>14</v>
      </c>
      <c r="H5151">
             </c>
      <c r="I5151" t="s">
        <v>14</v>
      </c>
      <c r="J5151" t="s">
        <v>242</v>
      </c>
      <c r="K5151" t="s">
        <v>14</v>
      </c>
      <c r="L5151" t="s">
        <v>20</v>
      </c>
      <c r="M5151" t="s">
        <v>10576</v>
      </c>
      <c r="N5151" t="s">
        <v>14</v>
      </c>
    </row>
    <row r="5152" x14ac:dyDescent="0.25">
      <c r="A5152" t="n">
        <v>25</v>
      </c>
      <c r="B5152" t="s">
        <v>14</v>
      </c>
      <c r="C5152" t="s">
        <v>51</v>
      </c>
      <c r="D5152" s="2" t="s">
        <f>=HYPERLINK("https://main.knesset.gov.il/APPS/legislation/main/bills/2202306", "הצעת חוק הדיור הציבורי (זכויות רכישה) (תיקון - הארכת תוקף), התשפ""ג-2023")</f>
        <v>2192</v>
      </c>
      <c r="E5152" t="s">
        <v>2192</v>
      </c>
      <c r="F5152" t="s">
        <v>10582</v>
      </c>
      <c r="G5152" t="s">
        <v>14</v>
      </c>
      <c r="H5152">
             </c>
      <c r="I5152" t="s">
        <v>14</v>
      </c>
      <c r="J5152" t="s">
        <v>242</v>
      </c>
      <c r="K5152" t="s">
        <v>14</v>
      </c>
      <c r="L5152" t="s">
        <v>20</v>
      </c>
      <c r="M5152" t="s">
        <v>10576</v>
      </c>
      <c r="N5152" t="s">
        <v>14</v>
      </c>
    </row>
    <row r="5153" x14ac:dyDescent="0.25">
      <c r="A5153" t="n">
        <v>25</v>
      </c>
      <c r="B5153" t="s">
        <v>14</v>
      </c>
      <c r="C5153" t="s">
        <v>51</v>
      </c>
      <c r="D5153" s="2" t="s">
        <f>=HYPERLINK("https://main.knesset.gov.il/APPS/legislation/main/bills/2201667", "הצעת חוק להגבלה לאחר סיום כהונה של שר התקשורת, התשפ""ג-2023")</f>
        <v>10583</v>
      </c>
      <c r="E5153" t="s">
        <v>10583</v>
      </c>
      <c r="F5153" t="s">
        <v>10584</v>
      </c>
      <c r="G5153" t="s">
        <v>14</v>
      </c>
      <c r="H5153">
             </c>
      <c r="I5153" t="s">
        <v>14</v>
      </c>
      <c r="J5153" t="s">
        <v>242</v>
      </c>
      <c r="K5153" t="s">
        <v>14</v>
      </c>
      <c r="L5153" t="s">
        <v>20</v>
      </c>
      <c r="M5153" t="s">
        <v>10576</v>
      </c>
      <c r="N5153" t="s">
        <v>14</v>
      </c>
    </row>
    <row r="5154" x14ac:dyDescent="0.25">
      <c r="A5154" t="n">
        <v>25</v>
      </c>
      <c r="B5154" t="s">
        <v>14</v>
      </c>
      <c r="C5154" t="s">
        <v>51</v>
      </c>
      <c r="D5154" s="2" t="s">
        <f>=HYPERLINK("https://main.knesset.gov.il/APPS/legislation/main/bills/2198013", "הצעת חוק כביש אגרה (כביש ארצי לישראל) (תיקון - החזר לנוסעים בשל האטה משמעותית), התשפ""ג-2023")</f>
        <v>9905</v>
      </c>
      <c r="E5154" t="s">
        <v>9905</v>
      </c>
      <c r="F5154" t="s">
        <v>10585</v>
      </c>
      <c r="G5154" t="s">
        <v>14</v>
      </c>
      <c r="H5154">
             </c>
      <c r="I5154" t="s">
        <v>14</v>
      </c>
      <c r="J5154" t="s">
        <v>242</v>
      </c>
      <c r="K5154" t="s">
        <v>14</v>
      </c>
      <c r="L5154" t="s">
        <v>20</v>
      </c>
      <c r="M5154" t="s">
        <v>10576</v>
      </c>
      <c r="N5154" t="s">
        <v>14</v>
      </c>
    </row>
    <row r="5155" x14ac:dyDescent="0.25">
      <c r="A5155" t="n">
        <v>25</v>
      </c>
      <c r="B5155" t="s">
        <v>14</v>
      </c>
      <c r="C5155" t="s">
        <v>51</v>
      </c>
      <c r="D5155" s="2" t="s">
        <f>=HYPERLINK("https://main.knesset.gov.il/APPS/legislation/main/bills/2201045", "הצעת חוק לתיקון פקודת מס הכנסה (ניכוי הוצאות כיבוד בפגישה מחוץ למקום העיסוק), התשפ""ג-2023")</f>
        <v>10586</v>
      </c>
      <c r="E5155" t="s">
        <v>10586</v>
      </c>
      <c r="F5155" t="s">
        <v>10587</v>
      </c>
      <c r="G5155" t="s">
        <v>14</v>
      </c>
      <c r="H5155">
             </c>
      <c r="I5155" t="s">
        <v>14</v>
      </c>
      <c r="J5155" t="s">
        <v>242</v>
      </c>
      <c r="K5155" t="s">
        <v>14</v>
      </c>
      <c r="L5155" t="s">
        <v>20</v>
      </c>
      <c r="M5155" t="s">
        <v>10576</v>
      </c>
      <c r="N5155" t="s">
        <v>14</v>
      </c>
    </row>
    <row r="5156" x14ac:dyDescent="0.25">
      <c r="A5156" t="n">
        <v>25</v>
      </c>
      <c r="B5156" t="s">
        <v>14</v>
      </c>
      <c r="C5156" t="s">
        <v>51</v>
      </c>
      <c r="D5156" s="2" t="s">
        <f>=HYPERLINK("https://main.knesset.gov.il/APPS/legislation/main/bills/2201902", "הצעת חוק העונשין (תיקון - עונשי מינימום בעבירות נשק), התשפ""ג-2023")</f>
        <v>10588</v>
      </c>
      <c r="E5156" t="s">
        <v>10588</v>
      </c>
      <c r="F5156" t="s">
        <v>10589</v>
      </c>
      <c r="G5156" t="s">
        <v>14</v>
      </c>
      <c r="H5156">
             </c>
      <c r="I5156" t="s">
        <v>14</v>
      </c>
      <c r="J5156" t="s">
        <v>242</v>
      </c>
      <c r="K5156" t="s">
        <v>14</v>
      </c>
      <c r="L5156" t="s">
        <v>20</v>
      </c>
      <c r="M5156" t="s">
        <v>10576</v>
      </c>
      <c r="N5156" t="s">
        <v>14</v>
      </c>
    </row>
    <row r="5157" x14ac:dyDescent="0.25">
      <c r="A5157" t="n">
        <v>25</v>
      </c>
      <c r="B5157" t="s">
        <v>14</v>
      </c>
      <c r="C5157" t="s">
        <v>51</v>
      </c>
      <c r="D5157" s="2" t="s">
        <f>=HYPERLINK("https://main.knesset.gov.il/APPS/legislation/main/bills/2201321", "הצעת חוק לתיקון פקודת המסים (גבייה) (ביטול החוק), התשפ""ג–2023")</f>
        <v>10590</v>
      </c>
      <c r="E5157" t="s">
        <v>10590</v>
      </c>
      <c r="F5157" t="s">
        <v>10591</v>
      </c>
      <c r="G5157" t="s">
        <v>14</v>
      </c>
      <c r="H5157">
             </c>
      <c r="I5157" t="s">
        <v>14</v>
      </c>
      <c r="J5157" t="s">
        <v>242</v>
      </c>
      <c r="K5157" t="s">
        <v>14</v>
      </c>
      <c r="L5157" t="s">
        <v>20</v>
      </c>
      <c r="M5157" t="s">
        <v>10576</v>
      </c>
      <c r="N5157" t="s">
        <v>14</v>
      </c>
    </row>
    <row r="5158" x14ac:dyDescent="0.25">
      <c r="A5158" t="n">
        <v>25</v>
      </c>
      <c r="B5158" t="s">
        <v>14</v>
      </c>
      <c r="C5158" t="s">
        <v>51</v>
      </c>
      <c r="D5158" s="2" t="s">
        <f>=HYPERLINK("https://main.knesset.gov.il/APPS/legislation/main/bills/2201837", "הצעת חוק תאגידי מים וביוב (תיקון - חישוב תעריף דמי הקמה), התשפ""ג-2023")</f>
        <v>10592</v>
      </c>
      <c r="E5158" t="s">
        <v>10592</v>
      </c>
      <c r="F5158" t="s">
        <v>10593</v>
      </c>
      <c r="G5158" t="s">
        <v>14</v>
      </c>
      <c r="H5158">
             </c>
      <c r="I5158" t="s">
        <v>14</v>
      </c>
      <c r="J5158" t="s">
        <v>242</v>
      </c>
      <c r="K5158" t="s">
        <v>14</v>
      </c>
      <c r="L5158" t="s">
        <v>20</v>
      </c>
      <c r="M5158" t="s">
        <v>10576</v>
      </c>
      <c r="N5158" t="s">
        <v>14</v>
      </c>
    </row>
    <row r="5159" x14ac:dyDescent="0.25">
      <c r="A5159" t="n">
        <v>25</v>
      </c>
      <c r="B5159" t="s">
        <v>14</v>
      </c>
      <c r="C5159" t="s">
        <v>51</v>
      </c>
      <c r="D5159" s="2" t="s">
        <f>=HYPERLINK("https://main.knesset.gov.il/APPS/legislation/main/bills/2201953", "הצעת חוק התגמולים לנפגעי פעולות איבה (תיקון - זכאות לתגמולים ולפיצויים לפי חוק אחר), התשפ""ג-2023")</f>
        <v>8638</v>
      </c>
      <c r="E5159" t="s">
        <v>8638</v>
      </c>
      <c r="F5159" t="s">
        <v>10594</v>
      </c>
      <c r="G5159" t="s">
        <v>14</v>
      </c>
      <c r="H5159">
             </c>
      <c r="I5159" t="s">
        <v>14</v>
      </c>
      <c r="J5159" t="s">
        <v>242</v>
      </c>
      <c r="K5159" t="s">
        <v>14</v>
      </c>
      <c r="L5159" t="s">
        <v>20</v>
      </c>
      <c r="M5159" t="s">
        <v>10576</v>
      </c>
      <c r="N5159" t="s">
        <v>14</v>
      </c>
    </row>
    <row r="5160" x14ac:dyDescent="0.25">
      <c r="A5160" t="n">
        <v>25</v>
      </c>
      <c r="B5160" t="s">
        <v>14</v>
      </c>
      <c r="C5160" t="s">
        <v>51</v>
      </c>
      <c r="D5160" s="2" t="s">
        <f>=HYPERLINK("https://main.knesset.gov.il/APPS/legislation/main/bills/2201410", "הצעת חוק העונשין (תיקון - החמרת ענישה על העלבת עובד ציבור), התשפ''ג-2023")</f>
        <v>10595</v>
      </c>
      <c r="E5160" t="s">
        <v>10595</v>
      </c>
      <c r="F5160" t="s">
        <v>10596</v>
      </c>
      <c r="G5160" t="s">
        <v>14</v>
      </c>
      <c r="H5160">
             </c>
      <c r="I5160" t="s">
        <v>14</v>
      </c>
      <c r="J5160" t="s">
        <v>242</v>
      </c>
      <c r="K5160" t="s">
        <v>14</v>
      </c>
      <c r="L5160" t="s">
        <v>20</v>
      </c>
      <c r="M5160" t="s">
        <v>10576</v>
      </c>
      <c r="N5160" t="s">
        <v>14</v>
      </c>
    </row>
    <row r="5161" x14ac:dyDescent="0.25">
      <c r="A5161" t="n">
        <v>25</v>
      </c>
      <c r="B5161" t="s">
        <v>14</v>
      </c>
      <c r="C5161" t="s">
        <v>51</v>
      </c>
      <c r="D5161" s="2" t="s">
        <f>=HYPERLINK("https://main.knesset.gov.il/APPS/legislation/main/bills/2202116", "הצעת חוק הביטוח הלאומי (תיקון - דמי פגיעה לעובד עצמאי), התשפ""ג-2023")</f>
        <v>10207</v>
      </c>
      <c r="E5161" t="s">
        <v>10207</v>
      </c>
      <c r="F5161" t="s">
        <v>10597</v>
      </c>
      <c r="G5161" t="s">
        <v>14</v>
      </c>
      <c r="H5161">
             </c>
      <c r="I5161" t="s">
        <v>14</v>
      </c>
      <c r="J5161" t="s">
        <v>242</v>
      </c>
      <c r="K5161" t="s">
        <v>14</v>
      </c>
      <c r="L5161" t="s">
        <v>20</v>
      </c>
      <c r="M5161" t="s">
        <v>10576</v>
      </c>
      <c r="N5161" t="s">
        <v>14</v>
      </c>
    </row>
    <row r="5162" x14ac:dyDescent="0.25">
      <c r="A5162" t="n">
        <v>25</v>
      </c>
      <c r="B5162" t="s">
        <v>14</v>
      </c>
      <c r="C5162" t="s">
        <v>51</v>
      </c>
      <c r="D5162" s="2" t="s">
        <f>=HYPERLINK("https://main.knesset.gov.il/APPS/legislation/main/bills/2201745", "הצעת חוק הסכמים קיבוציים (תיקון - סייג לגביית דמי חבר ודמי טיפול מקצועי-ארגוני בארגון עובדים), התשפ""ג-2023")</f>
        <v>10598</v>
      </c>
      <c r="E5162" t="s">
        <v>10598</v>
      </c>
      <c r="F5162" t="s">
        <v>10599</v>
      </c>
      <c r="G5162" t="s">
        <v>14</v>
      </c>
      <c r="H5162">
             </c>
      <c r="I5162" t="s">
        <v>14</v>
      </c>
      <c r="J5162" t="s">
        <v>242</v>
      </c>
      <c r="K5162" t="s">
        <v>14</v>
      </c>
      <c r="L5162" t="s">
        <v>20</v>
      </c>
      <c r="M5162" t="s">
        <v>10576</v>
      </c>
      <c r="N5162" t="s">
        <v>14</v>
      </c>
    </row>
    <row r="5163" x14ac:dyDescent="0.25">
      <c r="A5163" t="n">
        <v>25</v>
      </c>
      <c r="B5163" t="s">
        <v>14</v>
      </c>
      <c r="C5163" t="s">
        <v>51</v>
      </c>
      <c r="D5163" s="2" t="s">
        <f>=HYPERLINK("https://main.knesset.gov.il/APPS/legislation/main/bills/2201720", "הצעת חוק שכר מינימום (תיקון - עוולה נזיקית וקובלנה), התשפ""ג-2023")</f>
        <v>10600</v>
      </c>
      <c r="E5163" t="s">
        <v>10600</v>
      </c>
      <c r="F5163" t="s">
        <v>10601</v>
      </c>
      <c r="G5163" t="s">
        <v>14</v>
      </c>
      <c r="H5163">
             </c>
      <c r="I5163" t="s">
        <v>14</v>
      </c>
      <c r="J5163" t="s">
        <v>242</v>
      </c>
      <c r="K5163" t="s">
        <v>14</v>
      </c>
      <c r="L5163" t="s">
        <v>20</v>
      </c>
      <c r="M5163" t="s">
        <v>10576</v>
      </c>
      <c r="N5163" t="s">
        <v>14</v>
      </c>
    </row>
    <row r="5164" x14ac:dyDescent="0.25">
      <c r="A5164" t="n">
        <v>25</v>
      </c>
      <c r="B5164" t="s">
        <v>14</v>
      </c>
      <c r="C5164" t="s">
        <v>51</v>
      </c>
      <c r="D5164" s="2" t="s">
        <f>=HYPERLINK("https://main.knesset.gov.il/APPS/legislation/main/bills/2201397", "הצעת חוק העונשין (תיקון - החמרת ענישה בפשיעה חקלאית) (הוראת שעה), התשפ""ג-2023")</f>
        <v>10602</v>
      </c>
      <c r="E5164" t="s">
        <v>10602</v>
      </c>
      <c r="F5164" t="s">
        <v>10603</v>
      </c>
      <c r="G5164" t="s">
        <v>14</v>
      </c>
      <c r="H5164">
             </c>
      <c r="I5164" t="s">
        <v>14</v>
      </c>
      <c r="J5164" t="s">
        <v>242</v>
      </c>
      <c r="K5164" t="s">
        <v>14</v>
      </c>
      <c r="L5164" t="s">
        <v>20</v>
      </c>
      <c r="M5164" t="s">
        <v>10576</v>
      </c>
      <c r="N5164" t="s">
        <v>14</v>
      </c>
    </row>
    <row r="5165" x14ac:dyDescent="0.25">
      <c r="A5165" t="n">
        <v>25</v>
      </c>
      <c r="B5165" t="s">
        <v>14</v>
      </c>
      <c r="C5165" t="s">
        <v>51</v>
      </c>
      <c r="D5165" s="2" t="s">
        <f>=HYPERLINK("https://main.knesset.gov.il/APPS/legislation/main/bills/2201706", "הצעת חוק הביטוח הלאומי (תיקון - הארכת המועד להגשת תביעה לגמלה והתקופה שבעדה תשולם), התשפ""ג-2023")</f>
        <v>8519</v>
      </c>
      <c r="E5165" t="s">
        <v>8519</v>
      </c>
      <c r="F5165" t="s">
        <v>10604</v>
      </c>
      <c r="G5165" t="s">
        <v>14</v>
      </c>
      <c r="H5165">
             </c>
      <c r="I5165" t="s">
        <v>14</v>
      </c>
      <c r="J5165" t="s">
        <v>242</v>
      </c>
      <c r="K5165" t="s">
        <v>14</v>
      </c>
      <c r="L5165" t="s">
        <v>20</v>
      </c>
      <c r="M5165" t="s">
        <v>10576</v>
      </c>
      <c r="N5165" t="s">
        <v>14</v>
      </c>
    </row>
    <row r="5166" x14ac:dyDescent="0.25">
      <c r="A5166" t="n">
        <v>25</v>
      </c>
      <c r="B5166" t="s">
        <v>14</v>
      </c>
      <c r="C5166" t="s">
        <v>51</v>
      </c>
      <c r="D5166" s="2" t="s">
        <f>=HYPERLINK("https://main.knesset.gov.il/APPS/legislation/main/bills/2201137", "הצעת חוק לתיקון פקודת מס הכנסה (פטור ממס על מלגה לחוקר), התשפ""ג-2023")</f>
        <v>10605</v>
      </c>
      <c r="E5166" t="s">
        <v>10605</v>
      </c>
      <c r="F5166" t="s">
        <v>10606</v>
      </c>
      <c r="G5166" t="s">
        <v>14</v>
      </c>
      <c r="H5166">
             </c>
      <c r="I5166" t="s">
        <v>14</v>
      </c>
      <c r="J5166" t="s">
        <v>242</v>
      </c>
      <c r="K5166" t="s">
        <v>14</v>
      </c>
      <c r="L5166" t="s">
        <v>20</v>
      </c>
      <c r="M5166" t="s">
        <v>10576</v>
      </c>
      <c r="N5166" t="s">
        <v>14</v>
      </c>
    </row>
    <row r="5167" x14ac:dyDescent="0.25">
      <c r="A5167" t="n">
        <v>25</v>
      </c>
      <c r="B5167" t="s">
        <v>14</v>
      </c>
      <c r="C5167" t="s">
        <v>51</v>
      </c>
      <c r="D5167" s="2" t="s">
        <f>=HYPERLINK("https://main.knesset.gov.il/APPS/legislation/main/bills/2201433", "הצעת חוק ירושלים רבתי, התשפ""ג-2023")</f>
        <v>10607</v>
      </c>
      <c r="E5167" t="s">
        <v>10607</v>
      </c>
      <c r="F5167" t="s">
        <v>10608</v>
      </c>
      <c r="G5167" t="s">
        <v>14</v>
      </c>
      <c r="H5167">
             </c>
      <c r="I5167" t="s">
        <v>14</v>
      </c>
      <c r="J5167" t="s">
        <v>242</v>
      </c>
      <c r="K5167" t="s">
        <v>14</v>
      </c>
      <c r="L5167" t="s">
        <v>20</v>
      </c>
      <c r="M5167" t="s">
        <v>10576</v>
      </c>
      <c r="N5167" t="s">
        <v>14</v>
      </c>
    </row>
    <row r="5168" x14ac:dyDescent="0.25">
      <c r="A5168" t="n">
        <v>25</v>
      </c>
      <c r="B5168" t="s">
        <v>14</v>
      </c>
      <c r="C5168" t="s">
        <v>51</v>
      </c>
      <c r="D5168" s="2" t="s">
        <f>=HYPERLINK("https://main.knesset.gov.il/APPS/legislation/main/bills/2201649", "הצעת חוק הביטוח הלאומי (תיקון - שלילת קצבאות ממחבלים), התשפ""ג-2023")</f>
        <v>10609</v>
      </c>
      <c r="E5168" t="s">
        <v>10609</v>
      </c>
      <c r="F5168" t="s">
        <v>10610</v>
      </c>
      <c r="G5168" t="s">
        <v>14</v>
      </c>
      <c r="H5168">
             </c>
      <c r="I5168" t="s">
        <v>14</v>
      </c>
      <c r="J5168" t="s">
        <v>242</v>
      </c>
      <c r="K5168" t="s">
        <v>14</v>
      </c>
      <c r="L5168" t="s">
        <v>20</v>
      </c>
      <c r="M5168" t="s">
        <v>10576</v>
      </c>
      <c r="N5168" t="s">
        <v>14</v>
      </c>
    </row>
    <row r="5169" x14ac:dyDescent="0.25">
      <c r="A5169" t="n">
        <v>25</v>
      </c>
      <c r="B5169" t="s">
        <v>14</v>
      </c>
      <c r="C5169" t="s">
        <v>51</v>
      </c>
      <c r="D5169" s="2" t="s">
        <f>=HYPERLINK("https://main.knesset.gov.il/APPS/legislation/main/bills/2201751", "הצעת חוק שוויון זכויות לאנשים עם מוגבלות (תיקון - חובת נגישות באוטובוסים בין-עירוניים), התשפ""ג-2023")</f>
        <v>10611</v>
      </c>
      <c r="E5169" t="s">
        <v>10611</v>
      </c>
      <c r="F5169" t="s">
        <v>10612</v>
      </c>
      <c r="G5169" t="s">
        <v>14</v>
      </c>
      <c r="H5169">
             </c>
      <c r="I5169" t="s">
        <v>14</v>
      </c>
      <c r="J5169" t="s">
        <v>242</v>
      </c>
      <c r="K5169" t="s">
        <v>14</v>
      </c>
      <c r="L5169" t="s">
        <v>20</v>
      </c>
      <c r="M5169" t="s">
        <v>10576</v>
      </c>
      <c r="N5169" t="s">
        <v>14</v>
      </c>
    </row>
    <row r="5170" x14ac:dyDescent="0.25">
      <c r="A5170" t="n">
        <v>25</v>
      </c>
      <c r="B5170" t="s">
        <v>14</v>
      </c>
      <c r="C5170" t="s">
        <v>51</v>
      </c>
      <c r="D5170" s="2" t="s">
        <f>=HYPERLINK("https://main.knesset.gov.il/APPS/legislation/main/bills/2201426", "הצעת חוק מעונות יום שיקומיים (תיקון - הקדמת גיל הזכאות), התשפ""ג-2023")</f>
        <v>9996</v>
      </c>
      <c r="E5170" t="s">
        <v>9996</v>
      </c>
      <c r="F5170" t="s">
        <v>10613</v>
      </c>
      <c r="G5170" t="s">
        <v>14</v>
      </c>
      <c r="H5170">
             </c>
      <c r="I5170" t="s">
        <v>14</v>
      </c>
      <c r="J5170" t="s">
        <v>242</v>
      </c>
      <c r="K5170" t="s">
        <v>14</v>
      </c>
      <c r="L5170" t="s">
        <v>20</v>
      </c>
      <c r="M5170" t="s">
        <v>10576</v>
      </c>
      <c r="N5170" t="s">
        <v>14</v>
      </c>
    </row>
    <row r="5171" x14ac:dyDescent="0.25">
      <c r="A5171" t="n">
        <v>25</v>
      </c>
      <c r="B5171" t="s">
        <v>14</v>
      </c>
      <c r="C5171" t="s">
        <v>51</v>
      </c>
      <c r="D5171" s="2" t="s">
        <f>=HYPERLINK("https://main.knesset.gov.il/APPS/legislation/main/bills/2201704", "הצעת חוק דמי מחלה (תיקון - יתרה שלילית של ימי מחלה), התשפ""ג-2023")</f>
        <v>10614</v>
      </c>
      <c r="E5171" t="s">
        <v>10614</v>
      </c>
      <c r="F5171" t="s">
        <v>10615</v>
      </c>
      <c r="G5171" t="s">
        <v>14</v>
      </c>
      <c r="H5171">
             </c>
      <c r="I5171" t="s">
        <v>14</v>
      </c>
      <c r="J5171" t="s">
        <v>242</v>
      </c>
      <c r="K5171" t="s">
        <v>14</v>
      </c>
      <c r="L5171" t="s">
        <v>20</v>
      </c>
      <c r="M5171" t="s">
        <v>10576</v>
      </c>
      <c r="N5171" t="s">
        <v>14</v>
      </c>
    </row>
    <row r="5172" x14ac:dyDescent="0.25">
      <c r="A5172" t="n">
        <v>25</v>
      </c>
      <c r="B5172" t="s">
        <v>14</v>
      </c>
      <c r="C5172" t="s">
        <v>51</v>
      </c>
      <c r="D5172" s="2" t="s">
        <f>=HYPERLINK("https://main.knesset.gov.il/APPS/legislation/main/bills/2200468", "הצעת חוק לתיקון פקודת מס הכנסה (הפקדות לקרן השתלמות לעצמאי), התשפ""ג-2023")</f>
        <v>10616</v>
      </c>
      <c r="E5172" t="s">
        <v>10616</v>
      </c>
      <c r="F5172" t="s">
        <v>10617</v>
      </c>
      <c r="G5172" t="s">
        <v>14</v>
      </c>
      <c r="H5172">
             </c>
      <c r="I5172" t="s">
        <v>14</v>
      </c>
      <c r="J5172" t="s">
        <v>242</v>
      </c>
      <c r="K5172" t="s">
        <v>14</v>
      </c>
      <c r="L5172" t="s">
        <v>20</v>
      </c>
      <c r="M5172" t="s">
        <v>10576</v>
      </c>
      <c r="N5172" t="s">
        <v>14</v>
      </c>
    </row>
    <row r="5173" x14ac:dyDescent="0.25">
      <c r="A5173" t="n">
        <v>25</v>
      </c>
      <c r="B5173" t="s">
        <v>14</v>
      </c>
      <c r="C5173" t="s">
        <v>51</v>
      </c>
      <c r="D5173" s="2" t="s">
        <f>=HYPERLINK("https://main.knesset.gov.il/APPS/legislation/main/bills/2201888", "הצעת חוק ביטוח בריאות ממלכתי (תיקון - תוספת שנתית קבועה לסל שירותי הבריאות לצורך הוספת תרופות, מכשור וטכנולוגיות רפואיות חדשות), התשפ""ג-2023")</f>
        <v>10618</v>
      </c>
      <c r="E5173" t="s">
        <v>10618</v>
      </c>
      <c r="F5173" t="s">
        <v>10619</v>
      </c>
      <c r="G5173" t="s">
        <v>14</v>
      </c>
      <c r="H5173">
             </c>
      <c r="I5173" t="s">
        <v>14</v>
      </c>
      <c r="J5173" t="s">
        <v>242</v>
      </c>
      <c r="K5173" t="s">
        <v>14</v>
      </c>
      <c r="L5173" t="s">
        <v>20</v>
      </c>
      <c r="M5173" t="s">
        <v>10576</v>
      </c>
      <c r="N5173" t="s">
        <v>14</v>
      </c>
    </row>
    <row r="5174" x14ac:dyDescent="0.25">
      <c r="A5174" t="n">
        <v>25</v>
      </c>
      <c r="B5174" t="s">
        <v>14</v>
      </c>
      <c r="C5174" t="s">
        <v>51</v>
      </c>
      <c r="D5174" s="2" t="s">
        <f>=HYPERLINK("https://main.knesset.gov.il/APPS/legislation/main/bills/2201960", "הצעת חוק דמי מחלה עבור מלווה בן משפחה לבדיקה רפואית (תיקוני חקיקה), התשפ""ג-2023")</f>
        <v>10298</v>
      </c>
      <c r="E5174" t="s">
        <v>10298</v>
      </c>
      <c r="F5174" t="s">
        <v>10620</v>
      </c>
      <c r="G5174" t="s">
        <v>14</v>
      </c>
      <c r="H5174">
             </c>
      <c r="I5174" t="s">
        <v>14</v>
      </c>
      <c r="J5174" t="s">
        <v>242</v>
      </c>
      <c r="K5174" t="s">
        <v>14</v>
      </c>
      <c r="L5174" t="s">
        <v>20</v>
      </c>
      <c r="M5174" t="s">
        <v>10576</v>
      </c>
      <c r="N5174" t="s">
        <v>14</v>
      </c>
    </row>
    <row r="5175" x14ac:dyDescent="0.25">
      <c r="A5175" t="n">
        <v>25</v>
      </c>
      <c r="B5175" t="s">
        <v>14</v>
      </c>
      <c r="C5175" t="s">
        <v>51</v>
      </c>
      <c r="D5175" s="2" t="s">
        <f>=HYPERLINK("https://main.knesset.gov.il/APPS/legislation/main/bills/2201698", "הצעת חוק הפנסיה (מועד תחילת הביטוח הפנסיוני), התשפ""ג-2023")</f>
        <v>10621</v>
      </c>
      <c r="E5175" t="s">
        <v>10621</v>
      </c>
      <c r="F5175" t="s">
        <v>10622</v>
      </c>
      <c r="G5175" t="s">
        <v>14</v>
      </c>
      <c r="H5175">
             </c>
      <c r="I5175" t="s">
        <v>14</v>
      </c>
      <c r="J5175" t="s">
        <v>242</v>
      </c>
      <c r="K5175" t="s">
        <v>14</v>
      </c>
      <c r="L5175" t="s">
        <v>20</v>
      </c>
      <c r="M5175" t="s">
        <v>10576</v>
      </c>
      <c r="N5175" t="s">
        <v>14</v>
      </c>
    </row>
    <row r="5176" x14ac:dyDescent="0.25">
      <c r="A5176" t="n">
        <v>25</v>
      </c>
      <c r="B5176" t="s">
        <v>14</v>
      </c>
      <c r="C5176" t="s">
        <v>51</v>
      </c>
      <c r="D5176" s="2" t="s">
        <f>=HYPERLINK("https://main.knesset.gov.il/APPS/legislation/main/bills/2201548", "הצעת חוק סיוע למשפחות שבראשן הורה עצמאי (תיקון - הרחבת תחולה), התשפ""ג-2023")</f>
        <v>10623</v>
      </c>
      <c r="E5176" t="s">
        <v>10623</v>
      </c>
      <c r="F5176" t="s">
        <v>10624</v>
      </c>
      <c r="G5176" t="s">
        <v>14</v>
      </c>
      <c r="H5176">
             </c>
      <c r="I5176" t="s">
        <v>14</v>
      </c>
      <c r="J5176" t="s">
        <v>242</v>
      </c>
      <c r="K5176" t="s">
        <v>14</v>
      </c>
      <c r="L5176" t="s">
        <v>20</v>
      </c>
      <c r="M5176" t="s">
        <v>10576</v>
      </c>
      <c r="N5176" t="s">
        <v>14</v>
      </c>
    </row>
    <row r="5177" x14ac:dyDescent="0.25">
      <c r="A5177" t="n">
        <v>25</v>
      </c>
      <c r="B5177" t="s">
        <v>14</v>
      </c>
      <c r="C5177" t="s">
        <v>51</v>
      </c>
      <c r="D5177" s="2" t="s">
        <f>=HYPERLINK("https://main.knesset.gov.il/APPS/legislation/main/bills/2201874", "הצעת חוק המכר (דירות) (תיקון - הסדרת בנייה במסגרת קבוצות רכישה), התשפ""ג-2023")</f>
        <v>10625</v>
      </c>
      <c r="E5177" t="s">
        <v>10625</v>
      </c>
      <c r="F5177" t="s">
        <v>10626</v>
      </c>
      <c r="G5177" t="s">
        <v>14</v>
      </c>
      <c r="H5177">
             </c>
      <c r="I5177" t="s">
        <v>14</v>
      </c>
      <c r="J5177" t="s">
        <v>242</v>
      </c>
      <c r="K5177" t="s">
        <v>14</v>
      </c>
      <c r="L5177" t="s">
        <v>20</v>
      </c>
      <c r="M5177" t="s">
        <v>10576</v>
      </c>
      <c r="N5177" t="s">
        <v>14</v>
      </c>
    </row>
    <row r="5178" x14ac:dyDescent="0.25">
      <c r="A5178" t="n">
        <v>25</v>
      </c>
      <c r="B5178" t="s">
        <v>14</v>
      </c>
      <c r="C5178" t="s">
        <v>51</v>
      </c>
      <c r="D5178" s="2" t="s">
        <f>=HYPERLINK("https://main.knesset.gov.il/APPS/legislation/main/bills/2201550", "הצעת חוק שוויון ההזדמנויות בעבודה (תיקון - עצמאות נציבות שוויון הזדמנויות בעבודה), התשפ""ג-2023")</f>
        <v>10296</v>
      </c>
      <c r="E5178" t="s">
        <v>10296</v>
      </c>
      <c r="F5178" t="s">
        <v>10627</v>
      </c>
      <c r="G5178" t="s">
        <v>14</v>
      </c>
      <c r="H5178">
             </c>
      <c r="I5178" t="s">
        <v>14</v>
      </c>
      <c r="J5178" t="s">
        <v>242</v>
      </c>
      <c r="K5178" t="s">
        <v>14</v>
      </c>
      <c r="L5178" t="s">
        <v>20</v>
      </c>
      <c r="M5178" t="s">
        <v>10576</v>
      </c>
      <c r="N5178" t="s">
        <v>14</v>
      </c>
    </row>
    <row r="5179" x14ac:dyDescent="0.25">
      <c r="A5179" t="n">
        <v>25</v>
      </c>
      <c r="B5179" t="s">
        <v>14</v>
      </c>
      <c r="C5179" t="s">
        <v>51</v>
      </c>
      <c r="D5179" s="2" t="s">
        <f>=HYPERLINK("https://main.knesset.gov.il/APPS/legislation/main/bills/2201483", "הצעת חוק לתיקון פקודת העיריות (חובת גילוי מסמכי תאגיד עירוני), התשפ""ג-2023")</f>
        <v>10628</v>
      </c>
      <c r="E5179" t="s">
        <v>10628</v>
      </c>
      <c r="F5179" t="s">
        <v>10629</v>
      </c>
      <c r="G5179" t="s">
        <v>14</v>
      </c>
      <c r="H5179">
             </c>
      <c r="I5179" t="s">
        <v>14</v>
      </c>
      <c r="J5179" t="s">
        <v>242</v>
      </c>
      <c r="K5179" t="s">
        <v>14</v>
      </c>
      <c r="L5179" t="s">
        <v>20</v>
      </c>
      <c r="M5179" t="s">
        <v>10576</v>
      </c>
      <c r="N5179" t="s">
        <v>14</v>
      </c>
    </row>
    <row r="5180" x14ac:dyDescent="0.25">
      <c r="A5180" t="n">
        <v>25</v>
      </c>
      <c r="B5180" t="s">
        <v>14</v>
      </c>
      <c r="C5180" t="s">
        <v>51</v>
      </c>
      <c r="D5180" s="2" t="s">
        <f>=HYPERLINK("https://main.knesset.gov.il/APPS/legislation/main/bills/2202121", "הצעת חוק הגנת הצרכן (תיקון - סימון תוצרת חקלאית שאינה ארוזה מראש), התשפ""ג-2023")</f>
        <v>10630</v>
      </c>
      <c r="E5180" t="s">
        <v>10630</v>
      </c>
      <c r="F5180" t="s">
        <v>10631</v>
      </c>
      <c r="G5180" t="s">
        <v>14</v>
      </c>
      <c r="H5180">
             </c>
      <c r="I5180" t="s">
        <v>14</v>
      </c>
      <c r="J5180" t="s">
        <v>242</v>
      </c>
      <c r="K5180" t="s">
        <v>14</v>
      </c>
      <c r="L5180" t="s">
        <v>20</v>
      </c>
      <c r="M5180" t="s">
        <v>10576</v>
      </c>
      <c r="N5180" t="s">
        <v>14</v>
      </c>
    </row>
    <row r="5181" x14ac:dyDescent="0.25">
      <c r="A5181" t="n">
        <v>25</v>
      </c>
      <c r="B5181" t="s">
        <v>14</v>
      </c>
      <c r="C5181" t="s">
        <v>51</v>
      </c>
      <c r="D5181" s="2" t="s">
        <f>=HYPERLINK("https://main.knesset.gov.il/APPS/legislation/main/bills/2202117", "הצעת חוק הגנת הצרכן (תיקון - סימון תוצרת חקלאית שאינה ארוזה מראש), התשפ""ג-2023")</f>
        <v>10630</v>
      </c>
      <c r="E5181" t="s">
        <v>10630</v>
      </c>
      <c r="F5181" t="s">
        <v>10632</v>
      </c>
      <c r="G5181" t="s">
        <v>14</v>
      </c>
      <c r="H5181">
             </c>
      <c r="I5181" t="s">
        <v>14</v>
      </c>
      <c r="J5181" t="s">
        <v>242</v>
      </c>
      <c r="K5181" t="s">
        <v>14</v>
      </c>
      <c r="L5181" t="s">
        <v>20</v>
      </c>
      <c r="M5181" t="s">
        <v>10576</v>
      </c>
      <c r="N5181" t="s">
        <v>14</v>
      </c>
    </row>
    <row r="5182" x14ac:dyDescent="0.25">
      <c r="A5182" t="n">
        <v>25</v>
      </c>
      <c r="B5182" t="s">
        <v>14</v>
      </c>
      <c r="C5182" t="s">
        <v>51</v>
      </c>
      <c r="D5182" s="2" t="s">
        <f>=HYPERLINK("https://main.knesset.gov.il/APPS/legislation/main/bills/2201262", "הצעת חוק השידור הציבורי הישראלי (תיקון - חברה ציבורית), התשפ""ג-2023")</f>
        <v>10633</v>
      </c>
      <c r="E5182" t="s">
        <v>10633</v>
      </c>
      <c r="F5182" t="s">
        <v>10634</v>
      </c>
      <c r="G5182" t="s">
        <v>14</v>
      </c>
      <c r="H5182">
             </c>
      <c r="I5182" t="s">
        <v>14</v>
      </c>
      <c r="J5182" t="s">
        <v>242</v>
      </c>
      <c r="K5182" t="s">
        <v>14</v>
      </c>
      <c r="L5182" t="s">
        <v>20</v>
      </c>
      <c r="M5182" t="s">
        <v>10576</v>
      </c>
      <c r="N5182" t="s">
        <v>14</v>
      </c>
    </row>
    <row r="5183" x14ac:dyDescent="0.25">
      <c r="A5183" t="n">
        <v>25</v>
      </c>
      <c r="B5183" t="s">
        <v>14</v>
      </c>
      <c r="C5183" t="s">
        <v>51</v>
      </c>
      <c r="D5183" s="2" t="s">
        <f>=HYPERLINK("https://main.knesset.gov.il/APPS/legislation/main/bills/2201738", "הצעת חוק למניעת מפגעים (תיקון - עידוד הפחתת שימוש בזיקוקי די-נור), התשפ""ג-2023")</f>
        <v>10635</v>
      </c>
      <c r="E5183" t="s">
        <v>10635</v>
      </c>
      <c r="F5183" t="s">
        <v>10636</v>
      </c>
      <c r="G5183" t="s">
        <v>14</v>
      </c>
      <c r="H5183">
             </c>
      <c r="I5183" t="s">
        <v>14</v>
      </c>
      <c r="J5183" t="s">
        <v>242</v>
      </c>
      <c r="K5183" t="s">
        <v>14</v>
      </c>
      <c r="L5183" t="s">
        <v>20</v>
      </c>
      <c r="M5183" t="s">
        <v>10576</v>
      </c>
      <c r="N5183" t="s">
        <v>14</v>
      </c>
    </row>
    <row r="5184" x14ac:dyDescent="0.25">
      <c r="A5184" t="n">
        <v>25</v>
      </c>
      <c r="B5184" t="s">
        <v>14</v>
      </c>
      <c r="C5184" t="s">
        <v>51</v>
      </c>
      <c r="D5184" s="2" t="s">
        <f>=HYPERLINK("https://main.knesset.gov.il/APPS/legislation/main/bills/2201994", "הצעת חוק-יסוד: מבקר המדינה (תיקון - כשירות מועמדים לכהונה כמבקר המדינה) ")</f>
        <v>10637</v>
      </c>
      <c r="E5184" t="s">
        <v>10637</v>
      </c>
      <c r="F5184" t="s">
        <v>10638</v>
      </c>
      <c r="G5184" t="s">
        <v>14</v>
      </c>
      <c r="H5184">
             </c>
      <c r="I5184" t="s">
        <v>14</v>
      </c>
      <c r="J5184" t="s">
        <v>242</v>
      </c>
      <c r="K5184" t="s">
        <v>14</v>
      </c>
      <c r="L5184" t="s">
        <v>20</v>
      </c>
      <c r="M5184" t="s">
        <v>10576</v>
      </c>
      <c r="N5184" t="s">
        <v>14</v>
      </c>
    </row>
    <row r="5185" x14ac:dyDescent="0.25">
      <c r="A5185" t="n">
        <v>25</v>
      </c>
      <c r="B5185" t="s">
        <v>14</v>
      </c>
      <c r="C5185" t="s">
        <v>51</v>
      </c>
      <c r="D5185" s="2" t="s">
        <f>=HYPERLINK("https://main.knesset.gov.il/APPS/legislation/main/bills/2200654", "הצעת חוק מרכזי חירום ושליטה ביישובים סמוכי גבול, התשפ""ג-2023")</f>
        <v>10639</v>
      </c>
      <c r="E5185" t="s">
        <v>10639</v>
      </c>
      <c r="F5185" t="s">
        <v>10640</v>
      </c>
      <c r="G5185" t="s">
        <v>14</v>
      </c>
      <c r="H5185">
             </c>
      <c r="I5185" t="s">
        <v>14</v>
      </c>
      <c r="J5185" t="s">
        <v>242</v>
      </c>
      <c r="K5185" t="s">
        <v>14</v>
      </c>
      <c r="L5185" t="s">
        <v>20</v>
      </c>
      <c r="M5185" t="s">
        <v>10576</v>
      </c>
      <c r="N5185" t="s">
        <v>14</v>
      </c>
    </row>
    <row r="5186" x14ac:dyDescent="0.25">
      <c r="A5186" t="n">
        <v>25</v>
      </c>
      <c r="B5186" t="s">
        <v>14</v>
      </c>
      <c r="C5186" t="s">
        <v>51</v>
      </c>
      <c r="D5186" s="2" t="s">
        <f>=HYPERLINK("https://main.knesset.gov.il/APPS/legislation/main/bills/2201645", "הצעת חוק קליטת חיילים משוחררים (תיקון - זכאות לתומכי לחימה מקרן ""ממדים ללימודים""), התשפ""ג-2023")</f>
        <v>10641</v>
      </c>
      <c r="E5186" t="s">
        <v>10641</v>
      </c>
      <c r="F5186" t="s">
        <v>10642</v>
      </c>
      <c r="G5186" t="s">
        <v>14</v>
      </c>
      <c r="H5186">
             </c>
      <c r="I5186" t="s">
        <v>14</v>
      </c>
      <c r="J5186" t="s">
        <v>242</v>
      </c>
      <c r="K5186" t="s">
        <v>14</v>
      </c>
      <c r="L5186" t="s">
        <v>20</v>
      </c>
      <c r="M5186" t="s">
        <v>10576</v>
      </c>
      <c r="N5186" t="s">
        <v>14</v>
      </c>
    </row>
    <row r="5187" x14ac:dyDescent="0.25">
      <c r="A5187" t="n">
        <v>25</v>
      </c>
      <c r="B5187" t="s">
        <v>14</v>
      </c>
      <c r="C5187" t="s">
        <v>51</v>
      </c>
      <c r="D5187" s="2" t="s">
        <f>=HYPERLINK("https://main.knesset.gov.il/APPS/legislation/main/bills/2199754", "הצעת חוק עסקאות במקרקעין (קיום מצוות שמיטה) (תיקון - החלת החוק על יהודה והשומרון), התשפ""ג-2023")</f>
        <v>10643</v>
      </c>
      <c r="E5187" t="s">
        <v>10643</v>
      </c>
      <c r="F5187" t="s">
        <v>10644</v>
      </c>
      <c r="G5187" t="s">
        <v>14</v>
      </c>
      <c r="H5187">
             </c>
      <c r="I5187" t="s">
        <v>14</v>
      </c>
      <c r="J5187" t="s">
        <v>242</v>
      </c>
      <c r="K5187" t="s">
        <v>14</v>
      </c>
      <c r="L5187" t="s">
        <v>20</v>
      </c>
      <c r="M5187" t="s">
        <v>10576</v>
      </c>
      <c r="N5187" t="s">
        <v>14</v>
      </c>
    </row>
    <row r="5188" x14ac:dyDescent="0.25">
      <c r="A5188" t="n">
        <v>25</v>
      </c>
      <c r="B5188" t="s">
        <v>14</v>
      </c>
      <c r="C5188" t="s">
        <v>51</v>
      </c>
      <c r="D5188" s="2" t="s">
        <f>=HYPERLINK("https://main.knesset.gov.il/APPS/legislation/main/bills/2201884", "הצעת חוק הרשויות המקומיות (גמול השתתפות בישיבות והחזר הוצאות לחברי מועצה), התשפ""ג-2023")</f>
        <v>3064</v>
      </c>
      <c r="E5188" t="s">
        <v>3064</v>
      </c>
      <c r="F5188" t="s">
        <v>10645</v>
      </c>
      <c r="G5188" t="s">
        <v>14</v>
      </c>
      <c r="H5188">
             </c>
      <c r="I5188" t="s">
        <v>14</v>
      </c>
      <c r="J5188" t="s">
        <v>202</v>
      </c>
      <c r="K5188" t="s">
        <v>14</v>
      </c>
      <c r="L5188" t="s">
        <v>20</v>
      </c>
      <c r="M5188" t="s">
        <v>10576</v>
      </c>
      <c r="N5188" t="s">
        <v>14</v>
      </c>
    </row>
    <row r="5189" x14ac:dyDescent="0.25">
      <c r="A5189" t="n">
        <v>25</v>
      </c>
      <c r="B5189" t="s">
        <v>14</v>
      </c>
      <c r="C5189" t="s">
        <v>51</v>
      </c>
      <c r="D5189" s="2" t="s">
        <f>=HYPERLINK("https://main.knesset.gov.il/APPS/legislation/main/bills/2200733", "הצעת חוק ליישוב תחת איום מיידי (הוראת שעה), התשפ""ג-2023")</f>
        <v>10314</v>
      </c>
      <c r="E5189" t="s">
        <v>10314</v>
      </c>
      <c r="F5189" t="s">
        <v>10646</v>
      </c>
      <c r="G5189" t="s">
        <v>14</v>
      </c>
      <c r="H5189">
             </c>
      <c r="I5189" t="s">
        <v>14</v>
      </c>
      <c r="J5189" t="s">
        <v>242</v>
      </c>
      <c r="K5189" t="s">
        <v>14</v>
      </c>
      <c r="L5189" t="s">
        <v>20</v>
      </c>
      <c r="M5189" t="s">
        <v>10576</v>
      </c>
      <c r="N5189" t="s">
        <v>14</v>
      </c>
    </row>
    <row r="5190" x14ac:dyDescent="0.25">
      <c r="A5190" t="n">
        <v>25</v>
      </c>
      <c r="B5190" t="s">
        <v>14</v>
      </c>
      <c r="C5190" t="s">
        <v>51</v>
      </c>
      <c r="D5190" s="2" t="s">
        <f>=HYPERLINK("https://main.knesset.gov.il/APPS/legislation/main/bills/2201074", "הצעת חוק העונשין (תיקון - החזרת הסעיף הסוציאלי כעילה להפסקת הריון), התשפ""ג-2023")</f>
        <v>10647</v>
      </c>
      <c r="E5190" t="s">
        <v>10647</v>
      </c>
      <c r="F5190" t="s">
        <v>10648</v>
      </c>
      <c r="G5190" t="s">
        <v>14</v>
      </c>
      <c r="H5190">
             </c>
      <c r="I5190" t="s">
        <v>14</v>
      </c>
      <c r="J5190" t="s">
        <v>242</v>
      </c>
      <c r="K5190" t="s">
        <v>14</v>
      </c>
      <c r="L5190" t="s">
        <v>20</v>
      </c>
      <c r="M5190" t="s">
        <v>10576</v>
      </c>
      <c r="N5190" t="s">
        <v>14</v>
      </c>
    </row>
    <row r="5191" x14ac:dyDescent="0.25">
      <c r="A5191" t="n">
        <v>25</v>
      </c>
      <c r="B5191" t="s">
        <v>14</v>
      </c>
      <c r="C5191" t="s">
        <v>51</v>
      </c>
      <c r="D5191" s="2" t="s">
        <f>=HYPERLINK("https://main.knesset.gov.il/APPS/legislation/main/bills/2201552", "הצעת חוק דמי מחלה (היעדרות בשל מחלת ילד) (תיקון - היעדרות בשל אשפוז פג), התשפ""ג-2023")</f>
        <v>9564</v>
      </c>
      <c r="E5191" t="s">
        <v>9564</v>
      </c>
      <c r="F5191" t="s">
        <v>10649</v>
      </c>
      <c r="G5191" t="s">
        <v>14</v>
      </c>
      <c r="H5191">
             </c>
      <c r="I5191" t="s">
        <v>14</v>
      </c>
      <c r="J5191" t="s">
        <v>242</v>
      </c>
      <c r="K5191" t="s">
        <v>14</v>
      </c>
      <c r="L5191" t="s">
        <v>20</v>
      </c>
      <c r="M5191" t="s">
        <v>10576</v>
      </c>
      <c r="N5191" t="s">
        <v>14</v>
      </c>
    </row>
    <row r="5192" x14ac:dyDescent="0.25">
      <c r="A5192" t="n">
        <v>25</v>
      </c>
      <c r="B5192" t="s">
        <v>14</v>
      </c>
      <c r="C5192" t="s">
        <v>51</v>
      </c>
      <c r="D5192" s="2" t="s">
        <f>=HYPERLINK("https://main.knesset.gov.il/APPS/legislation/main/bills/2199394", "הצעת חוק הסיוע המשפטי (תיקון - סיוע משפטי לנפגעי הונאה ועושק), התשפ""ג-2023")</f>
        <v>8297</v>
      </c>
      <c r="E5192" t="s">
        <v>8297</v>
      </c>
      <c r="F5192" t="s">
        <v>10650</v>
      </c>
      <c r="G5192" t="s">
        <v>14</v>
      </c>
      <c r="H5192">
             </c>
      <c r="I5192" t="s">
        <v>14</v>
      </c>
      <c r="J5192" t="s">
        <v>202</v>
      </c>
      <c r="K5192" t="s">
        <v>14</v>
      </c>
      <c r="L5192" t="s">
        <v>20</v>
      </c>
      <c r="M5192" t="s">
        <v>10576</v>
      </c>
      <c r="N5192" t="s">
        <v>14</v>
      </c>
    </row>
    <row r="5193" x14ac:dyDescent="0.25">
      <c r="A5193" t="n">
        <v>25</v>
      </c>
      <c r="B5193" t="s">
        <v>14</v>
      </c>
      <c r="C5193" t="s">
        <v>51</v>
      </c>
      <c r="D5193" s="2" t="s">
        <f>=HYPERLINK("https://main.knesset.gov.il/APPS/legislation/main/bills/2201611", "הצעת חוק הביטוח הלאומי (תיקון - קיזוז הכנסות שאינן מעבודה או ממשלח יד מקצבת נכות), התשפ""ג-2023")</f>
        <v>9617</v>
      </c>
      <c r="E5193" t="s">
        <v>9617</v>
      </c>
      <c r="F5193" t="s">
        <v>10651</v>
      </c>
      <c r="G5193" t="s">
        <v>14</v>
      </c>
      <c r="H5193">
             </c>
      <c r="I5193" t="s">
        <v>14</v>
      </c>
      <c r="J5193" t="s">
        <v>242</v>
      </c>
      <c r="K5193" t="s">
        <v>14</v>
      </c>
      <c r="L5193" t="s">
        <v>20</v>
      </c>
      <c r="M5193" t="s">
        <v>10576</v>
      </c>
      <c r="N5193" t="s">
        <v>14</v>
      </c>
    </row>
    <row r="5194" x14ac:dyDescent="0.25">
      <c r="A5194" t="n">
        <v>25</v>
      </c>
      <c r="B5194" t="s">
        <v>14</v>
      </c>
      <c r="C5194" t="s">
        <v>51</v>
      </c>
      <c r="D5194" s="2" t="s">
        <f>=HYPERLINK("https://main.knesset.gov.il/APPS/legislation/main/bills/2201149", "הצעת חוק מס ערך מוסף (תיקון - שיעור מס מופחת על מוצרי מזון בסיסיים), התשפ""ג-2023")</f>
        <v>10652</v>
      </c>
      <c r="E5194" t="s">
        <v>10652</v>
      </c>
      <c r="F5194" t="s">
        <v>10653</v>
      </c>
      <c r="G5194" t="s">
        <v>14</v>
      </c>
      <c r="H5194">
             </c>
      <c r="I5194" t="s">
        <v>14</v>
      </c>
      <c r="J5194" t="s">
        <v>242</v>
      </c>
      <c r="K5194" t="s">
        <v>14</v>
      </c>
      <c r="L5194" t="s">
        <v>20</v>
      </c>
      <c r="M5194" t="s">
        <v>10576</v>
      </c>
      <c r="N5194" t="s">
        <v>14</v>
      </c>
    </row>
    <row r="5195" x14ac:dyDescent="0.25">
      <c r="A5195" t="n">
        <v>25</v>
      </c>
      <c r="B5195" t="s">
        <v>14</v>
      </c>
      <c r="C5195" t="s">
        <v>51</v>
      </c>
      <c r="D5195" s="2" t="s">
        <f>=HYPERLINK("https://main.knesset.gov.il/APPS/legislation/main/bills/2201632", "הצעת חוק האזרחים הוותיקים (תיקון - הנחה בארנונה), התשפ""ג-2023")</f>
        <v>9678</v>
      </c>
      <c r="E5195" t="s">
        <v>9678</v>
      </c>
      <c r="F5195" t="s">
        <v>10654</v>
      </c>
      <c r="G5195" t="s">
        <v>14</v>
      </c>
      <c r="H5195">
             </c>
      <c r="I5195" t="s">
        <v>14</v>
      </c>
      <c r="J5195" t="s">
        <v>242</v>
      </c>
      <c r="K5195" t="s">
        <v>14</v>
      </c>
      <c r="L5195" t="s">
        <v>20</v>
      </c>
      <c r="M5195" t="s">
        <v>10576</v>
      </c>
      <c r="N5195" t="s">
        <v>14</v>
      </c>
    </row>
    <row r="5196" x14ac:dyDescent="0.25">
      <c r="A5196" t="n">
        <v>25</v>
      </c>
      <c r="B5196" t="s">
        <v>14</v>
      </c>
      <c r="C5196" t="s">
        <v>51</v>
      </c>
      <c r="D5196" s="2" t="s">
        <f>=HYPERLINK("https://main.knesset.gov.il/APPS/legislation/main/bills/2202132", "הצעת חוק מימון מפלגות (תיקון - שלילת מימון ממפלגה שקוראת להטלת חרם על מדינת ישראל), התשפ""ג-2023")</f>
        <v>10655</v>
      </c>
      <c r="E5196" t="s">
        <v>10655</v>
      </c>
      <c r="F5196" t="s">
        <v>10656</v>
      </c>
      <c r="G5196" t="s">
        <v>14</v>
      </c>
      <c r="H5196">
             </c>
      <c r="I5196" t="s">
        <v>14</v>
      </c>
      <c r="J5196" t="s">
        <v>242</v>
      </c>
      <c r="K5196" t="s">
        <v>14</v>
      </c>
      <c r="L5196" t="s">
        <v>20</v>
      </c>
      <c r="M5196" t="s">
        <v>10576</v>
      </c>
      <c r="N5196" t="s">
        <v>14</v>
      </c>
    </row>
    <row r="5197" x14ac:dyDescent="0.25">
      <c r="A5197" t="n">
        <v>25</v>
      </c>
      <c r="B5197" t="s">
        <v>14</v>
      </c>
      <c r="C5197" t="s">
        <v>51</v>
      </c>
      <c r="D5197" s="2" t="s">
        <f>=HYPERLINK("https://main.knesset.gov.il/APPS/legislation/main/bills/2202021", "הצעת חוק לימוד חובה (תיקון - חינוך חינם לגיל הרך), התשפ""ג-2023")</f>
        <v>9487</v>
      </c>
      <c r="E5197" t="s">
        <v>9487</v>
      </c>
      <c r="F5197" t="s">
        <v>10657</v>
      </c>
      <c r="G5197" t="s">
        <v>14</v>
      </c>
      <c r="H5197">
             </c>
      <c r="I5197" t="s">
        <v>14</v>
      </c>
      <c r="J5197" t="s">
        <v>242</v>
      </c>
      <c r="K5197" t="s">
        <v>14</v>
      </c>
      <c r="L5197" t="s">
        <v>20</v>
      </c>
      <c r="M5197" t="s">
        <v>10576</v>
      </c>
      <c r="N5197" t="s">
        <v>14</v>
      </c>
    </row>
    <row r="5198" x14ac:dyDescent="0.25">
      <c r="A5198" t="n">
        <v>25</v>
      </c>
      <c r="B5198" t="s">
        <v>14</v>
      </c>
      <c r="C5198" t="s">
        <v>51</v>
      </c>
      <c r="D5198" s="2" t="s">
        <f>=HYPERLINK("https://main.knesset.gov.il/APPS/legislation/main/bills/2201854", "הצעת חוק אבטחה במוסדות חינוך, התשפ""ג-2023")</f>
        <v>10658</v>
      </c>
      <c r="E5198" t="s">
        <v>10658</v>
      </c>
      <c r="F5198" t="s">
        <v>10659</v>
      </c>
      <c r="G5198" t="s">
        <v>14</v>
      </c>
      <c r="H5198">
             </c>
      <c r="I5198" t="s">
        <v>14</v>
      </c>
      <c r="J5198" t="s">
        <v>242</v>
      </c>
      <c r="K5198" t="s">
        <v>14</v>
      </c>
      <c r="L5198" t="s">
        <v>20</v>
      </c>
      <c r="M5198" t="s">
        <v>10576</v>
      </c>
      <c r="N5198" t="s">
        <v>14</v>
      </c>
    </row>
    <row r="5199" x14ac:dyDescent="0.25">
      <c r="A5199" t="n">
        <v>25</v>
      </c>
      <c r="B5199" t="s">
        <v>14</v>
      </c>
      <c r="C5199" t="s">
        <v>51</v>
      </c>
      <c r="D5199" s="2" t="s">
        <f>=HYPERLINK("https://main.knesset.gov.il/APPS/legislation/main/bills/2201954", "הצעת חוק למניעת העסקה בתחום החינוך והטיפול של אדם שהורשע או שמואשם בתקיפה או בהתעללות בחסר ישע, התשפ""ג-2023")</f>
        <v>10660</v>
      </c>
      <c r="E5199" t="s">
        <v>10660</v>
      </c>
      <c r="F5199" t="s">
        <v>10661</v>
      </c>
      <c r="G5199" t="s">
        <v>14</v>
      </c>
      <c r="H5199">
             </c>
      <c r="I5199" t="s">
        <v>14</v>
      </c>
      <c r="J5199" t="s">
        <v>242</v>
      </c>
      <c r="K5199" t="s">
        <v>14</v>
      </c>
      <c r="L5199" t="s">
        <v>20</v>
      </c>
      <c r="M5199" t="s">
        <v>10576</v>
      </c>
      <c r="N5199" t="s">
        <v>14</v>
      </c>
    </row>
    <row r="5200" x14ac:dyDescent="0.25">
      <c r="A5200" t="n">
        <v>25</v>
      </c>
      <c r="B5200" t="s">
        <v>14</v>
      </c>
      <c r="C5200" t="s">
        <v>51</v>
      </c>
      <c r="D5200" s="2" t="s">
        <f>=HYPERLINK("https://main.knesset.gov.il/APPS/legislation/main/bills/2202028", "הצעת חוק המועצה להשכלה גבוהה (תיקון - עידוד הנגשה להשכלה גבוהה), התשפ""ג-2023")</f>
        <v>10662</v>
      </c>
      <c r="E5200" t="s">
        <v>10662</v>
      </c>
      <c r="F5200" t="s">
        <v>10663</v>
      </c>
      <c r="G5200" t="s">
        <v>14</v>
      </c>
      <c r="H5200">
             </c>
      <c r="I5200" t="s">
        <v>14</v>
      </c>
      <c r="J5200" t="s">
        <v>242</v>
      </c>
      <c r="K5200" t="s">
        <v>14</v>
      </c>
      <c r="L5200" t="s">
        <v>20</v>
      </c>
      <c r="M5200" t="s">
        <v>10576</v>
      </c>
      <c r="N5200" t="s">
        <v>14</v>
      </c>
    </row>
    <row r="5201" x14ac:dyDescent="0.25">
      <c r="A5201" t="n">
        <v>25</v>
      </c>
      <c r="B5201" t="s">
        <v>14</v>
      </c>
      <c r="C5201" t="s">
        <v>51</v>
      </c>
      <c r="D5201" s="2" t="s">
        <f>=HYPERLINK("https://main.knesset.gov.il/APPS/legislation/main/bills/2202044", "הצעת חוק איסור הכחשת השואה (תיקון - איסור הבעת אהדה לשלטון הנאצי או הזדהות עימו ואיסור שימוש בסמלים נאציים), התשפ""ג-2023")</f>
        <v>10664</v>
      </c>
      <c r="E5201" t="s">
        <v>10664</v>
      </c>
      <c r="F5201" t="s">
        <v>10665</v>
      </c>
      <c r="G5201" t="s">
        <v>14</v>
      </c>
      <c r="H5201">
             </c>
      <c r="I5201" t="s">
        <v>14</v>
      </c>
      <c r="J5201" t="s">
        <v>242</v>
      </c>
      <c r="K5201" t="s">
        <v>14</v>
      </c>
      <c r="L5201" t="s">
        <v>20</v>
      </c>
      <c r="M5201" t="s">
        <v>10576</v>
      </c>
      <c r="N5201" t="s">
        <v>14</v>
      </c>
    </row>
    <row r="5202" x14ac:dyDescent="0.25">
      <c r="A5202" t="n">
        <v>25</v>
      </c>
      <c r="B5202" t="s">
        <v>14</v>
      </c>
      <c r="C5202" t="s">
        <v>51</v>
      </c>
      <c r="D5202" s="2" t="s">
        <f>=HYPERLINK("https://main.knesset.gov.il/APPS/legislation/main/bills/2200978", "הצעת חוק הפיקוח על שירותים פיננסיים (קופות גמל) (תיקון - הגבלת דמי ניהול לעמית שסיים את עבודתו), התשפ""ג-2023")</f>
        <v>10666</v>
      </c>
      <c r="E5202" t="s">
        <v>10666</v>
      </c>
      <c r="F5202" t="s">
        <v>10667</v>
      </c>
      <c r="G5202" t="s">
        <v>14</v>
      </c>
      <c r="H5202">
             </c>
      <c r="I5202" t="s">
        <v>14</v>
      </c>
      <c r="J5202" t="s">
        <v>242</v>
      </c>
      <c r="K5202" t="s">
        <v>14</v>
      </c>
      <c r="L5202" t="s">
        <v>20</v>
      </c>
      <c r="M5202" t="s">
        <v>10576</v>
      </c>
      <c r="N5202" t="s">
        <v>14</v>
      </c>
    </row>
    <row r="5203" x14ac:dyDescent="0.25">
      <c r="A5203" t="n">
        <v>25</v>
      </c>
      <c r="B5203" t="s">
        <v>14</v>
      </c>
      <c r="C5203" t="s">
        <v>51</v>
      </c>
      <c r="D5203" s="2" t="s">
        <f>=HYPERLINK("https://main.knesset.gov.il/APPS/legislation/main/bills/2201560", "הצעת חוק הביטוח הלאומי (תיקון - מועד לתביעת גמלת כסף והתקופה שבעדה שולמה), התשפ""ג-2023")</f>
        <v>10668</v>
      </c>
      <c r="E5203" t="s">
        <v>10668</v>
      </c>
      <c r="F5203" t="s">
        <v>10669</v>
      </c>
      <c r="G5203" t="s">
        <v>14</v>
      </c>
      <c r="H5203">
             </c>
      <c r="I5203" t="s">
        <v>14</v>
      </c>
      <c r="J5203" t="s">
        <v>242</v>
      </c>
      <c r="K5203" t="s">
        <v>14</v>
      </c>
      <c r="L5203" t="s">
        <v>20</v>
      </c>
      <c r="M5203" t="s">
        <v>10576</v>
      </c>
      <c r="N5203" t="s">
        <v>14</v>
      </c>
    </row>
    <row r="5204" x14ac:dyDescent="0.25">
      <c r="A5204" t="n">
        <v>25</v>
      </c>
      <c r="B5204" t="s">
        <v>14</v>
      </c>
      <c r="C5204" t="s">
        <v>51</v>
      </c>
      <c r="D5204" s="2" t="s">
        <f>=HYPERLINK("https://main.knesset.gov.il/APPS/legislation/main/bills/2200992", "הצעת חוק לתיקון פקודת מס הכנסה (שינוי הקריטריונים ליישוב מוטב), התשפ""ג-2023")</f>
        <v>9937</v>
      </c>
      <c r="E5204" t="s">
        <v>9937</v>
      </c>
      <c r="F5204" t="s">
        <v>10670</v>
      </c>
      <c r="G5204" t="s">
        <v>14</v>
      </c>
      <c r="H5204">
             </c>
      <c r="I5204" t="s">
        <v>14</v>
      </c>
      <c r="J5204" t="s">
        <v>242</v>
      </c>
      <c r="K5204" t="s">
        <v>14</v>
      </c>
      <c r="L5204" t="s">
        <v>20</v>
      </c>
      <c r="M5204" t="s">
        <v>10576</v>
      </c>
      <c r="N5204" t="s">
        <v>14</v>
      </c>
    </row>
    <row r="5205" x14ac:dyDescent="0.25">
      <c r="A5205" t="n">
        <v>25</v>
      </c>
      <c r="B5205" t="s">
        <v>14</v>
      </c>
      <c r="C5205" t="s">
        <v>51</v>
      </c>
      <c r="D5205" s="2" t="s">
        <f>=HYPERLINK("https://main.knesset.gov.il/APPS/legislation/main/bills/2200576", "הצעת חוק השיפוט הצבאי (תיקון - עתירות אסיר), התשפ""ג-2023")</f>
        <v>10671</v>
      </c>
      <c r="E5205" t="s">
        <v>10671</v>
      </c>
      <c r="F5205" t="s">
        <v>10672</v>
      </c>
      <c r="G5205" t="s">
        <v>14</v>
      </c>
      <c r="H5205">
             </c>
      <c r="I5205" t="s">
        <v>14</v>
      </c>
      <c r="J5205" t="s">
        <v>242</v>
      </c>
      <c r="K5205" t="s">
        <v>14</v>
      </c>
      <c r="L5205" t="s">
        <v>20</v>
      </c>
      <c r="M5205" t="s">
        <v>10576</v>
      </c>
      <c r="N5205" t="s">
        <v>14</v>
      </c>
    </row>
    <row r="5206" x14ac:dyDescent="0.25">
      <c r="A5206" t="n">
        <v>25</v>
      </c>
      <c r="B5206" t="s">
        <v>14</v>
      </c>
      <c r="C5206" t="s">
        <v>51</v>
      </c>
      <c r="D5206" s="2" t="s">
        <f>=HYPERLINK("https://main.knesset.gov.il/APPS/legislation/main/bills/2200754", "הצעת חוק מס רכוש וקרן פיצויים (תיקון - פיצוי בגין נזק עקב אסון טבע), התשפ""ג-2023")</f>
        <v>10673</v>
      </c>
      <c r="E5206" t="s">
        <v>10673</v>
      </c>
      <c r="F5206" t="s">
        <v>10674</v>
      </c>
      <c r="G5206" t="s">
        <v>14</v>
      </c>
      <c r="H5206">
             </c>
      <c r="I5206" t="s">
        <v>14</v>
      </c>
      <c r="J5206" t="s">
        <v>242</v>
      </c>
      <c r="K5206" t="s">
        <v>14</v>
      </c>
      <c r="L5206" t="s">
        <v>20</v>
      </c>
      <c r="M5206" t="s">
        <v>10576</v>
      </c>
      <c r="N5206" t="s">
        <v>14</v>
      </c>
    </row>
    <row r="5207" x14ac:dyDescent="0.25">
      <c r="A5207" t="n">
        <v>25</v>
      </c>
      <c r="B5207" t="s">
        <v>14</v>
      </c>
      <c r="C5207" t="s">
        <v>51</v>
      </c>
      <c r="D5207" s="2" t="s">
        <f>=HYPERLINK("https://main.knesset.gov.il/APPS/legislation/main/bills/2202025", "הצעת חוק הגנת הצרכן (תיקון - הנגשת הודעת תשלום לצרכנים שאינם דוברי עברית), התשפ""ג-2023")</f>
        <v>10675</v>
      </c>
      <c r="E5207" t="s">
        <v>10675</v>
      </c>
      <c r="F5207" t="s">
        <v>10676</v>
      </c>
      <c r="G5207" t="s">
        <v>14</v>
      </c>
      <c r="H5207">
             </c>
      <c r="I5207" t="s">
        <v>14</v>
      </c>
      <c r="J5207" t="s">
        <v>242</v>
      </c>
      <c r="K5207" t="s">
        <v>14</v>
      </c>
      <c r="L5207" t="s">
        <v>20</v>
      </c>
      <c r="M5207" t="s">
        <v>10576</v>
      </c>
      <c r="N5207" t="s">
        <v>14</v>
      </c>
    </row>
    <row r="5208" x14ac:dyDescent="0.25">
      <c r="A5208" t="n">
        <v>25</v>
      </c>
      <c r="B5208" t="s">
        <v>14</v>
      </c>
      <c r="C5208" t="s">
        <v>51</v>
      </c>
      <c r="D5208" s="2" t="s">
        <f>=HYPERLINK("https://main.knesset.gov.il/APPS/legislation/main/bills/2201546", "הצעת חוק נציבות תלונות אסירים, התשפ""ג-2023")</f>
        <v>10677</v>
      </c>
      <c r="E5208" t="s">
        <v>10677</v>
      </c>
      <c r="F5208" t="s">
        <v>10678</v>
      </c>
      <c r="G5208" t="s">
        <v>14</v>
      </c>
      <c r="H5208">
             </c>
      <c r="I5208" t="s">
        <v>14</v>
      </c>
      <c r="J5208" t="s">
        <v>242</v>
      </c>
      <c r="K5208" t="s">
        <v>14</v>
      </c>
      <c r="L5208" t="s">
        <v>20</v>
      </c>
      <c r="M5208" t="s">
        <v>10576</v>
      </c>
      <c r="N5208" t="s">
        <v>14</v>
      </c>
    </row>
    <row r="5209" x14ac:dyDescent="0.25">
      <c r="A5209" t="n">
        <v>25</v>
      </c>
      <c r="B5209" t="s">
        <v>14</v>
      </c>
      <c r="C5209" t="s">
        <v>51</v>
      </c>
      <c r="D5209" s="2" t="s">
        <f>=HYPERLINK("https://main.knesset.gov.il/APPS/legislation/main/bills/2201855", "הצעת חוק הבנקאות (שירות ללקוח) (תיקון - ריבית על יתרת זכות), התשפ""ג-2023")</f>
        <v>2536</v>
      </c>
      <c r="E5209" t="s">
        <v>2536</v>
      </c>
      <c r="F5209" t="s">
        <v>10679</v>
      </c>
      <c r="G5209" t="s">
        <v>14</v>
      </c>
      <c r="H5209">
             </c>
      <c r="I5209" t="s">
        <v>14</v>
      </c>
      <c r="J5209" t="s">
        <v>242</v>
      </c>
      <c r="K5209" t="s">
        <v>14</v>
      </c>
      <c r="L5209" t="s">
        <v>20</v>
      </c>
      <c r="M5209" t="s">
        <v>10576</v>
      </c>
      <c r="N5209" t="s">
        <v>14</v>
      </c>
    </row>
    <row r="5210" x14ac:dyDescent="0.25">
      <c r="A5210" t="n">
        <v>25</v>
      </c>
      <c r="B5210" t="s">
        <v>14</v>
      </c>
      <c r="C5210" t="s">
        <v>51</v>
      </c>
      <c r="D5210" s="2" t="s">
        <f>=HYPERLINK("https://main.knesset.gov.il/APPS/legislation/main/bills/2202026", "הצעת חוק לתיקון פקודת התעבורה (חניית נשים בהריון והורה לתינוק), התשפ""ג-2023")</f>
        <v>9874</v>
      </c>
      <c r="E5210" t="s">
        <v>9874</v>
      </c>
      <c r="F5210" t="s">
        <v>10680</v>
      </c>
      <c r="G5210" t="s">
        <v>14</v>
      </c>
      <c r="H5210">
             </c>
      <c r="I5210" t="s">
        <v>14</v>
      </c>
      <c r="J5210" t="s">
        <v>242</v>
      </c>
      <c r="K5210" t="s">
        <v>14</v>
      </c>
      <c r="L5210" t="s">
        <v>20</v>
      </c>
      <c r="M5210" t="s">
        <v>10576</v>
      </c>
      <c r="N5210" t="s">
        <v>14</v>
      </c>
    </row>
    <row r="5211" x14ac:dyDescent="0.25">
      <c r="A5211" t="n">
        <v>25</v>
      </c>
      <c r="B5211" t="s">
        <v>14</v>
      </c>
      <c r="C5211" t="s">
        <v>51</v>
      </c>
      <c r="D5211" s="2" t="s">
        <f>=HYPERLINK("https://main.knesset.gov.il/APPS/legislation/main/bills/2201866", "הצעת חוק טוס כחול לבן, התשפ""ג-2023")</f>
        <v>10681</v>
      </c>
      <c r="E5211" t="s">
        <v>10681</v>
      </c>
      <c r="F5211" t="s">
        <v>10682</v>
      </c>
      <c r="G5211" t="s">
        <v>14</v>
      </c>
      <c r="H5211">
             </c>
      <c r="I5211" t="s">
        <v>14</v>
      </c>
      <c r="J5211" t="s">
        <v>202</v>
      </c>
      <c r="K5211" t="s">
        <v>14</v>
      </c>
      <c r="L5211" t="s">
        <v>20</v>
      </c>
      <c r="M5211" t="s">
        <v>10576</v>
      </c>
      <c r="N5211" t="s">
        <v>14</v>
      </c>
    </row>
    <row r="5212" x14ac:dyDescent="0.25">
      <c r="A5212" t="n">
        <v>25</v>
      </c>
      <c r="B5212" t="s">
        <v>14</v>
      </c>
      <c r="C5212" t="s">
        <v>51</v>
      </c>
      <c r="D5212" s="2" t="s">
        <f>=HYPERLINK("https://main.knesset.gov.il/APPS/legislation/main/bills/2201899", "הצעת חוק העבירות המינהליות (תיקון - הפחתת תוספת הפיגור על אי-תשלום קנס), התשפ""ג-2023")</f>
        <v>10683</v>
      </c>
      <c r="E5212" t="s">
        <v>10683</v>
      </c>
      <c r="F5212" t="s">
        <v>10684</v>
      </c>
      <c r="G5212" t="s">
        <v>14</v>
      </c>
      <c r="H5212">
             </c>
      <c r="I5212" t="s">
        <v>14</v>
      </c>
      <c r="J5212" t="s">
        <v>242</v>
      </c>
      <c r="K5212" t="s">
        <v>14</v>
      </c>
      <c r="L5212" t="s">
        <v>20</v>
      </c>
      <c r="M5212" t="s">
        <v>10576</v>
      </c>
      <c r="N5212" t="s">
        <v>14</v>
      </c>
    </row>
    <row r="5213" x14ac:dyDescent="0.25">
      <c r="A5213" t="n">
        <v>25</v>
      </c>
      <c r="B5213" t="s">
        <v>14</v>
      </c>
      <c r="C5213" t="s">
        <v>51</v>
      </c>
      <c r="D5213" s="2" t="s">
        <f>=HYPERLINK("https://main.knesset.gov.il/APPS/legislation/main/bills/2201290", "הצעת חוק להגבלת כהונת ראש רשות מקומית (תיקוני חקיקה), התשפ""ג-2023")</f>
        <v>10685</v>
      </c>
      <c r="E5213" t="s">
        <v>10685</v>
      </c>
      <c r="F5213" t="s">
        <v>10686</v>
      </c>
      <c r="G5213" t="s">
        <v>14</v>
      </c>
      <c r="H5213">
             </c>
      <c r="I5213" t="s">
        <v>14</v>
      </c>
      <c r="J5213" t="s">
        <v>242</v>
      </c>
      <c r="K5213" t="s">
        <v>14</v>
      </c>
      <c r="L5213" t="s">
        <v>20</v>
      </c>
      <c r="M5213" t="s">
        <v>10576</v>
      </c>
      <c r="N5213" t="s">
        <v>14</v>
      </c>
    </row>
    <row r="5214" x14ac:dyDescent="0.25">
      <c r="A5214" t="n">
        <v>25</v>
      </c>
      <c r="B5214" t="s">
        <v>14</v>
      </c>
      <c r="C5214" t="s">
        <v>51</v>
      </c>
      <c r="D5214" s="2" t="s">
        <f>=HYPERLINK("https://main.knesset.gov.il/APPS/legislation/main/bills/2201591", "הצעת חוק הביטוח הלאומי (תיקון - ביטוח שאירים לאלמן), התשפ""ג-2023")</f>
        <v>8231</v>
      </c>
      <c r="E5214" t="s">
        <v>8231</v>
      </c>
      <c r="F5214" t="s">
        <v>10687</v>
      </c>
      <c r="G5214" t="s">
        <v>14</v>
      </c>
      <c r="H5214">
             </c>
      <c r="I5214" t="s">
        <v>14</v>
      </c>
      <c r="J5214" t="s">
        <v>242</v>
      </c>
      <c r="K5214" t="s">
        <v>14</v>
      </c>
      <c r="L5214" t="s">
        <v>20</v>
      </c>
      <c r="M5214" t="s">
        <v>10576</v>
      </c>
      <c r="N5214" t="s">
        <v>14</v>
      </c>
    </row>
    <row r="5215" x14ac:dyDescent="0.25">
      <c r="A5215" t="n">
        <v>25</v>
      </c>
      <c r="B5215" t="s">
        <v>14</v>
      </c>
      <c r="C5215" t="s">
        <v>51</v>
      </c>
      <c r="D5215" s="2" t="s">
        <f>=HYPERLINK("https://main.knesset.gov.il/APPS/legislation/main/bills/2201558", "הצעת חוק ביטוח בריאות ממלכתי (תיקון - אשפוז בית), התשפ""ג-2023")</f>
        <v>10688</v>
      </c>
      <c r="E5215" t="s">
        <v>10688</v>
      </c>
      <c r="F5215" t="s">
        <v>10689</v>
      </c>
      <c r="G5215" t="s">
        <v>14</v>
      </c>
      <c r="H5215">
             </c>
      <c r="I5215" t="s">
        <v>14</v>
      </c>
      <c r="J5215" t="s">
        <v>242</v>
      </c>
      <c r="K5215" t="s">
        <v>14</v>
      </c>
      <c r="L5215" t="s">
        <v>20</v>
      </c>
      <c r="M5215" t="s">
        <v>10576</v>
      </c>
      <c r="N5215" t="s">
        <v>14</v>
      </c>
    </row>
    <row r="5216" x14ac:dyDescent="0.25">
      <c r="A5216" t="n">
        <v>25</v>
      </c>
      <c r="B5216" t="s">
        <v>14</v>
      </c>
      <c r="C5216" t="s">
        <v>51</v>
      </c>
      <c r="D5216" s="2" t="s">
        <f>=HYPERLINK("https://main.knesset.gov.il/APPS/legislation/main/bills/2201898", "הצעת חוק החברות (תיקון - פרסום דוחות כספיים של מונופול), התשפ''ג-2023")</f>
        <v>10690</v>
      </c>
      <c r="E5216" t="s">
        <v>10690</v>
      </c>
      <c r="F5216" t="s">
        <v>10691</v>
      </c>
      <c r="G5216" t="s">
        <v>14</v>
      </c>
      <c r="H5216">
             </c>
      <c r="I5216" t="s">
        <v>14</v>
      </c>
      <c r="J5216" t="s">
        <v>242</v>
      </c>
      <c r="K5216" t="s">
        <v>14</v>
      </c>
      <c r="L5216" t="s">
        <v>20</v>
      </c>
      <c r="M5216" t="s">
        <v>10576</v>
      </c>
      <c r="N5216" t="s">
        <v>14</v>
      </c>
    </row>
    <row r="5217" x14ac:dyDescent="0.25">
      <c r="A5217" t="n">
        <v>25</v>
      </c>
      <c r="B5217" t="s">
        <v>14</v>
      </c>
      <c r="C5217" t="s">
        <v>51</v>
      </c>
      <c r="D5217" s="2" t="s">
        <f>=HYPERLINK("https://main.knesset.gov.il/APPS/legislation/main/bills/2201402", "הצעת חוק קליטת חיילים משוחררים (תיקון - זכאות לתומכי לחימה מקרן ""ממדים ללימודים""), התשפ""ג-2023")</f>
        <v>10641</v>
      </c>
      <c r="E5217" t="s">
        <v>10641</v>
      </c>
      <c r="F5217" t="s">
        <v>10692</v>
      </c>
      <c r="G5217" t="s">
        <v>14</v>
      </c>
      <c r="H5217">
             </c>
      <c r="I5217" t="s">
        <v>14</v>
      </c>
      <c r="J5217" t="s">
        <v>242</v>
      </c>
      <c r="K5217" t="s">
        <v>14</v>
      </c>
      <c r="L5217" t="s">
        <v>20</v>
      </c>
      <c r="M5217" t="s">
        <v>10576</v>
      </c>
      <c r="N5217" t="s">
        <v>14</v>
      </c>
    </row>
    <row r="5218" x14ac:dyDescent="0.25">
      <c r="A5218" t="n">
        <v>25</v>
      </c>
      <c r="B5218" t="s">
        <v>14</v>
      </c>
      <c r="C5218" t="s">
        <v>51</v>
      </c>
      <c r="D5218" s="2" t="s">
        <f>=HYPERLINK("https://main.knesset.gov.il/APPS/legislation/main/bills/2201333", "הצעת חוק לתיקון פקודת העיריות (שינוי מועד תשלום הארנונה), התשפ""ג-2023")</f>
        <v>10693</v>
      </c>
      <c r="E5218" t="s">
        <v>10693</v>
      </c>
      <c r="F5218" t="s">
        <v>10694</v>
      </c>
      <c r="G5218" t="s">
        <v>14</v>
      </c>
      <c r="H5218">
             </c>
      <c r="I5218" t="s">
        <v>14</v>
      </c>
      <c r="J5218" t="s">
        <v>242</v>
      </c>
      <c r="K5218" t="s">
        <v>14</v>
      </c>
      <c r="L5218" t="s">
        <v>20</v>
      </c>
      <c r="M5218" t="s">
        <v>10576</v>
      </c>
      <c r="N5218" t="s">
        <v>14</v>
      </c>
    </row>
    <row r="5219" x14ac:dyDescent="0.25">
      <c r="A5219" t="n">
        <v>25</v>
      </c>
      <c r="B5219" t="s">
        <v>14</v>
      </c>
      <c r="C5219" t="s">
        <v>51</v>
      </c>
      <c r="D5219" s="2" t="s">
        <f>=HYPERLINK("https://main.knesset.gov.il/APPS/legislation/main/bills/2201007", "הצעת חוק לתיקון פקודת העיריות (בניין שניזוק או נהרס), התשפ""ג-2023")</f>
        <v>10201</v>
      </c>
      <c r="E5219" t="s">
        <v>10201</v>
      </c>
      <c r="F5219" t="s">
        <v>10695</v>
      </c>
      <c r="G5219" t="s">
        <v>14</v>
      </c>
      <c r="H5219">
             </c>
      <c r="I5219" t="s">
        <v>14</v>
      </c>
      <c r="J5219" t="s">
        <v>242</v>
      </c>
      <c r="K5219" t="s">
        <v>14</v>
      </c>
      <c r="L5219" t="s">
        <v>20</v>
      </c>
      <c r="M5219" t="s">
        <v>10576</v>
      </c>
      <c r="N5219" t="s">
        <v>14</v>
      </c>
    </row>
    <row r="5220" x14ac:dyDescent="0.25">
      <c r="A5220" t="n">
        <v>25</v>
      </c>
      <c r="B5220" t="s">
        <v>14</v>
      </c>
      <c r="C5220" t="s">
        <v>51</v>
      </c>
      <c r="D5220" s="2" t="s">
        <f>=HYPERLINK("https://main.knesset.gov.il/APPS/legislation/main/bills/2201399", "הצעת חוק הביטוח הלאומי (תיקון - דמי אבטלה למתמחים), התשפ""ג-2023")</f>
        <v>9990</v>
      </c>
      <c r="E5220" t="s">
        <v>9990</v>
      </c>
      <c r="F5220" t="s">
        <v>10696</v>
      </c>
      <c r="G5220" t="s">
        <v>14</v>
      </c>
      <c r="H5220">
             </c>
      <c r="I5220" t="s">
        <v>14</v>
      </c>
      <c r="J5220" t="s">
        <v>242</v>
      </c>
      <c r="K5220" t="s">
        <v>14</v>
      </c>
      <c r="L5220" t="s">
        <v>20</v>
      </c>
      <c r="M5220" t="s">
        <v>10576</v>
      </c>
      <c r="N5220" t="s">
        <v>14</v>
      </c>
    </row>
    <row r="5221" x14ac:dyDescent="0.25">
      <c r="A5221" t="n">
        <v>25</v>
      </c>
      <c r="B5221" t="s">
        <v>14</v>
      </c>
      <c r="C5221" t="s">
        <v>51</v>
      </c>
      <c r="D5221" s="2" t="s">
        <f>=HYPERLINK("https://main.knesset.gov.il/APPS/legislation/main/bills/2201880", "הצעת חוק האזנת סתר (תיקון - האזנה בשל חשד להתעללות), התשפ""ג-2023 ")</f>
        <v>10697</v>
      </c>
      <c r="E5221" t="s">
        <v>10697</v>
      </c>
      <c r="F5221" t="s">
        <v>10698</v>
      </c>
      <c r="G5221" t="s">
        <v>14</v>
      </c>
      <c r="H5221">
             </c>
      <c r="I5221" t="s">
        <v>14</v>
      </c>
      <c r="J5221" t="s">
        <v>242</v>
      </c>
      <c r="K5221" t="s">
        <v>14</v>
      </c>
      <c r="L5221" t="s">
        <v>20</v>
      </c>
      <c r="M5221" t="s">
        <v>10576</v>
      </c>
      <c r="N5221" t="s">
        <v>14</v>
      </c>
    </row>
    <row r="5222" x14ac:dyDescent="0.25">
      <c r="A5222" t="n">
        <v>25</v>
      </c>
      <c r="B5222" t="s">
        <v>14</v>
      </c>
      <c r="C5222" t="s">
        <v>51</v>
      </c>
      <c r="D5222" s="2" t="s">
        <f>=HYPERLINK("https://main.knesset.gov.il/APPS/legislation/main/bills/2201498", "הצעת חוק לתיקון פקודת הרוקחים (הכשרת עוזרי רוקח), התשפ""ג-2023")</f>
        <v>10699</v>
      </c>
      <c r="E5222" t="s">
        <v>10699</v>
      </c>
      <c r="F5222" t="s">
        <v>10700</v>
      </c>
      <c r="G5222" t="s">
        <v>14</v>
      </c>
      <c r="H5222">
             </c>
      <c r="I5222" t="s">
        <v>14</v>
      </c>
      <c r="J5222" t="s">
        <v>242</v>
      </c>
      <c r="K5222" t="s">
        <v>14</v>
      </c>
      <c r="L5222" t="s">
        <v>20</v>
      </c>
      <c r="M5222" t="s">
        <v>10576</v>
      </c>
      <c r="N5222" t="s">
        <v>14</v>
      </c>
    </row>
    <row r="5223" x14ac:dyDescent="0.25">
      <c r="A5223" t="n">
        <v>25</v>
      </c>
      <c r="B5223" t="s">
        <v>14</v>
      </c>
      <c r="C5223" t="s">
        <v>51</v>
      </c>
      <c r="D5223" s="2" t="s">
        <f>=HYPERLINK("https://main.knesset.gov.il/APPS/legislation/main/bills/2201556", "הצעת חוק תרומת זרע, התשפ""ג-2023")</f>
        <v>9225</v>
      </c>
      <c r="E5223" t="s">
        <v>9225</v>
      </c>
      <c r="F5223" t="s">
        <v>10701</v>
      </c>
      <c r="G5223" t="s">
        <v>14</v>
      </c>
      <c r="H5223">
             </c>
      <c r="I5223" t="s">
        <v>14</v>
      </c>
      <c r="J5223" t="s">
        <v>242</v>
      </c>
      <c r="K5223" t="s">
        <v>14</v>
      </c>
      <c r="L5223" t="s">
        <v>20</v>
      </c>
      <c r="M5223" t="s">
        <v>10576</v>
      </c>
      <c r="N5223" t="s">
        <v>14</v>
      </c>
    </row>
    <row r="5224" x14ac:dyDescent="0.25">
      <c r="A5224" t="n">
        <v>25</v>
      </c>
      <c r="B5224" t="s">
        <v>14</v>
      </c>
      <c r="C5224" t="s">
        <v>51</v>
      </c>
      <c r="D5224" s="2" t="s">
        <f>=HYPERLINK("https://main.knesset.gov.il/APPS/legislation/main/bills/2201701", "הצעת חוק זכות ייצוג לקטין המתנגד לאשפוז פסיכיאטרי (תיקוני חקיקה), התשפ""ג-2023")</f>
        <v>10236</v>
      </c>
      <c r="E5224" t="s">
        <v>10236</v>
      </c>
      <c r="F5224" t="s">
        <v>10702</v>
      </c>
      <c r="G5224" t="s">
        <v>14</v>
      </c>
      <c r="H5224">
             </c>
      <c r="I5224" t="s">
        <v>14</v>
      </c>
      <c r="J5224" t="s">
        <v>242</v>
      </c>
      <c r="K5224" t="s">
        <v>14</v>
      </c>
      <c r="L5224" t="s">
        <v>20</v>
      </c>
      <c r="M5224" t="s">
        <v>10576</v>
      </c>
      <c r="N5224" t="s">
        <v>14</v>
      </c>
    </row>
    <row r="5225" x14ac:dyDescent="0.25">
      <c r="A5225" t="n">
        <v>25</v>
      </c>
      <c r="B5225" t="s">
        <v>14</v>
      </c>
      <c r="C5225" t="s">
        <v>51</v>
      </c>
      <c r="D5225" s="2" t="s">
        <f>=HYPERLINK("https://main.knesset.gov.il/APPS/legislation/main/bills/2201864", "הצעת חוק חובת המכרזים (תיקון - העדפת תוצרת מקומית), התשפ""ג-2023")</f>
        <v>10703</v>
      </c>
      <c r="E5225" t="s">
        <v>10703</v>
      </c>
      <c r="F5225" t="s">
        <v>10704</v>
      </c>
      <c r="G5225" t="s">
        <v>14</v>
      </c>
      <c r="H5225">
             </c>
      <c r="I5225" t="s">
        <v>14</v>
      </c>
      <c r="J5225" t="s">
        <v>242</v>
      </c>
      <c r="K5225" t="s">
        <v>14</v>
      </c>
      <c r="L5225" t="s">
        <v>20</v>
      </c>
      <c r="M5225" t="s">
        <v>10576</v>
      </c>
      <c r="N5225" t="s">
        <v>14</v>
      </c>
    </row>
    <row r="5226" x14ac:dyDescent="0.25">
      <c r="A5226" t="n">
        <v>25</v>
      </c>
      <c r="B5226" t="s">
        <v>14</v>
      </c>
      <c r="C5226" t="s">
        <v>51</v>
      </c>
      <c r="D5226" s="2" t="s">
        <f>=HYPERLINK("https://main.knesset.gov.il/APPS/legislation/main/bills/2201689", "הצעת חוק ההוצאה לפועל (תיקון - קביעת תעריף מקסימלי לשכר טרחת עורך דין), התשפ""ג-2023")</f>
        <v>10705</v>
      </c>
      <c r="E5226" t="s">
        <v>10705</v>
      </c>
      <c r="F5226" t="s">
        <v>10706</v>
      </c>
      <c r="G5226" t="s">
        <v>14</v>
      </c>
      <c r="H5226">
             </c>
      <c r="I5226" t="s">
        <v>14</v>
      </c>
      <c r="J5226" t="s">
        <v>242</v>
      </c>
      <c r="K5226" t="s">
        <v>14</v>
      </c>
      <c r="L5226" t="s">
        <v>20</v>
      </c>
      <c r="M5226" t="s">
        <v>10576</v>
      </c>
      <c r="N5226" t="s">
        <v>14</v>
      </c>
    </row>
    <row r="5227" x14ac:dyDescent="0.25">
      <c r="A5227" t="n">
        <v>25</v>
      </c>
      <c r="B5227" t="s">
        <v>14</v>
      </c>
      <c r="C5227" t="s">
        <v>51</v>
      </c>
      <c r="D5227" s="2" t="s">
        <f>=HYPERLINK("https://main.knesset.gov.il/APPS/legislation/main/bills/2201893", "הצעת חוק יום אבל במות קרוב מדרגה שנייה, התשפ""ג-2023")</f>
        <v>10045</v>
      </c>
      <c r="E5227" t="s">
        <v>10045</v>
      </c>
      <c r="F5227" t="s">
        <v>10707</v>
      </c>
      <c r="G5227" t="s">
        <v>14</v>
      </c>
      <c r="H5227">
             </c>
      <c r="I5227" t="s">
        <v>14</v>
      </c>
      <c r="J5227" t="s">
        <v>242</v>
      </c>
      <c r="K5227" t="s">
        <v>14</v>
      </c>
      <c r="L5227" t="s">
        <v>20</v>
      </c>
      <c r="M5227" t="s">
        <v>10576</v>
      </c>
      <c r="N5227" t="s">
        <v>14</v>
      </c>
    </row>
    <row r="5228" x14ac:dyDescent="0.25">
      <c r="A5228" t="n">
        <v>25</v>
      </c>
      <c r="B5228" t="s">
        <v>14</v>
      </c>
      <c r="C5228" t="s">
        <v>51</v>
      </c>
      <c r="D5228" s="2" t="s">
        <f>=HYPERLINK("https://main.knesset.gov.il/APPS/legislation/main/bills/2201337", "הצעת חוק לתיקון פקודת מס הכנסה (תלוש שכר לעצמאי), התשפ""ג-2023")</f>
        <v>10708</v>
      </c>
      <c r="E5228" t="s">
        <v>10708</v>
      </c>
      <c r="F5228" t="s">
        <v>10709</v>
      </c>
      <c r="G5228" t="s">
        <v>14</v>
      </c>
      <c r="H5228">
             </c>
      <c r="I5228" t="s">
        <v>14</v>
      </c>
      <c r="J5228" t="s">
        <v>242</v>
      </c>
      <c r="K5228" t="s">
        <v>14</v>
      </c>
      <c r="L5228" t="s">
        <v>20</v>
      </c>
      <c r="M5228" t="s">
        <v>10576</v>
      </c>
      <c r="N5228" t="s">
        <v>14</v>
      </c>
    </row>
    <row r="5229" x14ac:dyDescent="0.25">
      <c r="A5229" t="n">
        <v>25</v>
      </c>
      <c r="B5229" t="s">
        <v>14</v>
      </c>
      <c r="C5229" t="s">
        <v>51</v>
      </c>
      <c r="D5229" s="2" t="s">
        <f>=HYPERLINK("https://main.knesset.gov.il/APPS/legislation/main/bills/2200732", "הצעת חוק מטרופולין ירושלים, התשפ""ג-2023")</f>
        <v>10710</v>
      </c>
      <c r="E5229" t="s">
        <v>10710</v>
      </c>
      <c r="F5229" t="s">
        <v>10711</v>
      </c>
      <c r="G5229" t="s">
        <v>14</v>
      </c>
      <c r="H5229">
             </c>
      <c r="I5229" t="s">
        <v>14</v>
      </c>
      <c r="J5229" t="s">
        <v>242</v>
      </c>
      <c r="K5229" t="s">
        <v>14</v>
      </c>
      <c r="L5229" t="s">
        <v>20</v>
      </c>
      <c r="M5229" t="s">
        <v>10576</v>
      </c>
      <c r="N5229" t="s">
        <v>14</v>
      </c>
    </row>
    <row r="5230" x14ac:dyDescent="0.25">
      <c r="A5230" t="n">
        <v>25</v>
      </c>
      <c r="B5230" t="s">
        <v>14</v>
      </c>
      <c r="C5230" t="s">
        <v>51</v>
      </c>
      <c r="D5230" s="2" t="s">
        <f>=HYPERLINK("https://main.knesset.gov.il/APPS/legislation/main/bills/2201322", "הצעת חוק לתיקון פקודת מס הכנסה (נקודת זיכוי לאפוטרופוס), התשפ""ג-2023")</f>
        <v>10712</v>
      </c>
      <c r="E5230" t="s">
        <v>10712</v>
      </c>
      <c r="F5230" t="s">
        <v>10713</v>
      </c>
      <c r="G5230" t="s">
        <v>14</v>
      </c>
      <c r="H5230">
             </c>
      <c r="I5230" t="s">
        <v>14</v>
      </c>
      <c r="J5230" t="s">
        <v>242</v>
      </c>
      <c r="K5230" t="s">
        <v>14</v>
      </c>
      <c r="L5230" t="s">
        <v>20</v>
      </c>
      <c r="M5230" t="s">
        <v>10576</v>
      </c>
      <c r="N5230" t="s">
        <v>14</v>
      </c>
    </row>
    <row r="5231" x14ac:dyDescent="0.25">
      <c r="A5231" t="n">
        <v>25</v>
      </c>
      <c r="B5231" t="s">
        <v>14</v>
      </c>
      <c r="C5231" t="s">
        <v>51</v>
      </c>
      <c r="D5231" s="2" t="s">
        <f>=HYPERLINK("https://main.knesset.gov.il/APPS/legislation/main/bills/2201169", "הצעת חוק שירות הקבע בצבא הגנה לישראל (גמלאות) (תיקון - גמלה לאלמנה שנישאה מחדש), התשפ""ג-2023")</f>
        <v>10714</v>
      </c>
      <c r="E5231" t="s">
        <v>10714</v>
      </c>
      <c r="F5231" t="s">
        <v>10715</v>
      </c>
      <c r="G5231" t="s">
        <v>14</v>
      </c>
      <c r="H5231">
             </c>
      <c r="I5231" t="s">
        <v>14</v>
      </c>
      <c r="J5231" t="s">
        <v>242</v>
      </c>
      <c r="K5231" t="s">
        <v>14</v>
      </c>
      <c r="L5231" t="s">
        <v>20</v>
      </c>
      <c r="M5231" t="s">
        <v>10576</v>
      </c>
      <c r="N5231" t="s">
        <v>14</v>
      </c>
    </row>
    <row r="5232" x14ac:dyDescent="0.25">
      <c r="A5232" t="n">
        <v>25</v>
      </c>
      <c r="B5232" t="s">
        <v>14</v>
      </c>
      <c r="C5232" t="s">
        <v>51</v>
      </c>
      <c r="D5232" s="2" t="s">
        <f>=HYPERLINK("https://main.knesset.gov.il/APPS/legislation/main/bills/2200257", "הצעת חוק ליישוב תחת איום מיידי (הוראת שעה), התשפ""ג-2023")</f>
        <v>10314</v>
      </c>
      <c r="E5232" t="s">
        <v>10314</v>
      </c>
      <c r="F5232" t="s">
        <v>10716</v>
      </c>
      <c r="G5232" t="s">
        <v>14</v>
      </c>
      <c r="H5232">
             </c>
      <c r="I5232" t="s">
        <v>14</v>
      </c>
      <c r="J5232" t="s">
        <v>242</v>
      </c>
      <c r="K5232" t="s">
        <v>14</v>
      </c>
      <c r="L5232" t="s">
        <v>20</v>
      </c>
      <c r="M5232" t="s">
        <v>10576</v>
      </c>
      <c r="N5232" t="s">
        <v>14</v>
      </c>
    </row>
    <row r="5233" x14ac:dyDescent="0.25">
      <c r="A5233" t="n">
        <v>25</v>
      </c>
      <c r="B5233" t="s">
        <v>14</v>
      </c>
      <c r="C5233" t="s">
        <v>51</v>
      </c>
      <c r="D5233" s="2" t="s">
        <f>=HYPERLINK("https://main.knesset.gov.il/APPS/legislation/main/bills/2201821", "הצעת חוק ההוצאה לפועל (תיקון - הגבלת סכום עיקול בידי צד שלישי שהוא תאגיד בנקאי), התשפ""ג-2023")</f>
        <v>10290</v>
      </c>
      <c r="E5233" t="s">
        <v>10290</v>
      </c>
      <c r="F5233" t="s">
        <v>10717</v>
      </c>
      <c r="G5233" t="s">
        <v>14</v>
      </c>
      <c r="H5233">
             </c>
      <c r="I5233" t="s">
        <v>14</v>
      </c>
      <c r="J5233" t="s">
        <v>242</v>
      </c>
      <c r="K5233" t="s">
        <v>14</v>
      </c>
      <c r="L5233" t="s">
        <v>20</v>
      </c>
      <c r="M5233" t="s">
        <v>10576</v>
      </c>
      <c r="N5233" t="s">
        <v>14</v>
      </c>
    </row>
    <row r="5234" x14ac:dyDescent="0.25">
      <c r="A5234" t="n">
        <v>25</v>
      </c>
      <c r="B5234" t="s">
        <v>14</v>
      </c>
      <c r="C5234" t="s">
        <v>51</v>
      </c>
      <c r="D5234" s="2" t="s">
        <f>=HYPERLINK("https://main.knesset.gov.il/APPS/legislation/main/bills/2201684", "הצעת חוק ההוצאה לפועל (תיקון - הגבלת סכום עיקול בידי צד שלישי שהוא תאגיד בנקאי), התשפ""ג-2023")</f>
        <v>10290</v>
      </c>
      <c r="E5234" t="s">
        <v>10290</v>
      </c>
      <c r="F5234" t="s">
        <v>10718</v>
      </c>
      <c r="G5234" t="s">
        <v>14</v>
      </c>
      <c r="H5234">
             </c>
      <c r="I5234" t="s">
        <v>14</v>
      </c>
      <c r="J5234" t="s">
        <v>242</v>
      </c>
      <c r="K5234" t="s">
        <v>14</v>
      </c>
      <c r="L5234" t="s">
        <v>20</v>
      </c>
      <c r="M5234" t="s">
        <v>10576</v>
      </c>
      <c r="N5234" t="s">
        <v>14</v>
      </c>
    </row>
    <row r="5235" x14ac:dyDescent="0.25">
      <c r="A5235" t="n">
        <v>25</v>
      </c>
      <c r="B5235" t="s">
        <v>14</v>
      </c>
      <c r="C5235" t="s">
        <v>51</v>
      </c>
      <c r="D5235" s="2" t="s">
        <f>=HYPERLINK("https://main.knesset.gov.il/APPS/legislation/main/bills/2201724", "הצעת חוק תאגידי מים וביוב (תיקון - ביטול סמכויות גבייה ואכיפה מיוחדות), התשפ""ג-2023")</f>
        <v>10122</v>
      </c>
      <c r="E5235" t="s">
        <v>10122</v>
      </c>
      <c r="F5235" t="s">
        <v>10719</v>
      </c>
      <c r="G5235" t="s">
        <v>14</v>
      </c>
      <c r="H5235">
             </c>
      <c r="I5235" t="s">
        <v>14</v>
      </c>
      <c r="J5235" t="s">
        <v>242</v>
      </c>
      <c r="K5235" t="s">
        <v>14</v>
      </c>
      <c r="L5235" t="s">
        <v>20</v>
      </c>
      <c r="M5235" t="s">
        <v>10576</v>
      </c>
      <c r="N5235" t="s">
        <v>14</v>
      </c>
    </row>
    <row r="5236" x14ac:dyDescent="0.25">
      <c r="A5236" t="n">
        <v>25</v>
      </c>
      <c r="B5236" t="s">
        <v>14</v>
      </c>
      <c r="C5236" t="s">
        <v>51</v>
      </c>
      <c r="D5236" s="2" t="s">
        <f>=HYPERLINK("https://main.knesset.gov.il/APPS/legislation/main/bills/2201722", "הצעת חוק תאגידי מים וביוב (תיקון - ביטול סמכויות גבייה ואכיפה מיוחדות), התשפ""ג-2023")</f>
        <v>10122</v>
      </c>
      <c r="E5236" t="s">
        <v>10122</v>
      </c>
      <c r="F5236" t="s">
        <v>10720</v>
      </c>
      <c r="G5236" t="s">
        <v>14</v>
      </c>
      <c r="H5236">
             </c>
      <c r="I5236" t="s">
        <v>14</v>
      </c>
      <c r="J5236" t="s">
        <v>242</v>
      </c>
      <c r="K5236" t="s">
        <v>14</v>
      </c>
      <c r="L5236" t="s">
        <v>20</v>
      </c>
      <c r="M5236" t="s">
        <v>10576</v>
      </c>
      <c r="N5236" t="s">
        <v>14</v>
      </c>
    </row>
    <row r="5237" x14ac:dyDescent="0.25">
      <c r="A5237" t="n">
        <v>25</v>
      </c>
      <c r="B5237" t="s">
        <v>14</v>
      </c>
      <c r="C5237" t="s">
        <v>51</v>
      </c>
      <c r="D5237" s="2" t="s">
        <f>=HYPERLINK("https://main.knesset.gov.il/APPS/legislation/main/bills/2200652", "הצעת חוק שעות עבודה ומנוחה (תיקון - שבוע עבודה בן חמישה ימים וקביעת יום ראשון כיום חופשי), התשפ""ג-2023")</f>
        <v>10721</v>
      </c>
      <c r="E5237" t="s">
        <v>10721</v>
      </c>
      <c r="F5237" t="s">
        <v>10722</v>
      </c>
      <c r="G5237" t="s">
        <v>14</v>
      </c>
      <c r="H5237">
             </c>
      <c r="I5237" t="s">
        <v>14</v>
      </c>
      <c r="J5237" t="s">
        <v>242</v>
      </c>
      <c r="K5237" t="s">
        <v>14</v>
      </c>
      <c r="L5237" t="s">
        <v>20</v>
      </c>
      <c r="M5237" t="s">
        <v>10576</v>
      </c>
      <c r="N5237" t="s">
        <v>14</v>
      </c>
    </row>
    <row r="5238" x14ac:dyDescent="0.25">
      <c r="A5238" t="n">
        <v>25</v>
      </c>
      <c r="B5238" t="s">
        <v>14</v>
      </c>
      <c r="C5238" t="s">
        <v>51</v>
      </c>
      <c r="D5238" s="2" t="s">
        <f>=HYPERLINK("https://main.knesset.gov.il/APPS/legislation/main/bills/2199672", "הצעת חוק התכנון והבנייה (תיקון - ייצוג הולם לאוכלוסייה הערבית במועצה הארצית לתכנון ולבנייה), התשפ""ג-2023")</f>
        <v>10723</v>
      </c>
      <c r="E5238" t="s">
        <v>10723</v>
      </c>
      <c r="F5238" t="s">
        <v>10724</v>
      </c>
      <c r="G5238" t="s">
        <v>14</v>
      </c>
      <c r="H5238">
             </c>
      <c r="I5238" t="s">
        <v>14</v>
      </c>
      <c r="J5238" t="s">
        <v>242</v>
      </c>
      <c r="K5238" t="s">
        <v>14</v>
      </c>
      <c r="L5238" t="s">
        <v>20</v>
      </c>
      <c r="M5238" t="s">
        <v>10576</v>
      </c>
      <c r="N5238" t="s">
        <v>14</v>
      </c>
    </row>
    <row r="5239" x14ac:dyDescent="0.25">
      <c r="A5239" t="n">
        <v>25</v>
      </c>
      <c r="B5239" t="s">
        <v>14</v>
      </c>
      <c r="C5239" t="s">
        <v>15</v>
      </c>
      <c r="D5239" s="2" t="s">
        <f>=HYPERLINK("https://main.knesset.gov.il/APPS/legislation/main/bills/2161824", "הצעת חוק רכבת תחתית (מטרו) (תיקון), התשפ""א-2021")</f>
        <v>10725</v>
      </c>
      <c r="E5239" t="s">
        <v>10725</v>
      </c>
      <c r="F5239" t="s">
        <v>14</v>
      </c>
      <c r="G5239" t="s">
        <v>10726</v>
      </c>
      <c r="H5239">
             </c>
      <c r="I5239" t="s">
        <v>3504</v>
      </c>
      <c r="J5239" t="s">
        <v>183</v>
      </c>
      <c r="K5239" t="s">
        <v>30</v>
      </c>
      <c r="L5239" t="s">
        <v>20</v>
      </c>
      <c r="M5239" t="s">
        <v>10727</v>
      </c>
      <c r="N5239" t="s">
        <v>14</v>
      </c>
    </row>
    <row r="5240" x14ac:dyDescent="0.25">
      <c r="A5240" t="n">
        <v>25</v>
      </c>
      <c r="B5240" t="s">
        <v>14</v>
      </c>
      <c r="C5240" t="s">
        <v>51</v>
      </c>
      <c r="D5240" s="2" t="s">
        <f>=HYPERLINK("https://main.knesset.gov.il/APPS/legislation/main/bills/2197664", "הצעת חוק אימוץ ילדים (תיקון - כשירות המאמץ), התשפ""ג-2022")</f>
        <v>10728</v>
      </c>
      <c r="E5240" t="s">
        <v>10728</v>
      </c>
      <c r="F5240" t="s">
        <v>10729</v>
      </c>
      <c r="G5240" t="s">
        <v>14</v>
      </c>
      <c r="H5240">
             </c>
      <c r="I5240" t="s">
        <v>14</v>
      </c>
      <c r="J5240" t="s">
        <v>193</v>
      </c>
      <c r="K5240" t="s">
        <v>14</v>
      </c>
      <c r="L5240" t="s">
        <v>20</v>
      </c>
      <c r="M5240" t="s">
        <v>10730</v>
      </c>
      <c r="N5240" t="s">
        <v>14</v>
      </c>
    </row>
    <row r="5241" x14ac:dyDescent="0.25">
      <c r="A5241" t="n">
        <v>25</v>
      </c>
      <c r="B5241" t="s">
        <v>14</v>
      </c>
      <c r="C5241" t="s">
        <v>15</v>
      </c>
      <c r="D5241" s="2" t="s">
        <f>=HYPERLINK("https://main.knesset.gov.il/APPS/legislation/main/bills/2201068", "חוק הרשות השנייה לטלוויזיה ורדיו (תיקון מס' 48), התשפ""ג-2023")</f>
        <v>10731</v>
      </c>
      <c r="E5241" t="s">
        <v>10731</v>
      </c>
      <c r="F5241" t="s">
        <v>14</v>
      </c>
      <c r="G5241" t="s">
        <v>10732</v>
      </c>
      <c r="H5241" t="n">
        <v>3026</v>
      </c>
      <c r="I5241" t="s">
        <v>14</v>
      </c>
      <c r="J5241" t="s">
        <v>18</v>
      </c>
      <c r="K5241" t="s">
        <v>84</v>
      </c>
      <c r="L5241" t="s">
        <v>20</v>
      </c>
      <c r="M5241" t="s">
        <v>10733</v>
      </c>
      <c r="N5241" t="s">
        <v>10734</v>
      </c>
    </row>
    <row r="5242" x14ac:dyDescent="0.25">
      <c r="A5242" t="n">
        <v>25</v>
      </c>
      <c r="B5242" t="s">
        <v>14</v>
      </c>
      <c r="C5242" t="s">
        <v>15</v>
      </c>
      <c r="D5242" s="2" t="s">
        <f>=HYPERLINK("https://main.knesset.gov.il/APPS/legislation/main/bills/2201678", "חוק שירות ביטחון (הוראת שעה) (הצבת יוצאי צבא בשירות בתי הסוהר) (תיקון מס' 10), התשפ""ג–2023")</f>
        <v>10735</v>
      </c>
      <c r="E5242" t="s">
        <v>10735</v>
      </c>
      <c r="F5242" t="s">
        <v>14</v>
      </c>
      <c r="G5242" t="s">
        <v>10736</v>
      </c>
      <c r="H5242" t="n">
        <v>3025</v>
      </c>
      <c r="I5242" t="s">
        <v>14</v>
      </c>
      <c r="J5242" t="s">
        <v>18</v>
      </c>
      <c r="K5242" t="s">
        <v>39</v>
      </c>
      <c r="L5242" t="s">
        <v>20</v>
      </c>
      <c r="M5242" t="s">
        <v>10733</v>
      </c>
      <c r="N5242" t="s">
        <v>10737</v>
      </c>
    </row>
    <row r="5243" x14ac:dyDescent="0.25">
      <c r="A5243" t="n">
        <v>25</v>
      </c>
      <c r="B5243" t="s">
        <v>14</v>
      </c>
      <c r="C5243" t="s">
        <v>15</v>
      </c>
      <c r="D5243" s="2" t="s">
        <f>=HYPERLINK("https://main.knesset.gov.il/APPS/legislation/main/bills/2189881", "חוק הכניסה לישראל (תיקון מס' 36), התשפ""ג-2023")</f>
        <v>10738</v>
      </c>
      <c r="E5243" t="s">
        <v>10738</v>
      </c>
      <c r="F5243" t="s">
        <v>14</v>
      </c>
      <c r="G5243" t="s">
        <v>10739</v>
      </c>
      <c r="H5243" t="n">
        <v>3027</v>
      </c>
      <c r="I5243" t="s">
        <v>14</v>
      </c>
      <c r="J5243" t="s">
        <v>18</v>
      </c>
      <c r="K5243" t="s">
        <v>30</v>
      </c>
      <c r="L5243" t="s">
        <v>20</v>
      </c>
      <c r="M5243" t="s">
        <v>10733</v>
      </c>
      <c r="N5243" t="s">
        <v>10740</v>
      </c>
    </row>
    <row r="5244" x14ac:dyDescent="0.25">
      <c r="A5244" t="n">
        <v>25</v>
      </c>
      <c r="B5244" t="s">
        <v>14</v>
      </c>
      <c r="C5244" t="s">
        <v>51</v>
      </c>
      <c r="D5244" s="2" t="s">
        <f>=HYPERLINK("https://main.knesset.gov.il/APPS/legislation/main/bills/2198775", "הצעת חוק הרשויות המקומיות (התאמת תקציב הרווחה), התשפ""ג-2023")</f>
        <v>10741</v>
      </c>
      <c r="E5244" t="s">
        <v>10741</v>
      </c>
      <c r="F5244" t="s">
        <v>10742</v>
      </c>
      <c r="G5244" t="s">
        <v>14</v>
      </c>
      <c r="H5244">
             </c>
      <c r="I5244" t="s">
        <v>14</v>
      </c>
      <c r="J5244" t="s">
        <v>242</v>
      </c>
      <c r="K5244" t="s">
        <v>14</v>
      </c>
      <c r="L5244" t="s">
        <v>20</v>
      </c>
      <c r="M5244" t="s">
        <v>10733</v>
      </c>
      <c r="N5244" t="s">
        <v>14</v>
      </c>
    </row>
    <row r="5245" x14ac:dyDescent="0.25">
      <c r="A5245" t="n">
        <v>25</v>
      </c>
      <c r="B5245" t="s">
        <v>14</v>
      </c>
      <c r="C5245" t="s">
        <v>51</v>
      </c>
      <c r="D5245" s="2" t="s">
        <f>=HYPERLINK("https://main.knesset.gov.il/APPS/legislation/main/bills/2199109", "הצעת חוק שוויון זכויות לאנשים עם מוגבלות (תיקון - פטור מתשלום בעד כניסת מלווה בעבור כניסה למקום שאין בו מתקנים מתאימים ובעבור תחבורה ציבורית), התשפ""ג-2023")</f>
        <v>10250</v>
      </c>
      <c r="E5245" t="s">
        <v>10250</v>
      </c>
      <c r="F5245" t="s">
        <v>10743</v>
      </c>
      <c r="G5245" t="s">
        <v>14</v>
      </c>
      <c r="H5245">
             </c>
      <c r="I5245" t="s">
        <v>14</v>
      </c>
      <c r="J5245" t="s">
        <v>242</v>
      </c>
      <c r="K5245" t="s">
        <v>14</v>
      </c>
      <c r="L5245" t="s">
        <v>20</v>
      </c>
      <c r="M5245" t="s">
        <v>10733</v>
      </c>
      <c r="N5245" t="s">
        <v>14</v>
      </c>
    </row>
    <row r="5246" x14ac:dyDescent="0.25">
      <c r="A5246" t="n">
        <v>25</v>
      </c>
      <c r="B5246" t="s">
        <v>14</v>
      </c>
      <c r="C5246" t="s">
        <v>51</v>
      </c>
      <c r="D5246" s="2" t="s">
        <f>=HYPERLINK("https://main.knesset.gov.il/APPS/legislation/main/bills/2200435", "הצעת חוק זכויות החולה (תיקון - קביעת הוראות לעניין הכנסת חפצים ודברי מאכל למוסד רפואי), התשפ""ג-2023")</f>
        <v>10564</v>
      </c>
      <c r="E5246" t="s">
        <v>10564</v>
      </c>
      <c r="F5246" t="s">
        <v>10744</v>
      </c>
      <c r="G5246" t="s">
        <v>14</v>
      </c>
      <c r="H5246">
             </c>
      <c r="I5246" t="s">
        <v>14</v>
      </c>
      <c r="J5246" t="s">
        <v>242</v>
      </c>
      <c r="K5246" t="s">
        <v>14</v>
      </c>
      <c r="L5246" t="s">
        <v>20</v>
      </c>
      <c r="M5246" t="s">
        <v>10733</v>
      </c>
      <c r="N5246" t="s">
        <v>14</v>
      </c>
    </row>
    <row r="5247" x14ac:dyDescent="0.25">
      <c r="A5247" t="n">
        <v>25</v>
      </c>
      <c r="B5247" t="s">
        <v>14</v>
      </c>
      <c r="C5247" t="s">
        <v>51</v>
      </c>
      <c r="D5247" s="2" t="s">
        <f>=HYPERLINK("https://main.knesset.gov.il/APPS/legislation/main/bills/2200449", "הצעת חוק הסדרת העיסוק במקצועות הבריאות (תיקון - מתן תעודה במקצועות הבריאות לבעלי הכשרה מקצועית) (הוראת שעה), התשפ""ג-2023")</f>
        <v>10745</v>
      </c>
      <c r="E5247" t="s">
        <v>10745</v>
      </c>
      <c r="F5247" t="s">
        <v>10746</v>
      </c>
      <c r="G5247" t="s">
        <v>14</v>
      </c>
      <c r="H5247">
             </c>
      <c r="I5247" t="s">
        <v>14</v>
      </c>
      <c r="J5247" t="s">
        <v>242</v>
      </c>
      <c r="K5247" t="s">
        <v>14</v>
      </c>
      <c r="L5247" t="s">
        <v>20</v>
      </c>
      <c r="M5247" t="s">
        <v>10733</v>
      </c>
      <c r="N5247" t="s">
        <v>14</v>
      </c>
    </row>
    <row r="5248" x14ac:dyDescent="0.25">
      <c r="A5248" t="n">
        <v>25</v>
      </c>
      <c r="B5248" t="s">
        <v>14</v>
      </c>
      <c r="C5248" t="s">
        <v>51</v>
      </c>
      <c r="D5248" s="2" t="s">
        <f>=HYPERLINK("https://main.knesset.gov.il/APPS/legislation/main/bills/2200545", "הצעת חוק הכשרות לאנשי מקצוע בנושא זיהוי ודיווח על התעללות בקטין או בחסר ישע, התשפ""ג-2023")</f>
        <v>10747</v>
      </c>
      <c r="E5248" t="s">
        <v>10747</v>
      </c>
      <c r="F5248" t="s">
        <v>10748</v>
      </c>
      <c r="G5248" t="s">
        <v>14</v>
      </c>
      <c r="H5248">
             </c>
      <c r="I5248" t="s">
        <v>14</v>
      </c>
      <c r="J5248" t="s">
        <v>242</v>
      </c>
      <c r="K5248" t="s">
        <v>14</v>
      </c>
      <c r="L5248" t="s">
        <v>20</v>
      </c>
      <c r="M5248" t="s">
        <v>10733</v>
      </c>
      <c r="N5248" t="s">
        <v>14</v>
      </c>
    </row>
    <row r="5249" x14ac:dyDescent="0.25">
      <c r="A5249" t="n">
        <v>25</v>
      </c>
      <c r="B5249" t="s">
        <v>14</v>
      </c>
      <c r="C5249" t="s">
        <v>51</v>
      </c>
      <c r="D5249" s="2" t="s">
        <f>=HYPERLINK("https://main.knesset.gov.il/APPS/legislation/main/bills/2200566", "הצעת חוק הביטוח הלאומי (תיקון - תשלום תוספת לגמלת אזרח ותיק לנכה שהכנסתו נמוכה משכר המינימום), התשפ""ג-2023")</f>
        <v>9916</v>
      </c>
      <c r="E5249" t="s">
        <v>9916</v>
      </c>
      <c r="F5249" t="s">
        <v>10749</v>
      </c>
      <c r="G5249" t="s">
        <v>14</v>
      </c>
      <c r="H5249">
             </c>
      <c r="I5249" t="s">
        <v>14</v>
      </c>
      <c r="J5249" t="s">
        <v>242</v>
      </c>
      <c r="K5249" t="s">
        <v>14</v>
      </c>
      <c r="L5249" t="s">
        <v>20</v>
      </c>
      <c r="M5249" t="s">
        <v>10733</v>
      </c>
      <c r="N5249" t="s">
        <v>14</v>
      </c>
    </row>
    <row r="5250" x14ac:dyDescent="0.25">
      <c r="A5250" t="n">
        <v>25</v>
      </c>
      <c r="B5250" t="s">
        <v>14</v>
      </c>
      <c r="C5250" t="s">
        <v>51</v>
      </c>
      <c r="D5250" s="2" t="s">
        <f>=HYPERLINK("https://main.knesset.gov.il/APPS/legislation/main/bills/2199189", "הצעת חוק גיל פרישה (תיקון - ביטול גיל פרישת חובה), התשפ""ג-2023")</f>
        <v>10750</v>
      </c>
      <c r="E5250" t="s">
        <v>10750</v>
      </c>
      <c r="F5250" t="s">
        <v>10751</v>
      </c>
      <c r="G5250" t="s">
        <v>14</v>
      </c>
      <c r="H5250">
             </c>
      <c r="I5250" t="s">
        <v>14</v>
      </c>
      <c r="J5250" t="s">
        <v>242</v>
      </c>
      <c r="K5250" t="s">
        <v>14</v>
      </c>
      <c r="L5250" t="s">
        <v>20</v>
      </c>
      <c r="M5250" t="s">
        <v>10733</v>
      </c>
      <c r="N5250" t="s">
        <v>14</v>
      </c>
    </row>
    <row r="5251" x14ac:dyDescent="0.25">
      <c r="A5251" t="n">
        <v>25</v>
      </c>
      <c r="B5251" t="s">
        <v>14</v>
      </c>
      <c r="C5251" t="s">
        <v>51</v>
      </c>
      <c r="D5251" s="2" t="s">
        <f>=HYPERLINK("https://main.knesset.gov.il/APPS/legislation/main/bills/2200564", "הצעת חוק הביטוח הלאומי (תיקון - הארכת המועד להגשת תביעה לגמלה והתקופה שבעדה תשולם), התשפ""ג-2023")</f>
        <v>8519</v>
      </c>
      <c r="E5251" t="s">
        <v>8519</v>
      </c>
      <c r="F5251" t="s">
        <v>10752</v>
      </c>
      <c r="G5251" t="s">
        <v>14</v>
      </c>
      <c r="H5251">
             </c>
      <c r="I5251" t="s">
        <v>14</v>
      </c>
      <c r="J5251" t="s">
        <v>242</v>
      </c>
      <c r="K5251" t="s">
        <v>14</v>
      </c>
      <c r="L5251" t="s">
        <v>20</v>
      </c>
      <c r="M5251" t="s">
        <v>10733</v>
      </c>
      <c r="N5251" t="s">
        <v>14</v>
      </c>
    </row>
    <row r="5252" x14ac:dyDescent="0.25">
      <c r="A5252" t="n">
        <v>25</v>
      </c>
      <c r="B5252" t="s">
        <v>14</v>
      </c>
      <c r="C5252" t="s">
        <v>51</v>
      </c>
      <c r="D5252" s="2" t="s">
        <f>=HYPERLINK("https://main.knesset.gov.il/APPS/legislation/main/bills/2200680", "הצעת חוק חופשה שנתית (תיקון - ימי חופשה להורים שילדם נפטר), התשפ""ג-2023")</f>
        <v>10222</v>
      </c>
      <c r="E5252" t="s">
        <v>10222</v>
      </c>
      <c r="F5252" t="s">
        <v>10753</v>
      </c>
      <c r="G5252" t="s">
        <v>14</v>
      </c>
      <c r="H5252">
             </c>
      <c r="I5252" t="s">
        <v>14</v>
      </c>
      <c r="J5252" t="s">
        <v>242</v>
      </c>
      <c r="K5252" t="s">
        <v>14</v>
      </c>
      <c r="L5252" t="s">
        <v>20</v>
      </c>
      <c r="M5252" t="s">
        <v>10733</v>
      </c>
      <c r="N5252" t="s">
        <v>14</v>
      </c>
    </row>
    <row r="5253" x14ac:dyDescent="0.25">
      <c r="A5253" t="n">
        <v>25</v>
      </c>
      <c r="B5253" t="s">
        <v>14</v>
      </c>
      <c r="C5253" t="s">
        <v>51</v>
      </c>
      <c r="D5253" s="2" t="s">
        <f>=HYPERLINK("https://main.knesset.gov.il/APPS/legislation/main/bills/2200567", "הצעת חוק הביטוח הלאומי (תיקון - שיעור ההטבה לפי הסכם בדבר גמלת ניידות), התשפ""ג-2023")</f>
        <v>9851</v>
      </c>
      <c r="E5253" t="s">
        <v>9851</v>
      </c>
      <c r="F5253" t="s">
        <v>10754</v>
      </c>
      <c r="G5253" t="s">
        <v>14</v>
      </c>
      <c r="H5253">
             </c>
      <c r="I5253" t="s">
        <v>14</v>
      </c>
      <c r="J5253" t="s">
        <v>242</v>
      </c>
      <c r="K5253" t="s">
        <v>14</v>
      </c>
      <c r="L5253" t="s">
        <v>20</v>
      </c>
      <c r="M5253" t="s">
        <v>10733</v>
      </c>
      <c r="N5253" t="s">
        <v>14</v>
      </c>
    </row>
    <row r="5254" x14ac:dyDescent="0.25">
      <c r="A5254" t="n">
        <v>25</v>
      </c>
      <c r="B5254" t="s">
        <v>14</v>
      </c>
      <c r="C5254" t="s">
        <v>51</v>
      </c>
      <c r="D5254" s="2" t="s">
        <f>=HYPERLINK("https://main.knesset.gov.il/APPS/legislation/main/bills/2200580", "הצעת חוק הביטוח הלאומי (תיקון - מענק לידה אחיד מילד שני ואילך), התשפ""ג-2023")</f>
        <v>9560</v>
      </c>
      <c r="E5254" t="s">
        <v>9560</v>
      </c>
      <c r="F5254" t="s">
        <v>10755</v>
      </c>
      <c r="G5254" t="s">
        <v>14</v>
      </c>
      <c r="H5254">
             </c>
      <c r="I5254" t="s">
        <v>14</v>
      </c>
      <c r="J5254" t="s">
        <v>242</v>
      </c>
      <c r="K5254" t="s">
        <v>14</v>
      </c>
      <c r="L5254" t="s">
        <v>20</v>
      </c>
      <c r="M5254" t="s">
        <v>10733</v>
      </c>
      <c r="N5254" t="s">
        <v>14</v>
      </c>
    </row>
    <row r="5255" x14ac:dyDescent="0.25">
      <c r="A5255" t="n">
        <v>25</v>
      </c>
      <c r="B5255" t="s">
        <v>14</v>
      </c>
      <c r="C5255" t="s">
        <v>51</v>
      </c>
      <c r="D5255" s="2" t="s">
        <f>=HYPERLINK("https://main.knesset.gov.il/APPS/legislation/main/bills/2201201", "הצעת חוק לתיקון דיני הרשויות המקומיות (ביטול סמכות שר הפנים לעניין חוקי עזר בדבר פתיחתם וסגירתם של עסקים בימי מנוחה), התשפ""ג-2023")</f>
        <v>10756</v>
      </c>
      <c r="E5255" t="s">
        <v>10756</v>
      </c>
      <c r="F5255" t="s">
        <v>10757</v>
      </c>
      <c r="G5255" t="s">
        <v>14</v>
      </c>
      <c r="H5255">
             </c>
      <c r="I5255" t="s">
        <v>14</v>
      </c>
      <c r="J5255" t="s">
        <v>242</v>
      </c>
      <c r="K5255" t="s">
        <v>14</v>
      </c>
      <c r="L5255" t="s">
        <v>20</v>
      </c>
      <c r="M5255" t="s">
        <v>10733</v>
      </c>
      <c r="N5255" t="s">
        <v>14</v>
      </c>
    </row>
    <row r="5256" x14ac:dyDescent="0.25">
      <c r="A5256" t="n">
        <v>25</v>
      </c>
      <c r="B5256" t="s">
        <v>14</v>
      </c>
      <c r="C5256" t="s">
        <v>51</v>
      </c>
      <c r="D5256" s="2" t="s">
        <f>=HYPERLINK("https://main.knesset.gov.il/APPS/legislation/main/bills/2201624", "הצעת חוק חיזוק מעמד חברי המועצה מקרב סיעות האופוזיציה (תיקוני חקיקה), התשפ""ג-2023")</f>
        <v>10758</v>
      </c>
      <c r="E5256" t="s">
        <v>10758</v>
      </c>
      <c r="F5256" t="s">
        <v>10759</v>
      </c>
      <c r="G5256" t="s">
        <v>14</v>
      </c>
      <c r="H5256">
             </c>
      <c r="I5256" t="s">
        <v>14</v>
      </c>
      <c r="J5256" t="s">
        <v>242</v>
      </c>
      <c r="K5256" t="s">
        <v>14</v>
      </c>
      <c r="L5256" t="s">
        <v>20</v>
      </c>
      <c r="M5256" t="s">
        <v>10733</v>
      </c>
      <c r="N5256" t="s">
        <v>14</v>
      </c>
    </row>
    <row r="5257" x14ac:dyDescent="0.25">
      <c r="A5257" t="n">
        <v>25</v>
      </c>
      <c r="B5257" t="s">
        <v>14</v>
      </c>
      <c r="C5257" t="s">
        <v>51</v>
      </c>
      <c r="D5257" s="2" t="s">
        <f>=HYPERLINK("https://main.knesset.gov.il/APPS/legislation/main/bills/2201172", "הצעת חוק הבלו על דלק (תיקון - הגבלת שיעור המס על הדלק), התשפ""ג-2023")</f>
        <v>9625</v>
      </c>
      <c r="E5257" t="s">
        <v>9625</v>
      </c>
      <c r="F5257" t="s">
        <v>10760</v>
      </c>
      <c r="G5257" t="s">
        <v>14</v>
      </c>
      <c r="H5257">
             </c>
      <c r="I5257" t="s">
        <v>14</v>
      </c>
      <c r="J5257" t="s">
        <v>242</v>
      </c>
      <c r="K5257" t="s">
        <v>14</v>
      </c>
      <c r="L5257" t="s">
        <v>20</v>
      </c>
      <c r="M5257" t="s">
        <v>10733</v>
      </c>
      <c r="N5257" t="s">
        <v>14</v>
      </c>
    </row>
    <row r="5258" x14ac:dyDescent="0.25">
      <c r="A5258" t="n">
        <v>25</v>
      </c>
      <c r="B5258" t="s">
        <v>14</v>
      </c>
      <c r="C5258" t="s">
        <v>51</v>
      </c>
      <c r="D5258" s="2" t="s">
        <f>=HYPERLINK("https://main.knesset.gov.il/APPS/legislation/main/bills/2201633", "הצעת חוק השוואת תנאי שכר לקבוצות שאסור להפלותן (תיקוני חקיקה), התשפ""ג-2023")</f>
        <v>10252</v>
      </c>
      <c r="E5258" t="s">
        <v>10252</v>
      </c>
      <c r="F5258" t="s">
        <v>10761</v>
      </c>
      <c r="G5258" t="s">
        <v>14</v>
      </c>
      <c r="H5258">
             </c>
      <c r="I5258" t="s">
        <v>14</v>
      </c>
      <c r="J5258" t="s">
        <v>242</v>
      </c>
      <c r="K5258" t="s">
        <v>14</v>
      </c>
      <c r="L5258" t="s">
        <v>20</v>
      </c>
      <c r="M5258" t="s">
        <v>10733</v>
      </c>
      <c r="N5258" t="s">
        <v>14</v>
      </c>
    </row>
    <row r="5259" x14ac:dyDescent="0.25">
      <c r="A5259" t="n">
        <v>25</v>
      </c>
      <c r="B5259" t="s">
        <v>14</v>
      </c>
      <c r="C5259" t="s">
        <v>51</v>
      </c>
      <c r="D5259" s="2" t="s">
        <f>=HYPERLINK("https://main.knesset.gov.il/APPS/legislation/main/bills/2200231", "הצעת חוק שירותי הדת היהודיים (תיקון - משך כהונת רב עיר), התשפ""ג-2023")</f>
        <v>10762</v>
      </c>
      <c r="E5259" t="s">
        <v>10762</v>
      </c>
      <c r="F5259" t="s">
        <v>10763</v>
      </c>
      <c r="G5259" t="s">
        <v>14</v>
      </c>
      <c r="H5259">
             </c>
      <c r="I5259" t="s">
        <v>14</v>
      </c>
      <c r="J5259" t="s">
        <v>242</v>
      </c>
      <c r="K5259" t="s">
        <v>14</v>
      </c>
      <c r="L5259" t="s">
        <v>20</v>
      </c>
      <c r="M5259" t="s">
        <v>10733</v>
      </c>
      <c r="N5259" t="s">
        <v>14</v>
      </c>
    </row>
    <row r="5260" x14ac:dyDescent="0.25">
      <c r="A5260" t="n">
        <v>25</v>
      </c>
      <c r="B5260" t="s">
        <v>14</v>
      </c>
      <c r="C5260" t="s">
        <v>51</v>
      </c>
      <c r="D5260" s="2" t="s">
        <f>=HYPERLINK("https://main.knesset.gov.il/APPS/legislation/main/bills/2201199", "הצעת חוק הביטוח הלאומי (תיקון - השוואת קצבת נכות לשכר המינימום), התשפ""ג-2023")</f>
        <v>10764</v>
      </c>
      <c r="E5260" t="s">
        <v>10764</v>
      </c>
      <c r="F5260" t="s">
        <v>10765</v>
      </c>
      <c r="G5260" t="s">
        <v>14</v>
      </c>
      <c r="H5260">
             </c>
      <c r="I5260" t="s">
        <v>14</v>
      </c>
      <c r="J5260" t="s">
        <v>242</v>
      </c>
      <c r="K5260" t="s">
        <v>14</v>
      </c>
      <c r="L5260" t="s">
        <v>20</v>
      </c>
      <c r="M5260" t="s">
        <v>10733</v>
      </c>
      <c r="N5260" t="s">
        <v>14</v>
      </c>
    </row>
    <row r="5261" x14ac:dyDescent="0.25">
      <c r="A5261" t="n">
        <v>25</v>
      </c>
      <c r="B5261" t="s">
        <v>14</v>
      </c>
      <c r="C5261" t="s">
        <v>51</v>
      </c>
      <c r="D5261" s="2" t="s">
        <f>=HYPERLINK("https://main.knesset.gov.il/APPS/legislation/main/bills/2201154", "הצעת חוק מרשם האוכלוסין (תיקון - הגדרת יהודי), התשפ""ג-2023")</f>
        <v>1608</v>
      </c>
      <c r="E5261" t="s">
        <v>1608</v>
      </c>
      <c r="F5261" t="s">
        <v>10766</v>
      </c>
      <c r="G5261" t="s">
        <v>14</v>
      </c>
      <c r="H5261">
             </c>
      <c r="I5261" t="s">
        <v>14</v>
      </c>
      <c r="J5261" t="s">
        <v>242</v>
      </c>
      <c r="K5261" t="s">
        <v>14</v>
      </c>
      <c r="L5261" t="s">
        <v>20</v>
      </c>
      <c r="M5261" t="s">
        <v>10733</v>
      </c>
      <c r="N5261" t="s">
        <v>14</v>
      </c>
    </row>
    <row r="5262" x14ac:dyDescent="0.25">
      <c r="A5262" t="n">
        <v>25</v>
      </c>
      <c r="B5262" t="s">
        <v>14</v>
      </c>
      <c r="C5262" t="s">
        <v>51</v>
      </c>
      <c r="D5262" s="2" t="s">
        <f>=HYPERLINK("https://main.knesset.gov.il/APPS/legislation/main/bills/2201622", "הצעת חוק הביטוח הלאומי (תיקון - חיסכון מוקדם לגיל פרישה), התשפ""ג-2023")</f>
        <v>10767</v>
      </c>
      <c r="E5262" t="s">
        <v>10767</v>
      </c>
      <c r="F5262" t="s">
        <v>10768</v>
      </c>
      <c r="G5262" t="s">
        <v>14</v>
      </c>
      <c r="H5262">
             </c>
      <c r="I5262" t="s">
        <v>14</v>
      </c>
      <c r="J5262" t="s">
        <v>242</v>
      </c>
      <c r="K5262" t="s">
        <v>14</v>
      </c>
      <c r="L5262" t="s">
        <v>20</v>
      </c>
      <c r="M5262" t="s">
        <v>10733</v>
      </c>
      <c r="N5262" t="s">
        <v>14</v>
      </c>
    </row>
    <row r="5263" x14ac:dyDescent="0.25">
      <c r="A5263" t="n">
        <v>25</v>
      </c>
      <c r="B5263" t="s">
        <v>14</v>
      </c>
      <c r="C5263" t="s">
        <v>51</v>
      </c>
      <c r="D5263" s="2" t="s">
        <f>=HYPERLINK("https://main.knesset.gov.il/APPS/legislation/main/bills/2201654", "הצעת חוק המתווכים במקרקעין (תיקון - הגבלת דמי תיווך), התשפ""ג-2023")</f>
        <v>10769</v>
      </c>
      <c r="E5263" t="s">
        <v>10769</v>
      </c>
      <c r="F5263" t="s">
        <v>10770</v>
      </c>
      <c r="G5263" t="s">
        <v>14</v>
      </c>
      <c r="H5263">
             </c>
      <c r="I5263" t="s">
        <v>14</v>
      </c>
      <c r="J5263" t="s">
        <v>242</v>
      </c>
      <c r="K5263" t="s">
        <v>14</v>
      </c>
      <c r="L5263" t="s">
        <v>20</v>
      </c>
      <c r="M5263" t="s">
        <v>10733</v>
      </c>
      <c r="N5263" t="s">
        <v>14</v>
      </c>
    </row>
    <row r="5264" x14ac:dyDescent="0.25">
      <c r="A5264" t="n">
        <v>25</v>
      </c>
      <c r="B5264" t="s">
        <v>14</v>
      </c>
      <c r="C5264" t="s">
        <v>51</v>
      </c>
      <c r="D5264" s="2" t="s">
        <f>=HYPERLINK("https://main.knesset.gov.il/APPS/legislation/main/bills/2201668", "הצעת חוק המקרקעין (תיקון - קביעת מנגנון נוסף לתשלומי ועד), התשפ""ג-2023")</f>
        <v>10771</v>
      </c>
      <c r="E5264" t="s">
        <v>10771</v>
      </c>
      <c r="F5264" t="s">
        <v>10772</v>
      </c>
      <c r="G5264" t="s">
        <v>14</v>
      </c>
      <c r="H5264">
             </c>
      <c r="I5264" t="s">
        <v>14</v>
      </c>
      <c r="J5264" t="s">
        <v>242</v>
      </c>
      <c r="K5264" t="s">
        <v>14</v>
      </c>
      <c r="L5264" t="s">
        <v>20</v>
      </c>
      <c r="M5264" t="s">
        <v>10733</v>
      </c>
      <c r="N5264" t="s">
        <v>14</v>
      </c>
    </row>
    <row r="5265" x14ac:dyDescent="0.25">
      <c r="A5265" t="n">
        <v>25</v>
      </c>
      <c r="B5265" t="s">
        <v>14</v>
      </c>
      <c r="C5265" t="s">
        <v>51</v>
      </c>
      <c r="D5265" s="2" t="s">
        <f>=HYPERLINK("https://main.knesset.gov.il/APPS/legislation/main/bills/2200404", "הצעת חוק שכר מינימום (תיקון - העלאת שכר המינימום), התשפ""ג-2023")</f>
        <v>10773</v>
      </c>
      <c r="E5265" t="s">
        <v>10773</v>
      </c>
      <c r="F5265" t="s">
        <v>10774</v>
      </c>
      <c r="G5265" t="s">
        <v>14</v>
      </c>
      <c r="H5265">
             </c>
      <c r="I5265" t="s">
        <v>14</v>
      </c>
      <c r="J5265" t="s">
        <v>242</v>
      </c>
      <c r="K5265" t="s">
        <v>14</v>
      </c>
      <c r="L5265" t="s">
        <v>20</v>
      </c>
      <c r="M5265" t="s">
        <v>10733</v>
      </c>
      <c r="N5265" t="s">
        <v>14</v>
      </c>
    </row>
    <row r="5266" x14ac:dyDescent="0.25">
      <c r="A5266" t="n">
        <v>25</v>
      </c>
      <c r="B5266" t="s">
        <v>14</v>
      </c>
      <c r="C5266" t="s">
        <v>51</v>
      </c>
      <c r="D5266" s="2" t="s">
        <f>=HYPERLINK("https://main.knesset.gov.il/APPS/legislation/main/bills/2201189", "הצעת חוק הקמת יישוב עירוני חדש, התשפ""ג-2023")</f>
        <v>10775</v>
      </c>
      <c r="E5266" t="s">
        <v>10775</v>
      </c>
      <c r="F5266" t="s">
        <v>10776</v>
      </c>
      <c r="G5266" t="s">
        <v>14</v>
      </c>
      <c r="H5266">
             </c>
      <c r="I5266" t="s">
        <v>14</v>
      </c>
      <c r="J5266" t="s">
        <v>242</v>
      </c>
      <c r="K5266" t="s">
        <v>14</v>
      </c>
      <c r="L5266" t="s">
        <v>20</v>
      </c>
      <c r="M5266" t="s">
        <v>10733</v>
      </c>
      <c r="N5266" t="s">
        <v>14</v>
      </c>
    </row>
    <row r="5267" x14ac:dyDescent="0.25">
      <c r="A5267" t="n">
        <v>25</v>
      </c>
      <c r="B5267" t="s">
        <v>14</v>
      </c>
      <c r="C5267" t="s">
        <v>51</v>
      </c>
      <c r="D5267" s="2" t="s">
        <f>=HYPERLINK("https://main.knesset.gov.il/APPS/legislation/main/bills/2200655", "הצעת חוק שוויון זכויות לאנשים עם מוגבלות (תיקון - נגישות להורה ולתלמיד במוסד חינוך), התשפ""ג-2023")</f>
        <v>10777</v>
      </c>
      <c r="E5267" t="s">
        <v>10777</v>
      </c>
      <c r="F5267" t="s">
        <v>10778</v>
      </c>
      <c r="G5267" t="s">
        <v>14</v>
      </c>
      <c r="H5267">
             </c>
      <c r="I5267" t="s">
        <v>14</v>
      </c>
      <c r="J5267" t="s">
        <v>242</v>
      </c>
      <c r="K5267" t="s">
        <v>14</v>
      </c>
      <c r="L5267" t="s">
        <v>20</v>
      </c>
      <c r="M5267" t="s">
        <v>10733</v>
      </c>
      <c r="N5267" t="s">
        <v>14</v>
      </c>
    </row>
    <row r="5268" x14ac:dyDescent="0.25">
      <c r="A5268" t="n">
        <v>25</v>
      </c>
      <c r="B5268" t="s">
        <v>14</v>
      </c>
      <c r="C5268" t="s">
        <v>51</v>
      </c>
      <c r="D5268" s="2" t="s">
        <f>=HYPERLINK("https://main.knesset.gov.il/APPS/legislation/main/bills/2200975", "הצעת חוק העסקת עובדים על ידי קבלני כוח אדם (תיקון - מגבלות ברישוי קבלני כוח אדם), התשפ""ג-2023")</f>
        <v>10779</v>
      </c>
      <c r="E5268" t="s">
        <v>10779</v>
      </c>
      <c r="F5268" t="s">
        <v>10780</v>
      </c>
      <c r="G5268" t="s">
        <v>14</v>
      </c>
      <c r="H5268">
             </c>
      <c r="I5268" t="s">
        <v>14</v>
      </c>
      <c r="J5268" t="s">
        <v>242</v>
      </c>
      <c r="K5268" t="s">
        <v>14</v>
      </c>
      <c r="L5268" t="s">
        <v>20</v>
      </c>
      <c r="M5268" t="s">
        <v>10733</v>
      </c>
      <c r="N5268" t="s">
        <v>14</v>
      </c>
    </row>
    <row r="5269" x14ac:dyDescent="0.25">
      <c r="A5269" t="n">
        <v>25</v>
      </c>
      <c r="B5269" t="s">
        <v>14</v>
      </c>
      <c r="C5269" t="s">
        <v>51</v>
      </c>
      <c r="D5269" s="2" t="s">
        <f>=HYPERLINK("https://main.knesset.gov.il/APPS/legislation/main/bills/2200536", "הצעת חוק סדר הדין הפלילי (תיקון - מועד תשלום הקנס), התשפ""ג-2023")</f>
        <v>10265</v>
      </c>
      <c r="E5269" t="s">
        <v>10265</v>
      </c>
      <c r="F5269" t="s">
        <v>10781</v>
      </c>
      <c r="G5269" t="s">
        <v>14</v>
      </c>
      <c r="H5269">
             </c>
      <c r="I5269" t="s">
        <v>14</v>
      </c>
      <c r="J5269" t="s">
        <v>242</v>
      </c>
      <c r="K5269" t="s">
        <v>14</v>
      </c>
      <c r="L5269" t="s">
        <v>20</v>
      </c>
      <c r="M5269" t="s">
        <v>10733</v>
      </c>
      <c r="N5269" t="s">
        <v>14</v>
      </c>
    </row>
    <row r="5270" x14ac:dyDescent="0.25">
      <c r="A5270" t="n">
        <v>25</v>
      </c>
      <c r="B5270" t="s">
        <v>14</v>
      </c>
      <c r="C5270" t="s">
        <v>51</v>
      </c>
      <c r="D5270" s="2" t="s">
        <f>=HYPERLINK("https://main.knesset.gov.il/APPS/legislation/main/bills/2201193", "הצעת חוק הרשות הלאומית למאבק בעוני, התשפ""ג-2023")</f>
        <v>6508</v>
      </c>
      <c r="E5270" t="s">
        <v>6508</v>
      </c>
      <c r="F5270" t="s">
        <v>10782</v>
      </c>
      <c r="G5270" t="s">
        <v>14</v>
      </c>
      <c r="H5270">
             </c>
      <c r="I5270" t="s">
        <v>14</v>
      </c>
      <c r="J5270" t="s">
        <v>242</v>
      </c>
      <c r="K5270" t="s">
        <v>14</v>
      </c>
      <c r="L5270" t="s">
        <v>20</v>
      </c>
      <c r="M5270" t="s">
        <v>10733</v>
      </c>
      <c r="N5270" t="s">
        <v>14</v>
      </c>
    </row>
    <row r="5271" x14ac:dyDescent="0.25">
      <c r="A5271" t="n">
        <v>25</v>
      </c>
      <c r="B5271" t="s">
        <v>14</v>
      </c>
      <c r="C5271" t="s">
        <v>51</v>
      </c>
      <c r="D5271" s="2" t="s">
        <f>=HYPERLINK("https://main.knesset.gov.il/APPS/legislation/main/bills/2198132", "הצעת חוק-יסוד: הכנסת (תיקון - הזכות להיבחר) ")</f>
        <v>4709</v>
      </c>
      <c r="E5271" t="s">
        <v>4709</v>
      </c>
      <c r="F5271" t="s">
        <v>10783</v>
      </c>
      <c r="G5271" t="s">
        <v>14</v>
      </c>
      <c r="H5271">
             </c>
      <c r="I5271" t="s">
        <v>14</v>
      </c>
      <c r="J5271" t="s">
        <v>242</v>
      </c>
      <c r="K5271" t="s">
        <v>14</v>
      </c>
      <c r="L5271" t="s">
        <v>20</v>
      </c>
      <c r="M5271" t="s">
        <v>10733</v>
      </c>
      <c r="N5271" t="s">
        <v>14</v>
      </c>
    </row>
    <row r="5272" x14ac:dyDescent="0.25">
      <c r="A5272" t="n">
        <v>25</v>
      </c>
      <c r="B5272" t="s">
        <v>14</v>
      </c>
      <c r="C5272" t="s">
        <v>51</v>
      </c>
      <c r="D5272" s="2" t="s">
        <f>=HYPERLINK("https://main.knesset.gov.il/APPS/legislation/main/bills/2201128", "הצעת חוק טיפול בחולי נפש (תיקון - החלת הוראות על בגיר שסובל מאנורקסיה נרבוזה), התשפ""ג-2023")</f>
        <v>10784</v>
      </c>
      <c r="E5272" t="s">
        <v>10784</v>
      </c>
      <c r="F5272" t="s">
        <v>10785</v>
      </c>
      <c r="G5272" t="s">
        <v>14</v>
      </c>
      <c r="H5272">
             </c>
      <c r="I5272" t="s">
        <v>14</v>
      </c>
      <c r="J5272" t="s">
        <v>242</v>
      </c>
      <c r="K5272" t="s">
        <v>14</v>
      </c>
      <c r="L5272" t="s">
        <v>20</v>
      </c>
      <c r="M5272" t="s">
        <v>10733</v>
      </c>
      <c r="N5272" t="s">
        <v>14</v>
      </c>
    </row>
    <row r="5273" x14ac:dyDescent="0.25">
      <c r="A5273" t="n">
        <v>25</v>
      </c>
      <c r="B5273" t="s">
        <v>14</v>
      </c>
      <c r="C5273" t="s">
        <v>51</v>
      </c>
      <c r="D5273" s="2" t="s">
        <f>=HYPERLINK("https://main.knesset.gov.il/APPS/legislation/main/bills/2201171", "הצעת חוק הביטוח הלאומי (תיקון - גמלת אבל לעצמאים), התשפ""ג-2023")</f>
        <v>8287</v>
      </c>
      <c r="E5273" t="s">
        <v>8287</v>
      </c>
      <c r="F5273" t="s">
        <v>10786</v>
      </c>
      <c r="G5273" t="s">
        <v>14</v>
      </c>
      <c r="H5273">
             </c>
      <c r="I5273" t="s">
        <v>14</v>
      </c>
      <c r="J5273" t="s">
        <v>242</v>
      </c>
      <c r="K5273" t="s">
        <v>14</v>
      </c>
      <c r="L5273" t="s">
        <v>20</v>
      </c>
      <c r="M5273" t="s">
        <v>10733</v>
      </c>
      <c r="N5273" t="s">
        <v>14</v>
      </c>
    </row>
    <row r="5274" x14ac:dyDescent="0.25">
      <c r="A5274" t="n">
        <v>25</v>
      </c>
      <c r="B5274" t="s">
        <v>14</v>
      </c>
      <c r="C5274" t="s">
        <v>51</v>
      </c>
      <c r="D5274" s="2" t="s">
        <f>=HYPERLINK("https://main.knesset.gov.il/APPS/legislation/main/bills/2198084", "הצעת חוק יישום תוכנית ההתנתקות (תיקון - ביטול סעיפי הפינוי ושינוי שם החוק), התשפ""ג-2023")</f>
        <v>10787</v>
      </c>
      <c r="E5274" t="s">
        <v>10787</v>
      </c>
      <c r="F5274" t="s">
        <v>10788</v>
      </c>
      <c r="G5274" t="s">
        <v>14</v>
      </c>
      <c r="H5274">
             </c>
      <c r="I5274" t="s">
        <v>14</v>
      </c>
      <c r="J5274" t="s">
        <v>242</v>
      </c>
      <c r="K5274" t="s">
        <v>14</v>
      </c>
      <c r="L5274" t="s">
        <v>20</v>
      </c>
      <c r="M5274" t="s">
        <v>10733</v>
      </c>
      <c r="N5274" t="s">
        <v>14</v>
      </c>
    </row>
    <row r="5275" x14ac:dyDescent="0.25">
      <c r="A5275" t="n">
        <v>25</v>
      </c>
      <c r="B5275" t="s">
        <v>14</v>
      </c>
      <c r="C5275" t="s">
        <v>51</v>
      </c>
      <c r="D5275" s="2" t="s">
        <f>=HYPERLINK("https://main.knesset.gov.il/APPS/legislation/main/bills/2201176", "הצעת חוק להרחבת הזכאות לדמי מחלה בהיעדרות בשל מחלת בני משפחה (תיקוני חקיקה), התשפ""ג-2023")</f>
        <v>10789</v>
      </c>
      <c r="E5275" t="s">
        <v>10789</v>
      </c>
      <c r="F5275" t="s">
        <v>10790</v>
      </c>
      <c r="G5275" t="s">
        <v>14</v>
      </c>
      <c r="H5275">
             </c>
      <c r="I5275" t="s">
        <v>14</v>
      </c>
      <c r="J5275" t="s">
        <v>242</v>
      </c>
      <c r="K5275" t="s">
        <v>14</v>
      </c>
      <c r="L5275" t="s">
        <v>20</v>
      </c>
      <c r="M5275" t="s">
        <v>10733</v>
      </c>
      <c r="N5275" t="s">
        <v>14</v>
      </c>
    </row>
    <row r="5276" x14ac:dyDescent="0.25">
      <c r="A5276" t="n">
        <v>25</v>
      </c>
      <c r="B5276" t="s">
        <v>14</v>
      </c>
      <c r="C5276" t="s">
        <v>51</v>
      </c>
      <c r="D5276" s="2" t="s">
        <f>=HYPERLINK("https://main.knesset.gov.il/APPS/legislation/main/bills/2200981", "הצעת חוק הפקדות וזכויות סוציאליות לעצמאים (תיקוני חקיקה), התשפ""ג-2023")</f>
        <v>10791</v>
      </c>
      <c r="E5276" t="s">
        <v>10791</v>
      </c>
      <c r="F5276" t="s">
        <v>10792</v>
      </c>
      <c r="G5276" t="s">
        <v>14</v>
      </c>
      <c r="H5276">
             </c>
      <c r="I5276" t="s">
        <v>14</v>
      </c>
      <c r="J5276" t="s">
        <v>242</v>
      </c>
      <c r="K5276" t="s">
        <v>14</v>
      </c>
      <c r="L5276" t="s">
        <v>20</v>
      </c>
      <c r="M5276" t="s">
        <v>10733</v>
      </c>
      <c r="N5276" t="s">
        <v>14</v>
      </c>
    </row>
    <row r="5277" x14ac:dyDescent="0.25">
      <c r="A5277" t="n">
        <v>25</v>
      </c>
      <c r="B5277" t="s">
        <v>14</v>
      </c>
      <c r="C5277" t="s">
        <v>51</v>
      </c>
      <c r="D5277" s="2" t="s">
        <f>=HYPERLINK("https://main.knesset.gov.il/APPS/legislation/main/bills/2201430", "הצעת חוק החלת הריבונות הישראלית על בקעת הירדן, התשפ""ג-2023")</f>
        <v>4516</v>
      </c>
      <c r="E5277" t="s">
        <v>4516</v>
      </c>
      <c r="F5277" t="s">
        <v>10793</v>
      </c>
      <c r="G5277" t="s">
        <v>14</v>
      </c>
      <c r="H5277">
             </c>
      <c r="I5277" t="s">
        <v>14</v>
      </c>
      <c r="J5277" t="s">
        <v>242</v>
      </c>
      <c r="K5277" t="s">
        <v>14</v>
      </c>
      <c r="L5277" t="s">
        <v>20</v>
      </c>
      <c r="M5277" t="s">
        <v>10733</v>
      </c>
      <c r="N5277" t="s">
        <v>14</v>
      </c>
    </row>
    <row r="5278" x14ac:dyDescent="0.25">
      <c r="A5278" t="n">
        <v>25</v>
      </c>
      <c r="B5278" t="s">
        <v>14</v>
      </c>
      <c r="C5278" t="s">
        <v>51</v>
      </c>
      <c r="D5278" s="2" t="s">
        <f>=HYPERLINK("https://main.knesset.gov.il/APPS/legislation/main/bills/2201183", "הצעת חוק שעות עבודה ומנוחה (תיקון - הגבלת שעות העסקה של מתמחה ברפואה), התשפ""ג-2023")</f>
        <v>10521</v>
      </c>
      <c r="E5278" t="s">
        <v>10521</v>
      </c>
      <c r="F5278" t="s">
        <v>10794</v>
      </c>
      <c r="G5278" t="s">
        <v>14</v>
      </c>
      <c r="H5278">
             </c>
      <c r="I5278" t="s">
        <v>14</v>
      </c>
      <c r="J5278" t="s">
        <v>242</v>
      </c>
      <c r="K5278" t="s">
        <v>14</v>
      </c>
      <c r="L5278" t="s">
        <v>20</v>
      </c>
      <c r="M5278" t="s">
        <v>10733</v>
      </c>
      <c r="N5278" t="s">
        <v>14</v>
      </c>
    </row>
    <row r="5279" x14ac:dyDescent="0.25">
      <c r="A5279" t="n">
        <v>25</v>
      </c>
      <c r="B5279" t="s">
        <v>14</v>
      </c>
      <c r="C5279" t="s">
        <v>51</v>
      </c>
      <c r="D5279" s="2" t="s">
        <f>=HYPERLINK("https://main.knesset.gov.il/APPS/legislation/main/bills/2201594", "הצעת חוק זכויות נפגעי עבירה (תיקון - זכויות בהליך בפני שופט מגשר), התשפ""ג-2023")</f>
        <v>10795</v>
      </c>
      <c r="E5279" t="s">
        <v>10795</v>
      </c>
      <c r="F5279" t="s">
        <v>10796</v>
      </c>
      <c r="G5279" t="s">
        <v>14</v>
      </c>
      <c r="H5279">
             </c>
      <c r="I5279" t="s">
        <v>14</v>
      </c>
      <c r="J5279" t="s">
        <v>242</v>
      </c>
      <c r="K5279" t="s">
        <v>14</v>
      </c>
      <c r="L5279" t="s">
        <v>20</v>
      </c>
      <c r="M5279" t="s">
        <v>10733</v>
      </c>
      <c r="N5279" t="s">
        <v>14</v>
      </c>
    </row>
    <row r="5280" x14ac:dyDescent="0.25">
      <c r="A5280" t="n">
        <v>25</v>
      </c>
      <c r="B5280" t="s">
        <v>14</v>
      </c>
      <c r="C5280" t="s">
        <v>51</v>
      </c>
      <c r="D5280" s="2" t="s">
        <f>=HYPERLINK("https://main.knesset.gov.il/APPS/legislation/main/bills/2200411", "הצעת חוק בתי קברות צבאיים (תיקון - קבורה לסוהרים בבתי קברות צבאיים), התשפ""ג-2023")</f>
        <v>10797</v>
      </c>
      <c r="E5280" t="s">
        <v>10797</v>
      </c>
      <c r="F5280" t="s">
        <v>10798</v>
      </c>
      <c r="G5280" t="s">
        <v>14</v>
      </c>
      <c r="H5280">
             </c>
      <c r="I5280" t="s">
        <v>14</v>
      </c>
      <c r="J5280" t="s">
        <v>242</v>
      </c>
      <c r="K5280" t="s">
        <v>14</v>
      </c>
      <c r="L5280" t="s">
        <v>20</v>
      </c>
      <c r="M5280" t="s">
        <v>10733</v>
      </c>
      <c r="N5280" t="s">
        <v>14</v>
      </c>
    </row>
    <row r="5281" x14ac:dyDescent="0.25">
      <c r="A5281" t="n">
        <v>25</v>
      </c>
      <c r="B5281" t="s">
        <v>14</v>
      </c>
      <c r="C5281" t="s">
        <v>51</v>
      </c>
      <c r="D5281" s="2" t="s">
        <f>=HYPERLINK("https://main.knesset.gov.il/APPS/legislation/main/bills/2201563", "הצעת חוק-יסוד: הממשלה (תיקון - הפסקת כהונה של ראש הממשלה או שר מחמת הגשת כתב אישום)")</f>
        <v>5501</v>
      </c>
      <c r="E5281" t="s">
        <v>5501</v>
      </c>
      <c r="F5281" t="s">
        <v>10799</v>
      </c>
      <c r="G5281" t="s">
        <v>14</v>
      </c>
      <c r="H5281">
             </c>
      <c r="I5281" t="s">
        <v>14</v>
      </c>
      <c r="J5281" t="s">
        <v>242</v>
      </c>
      <c r="K5281" t="s">
        <v>14</v>
      </c>
      <c r="L5281" t="s">
        <v>20</v>
      </c>
      <c r="M5281" t="s">
        <v>10733</v>
      </c>
      <c r="N5281" t="s">
        <v>14</v>
      </c>
    </row>
    <row r="5282" x14ac:dyDescent="0.25">
      <c r="A5282" t="n">
        <v>25</v>
      </c>
      <c r="B5282" t="s">
        <v>14</v>
      </c>
      <c r="C5282" t="s">
        <v>51</v>
      </c>
      <c r="D5282" s="2" t="s">
        <f>=HYPERLINK("https://main.knesset.gov.il/APPS/legislation/main/bills/2201444", "הצעת חוק לקביעת מעמדם של בני זוג שבאו בהסכם הזוגיות, התשפ""ג-2023")</f>
        <v>10800</v>
      </c>
      <c r="E5282" t="s">
        <v>10800</v>
      </c>
      <c r="F5282" t="s">
        <v>10801</v>
      </c>
      <c r="G5282" t="s">
        <v>14</v>
      </c>
      <c r="H5282">
             </c>
      <c r="I5282" t="s">
        <v>14</v>
      </c>
      <c r="J5282" t="s">
        <v>242</v>
      </c>
      <c r="K5282" t="s">
        <v>14</v>
      </c>
      <c r="L5282" t="s">
        <v>20</v>
      </c>
      <c r="M5282" t="s">
        <v>10733</v>
      </c>
      <c r="N5282" t="s">
        <v>14</v>
      </c>
    </row>
    <row r="5283" x14ac:dyDescent="0.25">
      <c r="A5283" t="n">
        <v>25</v>
      </c>
      <c r="B5283" t="s">
        <v>14</v>
      </c>
      <c r="C5283" t="s">
        <v>51</v>
      </c>
      <c r="D5283" s="2" t="s">
        <f>=HYPERLINK("https://main.knesset.gov.il/APPS/legislation/main/bills/2199823", "הצעת חוק הביטוח הלאומי (תיקון - תשלום תוספת לגמלת אזרח ותיק לנכה שהכנסתו נמוכה משכר המינימום), התשפ""ג-2023 ")</f>
        <v>10802</v>
      </c>
      <c r="E5283" t="s">
        <v>10802</v>
      </c>
      <c r="F5283" t="s">
        <v>10803</v>
      </c>
      <c r="G5283" t="s">
        <v>14</v>
      </c>
      <c r="H5283">
             </c>
      <c r="I5283" t="s">
        <v>14</v>
      </c>
      <c r="J5283" t="s">
        <v>242</v>
      </c>
      <c r="K5283" t="s">
        <v>14</v>
      </c>
      <c r="L5283" t="s">
        <v>20</v>
      </c>
      <c r="M5283" t="s">
        <v>10733</v>
      </c>
      <c r="N5283" t="s">
        <v>14</v>
      </c>
    </row>
    <row r="5284" x14ac:dyDescent="0.25">
      <c r="A5284" t="n">
        <v>25</v>
      </c>
      <c r="B5284" t="s">
        <v>14</v>
      </c>
      <c r="C5284" t="s">
        <v>51</v>
      </c>
      <c r="D5284" s="2" t="s">
        <f>=HYPERLINK("https://main.knesset.gov.il/APPS/legislation/main/bills/2201438", "הצעת חוק הביטוח הלאומי (תיקון - דמי ביטוח מופחתים למעסיק קולט עלייה), התשפ""ג-2023")</f>
        <v>10804</v>
      </c>
      <c r="E5284" t="s">
        <v>10804</v>
      </c>
      <c r="F5284" t="s">
        <v>10805</v>
      </c>
      <c r="G5284" t="s">
        <v>14</v>
      </c>
      <c r="H5284">
             </c>
      <c r="I5284" t="s">
        <v>14</v>
      </c>
      <c r="J5284" t="s">
        <v>242</v>
      </c>
      <c r="K5284" t="s">
        <v>14</v>
      </c>
      <c r="L5284" t="s">
        <v>20</v>
      </c>
      <c r="M5284" t="s">
        <v>10733</v>
      </c>
      <c r="N5284" t="s">
        <v>14</v>
      </c>
    </row>
    <row r="5285" x14ac:dyDescent="0.25">
      <c r="A5285" t="n">
        <v>25</v>
      </c>
      <c r="B5285" t="s">
        <v>14</v>
      </c>
      <c r="C5285" t="s">
        <v>51</v>
      </c>
      <c r="D5285" s="2" t="s">
        <f>=HYPERLINK("https://main.knesset.gov.il/APPS/legislation/main/bills/2201159", "הצעת חוק עבודת נשים (תיקון - הגנה לעובדת העוברת טיפולי פוריות), התשפ""ג-2023")</f>
        <v>10806</v>
      </c>
      <c r="E5285" t="s">
        <v>10806</v>
      </c>
      <c r="F5285" t="s">
        <v>10807</v>
      </c>
      <c r="G5285" t="s">
        <v>14</v>
      </c>
      <c r="H5285">
             </c>
      <c r="I5285" t="s">
        <v>14</v>
      </c>
      <c r="J5285" t="s">
        <v>242</v>
      </c>
      <c r="K5285" t="s">
        <v>14</v>
      </c>
      <c r="L5285" t="s">
        <v>20</v>
      </c>
      <c r="M5285" t="s">
        <v>10733</v>
      </c>
      <c r="N5285" t="s">
        <v>14</v>
      </c>
    </row>
    <row r="5286" x14ac:dyDescent="0.25">
      <c r="A5286" t="n">
        <v>25</v>
      </c>
      <c r="B5286" t="s">
        <v>14</v>
      </c>
      <c r="C5286" t="s">
        <v>51</v>
      </c>
      <c r="D5286" s="2" t="s">
        <f>=HYPERLINK("https://main.knesset.gov.il/APPS/legislation/main/bills/2200979", "הצעת חוק הפסקת היריון, התשפ""ג-2023")</f>
        <v>9028</v>
      </c>
      <c r="E5286" t="s">
        <v>9028</v>
      </c>
      <c r="F5286" t="s">
        <v>10808</v>
      </c>
      <c r="G5286" t="s">
        <v>14</v>
      </c>
      <c r="H5286">
             </c>
      <c r="I5286" t="s">
        <v>14</v>
      </c>
      <c r="J5286" t="s">
        <v>202</v>
      </c>
      <c r="K5286" t="s">
        <v>14</v>
      </c>
      <c r="L5286" t="s">
        <v>20</v>
      </c>
      <c r="M5286" t="s">
        <v>10733</v>
      </c>
      <c r="N5286" t="s">
        <v>14</v>
      </c>
    </row>
    <row r="5287" x14ac:dyDescent="0.25">
      <c r="A5287" t="n">
        <v>25</v>
      </c>
      <c r="B5287" t="s">
        <v>14</v>
      </c>
      <c r="C5287" t="s">
        <v>51</v>
      </c>
      <c r="D5287" s="2" t="s">
        <f>=HYPERLINK("https://main.knesset.gov.il/APPS/legislation/main/bills/2200899", "הצעת חוק דמי מחלה (היעדרות בשל מחלת ילד) (תיקון - היעדרות בעקבות פגיעה בעבירת מין או אלימות חמורה), התשפ""ג-2023")</f>
        <v>8227</v>
      </c>
      <c r="E5287" t="s">
        <v>8227</v>
      </c>
      <c r="F5287" t="s">
        <v>10809</v>
      </c>
      <c r="G5287" t="s">
        <v>14</v>
      </c>
      <c r="H5287">
             </c>
      <c r="I5287" t="s">
        <v>14</v>
      </c>
      <c r="J5287" t="s">
        <v>242</v>
      </c>
      <c r="K5287" t="s">
        <v>14</v>
      </c>
      <c r="L5287" t="s">
        <v>20</v>
      </c>
      <c r="M5287" t="s">
        <v>10733</v>
      </c>
      <c r="N5287" t="s">
        <v>14</v>
      </c>
    </row>
    <row r="5288" x14ac:dyDescent="0.25">
      <c r="A5288" t="n">
        <v>25</v>
      </c>
      <c r="B5288" t="s">
        <v>14</v>
      </c>
      <c r="C5288" t="s">
        <v>51</v>
      </c>
      <c r="D5288" s="2" t="s">
        <f>=HYPERLINK("https://main.knesset.gov.il/APPS/legislation/main/bills/2200314", "הצעת חוק התחרות הכלכלית (תיקון - איסור פגיעה ביבוא מקביל או ביבוא אישי) (הוראת שעה), התשפ""ג-2023")</f>
        <v>10810</v>
      </c>
      <c r="E5288" t="s">
        <v>10810</v>
      </c>
      <c r="F5288" t="s">
        <v>10811</v>
      </c>
      <c r="G5288" t="s">
        <v>14</v>
      </c>
      <c r="H5288">
             </c>
      <c r="I5288" t="s">
        <v>14</v>
      </c>
      <c r="J5288" t="s">
        <v>242</v>
      </c>
      <c r="K5288" t="s">
        <v>14</v>
      </c>
      <c r="L5288" t="s">
        <v>20</v>
      </c>
      <c r="M5288" t="s">
        <v>10733</v>
      </c>
      <c r="N5288" t="s">
        <v>14</v>
      </c>
    </row>
    <row r="5289" x14ac:dyDescent="0.25">
      <c r="A5289" t="n">
        <v>25</v>
      </c>
      <c r="B5289" t="s">
        <v>14</v>
      </c>
      <c r="C5289" t="s">
        <v>51</v>
      </c>
      <c r="D5289" s="2" t="s">
        <f>=HYPERLINK("https://main.knesset.gov.il/APPS/legislation/main/bills/2197831", "הצעת חוק לתיקון פקודת העיריות (חלוקת הכנסות ממתחם הגורם למפגעים סביבתיים בין רשויות מקומיות), התשפ""ג-2023 ")</f>
        <v>10812</v>
      </c>
      <c r="E5289" t="s">
        <v>10812</v>
      </c>
      <c r="F5289" t="s">
        <v>10813</v>
      </c>
      <c r="G5289" t="s">
        <v>14</v>
      </c>
      <c r="H5289">
             </c>
      <c r="I5289" t="s">
        <v>14</v>
      </c>
      <c r="J5289" t="s">
        <v>242</v>
      </c>
      <c r="K5289" t="s">
        <v>14</v>
      </c>
      <c r="L5289" t="s">
        <v>20</v>
      </c>
      <c r="M5289" t="s">
        <v>10733</v>
      </c>
      <c r="N5289" t="s">
        <v>14</v>
      </c>
    </row>
    <row r="5290" x14ac:dyDescent="0.25">
      <c r="A5290" t="n">
        <v>25</v>
      </c>
      <c r="B5290" t="s">
        <v>14</v>
      </c>
      <c r="C5290" t="s">
        <v>51</v>
      </c>
      <c r="D5290" s="2" t="s">
        <f>=HYPERLINK("https://main.knesset.gov.il/APPS/legislation/main/bills/2201153", "הצעת חוק תוכנית למניעת אלימות מינית וקידום מיניות בריאה, התשפ""ג-2023")</f>
        <v>10814</v>
      </c>
      <c r="E5290" t="s">
        <v>10814</v>
      </c>
      <c r="F5290" t="s">
        <v>10815</v>
      </c>
      <c r="G5290" t="s">
        <v>14</v>
      </c>
      <c r="H5290">
             </c>
      <c r="I5290" t="s">
        <v>14</v>
      </c>
      <c r="J5290" t="s">
        <v>242</v>
      </c>
      <c r="K5290" t="s">
        <v>14</v>
      </c>
      <c r="L5290" t="s">
        <v>20</v>
      </c>
      <c r="M5290" t="s">
        <v>10733</v>
      </c>
      <c r="N5290" t="s">
        <v>14</v>
      </c>
    </row>
    <row r="5291" x14ac:dyDescent="0.25">
      <c r="A5291" t="n">
        <v>25</v>
      </c>
      <c r="B5291" t="s">
        <v>14</v>
      </c>
      <c r="C5291" t="s">
        <v>51</v>
      </c>
      <c r="D5291" s="2" t="s">
        <f>=HYPERLINK("https://main.knesset.gov.il/APPS/legislation/main/bills/2201319", "הצעת חוק המאבק בטרור (תיקון - אי-החזרת גופות מחבלים), התשפ""ג-2023")</f>
        <v>5031</v>
      </c>
      <c r="E5291" t="s">
        <v>5031</v>
      </c>
      <c r="F5291" t="s">
        <v>10816</v>
      </c>
      <c r="G5291" t="s">
        <v>14</v>
      </c>
      <c r="H5291">
             </c>
      <c r="I5291" t="s">
        <v>14</v>
      </c>
      <c r="J5291" t="s">
        <v>242</v>
      </c>
      <c r="K5291" t="s">
        <v>14</v>
      </c>
      <c r="L5291" t="s">
        <v>20</v>
      </c>
      <c r="M5291" t="s">
        <v>10733</v>
      </c>
      <c r="N5291" t="s">
        <v>14</v>
      </c>
    </row>
    <row r="5292" x14ac:dyDescent="0.25">
      <c r="A5292" t="n">
        <v>25</v>
      </c>
      <c r="B5292" t="s">
        <v>14</v>
      </c>
      <c r="C5292" t="s">
        <v>51</v>
      </c>
      <c r="D5292" s="2" t="s">
        <f>=HYPERLINK("https://main.knesset.gov.il/APPS/legislation/main/bills/2201547", "הצעת חוק סדר הדין הפלילי (סמכויות אכיפה - חיפוש בגוף ונטילת אמצעי זיהוי) (תיקון - בדיקה לגילוי נגיף HIV), התשפ""ג-2023")</f>
        <v>10817</v>
      </c>
      <c r="E5292" t="s">
        <v>10817</v>
      </c>
      <c r="F5292" t="s">
        <v>10818</v>
      </c>
      <c r="G5292" t="s">
        <v>14</v>
      </c>
      <c r="H5292">
             </c>
      <c r="I5292" t="s">
        <v>14</v>
      </c>
      <c r="J5292" t="s">
        <v>242</v>
      </c>
      <c r="K5292" t="s">
        <v>14</v>
      </c>
      <c r="L5292" t="s">
        <v>20</v>
      </c>
      <c r="M5292" t="s">
        <v>10733</v>
      </c>
      <c r="N5292" t="s">
        <v>14</v>
      </c>
    </row>
    <row r="5293" x14ac:dyDescent="0.25">
      <c r="A5293" t="n">
        <v>25</v>
      </c>
      <c r="B5293" t="s">
        <v>14</v>
      </c>
      <c r="C5293" t="s">
        <v>51</v>
      </c>
      <c r="D5293" s="2" t="s">
        <f>=HYPERLINK("https://main.knesset.gov.il/APPS/legislation/main/bills/2201549", "הצעת חוק צער בעלי חיים (הגנה על בעלי חיים) (תיקון - איסור ניצול בעלי חיים למטרות הימורים), התשפ""ג-2023")</f>
        <v>10819</v>
      </c>
      <c r="E5293" t="s">
        <v>10819</v>
      </c>
      <c r="F5293" t="s">
        <v>10820</v>
      </c>
      <c r="G5293" t="s">
        <v>14</v>
      </c>
      <c r="H5293">
             </c>
      <c r="I5293" t="s">
        <v>14</v>
      </c>
      <c r="J5293" t="s">
        <v>242</v>
      </c>
      <c r="K5293" t="s">
        <v>14</v>
      </c>
      <c r="L5293" t="s">
        <v>20</v>
      </c>
      <c r="M5293" t="s">
        <v>10733</v>
      </c>
      <c r="N5293" t="s">
        <v>14</v>
      </c>
    </row>
    <row r="5294" x14ac:dyDescent="0.25">
      <c r="A5294" t="n">
        <v>25</v>
      </c>
      <c r="B5294" t="s">
        <v>14</v>
      </c>
      <c r="C5294" t="s">
        <v>51</v>
      </c>
      <c r="D5294" s="2" t="s">
        <f>=HYPERLINK("https://main.knesset.gov.il/APPS/legislation/main/bills/2201669", "הצעת חוק הפיקוח על מעונות יום לפעוטות (תיקון - הרחבת הפיקוח על מעונות יום), התשפ""ג-2023")</f>
        <v>10821</v>
      </c>
      <c r="E5294" t="s">
        <v>10821</v>
      </c>
      <c r="F5294" t="s">
        <v>10822</v>
      </c>
      <c r="G5294" t="s">
        <v>14</v>
      </c>
      <c r="H5294">
             </c>
      <c r="I5294" t="s">
        <v>14</v>
      </c>
      <c r="J5294" t="s">
        <v>242</v>
      </c>
      <c r="K5294" t="s">
        <v>14</v>
      </c>
      <c r="L5294" t="s">
        <v>20</v>
      </c>
      <c r="M5294" t="s">
        <v>10733</v>
      </c>
      <c r="N5294" t="s">
        <v>14</v>
      </c>
    </row>
    <row r="5295" x14ac:dyDescent="0.25">
      <c r="A5295" t="n">
        <v>25</v>
      </c>
      <c r="B5295" t="s">
        <v>14</v>
      </c>
      <c r="C5295" t="s">
        <v>51</v>
      </c>
      <c r="D5295" s="2" t="s">
        <f>=HYPERLINK("https://main.knesset.gov.il/APPS/legislation/main/bills/2199975", "הצעת חוק לתיקון פקודת מס הכנסה (הפחתת מס רווחי הון), התשפ""ג-2023")</f>
        <v>10823</v>
      </c>
      <c r="E5295" t="s">
        <v>10823</v>
      </c>
      <c r="F5295" t="s">
        <v>10824</v>
      </c>
      <c r="G5295" t="s">
        <v>14</v>
      </c>
      <c r="H5295">
             </c>
      <c r="I5295" t="s">
        <v>14</v>
      </c>
      <c r="J5295" t="s">
        <v>242</v>
      </c>
      <c r="K5295" t="s">
        <v>14</v>
      </c>
      <c r="L5295" t="s">
        <v>20</v>
      </c>
      <c r="M5295" t="s">
        <v>10733</v>
      </c>
      <c r="N5295" t="s">
        <v>14</v>
      </c>
    </row>
    <row r="5296" x14ac:dyDescent="0.25">
      <c r="A5296" t="n">
        <v>25</v>
      </c>
      <c r="B5296" t="s">
        <v>14</v>
      </c>
      <c r="C5296" t="s">
        <v>51</v>
      </c>
      <c r="D5296" s="2" t="s">
        <f>=HYPERLINK("https://main.knesset.gov.il/APPS/legislation/main/bills/2201553", "הצעת חוק שיפוט בתי דין רבניים (נישואין וגירושין) (תיקון - איסור ביטול גיור), התשפ""ג-2023")</f>
        <v>10825</v>
      </c>
      <c r="E5296" t="s">
        <v>10825</v>
      </c>
      <c r="F5296" t="s">
        <v>10826</v>
      </c>
      <c r="G5296" t="s">
        <v>14</v>
      </c>
      <c r="H5296">
             </c>
      <c r="I5296" t="s">
        <v>14</v>
      </c>
      <c r="J5296" t="s">
        <v>242</v>
      </c>
      <c r="K5296" t="s">
        <v>14</v>
      </c>
      <c r="L5296" t="s">
        <v>20</v>
      </c>
      <c r="M5296" t="s">
        <v>10733</v>
      </c>
      <c r="N5296" t="s">
        <v>14</v>
      </c>
    </row>
    <row r="5297" x14ac:dyDescent="0.25">
      <c r="A5297" t="n">
        <v>25</v>
      </c>
      <c r="B5297" t="s">
        <v>14</v>
      </c>
      <c r="C5297" t="s">
        <v>51</v>
      </c>
      <c r="D5297" s="2" t="s">
        <f>=HYPERLINK("https://main.knesset.gov.il/APPS/legislation/main/bills/2200657", "הצעת חוק חינוך ממלכתי (תיקון - איסור נשיאת דברים במוסד חינוך למורשע בעבירות טרור ובבגידה), התשפ""ג-2023")</f>
        <v>10827</v>
      </c>
      <c r="E5297" t="s">
        <v>10827</v>
      </c>
      <c r="F5297" t="s">
        <v>10828</v>
      </c>
      <c r="G5297" t="s">
        <v>14</v>
      </c>
      <c r="H5297">
             </c>
      <c r="I5297" t="s">
        <v>14</v>
      </c>
      <c r="J5297" t="s">
        <v>242</v>
      </c>
      <c r="K5297" t="s">
        <v>14</v>
      </c>
      <c r="L5297" t="s">
        <v>20</v>
      </c>
      <c r="M5297" t="s">
        <v>10733</v>
      </c>
      <c r="N5297" t="s">
        <v>14</v>
      </c>
    </row>
    <row r="5298" x14ac:dyDescent="0.25">
      <c r="A5298" t="n">
        <v>25</v>
      </c>
      <c r="B5298" t="s">
        <v>14</v>
      </c>
      <c r="C5298" t="s">
        <v>51</v>
      </c>
      <c r="D5298" s="2" t="s">
        <f>=HYPERLINK("https://main.knesset.gov.il/APPS/legislation/main/bills/2201664", "הצעת חוק העונשין (תיקון - עבירות מין בנסיבות של יחסי מטופלת ורופא נשים), התשפ""ג-2023")</f>
        <v>10829</v>
      </c>
      <c r="E5298" t="s">
        <v>10829</v>
      </c>
      <c r="F5298" t="s">
        <v>10830</v>
      </c>
      <c r="G5298" t="s">
        <v>14</v>
      </c>
      <c r="H5298">
             </c>
      <c r="I5298" t="s">
        <v>14</v>
      </c>
      <c r="J5298" t="s">
        <v>242</v>
      </c>
      <c r="K5298" t="s">
        <v>14</v>
      </c>
      <c r="L5298" t="s">
        <v>20</v>
      </c>
      <c r="M5298" t="s">
        <v>10733</v>
      </c>
      <c r="N5298" t="s">
        <v>14</v>
      </c>
    </row>
    <row r="5299" x14ac:dyDescent="0.25">
      <c r="A5299" t="n">
        <v>25</v>
      </c>
      <c r="B5299" t="s">
        <v>14</v>
      </c>
      <c r="C5299" t="s">
        <v>51</v>
      </c>
      <c r="D5299" s="2" t="s">
        <f>=HYPERLINK("https://main.knesset.gov.il/APPS/legislation/main/bills/2200309", "הצעת חוק ניירות ערך (תיקון - בורסה ייעודית), התשפ""ג-2023")</f>
        <v>10831</v>
      </c>
      <c r="E5299" t="s">
        <v>10831</v>
      </c>
      <c r="F5299" t="s">
        <v>10832</v>
      </c>
      <c r="G5299" t="s">
        <v>14</v>
      </c>
      <c r="H5299">
             </c>
      <c r="I5299" t="s">
        <v>14</v>
      </c>
      <c r="J5299" t="s">
        <v>242</v>
      </c>
      <c r="K5299" t="s">
        <v>14</v>
      </c>
      <c r="L5299" t="s">
        <v>20</v>
      </c>
      <c r="M5299" t="s">
        <v>10733</v>
      </c>
      <c r="N5299" t="s">
        <v>14</v>
      </c>
    </row>
    <row r="5300" x14ac:dyDescent="0.25">
      <c r="A5300" t="n">
        <v>25</v>
      </c>
      <c r="B5300" t="s">
        <v>14</v>
      </c>
      <c r="C5300" t="s">
        <v>51</v>
      </c>
      <c r="D5300" s="2" t="s">
        <f>=HYPERLINK("https://main.knesset.gov.il/APPS/legislation/main/bills/2201131", "הצעת חוק להסדרת מינויים בשירות החוץ, התשפ""ג-2023")</f>
        <v>10833</v>
      </c>
      <c r="E5300" t="s">
        <v>10833</v>
      </c>
      <c r="F5300" t="s">
        <v>10834</v>
      </c>
      <c r="G5300" t="s">
        <v>14</v>
      </c>
      <c r="H5300">
             </c>
      <c r="I5300" t="s">
        <v>14</v>
      </c>
      <c r="J5300" t="s">
        <v>242</v>
      </c>
      <c r="K5300" t="s">
        <v>14</v>
      </c>
      <c r="L5300" t="s">
        <v>20</v>
      </c>
      <c r="M5300" t="s">
        <v>10733</v>
      </c>
      <c r="N5300" t="s">
        <v>14</v>
      </c>
    </row>
    <row r="5301" x14ac:dyDescent="0.25">
      <c r="A5301" t="n">
        <v>25</v>
      </c>
      <c r="B5301" t="s">
        <v>14</v>
      </c>
      <c r="C5301" t="s">
        <v>51</v>
      </c>
      <c r="D5301" s="2" t="s">
        <f>=HYPERLINK("https://main.knesset.gov.il/APPS/legislation/main/bills/2200279", "הצעת חוק הסדרת שוק הכשרות בישראל, התשפ""ג-2023")</f>
        <v>10835</v>
      </c>
      <c r="E5301" t="s">
        <v>10835</v>
      </c>
      <c r="F5301" t="s">
        <v>10836</v>
      </c>
      <c r="G5301" t="s">
        <v>14</v>
      </c>
      <c r="H5301">
             </c>
      <c r="I5301" t="s">
        <v>14</v>
      </c>
      <c r="J5301" t="s">
        <v>242</v>
      </c>
      <c r="K5301" t="s">
        <v>14</v>
      </c>
      <c r="L5301" t="s">
        <v>20</v>
      </c>
      <c r="M5301" t="s">
        <v>10733</v>
      </c>
      <c r="N5301" t="s">
        <v>14</v>
      </c>
    </row>
    <row r="5302" x14ac:dyDescent="0.25">
      <c r="A5302" t="n">
        <v>25</v>
      </c>
      <c r="B5302" t="s">
        <v>14</v>
      </c>
      <c r="C5302" t="s">
        <v>51</v>
      </c>
      <c r="D5302" s="2" t="s">
        <f>=HYPERLINK("https://main.knesset.gov.il/APPS/legislation/main/bills/2201420", "הצעת חוק זכויות הדייר בדיור הציבורי (תיקון - זכאות לאימהות יחידניות המקבלות מזונות ילדים), התשפ""ג-2023")</f>
        <v>10837</v>
      </c>
      <c r="E5302" t="s">
        <v>10837</v>
      </c>
      <c r="F5302" t="s">
        <v>10838</v>
      </c>
      <c r="G5302" t="s">
        <v>14</v>
      </c>
      <c r="H5302">
             </c>
      <c r="I5302" t="s">
        <v>14</v>
      </c>
      <c r="J5302" t="s">
        <v>242</v>
      </c>
      <c r="K5302" t="s">
        <v>14</v>
      </c>
      <c r="L5302" t="s">
        <v>20</v>
      </c>
      <c r="M5302" t="s">
        <v>10733</v>
      </c>
      <c r="N5302" t="s">
        <v>14</v>
      </c>
    </row>
    <row r="5303" x14ac:dyDescent="0.25">
      <c r="A5303" t="n">
        <v>25</v>
      </c>
      <c r="B5303" t="s">
        <v>14</v>
      </c>
      <c r="C5303" t="s">
        <v>51</v>
      </c>
      <c r="D5303" s="2" t="s">
        <f>=HYPERLINK("https://main.knesset.gov.il/APPS/legislation/main/bills/2201429", "הצעת חוק למניעת השתלטות תושבי הרשות הפלסטינית על שטחי c, התשפ""ג-2023")</f>
        <v>10839</v>
      </c>
      <c r="E5303" t="s">
        <v>10839</v>
      </c>
      <c r="F5303" t="s">
        <v>10840</v>
      </c>
      <c r="G5303" t="s">
        <v>14</v>
      </c>
      <c r="H5303">
             </c>
      <c r="I5303" t="s">
        <v>14</v>
      </c>
      <c r="J5303" t="s">
        <v>242</v>
      </c>
      <c r="K5303" t="s">
        <v>14</v>
      </c>
      <c r="L5303" t="s">
        <v>20</v>
      </c>
      <c r="M5303" t="s">
        <v>10733</v>
      </c>
      <c r="N5303" t="s">
        <v>14</v>
      </c>
    </row>
    <row r="5304" x14ac:dyDescent="0.25">
      <c r="A5304" t="n">
        <v>25</v>
      </c>
      <c r="B5304" t="s">
        <v>14</v>
      </c>
      <c r="C5304" t="s">
        <v>51</v>
      </c>
      <c r="D5304" s="2" t="s">
        <f>=HYPERLINK("https://main.knesset.gov.il/APPS/legislation/main/bills/2201666", "הצעת חוק העונשין (תיקון - חילוט רווחי סרסרות), התשפ""ג-2023")</f>
        <v>9050</v>
      </c>
      <c r="E5304" t="s">
        <v>9050</v>
      </c>
      <c r="F5304" t="s">
        <v>10841</v>
      </c>
      <c r="G5304" t="s">
        <v>14</v>
      </c>
      <c r="H5304">
             </c>
      <c r="I5304" t="s">
        <v>14</v>
      </c>
      <c r="J5304" t="s">
        <v>242</v>
      </c>
      <c r="K5304" t="s">
        <v>14</v>
      </c>
      <c r="L5304" t="s">
        <v>20</v>
      </c>
      <c r="M5304" t="s">
        <v>10733</v>
      </c>
      <c r="N5304" t="s">
        <v>14</v>
      </c>
    </row>
    <row r="5305" x14ac:dyDescent="0.25">
      <c r="A5305" t="n">
        <v>25</v>
      </c>
      <c r="B5305" t="s">
        <v>14</v>
      </c>
      <c r="C5305" t="s">
        <v>51</v>
      </c>
      <c r="D5305" s="2" t="s">
        <f>=HYPERLINK("https://main.knesset.gov.il/APPS/legislation/main/bills/2200838", "הצעת חוק רכזי ביטחון שוטף צבאיים, התשפ""ג-2023")</f>
        <v>10842</v>
      </c>
      <c r="E5305" t="s">
        <v>10842</v>
      </c>
      <c r="F5305" t="s">
        <v>10843</v>
      </c>
      <c r="G5305" t="s">
        <v>14</v>
      </c>
      <c r="H5305">
             </c>
      <c r="I5305" t="s">
        <v>14</v>
      </c>
      <c r="J5305" t="s">
        <v>242</v>
      </c>
      <c r="K5305" t="s">
        <v>14</v>
      </c>
      <c r="L5305" t="s">
        <v>20</v>
      </c>
      <c r="M5305" t="s">
        <v>10733</v>
      </c>
      <c r="N5305" t="s">
        <v>14</v>
      </c>
    </row>
    <row r="5306" x14ac:dyDescent="0.25">
      <c r="A5306" t="n">
        <v>25</v>
      </c>
      <c r="B5306" t="s">
        <v>14</v>
      </c>
      <c r="C5306" t="s">
        <v>51</v>
      </c>
      <c r="D5306" s="2" t="s">
        <f>=HYPERLINK("https://main.knesset.gov.il/APPS/legislation/main/bills/2201418", "הצעת חוק זכויות הדייר בדיור הציבורי (תיקון - עיגון זכויות דייר ממשיך בדיור הציבורי), התשפ""ג-2023")</f>
        <v>8580</v>
      </c>
      <c r="E5306" t="s">
        <v>8580</v>
      </c>
      <c r="F5306" t="s">
        <v>10844</v>
      </c>
      <c r="G5306" t="s">
        <v>14</v>
      </c>
      <c r="H5306">
             </c>
      <c r="I5306" t="s">
        <v>14</v>
      </c>
      <c r="J5306" t="s">
        <v>242</v>
      </c>
      <c r="K5306" t="s">
        <v>14</v>
      </c>
      <c r="L5306" t="s">
        <v>20</v>
      </c>
      <c r="M5306" t="s">
        <v>10733</v>
      </c>
      <c r="N5306" t="s">
        <v>14</v>
      </c>
    </row>
    <row r="5307" x14ac:dyDescent="0.25">
      <c r="A5307" t="n">
        <v>25</v>
      </c>
      <c r="B5307" t="s">
        <v>14</v>
      </c>
      <c r="C5307" t="s">
        <v>51</v>
      </c>
      <c r="D5307" s="2" t="s">
        <f>=HYPERLINK("https://main.knesset.gov.il/APPS/legislation/main/bills/2200098", "הצעת חוק איסור הונאה בכשרות (תיקון - מתן תעודת הכשר על ידי רב מקומי), התשפ""ג-2023")</f>
        <v>9292</v>
      </c>
      <c r="E5307" t="s">
        <v>9292</v>
      </c>
      <c r="F5307" t="s">
        <v>10845</v>
      </c>
      <c r="G5307" t="s">
        <v>14</v>
      </c>
      <c r="H5307">
             </c>
      <c r="I5307" t="s">
        <v>14</v>
      </c>
      <c r="J5307" t="s">
        <v>242</v>
      </c>
      <c r="K5307" t="s">
        <v>14</v>
      </c>
      <c r="L5307" t="s">
        <v>20</v>
      </c>
      <c r="M5307" t="s">
        <v>10733</v>
      </c>
      <c r="N5307" t="s">
        <v>14</v>
      </c>
    </row>
    <row r="5308" x14ac:dyDescent="0.25">
      <c r="A5308" t="n">
        <v>25</v>
      </c>
      <c r="B5308" t="s">
        <v>14</v>
      </c>
      <c r="C5308" t="s">
        <v>51</v>
      </c>
      <c r="D5308" s="2" t="s">
        <f>=HYPERLINK("https://main.knesset.gov.il/APPS/legislation/main/bills/2201554", "הצעת חוק שיפוט בתי דין רבניים (נישואין וגירושין) (תיקון - ביטול כריכה), התשפ""ג-2023")</f>
        <v>10846</v>
      </c>
      <c r="E5308" t="s">
        <v>10846</v>
      </c>
      <c r="F5308" t="s">
        <v>10847</v>
      </c>
      <c r="G5308" t="s">
        <v>14</v>
      </c>
      <c r="H5308">
             </c>
      <c r="I5308" t="s">
        <v>14</v>
      </c>
      <c r="J5308" t="s">
        <v>242</v>
      </c>
      <c r="K5308" t="s">
        <v>14</v>
      </c>
      <c r="L5308" t="s">
        <v>20</v>
      </c>
      <c r="M5308" t="s">
        <v>10733</v>
      </c>
      <c r="N5308" t="s">
        <v>14</v>
      </c>
    </row>
    <row r="5309" x14ac:dyDescent="0.25">
      <c r="A5309" t="n">
        <v>25</v>
      </c>
      <c r="B5309" t="s">
        <v>14</v>
      </c>
      <c r="C5309" t="s">
        <v>51</v>
      </c>
      <c r="D5309" s="2" t="s">
        <f>=HYPERLINK("https://main.knesset.gov.il/APPS/legislation/main/bills/2201419", "הצעת חוק לימוד חובה (תיקון - חינוך חינם לגיל הרך), התשפ""ג-2023")</f>
        <v>9487</v>
      </c>
      <c r="E5309" t="s">
        <v>9487</v>
      </c>
      <c r="F5309" t="s">
        <v>10848</v>
      </c>
      <c r="G5309" t="s">
        <v>14</v>
      </c>
      <c r="H5309">
             </c>
      <c r="I5309" t="s">
        <v>14</v>
      </c>
      <c r="J5309" t="s">
        <v>242</v>
      </c>
      <c r="K5309" t="s">
        <v>14</v>
      </c>
      <c r="L5309" t="s">
        <v>20</v>
      </c>
      <c r="M5309" t="s">
        <v>10733</v>
      </c>
      <c r="N5309" t="s">
        <v>14</v>
      </c>
    </row>
    <row r="5310" x14ac:dyDescent="0.25">
      <c r="A5310" t="n">
        <v>25</v>
      </c>
      <c r="B5310" t="s">
        <v>14</v>
      </c>
      <c r="C5310" t="s">
        <v>51</v>
      </c>
      <c r="D5310" s="2" t="s">
        <f>=HYPERLINK("https://main.knesset.gov.il/APPS/legislation/main/bills/2201440", "הצעת חוק גמול לחיילים בשירות סדיר, התשפ""ג-2023")</f>
        <v>5368</v>
      </c>
      <c r="E5310" t="s">
        <v>5368</v>
      </c>
      <c r="F5310" t="s">
        <v>10849</v>
      </c>
      <c r="G5310" t="s">
        <v>14</v>
      </c>
      <c r="H5310">
             </c>
      <c r="I5310" t="s">
        <v>14</v>
      </c>
      <c r="J5310" t="s">
        <v>242</v>
      </c>
      <c r="K5310" t="s">
        <v>14</v>
      </c>
      <c r="L5310" t="s">
        <v>20</v>
      </c>
      <c r="M5310" t="s">
        <v>10733</v>
      </c>
      <c r="N5310" t="s">
        <v>14</v>
      </c>
    </row>
    <row r="5311" x14ac:dyDescent="0.25">
      <c r="A5311" t="n">
        <v>25</v>
      </c>
      <c r="B5311" t="s">
        <v>14</v>
      </c>
      <c r="C5311" t="s">
        <v>51</v>
      </c>
      <c r="D5311" s="2" t="s">
        <f>=HYPERLINK("https://main.knesset.gov.il/APPS/legislation/main/bills/2201557", "הצעת חוק-יסוד: אוצרות הטבע ומשאבי סביבה")</f>
        <v>10850</v>
      </c>
      <c r="E5311" t="s">
        <v>10850</v>
      </c>
      <c r="F5311" t="s">
        <v>10851</v>
      </c>
      <c r="G5311" t="s">
        <v>14</v>
      </c>
      <c r="H5311">
             </c>
      <c r="I5311" t="s">
        <v>14</v>
      </c>
      <c r="J5311" t="s">
        <v>242</v>
      </c>
      <c r="K5311" t="s">
        <v>14</v>
      </c>
      <c r="L5311" t="s">
        <v>20</v>
      </c>
      <c r="M5311" t="s">
        <v>10733</v>
      </c>
      <c r="N5311" t="s">
        <v>14</v>
      </c>
    </row>
    <row r="5312" x14ac:dyDescent="0.25">
      <c r="A5312" t="n">
        <v>25</v>
      </c>
      <c r="B5312" t="s">
        <v>14</v>
      </c>
      <c r="C5312" t="s">
        <v>51</v>
      </c>
      <c r="D5312" s="2" t="s">
        <f>=HYPERLINK("https://main.knesset.gov.il/APPS/legislation/main/bills/2201442", "הצעת חוק חיבור בתים בהתיישבות הצעירה לחשמל, התשפ""ג-2023")</f>
        <v>10852</v>
      </c>
      <c r="E5312" t="s">
        <v>10852</v>
      </c>
      <c r="F5312" t="s">
        <v>10853</v>
      </c>
      <c r="G5312" t="s">
        <v>14</v>
      </c>
      <c r="H5312">
             </c>
      <c r="I5312" t="s">
        <v>14</v>
      </c>
      <c r="J5312" t="s">
        <v>242</v>
      </c>
      <c r="K5312" t="s">
        <v>14</v>
      </c>
      <c r="L5312" t="s">
        <v>20</v>
      </c>
      <c r="M5312" t="s">
        <v>10733</v>
      </c>
      <c r="N5312" t="s">
        <v>14</v>
      </c>
    </row>
    <row r="5313" x14ac:dyDescent="0.25">
      <c r="A5313" t="n">
        <v>25</v>
      </c>
      <c r="B5313" t="s">
        <v>14</v>
      </c>
      <c r="C5313" t="s">
        <v>51</v>
      </c>
      <c r="D5313" s="2" t="s">
        <f>=HYPERLINK("https://main.knesset.gov.il/APPS/legislation/main/bills/2200973", "הצעת חוק העונשין (תיקון - עבירות מין על ידי בן משפחה פונקציונאלי), התשפ""ג-2023")</f>
        <v>10854</v>
      </c>
      <c r="E5313" t="s">
        <v>10854</v>
      </c>
      <c r="F5313" t="s">
        <v>10855</v>
      </c>
      <c r="G5313" t="s">
        <v>14</v>
      </c>
      <c r="H5313">
             </c>
      <c r="I5313" t="s">
        <v>14</v>
      </c>
      <c r="J5313" t="s">
        <v>242</v>
      </c>
      <c r="K5313" t="s">
        <v>14</v>
      </c>
      <c r="L5313" t="s">
        <v>20</v>
      </c>
      <c r="M5313" t="s">
        <v>10733</v>
      </c>
      <c r="N5313" t="s">
        <v>14</v>
      </c>
    </row>
    <row r="5314" x14ac:dyDescent="0.25">
      <c r="A5314" t="n">
        <v>25</v>
      </c>
      <c r="B5314" t="s">
        <v>14</v>
      </c>
      <c r="C5314" t="s">
        <v>51</v>
      </c>
      <c r="D5314" s="2" t="s">
        <f>=HYPERLINK("https://main.knesset.gov.il/APPS/legislation/main/bills/2201670", "הצעת חוק לעידוד מחקר, פיתוח וחדשנות טכנולוגית בתעשייה (תיקון - תקציב הרשות הלאומית לחדשנות טכנולוגית), התשפ""ג-2023")</f>
        <v>10856</v>
      </c>
      <c r="E5314" t="s">
        <v>10856</v>
      </c>
      <c r="F5314" t="s">
        <v>10857</v>
      </c>
      <c r="G5314" t="s">
        <v>14</v>
      </c>
      <c r="H5314">
             </c>
      <c r="I5314" t="s">
        <v>14</v>
      </c>
      <c r="J5314" t="s">
        <v>242</v>
      </c>
      <c r="K5314" t="s">
        <v>14</v>
      </c>
      <c r="L5314" t="s">
        <v>20</v>
      </c>
      <c r="M5314" t="s">
        <v>10733</v>
      </c>
      <c r="N5314" t="s">
        <v>14</v>
      </c>
    </row>
    <row r="5315" x14ac:dyDescent="0.25">
      <c r="A5315" t="n">
        <v>25</v>
      </c>
      <c r="B5315" t="s">
        <v>14</v>
      </c>
      <c r="C5315" t="s">
        <v>51</v>
      </c>
      <c r="D5315" s="2" t="s">
        <f>=HYPERLINK("https://main.knesset.gov.il/APPS/legislation/main/bills/2201292", "הצעת חוק להגנה על האגן הצפוני של ים המלח, התשפ""ג-2023")</f>
        <v>10858</v>
      </c>
      <c r="E5315" t="s">
        <v>10858</v>
      </c>
      <c r="F5315" t="s">
        <v>10859</v>
      </c>
      <c r="G5315" t="s">
        <v>14</v>
      </c>
      <c r="H5315">
             </c>
      <c r="I5315" t="s">
        <v>14</v>
      </c>
      <c r="J5315" t="s">
        <v>242</v>
      </c>
      <c r="K5315" t="s">
        <v>14</v>
      </c>
      <c r="L5315" t="s">
        <v>20</v>
      </c>
      <c r="M5315" t="s">
        <v>10733</v>
      </c>
      <c r="N5315" t="s">
        <v>14</v>
      </c>
    </row>
    <row r="5316" x14ac:dyDescent="0.25">
      <c r="A5316" t="n">
        <v>25</v>
      </c>
      <c r="B5316" t="s">
        <v>14</v>
      </c>
      <c r="C5316" t="s">
        <v>51</v>
      </c>
      <c r="D5316" s="2" t="s">
        <f>=HYPERLINK("https://main.knesset.gov.il/APPS/legislation/main/bills/2201256", "הצעת חוק חובת ניהול ופרסום פרוטוקול של ועדות מייעצות (תיקוני חקיקה), התשפ""ג-2023")</f>
        <v>10860</v>
      </c>
      <c r="E5316" t="s">
        <v>10860</v>
      </c>
      <c r="F5316" t="s">
        <v>10861</v>
      </c>
      <c r="G5316" t="s">
        <v>14</v>
      </c>
      <c r="H5316">
             </c>
      <c r="I5316" t="s">
        <v>14</v>
      </c>
      <c r="J5316" t="s">
        <v>242</v>
      </c>
      <c r="K5316" t="s">
        <v>14</v>
      </c>
      <c r="L5316" t="s">
        <v>20</v>
      </c>
      <c r="M5316" t="s">
        <v>10733</v>
      </c>
      <c r="N5316" t="s">
        <v>14</v>
      </c>
    </row>
    <row r="5317" x14ac:dyDescent="0.25">
      <c r="A5317" t="n">
        <v>25</v>
      </c>
      <c r="B5317" t="s">
        <v>14</v>
      </c>
      <c r="C5317" t="s">
        <v>51</v>
      </c>
      <c r="D5317" s="2" t="s">
        <f>=HYPERLINK("https://main.knesset.gov.il/APPS/legislation/main/bills/2200695", "הצעת חוק הפיקוח על מעונות יום לפעוטות (תיקון - הרחבת הפיקוח על מעונות יום), התשפ""ג-2023")</f>
        <v>10821</v>
      </c>
      <c r="E5317" t="s">
        <v>10821</v>
      </c>
      <c r="F5317" t="s">
        <v>10862</v>
      </c>
      <c r="G5317" t="s">
        <v>14</v>
      </c>
      <c r="H5317">
             </c>
      <c r="I5317" t="s">
        <v>14</v>
      </c>
      <c r="J5317" t="s">
        <v>242</v>
      </c>
      <c r="K5317" t="s">
        <v>14</v>
      </c>
      <c r="L5317" t="s">
        <v>20</v>
      </c>
      <c r="M5317" t="s">
        <v>10733</v>
      </c>
      <c r="N5317" t="s">
        <v>14</v>
      </c>
    </row>
    <row r="5318" x14ac:dyDescent="0.25">
      <c r="A5318" t="n">
        <v>25</v>
      </c>
      <c r="B5318" t="s">
        <v>14</v>
      </c>
      <c r="C5318" t="s">
        <v>51</v>
      </c>
      <c r="D5318" s="2" t="s">
        <f>=HYPERLINK("https://main.knesset.gov.il/APPS/legislation/main/bills/2201253", "הצעת חוק זכויות, שירותים והתאמות בחינוך לילדים עם צרכים מיוחדים, התשפ""ג-2023")</f>
        <v>10863</v>
      </c>
      <c r="E5318" t="s">
        <v>10863</v>
      </c>
      <c r="F5318" t="s">
        <v>10864</v>
      </c>
      <c r="G5318" t="s">
        <v>14</v>
      </c>
      <c r="H5318">
             </c>
      <c r="I5318" t="s">
        <v>14</v>
      </c>
      <c r="J5318" t="s">
        <v>242</v>
      </c>
      <c r="K5318" t="s">
        <v>14</v>
      </c>
      <c r="L5318" t="s">
        <v>20</v>
      </c>
      <c r="M5318" t="s">
        <v>10733</v>
      </c>
      <c r="N5318" t="s">
        <v>14</v>
      </c>
    </row>
    <row r="5319" x14ac:dyDescent="0.25">
      <c r="A5319" t="n">
        <v>25</v>
      </c>
      <c r="B5319" t="s">
        <v>14</v>
      </c>
      <c r="C5319" t="s">
        <v>51</v>
      </c>
      <c r="D5319" s="2" t="s">
        <f>=HYPERLINK("https://main.knesset.gov.il/APPS/legislation/main/bills/2201251", "הצעת חוק זכויות נפגעי עבירה (תיקון - הרחבת זכויות נפגעי עבירות מין למידע על הליכים משפטיים), התשפ""ג-2023")</f>
        <v>10865</v>
      </c>
      <c r="E5319" t="s">
        <v>10865</v>
      </c>
      <c r="F5319" t="s">
        <v>10866</v>
      </c>
      <c r="G5319" t="s">
        <v>14</v>
      </c>
      <c r="H5319">
             </c>
      <c r="I5319" t="s">
        <v>14</v>
      </c>
      <c r="J5319" t="s">
        <v>242</v>
      </c>
      <c r="K5319" t="s">
        <v>14</v>
      </c>
      <c r="L5319" t="s">
        <v>20</v>
      </c>
      <c r="M5319" t="s">
        <v>10733</v>
      </c>
      <c r="N5319" t="s">
        <v>14</v>
      </c>
    </row>
    <row r="5320" x14ac:dyDescent="0.25">
      <c r="A5320" t="n">
        <v>25</v>
      </c>
      <c r="B5320" t="s">
        <v>14</v>
      </c>
      <c r="C5320" t="s">
        <v>51</v>
      </c>
      <c r="D5320" s="2" t="s">
        <f>=HYPERLINK("https://main.knesset.gov.il/APPS/legislation/main/bills/2201134", "הצעת חוק למניעת תשדירי פרסומת פוגעניים (תיקוני חקיקה), התשפ""ג-2023")</f>
        <v>10867</v>
      </c>
      <c r="E5320" t="s">
        <v>10867</v>
      </c>
      <c r="F5320" t="s">
        <v>10868</v>
      </c>
      <c r="G5320" t="s">
        <v>14</v>
      </c>
      <c r="H5320">
             </c>
      <c r="I5320" t="s">
        <v>14</v>
      </c>
      <c r="J5320" t="s">
        <v>242</v>
      </c>
      <c r="K5320" t="s">
        <v>14</v>
      </c>
      <c r="L5320" t="s">
        <v>20</v>
      </c>
      <c r="M5320" t="s">
        <v>10733</v>
      </c>
      <c r="N5320" t="s">
        <v>14</v>
      </c>
    </row>
    <row r="5321" x14ac:dyDescent="0.25">
      <c r="A5321" t="n">
        <v>25</v>
      </c>
      <c r="B5321" t="s">
        <v>14</v>
      </c>
      <c r="C5321" t="s">
        <v>51</v>
      </c>
      <c r="D5321" s="2" t="s">
        <f>=HYPERLINK("https://main.knesset.gov.il/APPS/legislation/main/bills/2201049", "הצעת חוק לעידוד מחקר, פיתוח וחדשנות טכנולוגית בתעשייה (תיקון - תקציב הרשות הלאומית לחדשנות טכנולוגית), התשפ""ג-2023")</f>
        <v>10856</v>
      </c>
      <c r="E5321" t="s">
        <v>10856</v>
      </c>
      <c r="F5321" t="s">
        <v>10869</v>
      </c>
      <c r="G5321" t="s">
        <v>14</v>
      </c>
      <c r="H5321">
             </c>
      <c r="I5321" t="s">
        <v>14</v>
      </c>
      <c r="J5321" t="s">
        <v>242</v>
      </c>
      <c r="K5321" t="s">
        <v>14</v>
      </c>
      <c r="L5321" t="s">
        <v>20</v>
      </c>
      <c r="M5321" t="s">
        <v>10733</v>
      </c>
      <c r="N5321" t="s">
        <v>14</v>
      </c>
    </row>
    <row r="5322" x14ac:dyDescent="0.25">
      <c r="A5322" t="n">
        <v>25</v>
      </c>
      <c r="B5322" t="s">
        <v>14</v>
      </c>
      <c r="C5322" t="s">
        <v>51</v>
      </c>
      <c r="D5322" s="2" t="s">
        <f>=HYPERLINK("https://main.knesset.gov.il/APPS/legislation/main/bills/2201167", "הצעת חוק רישוי עסקים (תיקון - דרישת רישוי לאירועים דתיים וטקסים), התשפ""ג-2023")</f>
        <v>9411</v>
      </c>
      <c r="E5322" t="s">
        <v>9411</v>
      </c>
      <c r="F5322" t="s">
        <v>10870</v>
      </c>
      <c r="G5322" t="s">
        <v>14</v>
      </c>
      <c r="H5322">
             </c>
      <c r="I5322" t="s">
        <v>14</v>
      </c>
      <c r="J5322" t="s">
        <v>242</v>
      </c>
      <c r="K5322" t="s">
        <v>14</v>
      </c>
      <c r="L5322" t="s">
        <v>20</v>
      </c>
      <c r="M5322" t="s">
        <v>10733</v>
      </c>
      <c r="N5322" t="s">
        <v>14</v>
      </c>
    </row>
    <row r="5323" x14ac:dyDescent="0.25">
      <c r="A5323" t="n">
        <v>25</v>
      </c>
      <c r="B5323" t="s">
        <v>14</v>
      </c>
      <c r="C5323" t="s">
        <v>51</v>
      </c>
      <c r="D5323" s="2" t="s">
        <f>=HYPERLINK("https://main.knesset.gov.il/APPS/legislation/main/bills/2201630", "הצעת חוק הגנת הצרכן (תיקון - פריסת תשלומים בעסקה מתמשכת), התשפ""ג-2023")</f>
        <v>10871</v>
      </c>
      <c r="E5323" t="s">
        <v>10871</v>
      </c>
      <c r="F5323" t="s">
        <v>10872</v>
      </c>
      <c r="G5323" t="s">
        <v>14</v>
      </c>
      <c r="H5323">
             </c>
      <c r="I5323" t="s">
        <v>14</v>
      </c>
      <c r="J5323" t="s">
        <v>242</v>
      </c>
      <c r="K5323" t="s">
        <v>14</v>
      </c>
      <c r="L5323" t="s">
        <v>20</v>
      </c>
      <c r="M5323" t="s">
        <v>10733</v>
      </c>
      <c r="N5323" t="s">
        <v>14</v>
      </c>
    </row>
    <row r="5324" x14ac:dyDescent="0.25">
      <c r="A5324" t="n">
        <v>25</v>
      </c>
      <c r="B5324" t="s">
        <v>14</v>
      </c>
      <c r="C5324" t="s">
        <v>51</v>
      </c>
      <c r="D5324" s="2" t="s">
        <f>=HYPERLINK("https://main.knesset.gov.il/APPS/legislation/main/bills/2201551", "הצעת חוק שיווי זכויות האישה (תיקון - ייצוג הולם לנשים בוועדות ציבוריות ברשויות המקומיות), התשפ""ג-2023")</f>
        <v>10873</v>
      </c>
      <c r="E5324" t="s">
        <v>10873</v>
      </c>
      <c r="F5324" t="s">
        <v>10874</v>
      </c>
      <c r="G5324" t="s">
        <v>14</v>
      </c>
      <c r="H5324">
             </c>
      <c r="I5324" t="s">
        <v>14</v>
      </c>
      <c r="J5324" t="s">
        <v>242</v>
      </c>
      <c r="K5324" t="s">
        <v>14</v>
      </c>
      <c r="L5324" t="s">
        <v>20</v>
      </c>
      <c r="M5324" t="s">
        <v>10733</v>
      </c>
      <c r="N5324" t="s">
        <v>14</v>
      </c>
    </row>
    <row r="5325" x14ac:dyDescent="0.25">
      <c r="A5325" t="n">
        <v>25</v>
      </c>
      <c r="B5325" t="s">
        <v>14</v>
      </c>
      <c r="C5325" t="s">
        <v>51</v>
      </c>
      <c r="D5325" s="2" t="s">
        <f>=HYPERLINK("https://main.knesset.gov.il/APPS/legislation/main/bills/2201188", "הצעת חוק המועצה להשכלה גבוהה (תיקון - ביטול דרישת מבחני כניסה וציון פסיכומטרי), התשפ""ג-2023")</f>
        <v>10875</v>
      </c>
      <c r="E5325" t="s">
        <v>10875</v>
      </c>
      <c r="F5325" t="s">
        <v>10876</v>
      </c>
      <c r="G5325" t="s">
        <v>14</v>
      </c>
      <c r="H5325">
             </c>
      <c r="I5325" t="s">
        <v>14</v>
      </c>
      <c r="J5325" t="s">
        <v>242</v>
      </c>
      <c r="K5325" t="s">
        <v>14</v>
      </c>
      <c r="L5325" t="s">
        <v>20</v>
      </c>
      <c r="M5325" t="s">
        <v>10733</v>
      </c>
      <c r="N5325" t="s">
        <v>14</v>
      </c>
    </row>
    <row r="5326" x14ac:dyDescent="0.25">
      <c r="A5326" t="n">
        <v>25</v>
      </c>
      <c r="B5326" t="s">
        <v>14</v>
      </c>
      <c r="C5326" t="s">
        <v>51</v>
      </c>
      <c r="D5326" s="2" t="s">
        <f>=HYPERLINK("https://main.knesset.gov.il/APPS/legislation/main/bills/2201294", "הצעת חוק להסדרת ההימורים החוקיים בישראל, התשפ""ג-2023")</f>
        <v>10877</v>
      </c>
      <c r="E5326" t="s">
        <v>10877</v>
      </c>
      <c r="F5326" t="s">
        <v>10878</v>
      </c>
      <c r="G5326" t="s">
        <v>14</v>
      </c>
      <c r="H5326">
             </c>
      <c r="I5326" t="s">
        <v>14</v>
      </c>
      <c r="J5326" t="s">
        <v>242</v>
      </c>
      <c r="K5326" t="s">
        <v>14</v>
      </c>
      <c r="L5326" t="s">
        <v>20</v>
      </c>
      <c r="M5326" t="s">
        <v>10733</v>
      </c>
      <c r="N5326" t="s">
        <v>14</v>
      </c>
    </row>
    <row r="5327" x14ac:dyDescent="0.25">
      <c r="A5327" t="n">
        <v>25</v>
      </c>
      <c r="B5327" t="s">
        <v>14</v>
      </c>
      <c r="C5327" t="s">
        <v>51</v>
      </c>
      <c r="D5327" s="2" t="s">
        <f>=HYPERLINK("https://main.knesset.gov.il/APPS/legislation/main/bills/2201369", "הצעת חוק התאמת טפסים ציבוריים (פרטי הורים), התשפ""ג-2023")</f>
        <v>10879</v>
      </c>
      <c r="E5327" t="s">
        <v>10879</v>
      </c>
      <c r="F5327" t="s">
        <v>10880</v>
      </c>
      <c r="G5327" t="s">
        <v>14</v>
      </c>
      <c r="H5327">
             </c>
      <c r="I5327" t="s">
        <v>14</v>
      </c>
      <c r="J5327" t="s">
        <v>242</v>
      </c>
      <c r="K5327" t="s">
        <v>14</v>
      </c>
      <c r="L5327" t="s">
        <v>20</v>
      </c>
      <c r="M5327" t="s">
        <v>10733</v>
      </c>
      <c r="N5327" t="s">
        <v>14</v>
      </c>
    </row>
    <row r="5328" x14ac:dyDescent="0.25">
      <c r="A5328" t="n">
        <v>25</v>
      </c>
      <c r="B5328" t="s">
        <v>14</v>
      </c>
      <c r="C5328" t="s">
        <v>51</v>
      </c>
      <c r="D5328" s="2" t="s">
        <f>=HYPERLINK("https://main.knesset.gov.il/APPS/legislation/main/bills/2201157", "הצעת חוק משפחות חיילים שנספו במערכה (תגמולים ושיקום) (תיקון - הגדרת אלמן ושכול), התשפ""ג-2023")</f>
        <v>10881</v>
      </c>
      <c r="E5328" t="s">
        <v>10881</v>
      </c>
      <c r="F5328" t="s">
        <v>10882</v>
      </c>
      <c r="G5328" t="s">
        <v>14</v>
      </c>
      <c r="H5328">
             </c>
      <c r="I5328" t="s">
        <v>14</v>
      </c>
      <c r="J5328" t="s">
        <v>242</v>
      </c>
      <c r="K5328" t="s">
        <v>14</v>
      </c>
      <c r="L5328" t="s">
        <v>20</v>
      </c>
      <c r="M5328" t="s">
        <v>10733</v>
      </c>
      <c r="N5328" t="s">
        <v>14</v>
      </c>
    </row>
    <row r="5329" x14ac:dyDescent="0.25">
      <c r="A5329" t="n">
        <v>25</v>
      </c>
      <c r="B5329" t="s">
        <v>14</v>
      </c>
      <c r="C5329" t="s">
        <v>51</v>
      </c>
      <c r="D5329" s="2" t="s">
        <f>=HYPERLINK("https://main.knesset.gov.il/APPS/legislation/main/bills/2201158", "הצעת חוק סדר הדין הפלילי (תיקון - התיישנות בעבירות מין שנעשו במסגרת יחסי תלות או מרות), התשפ""ג-2023")</f>
        <v>10883</v>
      </c>
      <c r="E5329" t="s">
        <v>10883</v>
      </c>
      <c r="F5329" t="s">
        <v>10884</v>
      </c>
      <c r="G5329" t="s">
        <v>14</v>
      </c>
      <c r="H5329">
             </c>
      <c r="I5329" t="s">
        <v>14</v>
      </c>
      <c r="J5329" t="s">
        <v>242</v>
      </c>
      <c r="K5329" t="s">
        <v>14</v>
      </c>
      <c r="L5329" t="s">
        <v>20</v>
      </c>
      <c r="M5329" t="s">
        <v>10733</v>
      </c>
      <c r="N5329" t="s">
        <v>14</v>
      </c>
    </row>
    <row r="5330" x14ac:dyDescent="0.25">
      <c r="A5330" t="n">
        <v>25</v>
      </c>
      <c r="B5330" t="s">
        <v>14</v>
      </c>
      <c r="C5330" t="s">
        <v>51</v>
      </c>
      <c r="D5330" s="2" t="s">
        <f>=HYPERLINK("https://main.knesset.gov.il/APPS/legislation/main/bills/2200656", "הצעת חוק בתי המשפט (תיקון - תובענת תושב אזור עימות), התשפ""ג-2023")</f>
        <v>10885</v>
      </c>
      <c r="E5330" t="s">
        <v>10885</v>
      </c>
      <c r="F5330" t="s">
        <v>10886</v>
      </c>
      <c r="G5330" t="s">
        <v>14</v>
      </c>
      <c r="H5330">
             </c>
      <c r="I5330" t="s">
        <v>14</v>
      </c>
      <c r="J5330" t="s">
        <v>242</v>
      </c>
      <c r="K5330" t="s">
        <v>14</v>
      </c>
      <c r="L5330" t="s">
        <v>20</v>
      </c>
      <c r="M5330" t="s">
        <v>10733</v>
      </c>
      <c r="N5330" t="s">
        <v>14</v>
      </c>
    </row>
    <row r="5331" x14ac:dyDescent="0.25">
      <c r="A5331" t="n">
        <v>25</v>
      </c>
      <c r="B5331" t="s">
        <v>14</v>
      </c>
      <c r="C5331" t="s">
        <v>51</v>
      </c>
      <c r="D5331" s="2" t="s">
        <f>=HYPERLINK("https://main.knesset.gov.il/APPS/legislation/main/bills/2201259", "הצעת חוק לביטול ההתיישנות בעבירות מין במשפחה (תיקוני חקיקה), התשפ""ג-2023")</f>
        <v>3087</v>
      </c>
      <c r="E5331" t="s">
        <v>3087</v>
      </c>
      <c r="F5331" t="s">
        <v>10887</v>
      </c>
      <c r="G5331" t="s">
        <v>14</v>
      </c>
      <c r="H5331">
             </c>
      <c r="I5331" t="s">
        <v>14</v>
      </c>
      <c r="J5331" t="s">
        <v>242</v>
      </c>
      <c r="K5331" t="s">
        <v>14</v>
      </c>
      <c r="L5331" t="s">
        <v>20</v>
      </c>
      <c r="M5331" t="s">
        <v>10733</v>
      </c>
      <c r="N5331" t="s">
        <v>14</v>
      </c>
    </row>
    <row r="5332" x14ac:dyDescent="0.25">
      <c r="A5332" t="n">
        <v>25</v>
      </c>
      <c r="B5332" t="s">
        <v>14</v>
      </c>
      <c r="C5332" t="s">
        <v>51</v>
      </c>
      <c r="D5332" s="2" t="s">
        <f>=HYPERLINK("https://main.knesset.gov.il/APPS/legislation/main/bills/2201329", "הצעת חוק לתיקון פקודת העיריות (ייצוג הולם בשמות מקומות ציבוריים), התשפ""ג-2023")</f>
        <v>10188</v>
      </c>
      <c r="E5332" t="s">
        <v>10188</v>
      </c>
      <c r="F5332" t="s">
        <v>10888</v>
      </c>
      <c r="G5332" t="s">
        <v>14</v>
      </c>
      <c r="H5332">
             </c>
      <c r="I5332" t="s">
        <v>14</v>
      </c>
      <c r="J5332" t="s">
        <v>242</v>
      </c>
      <c r="K5332" t="s">
        <v>14</v>
      </c>
      <c r="L5332" t="s">
        <v>20</v>
      </c>
      <c r="M5332" t="s">
        <v>10733</v>
      </c>
      <c r="N5332" t="s">
        <v>14</v>
      </c>
    </row>
    <row r="5333" x14ac:dyDescent="0.25">
      <c r="A5333" t="n">
        <v>25</v>
      </c>
      <c r="B5333" t="s">
        <v>14</v>
      </c>
      <c r="C5333" t="s">
        <v>51</v>
      </c>
      <c r="D5333" s="2" t="s">
        <f>=HYPERLINK("https://main.knesset.gov.il/APPS/legislation/main/bills/2201130", "הצעת חוק יום חינוך ארוך ולימודי העשרה (תיקון - תחולת החוק), התשפ""ג-2023")</f>
        <v>10889</v>
      </c>
      <c r="E5333" t="s">
        <v>10889</v>
      </c>
      <c r="F5333" t="s">
        <v>10890</v>
      </c>
      <c r="G5333" t="s">
        <v>14</v>
      </c>
      <c r="H5333">
             </c>
      <c r="I5333" t="s">
        <v>14</v>
      </c>
      <c r="J5333" t="s">
        <v>242</v>
      </c>
      <c r="K5333" t="s">
        <v>14</v>
      </c>
      <c r="L5333" t="s">
        <v>20</v>
      </c>
      <c r="M5333" t="s">
        <v>10733</v>
      </c>
      <c r="N5333" t="s">
        <v>14</v>
      </c>
    </row>
    <row r="5334" x14ac:dyDescent="0.25">
      <c r="A5334" t="n">
        <v>25</v>
      </c>
      <c r="B5334" t="s">
        <v>14</v>
      </c>
      <c r="C5334" t="s">
        <v>51</v>
      </c>
      <c r="D5334" s="2" t="s">
        <f>=HYPERLINK("https://main.knesset.gov.il/APPS/legislation/main/bills/2201376", "הצעת חוק חינוך ממלכתי (תיקון - איסור פעילות שיש בה שנאה בשל נטייה מינית, גזענות והדרת נשים במוסדות חינוך רשמיים), התשפ""ג-2023")</f>
        <v>10891</v>
      </c>
      <c r="E5334" t="s">
        <v>10891</v>
      </c>
      <c r="F5334" t="s">
        <v>10892</v>
      </c>
      <c r="G5334" t="s">
        <v>14</v>
      </c>
      <c r="H5334">
             </c>
      <c r="I5334" t="s">
        <v>14</v>
      </c>
      <c r="J5334" t="s">
        <v>242</v>
      </c>
      <c r="K5334" t="s">
        <v>14</v>
      </c>
      <c r="L5334" t="s">
        <v>20</v>
      </c>
      <c r="M5334" t="s">
        <v>10733</v>
      </c>
      <c r="N5334" t="s">
        <v>14</v>
      </c>
    </row>
    <row r="5335" x14ac:dyDescent="0.25">
      <c r="A5335" t="n">
        <v>25</v>
      </c>
      <c r="B5335" t="s">
        <v>14</v>
      </c>
      <c r="C5335" t="s">
        <v>51</v>
      </c>
      <c r="D5335" s="2" t="s">
        <f>=HYPERLINK("https://main.knesset.gov.il/APPS/legislation/main/bills/2201293", "הצעת חוק להגנת חיית הבר (תיקון - איסור מכירת פרוות), התשפ""ג-2023")</f>
        <v>10893</v>
      </c>
      <c r="E5335" t="s">
        <v>10893</v>
      </c>
      <c r="F5335" t="s">
        <v>10894</v>
      </c>
      <c r="G5335" t="s">
        <v>14</v>
      </c>
      <c r="H5335">
             </c>
      <c r="I5335" t="s">
        <v>14</v>
      </c>
      <c r="J5335" t="s">
        <v>242</v>
      </c>
      <c r="K5335" t="s">
        <v>14</v>
      </c>
      <c r="L5335" t="s">
        <v>20</v>
      </c>
      <c r="M5335" t="s">
        <v>10733</v>
      </c>
      <c r="N5335" t="s">
        <v>14</v>
      </c>
    </row>
    <row r="5336" x14ac:dyDescent="0.25">
      <c r="A5336" t="n">
        <v>25</v>
      </c>
      <c r="B5336" t="s">
        <v>14</v>
      </c>
      <c r="C5336" t="s">
        <v>51</v>
      </c>
      <c r="D5336" s="2" t="s">
        <f>=HYPERLINK("https://main.knesset.gov.il/APPS/legislation/main/bills/2201191", "הצעת חוק כביש אגרה (כביש ארצי לישראל) (תיקון - פטור מאגרה בשל האטה ממהירות הנסיעה המותרת), התשפ""ג-2023")</f>
        <v>10895</v>
      </c>
      <c r="E5336" t="s">
        <v>10895</v>
      </c>
      <c r="F5336" t="s">
        <v>10896</v>
      </c>
      <c r="G5336" t="s">
        <v>14</v>
      </c>
      <c r="H5336">
             </c>
      <c r="I5336" t="s">
        <v>14</v>
      </c>
      <c r="J5336" t="s">
        <v>242</v>
      </c>
      <c r="K5336" t="s">
        <v>14</v>
      </c>
      <c r="L5336" t="s">
        <v>20</v>
      </c>
      <c r="M5336" t="s">
        <v>10733</v>
      </c>
      <c r="N5336" t="s">
        <v>14</v>
      </c>
    </row>
    <row r="5337" x14ac:dyDescent="0.25">
      <c r="A5337" t="n">
        <v>25</v>
      </c>
      <c r="B5337" t="s">
        <v>14</v>
      </c>
      <c r="C5337" t="s">
        <v>51</v>
      </c>
      <c r="D5337" s="2" t="s">
        <f>=HYPERLINK("https://main.knesset.gov.il/APPS/legislation/main/bills/2201417", "הצעת חוק מעמדן של ההסתדרות הציונית העולמית ושל הסוכנות היהודית לארץ-ישראל (תיקון - ניהול והקצאת מקרקעין באזור יהודה והשומרון על ידי החטיבה להתיישבות), התשפ""ג-2023")</f>
        <v>10897</v>
      </c>
      <c r="E5337" t="s">
        <v>10897</v>
      </c>
      <c r="F5337" t="s">
        <v>10898</v>
      </c>
      <c r="G5337" t="s">
        <v>14</v>
      </c>
      <c r="H5337">
             </c>
      <c r="I5337" t="s">
        <v>14</v>
      </c>
      <c r="J5337" t="s">
        <v>242</v>
      </c>
      <c r="K5337" t="s">
        <v>14</v>
      </c>
      <c r="L5337" t="s">
        <v>20</v>
      </c>
      <c r="M5337" t="s">
        <v>10733</v>
      </c>
      <c r="N5337" t="s">
        <v>14</v>
      </c>
    </row>
    <row r="5338" x14ac:dyDescent="0.25">
      <c r="A5338" t="n">
        <v>25</v>
      </c>
      <c r="B5338" t="s">
        <v>14</v>
      </c>
      <c r="C5338" t="s">
        <v>51</v>
      </c>
      <c r="D5338" s="2" t="s">
        <f>=HYPERLINK("https://main.knesset.gov.il/APPS/legislation/main/bills/2201431", "הצעת חוק גוש אריאל, התשפ""ג-2023")</f>
        <v>9886</v>
      </c>
      <c r="E5338" t="s">
        <v>9886</v>
      </c>
      <c r="F5338" t="s">
        <v>10899</v>
      </c>
      <c r="G5338" t="s">
        <v>14</v>
      </c>
      <c r="H5338">
             </c>
      <c r="I5338" t="s">
        <v>14</v>
      </c>
      <c r="J5338" t="s">
        <v>242</v>
      </c>
      <c r="K5338" t="s">
        <v>14</v>
      </c>
      <c r="L5338" t="s">
        <v>20</v>
      </c>
      <c r="M5338" t="s">
        <v>10733</v>
      </c>
      <c r="N5338" t="s">
        <v>14</v>
      </c>
    </row>
    <row r="5339" x14ac:dyDescent="0.25">
      <c r="A5339" t="n">
        <v>25</v>
      </c>
      <c r="B5339" t="s">
        <v>14</v>
      </c>
      <c r="C5339" t="s">
        <v>51</v>
      </c>
      <c r="D5339" s="2" t="s">
        <f>=HYPERLINK("https://main.knesset.gov.il/APPS/legislation/main/bills/2201132", "הצעת חוק לימודי יסוד במערכת החינוך, התשפ""ג-2023")</f>
        <v>10900</v>
      </c>
      <c r="E5339" t="s">
        <v>10900</v>
      </c>
      <c r="F5339" t="s">
        <v>10901</v>
      </c>
      <c r="G5339" t="s">
        <v>14</v>
      </c>
      <c r="H5339">
             </c>
      <c r="I5339" t="s">
        <v>14</v>
      </c>
      <c r="J5339" t="s">
        <v>242</v>
      </c>
      <c r="K5339" t="s">
        <v>14</v>
      </c>
      <c r="L5339" t="s">
        <v>20</v>
      </c>
      <c r="M5339" t="s">
        <v>10733</v>
      </c>
      <c r="N5339" t="s">
        <v>14</v>
      </c>
    </row>
    <row r="5340" x14ac:dyDescent="0.25">
      <c r="A5340" t="n">
        <v>25</v>
      </c>
      <c r="B5340" t="s">
        <v>14</v>
      </c>
      <c r="C5340" t="s">
        <v>51</v>
      </c>
      <c r="D5340" s="2" t="s">
        <f>=HYPERLINK("https://main.knesset.gov.il/APPS/legislation/main/bills/2201401", "הצעת חוק העונשין (תיקון - קביעת עונש מינימום בגין נטילת דמי חסות), התשפ""ג-2023")</f>
        <v>8924</v>
      </c>
      <c r="E5340" t="s">
        <v>8924</v>
      </c>
      <c r="F5340" t="s">
        <v>10902</v>
      </c>
      <c r="G5340" t="s">
        <v>14</v>
      </c>
      <c r="H5340">
             </c>
      <c r="I5340" t="s">
        <v>14</v>
      </c>
      <c r="J5340" t="s">
        <v>242</v>
      </c>
      <c r="K5340" t="s">
        <v>14</v>
      </c>
      <c r="L5340" t="s">
        <v>20</v>
      </c>
      <c r="M5340" t="s">
        <v>10733</v>
      </c>
      <c r="N5340" t="s">
        <v>14</v>
      </c>
    </row>
    <row r="5341" x14ac:dyDescent="0.25">
      <c r="A5341" t="n">
        <v>25</v>
      </c>
      <c r="B5341" t="s">
        <v>14</v>
      </c>
      <c r="C5341" t="s">
        <v>51</v>
      </c>
      <c r="D5341" s="2" t="s">
        <f>=HYPERLINK("https://main.knesset.gov.il/APPS/legislation/main/bills/2201443", "הצעת חוק המועצה להשכלה גבוהה (תיקון - איסור פעילות פוגענית), התשפ""ג-2023")</f>
        <v>10903</v>
      </c>
      <c r="E5341" t="s">
        <v>10903</v>
      </c>
      <c r="F5341" t="s">
        <v>10904</v>
      </c>
      <c r="G5341" t="s">
        <v>14</v>
      </c>
      <c r="H5341">
             </c>
      <c r="I5341" t="s">
        <v>14</v>
      </c>
      <c r="J5341" t="s">
        <v>242</v>
      </c>
      <c r="K5341" t="s">
        <v>14</v>
      </c>
      <c r="L5341" t="s">
        <v>20</v>
      </c>
      <c r="M5341" t="s">
        <v>10733</v>
      </c>
      <c r="N5341" t="s">
        <v>14</v>
      </c>
    </row>
    <row r="5342" x14ac:dyDescent="0.25">
      <c r="A5342" t="n">
        <v>25</v>
      </c>
      <c r="B5342" t="s">
        <v>14</v>
      </c>
      <c r="C5342" t="s">
        <v>51</v>
      </c>
      <c r="D5342" s="2" t="s">
        <f>=HYPERLINK("https://main.knesset.gov.il/APPS/legislation/main/bills/2201393", "הצעת חוק איסור מכירת צעצועים המדמים כלי נשק, התשפ""ג-2023")</f>
        <v>8267</v>
      </c>
      <c r="E5342" t="s">
        <v>8267</v>
      </c>
      <c r="F5342" t="s">
        <v>10905</v>
      </c>
      <c r="G5342" t="s">
        <v>14</v>
      </c>
      <c r="H5342">
             </c>
      <c r="I5342" t="s">
        <v>14</v>
      </c>
      <c r="J5342" t="s">
        <v>202</v>
      </c>
      <c r="K5342" t="s">
        <v>14</v>
      </c>
      <c r="L5342" t="s">
        <v>20</v>
      </c>
      <c r="M5342" t="s">
        <v>10733</v>
      </c>
      <c r="N5342" t="s">
        <v>14</v>
      </c>
    </row>
    <row r="5343" x14ac:dyDescent="0.25">
      <c r="A5343" t="n">
        <v>25</v>
      </c>
      <c r="B5343" t="s">
        <v>14</v>
      </c>
      <c r="C5343" t="s">
        <v>51</v>
      </c>
      <c r="D5343" s="2" t="s">
        <f>=HYPERLINK("https://main.knesset.gov.il/APPS/legislation/main/bills/2201325", "הצעת חוק לתיקון פקודת העיריות (הסדרת מבנים לתנועות נוער), התשפ""ג-2023")</f>
        <v>10906</v>
      </c>
      <c r="E5343" t="s">
        <v>10906</v>
      </c>
      <c r="F5343" t="s">
        <v>10907</v>
      </c>
      <c r="G5343" t="s">
        <v>14</v>
      </c>
      <c r="H5343">
             </c>
      <c r="I5343" t="s">
        <v>14</v>
      </c>
      <c r="J5343" t="s">
        <v>242</v>
      </c>
      <c r="K5343" t="s">
        <v>14</v>
      </c>
      <c r="L5343" t="s">
        <v>20</v>
      </c>
      <c r="M5343" t="s">
        <v>10733</v>
      </c>
      <c r="N5343" t="s">
        <v>14</v>
      </c>
    </row>
    <row r="5344" x14ac:dyDescent="0.25">
      <c r="A5344" t="n">
        <v>25</v>
      </c>
      <c r="B5344" t="s">
        <v>14</v>
      </c>
      <c r="C5344" t="s">
        <v>51</v>
      </c>
      <c r="D5344" s="2" t="s">
        <f>=HYPERLINK("https://main.knesset.gov.il/APPS/legislation/main/bills/2201257", "הצעת חוק חוזה הביטוח (תיקון - הארכת תקופת ההתיישנות לביטוח חיים), התשפ""ג-2023")</f>
        <v>10908</v>
      </c>
      <c r="E5344" t="s">
        <v>10908</v>
      </c>
      <c r="F5344" t="s">
        <v>10909</v>
      </c>
      <c r="G5344" t="s">
        <v>14</v>
      </c>
      <c r="H5344">
             </c>
      <c r="I5344" t="s">
        <v>14</v>
      </c>
      <c r="J5344" t="s">
        <v>242</v>
      </c>
      <c r="K5344" t="s">
        <v>14</v>
      </c>
      <c r="L5344" t="s">
        <v>20</v>
      </c>
      <c r="M5344" t="s">
        <v>10733</v>
      </c>
      <c r="N5344" t="s">
        <v>14</v>
      </c>
    </row>
    <row r="5345" x14ac:dyDescent="0.25">
      <c r="A5345" t="n">
        <v>25</v>
      </c>
      <c r="B5345" t="s">
        <v>14</v>
      </c>
      <c r="C5345" t="s">
        <v>51</v>
      </c>
      <c r="D5345" s="2" t="s">
        <f>=HYPERLINK("https://main.knesset.gov.il/APPS/legislation/main/bills/2201295", "הצעת חוק למניעת הטרדה מינית (תיקון - דין התפטרות עקב הטרדה מינית או התנכלות כפיטורין), התשפ""ג-2023")</f>
        <v>10910</v>
      </c>
      <c r="E5345" t="s">
        <v>10910</v>
      </c>
      <c r="F5345" t="s">
        <v>10911</v>
      </c>
      <c r="G5345" t="s">
        <v>14</v>
      </c>
      <c r="H5345">
             </c>
      <c r="I5345" t="s">
        <v>14</v>
      </c>
      <c r="J5345" t="s">
        <v>242</v>
      </c>
      <c r="K5345" t="s">
        <v>14</v>
      </c>
      <c r="L5345" t="s">
        <v>20</v>
      </c>
      <c r="M5345" t="s">
        <v>10733</v>
      </c>
      <c r="N5345" t="s">
        <v>14</v>
      </c>
    </row>
    <row r="5346" x14ac:dyDescent="0.25">
      <c r="A5346" t="n">
        <v>25</v>
      </c>
      <c r="B5346" t="s">
        <v>14</v>
      </c>
      <c r="C5346" t="s">
        <v>51</v>
      </c>
      <c r="D5346" s="2" t="s">
        <f>=HYPERLINK("https://main.knesset.gov.il/APPS/legislation/main/bills/2200693", "הצעת חוק ביטוח בריאות ממלכתי (תיקון - מימון הסעה לבית חולים), התשפ""ג-2023")</f>
        <v>9855</v>
      </c>
      <c r="E5346" t="s">
        <v>9855</v>
      </c>
      <c r="F5346" t="s">
        <v>10912</v>
      </c>
      <c r="G5346" t="s">
        <v>14</v>
      </c>
      <c r="H5346">
             </c>
      <c r="I5346" t="s">
        <v>14</v>
      </c>
      <c r="J5346" t="s">
        <v>242</v>
      </c>
      <c r="K5346" t="s">
        <v>14</v>
      </c>
      <c r="L5346" t="s">
        <v>20</v>
      </c>
      <c r="M5346" t="s">
        <v>10733</v>
      </c>
      <c r="N5346" t="s">
        <v>14</v>
      </c>
    </row>
    <row r="5347" x14ac:dyDescent="0.25">
      <c r="A5347" t="n">
        <v>25</v>
      </c>
      <c r="B5347" t="s">
        <v>14</v>
      </c>
      <c r="C5347" t="s">
        <v>51</v>
      </c>
      <c r="D5347" s="2" t="s">
        <f>=HYPERLINK("https://main.knesset.gov.il/APPS/legislation/main/bills/2201029", "הצעת חוק המכינות הקדם-צבאיות (תיקון - שלילת הכרה ממכינות המעודדות סירוב פקודה והסתה), התשפ""ג-2023")</f>
        <v>10913</v>
      </c>
      <c r="E5347" t="s">
        <v>10913</v>
      </c>
      <c r="F5347" t="s">
        <v>10914</v>
      </c>
      <c r="G5347" t="s">
        <v>14</v>
      </c>
      <c r="H5347">
             </c>
      <c r="I5347" t="s">
        <v>14</v>
      </c>
      <c r="J5347" t="s">
        <v>242</v>
      </c>
      <c r="K5347" t="s">
        <v>14</v>
      </c>
      <c r="L5347" t="s">
        <v>20</v>
      </c>
      <c r="M5347" t="s">
        <v>10733</v>
      </c>
      <c r="N5347" t="s">
        <v>14</v>
      </c>
    </row>
    <row r="5348" x14ac:dyDescent="0.25">
      <c r="A5348" t="n">
        <v>25</v>
      </c>
      <c r="B5348" t="s">
        <v>14</v>
      </c>
      <c r="C5348" t="s">
        <v>51</v>
      </c>
      <c r="D5348" s="2" t="s">
        <f>=HYPERLINK("https://main.knesset.gov.il/APPS/legislation/main/bills/2201486", "הצעת חוק-יסוד: מגילת העצמאות")</f>
        <v>220</v>
      </c>
      <c r="E5348" t="s">
        <v>220</v>
      </c>
      <c r="F5348" t="s">
        <v>10915</v>
      </c>
      <c r="G5348" t="s">
        <v>14</v>
      </c>
      <c r="H5348">
             </c>
      <c r="I5348" t="s">
        <v>14</v>
      </c>
      <c r="J5348" t="s">
        <v>242</v>
      </c>
      <c r="K5348" t="s">
        <v>14</v>
      </c>
      <c r="L5348" t="s">
        <v>20</v>
      </c>
      <c r="M5348" t="s">
        <v>10733</v>
      </c>
      <c r="N5348" t="s">
        <v>14</v>
      </c>
    </row>
    <row r="5349" x14ac:dyDescent="0.25">
      <c r="A5349" t="n">
        <v>25</v>
      </c>
      <c r="B5349" t="s">
        <v>14</v>
      </c>
      <c r="C5349" t="s">
        <v>51</v>
      </c>
      <c r="D5349" s="2" t="s">
        <f>=HYPERLINK("https://main.knesset.gov.il/APPS/legislation/main/bills/2200870", "הצעת חוק קליטת חיילים משוחררים (תיקון - הטבות לחיילים בודדים), התשפ""ג-2023")</f>
        <v>10916</v>
      </c>
      <c r="E5349" t="s">
        <v>10916</v>
      </c>
      <c r="F5349" t="s">
        <v>10917</v>
      </c>
      <c r="G5349" t="s">
        <v>14</v>
      </c>
      <c r="H5349">
             </c>
      <c r="I5349" t="s">
        <v>14</v>
      </c>
      <c r="J5349" t="s">
        <v>242</v>
      </c>
      <c r="K5349" t="s">
        <v>14</v>
      </c>
      <c r="L5349" t="s">
        <v>20</v>
      </c>
      <c r="M5349" t="s">
        <v>10733</v>
      </c>
      <c r="N5349" t="s">
        <v>14</v>
      </c>
    </row>
    <row r="5350" x14ac:dyDescent="0.25">
      <c r="A5350" t="n">
        <v>25</v>
      </c>
      <c r="B5350" t="s">
        <v>14</v>
      </c>
      <c r="C5350" t="s">
        <v>51</v>
      </c>
      <c r="D5350" s="2" t="s">
        <f>=HYPERLINK("https://main.knesset.gov.il/APPS/legislation/main/bills/2200687", "הצעת חוק הסיוע המשפטי (תיקון - סיוע משפטי לנפגעי אלימות במשפחה), התשפ""ג-2023")</f>
        <v>10918</v>
      </c>
      <c r="E5350" t="s">
        <v>10918</v>
      </c>
      <c r="F5350" t="s">
        <v>10919</v>
      </c>
      <c r="G5350" t="s">
        <v>14</v>
      </c>
      <c r="H5350">
             </c>
      <c r="I5350" t="s">
        <v>14</v>
      </c>
      <c r="J5350" t="s">
        <v>242</v>
      </c>
      <c r="K5350" t="s">
        <v>14</v>
      </c>
      <c r="L5350" t="s">
        <v>20</v>
      </c>
      <c r="M5350" t="s">
        <v>10733</v>
      </c>
      <c r="N5350" t="s">
        <v>14</v>
      </c>
    </row>
    <row r="5351" x14ac:dyDescent="0.25">
      <c r="A5351" t="n">
        <v>25</v>
      </c>
      <c r="B5351" t="s">
        <v>14</v>
      </c>
      <c r="C5351" t="s">
        <v>51</v>
      </c>
      <c r="D5351" s="2" t="s">
        <f>=HYPERLINK("https://main.knesset.gov.il/APPS/legislation/main/bills/2201150", "הצעת חוק הדיור הציבורי (פתרונות דיור עבור ממתינים לדיור ציבורי), התשפ""ג-2023")</f>
        <v>10920</v>
      </c>
      <c r="E5351" t="s">
        <v>10920</v>
      </c>
      <c r="F5351" t="s">
        <v>10921</v>
      </c>
      <c r="G5351" t="s">
        <v>14</v>
      </c>
      <c r="H5351">
             </c>
      <c r="I5351" t="s">
        <v>14</v>
      </c>
      <c r="J5351" t="s">
        <v>242</v>
      </c>
      <c r="K5351" t="s">
        <v>14</v>
      </c>
      <c r="L5351" t="s">
        <v>20</v>
      </c>
      <c r="M5351" t="s">
        <v>10733</v>
      </c>
      <c r="N5351" t="s">
        <v>14</v>
      </c>
    </row>
    <row r="5352" x14ac:dyDescent="0.25">
      <c r="A5352" t="n">
        <v>25</v>
      </c>
      <c r="B5352" t="s">
        <v>14</v>
      </c>
      <c r="C5352" t="s">
        <v>51</v>
      </c>
      <c r="D5352" s="2" t="s">
        <f>=HYPERLINK("https://main.knesset.gov.il/APPS/legislation/main/bills/2201296", "הצעת חוק למניעת הטרדה מינית (תיקון - הטלת חובות לשם מניעת הטרדה מינית במוסד חינוך), התשפ""ג-2023")</f>
        <v>10922</v>
      </c>
      <c r="E5352" t="s">
        <v>10922</v>
      </c>
      <c r="F5352" t="s">
        <v>10923</v>
      </c>
      <c r="G5352" t="s">
        <v>14</v>
      </c>
      <c r="H5352">
             </c>
      <c r="I5352" t="s">
        <v>14</v>
      </c>
      <c r="J5352" t="s">
        <v>242</v>
      </c>
      <c r="K5352" t="s">
        <v>14</v>
      </c>
      <c r="L5352" t="s">
        <v>20</v>
      </c>
      <c r="M5352" t="s">
        <v>10733</v>
      </c>
      <c r="N5352" t="s">
        <v>14</v>
      </c>
    </row>
    <row r="5353" x14ac:dyDescent="0.25">
      <c r="A5353" t="n">
        <v>25</v>
      </c>
      <c r="B5353" t="s">
        <v>14</v>
      </c>
      <c r="C5353" t="s">
        <v>51</v>
      </c>
      <c r="D5353" s="2" t="s">
        <f>=HYPERLINK("https://main.knesset.gov.il/APPS/legislation/main/bills/2200582", "הצעת חוק הביטוח הלאומי (תיקון - מימון סייעת לילדים שאינם יכולים לשהות במעון), התשפ""ג-2023")</f>
        <v>10220</v>
      </c>
      <c r="E5353" t="s">
        <v>10220</v>
      </c>
      <c r="F5353" t="s">
        <v>10924</v>
      </c>
      <c r="G5353" t="s">
        <v>14</v>
      </c>
      <c r="H5353">
             </c>
      <c r="I5353" t="s">
        <v>14</v>
      </c>
      <c r="J5353" t="s">
        <v>242</v>
      </c>
      <c r="K5353" t="s">
        <v>14</v>
      </c>
      <c r="L5353" t="s">
        <v>20</v>
      </c>
      <c r="M5353" t="s">
        <v>10733</v>
      </c>
      <c r="N5353" t="s">
        <v>14</v>
      </c>
    </row>
    <row r="5354" x14ac:dyDescent="0.25">
      <c r="A5354" t="n">
        <v>25</v>
      </c>
      <c r="B5354" t="s">
        <v>14</v>
      </c>
      <c r="C5354" t="s">
        <v>51</v>
      </c>
      <c r="D5354" s="2" t="s">
        <f>=HYPERLINK("https://main.knesset.gov.il/APPS/legislation/main/bills/2201641", "הצעת חוק הגנת הצרכן (תיקון - הגבלת גביית עמלה בעסקת מכר מרחוק שעניינה רכישת כרטיס למופע), התשפ""ג-2023")</f>
        <v>10925</v>
      </c>
      <c r="E5354" t="s">
        <v>10925</v>
      </c>
      <c r="F5354" t="s">
        <v>10926</v>
      </c>
      <c r="G5354" t="s">
        <v>14</v>
      </c>
      <c r="H5354">
             </c>
      <c r="I5354" t="s">
        <v>14</v>
      </c>
      <c r="J5354" t="s">
        <v>242</v>
      </c>
      <c r="K5354" t="s">
        <v>14</v>
      </c>
      <c r="L5354" t="s">
        <v>20</v>
      </c>
      <c r="M5354" t="s">
        <v>10733</v>
      </c>
      <c r="N5354" t="s">
        <v>14</v>
      </c>
    </row>
    <row r="5355" x14ac:dyDescent="0.25">
      <c r="A5355" t="n">
        <v>25</v>
      </c>
      <c r="B5355" t="s">
        <v>14</v>
      </c>
      <c r="C5355" t="s">
        <v>51</v>
      </c>
      <c r="D5355" s="2" t="s">
        <f>=HYPERLINK("https://main.knesset.gov.il/APPS/legislation/main/bills/2201647", "הצעת חוק הגנת הצרכן (תיקון - מענה אנושי חינם ללקוחות חברות התעופה), התשפ""ג-2023")</f>
        <v>10927</v>
      </c>
      <c r="E5355" t="s">
        <v>10927</v>
      </c>
      <c r="F5355" t="s">
        <v>10928</v>
      </c>
      <c r="G5355" t="s">
        <v>14</v>
      </c>
      <c r="H5355">
             </c>
      <c r="I5355" t="s">
        <v>14</v>
      </c>
      <c r="J5355" t="s">
        <v>242</v>
      </c>
      <c r="K5355" t="s">
        <v>14</v>
      </c>
      <c r="L5355" t="s">
        <v>20</v>
      </c>
      <c r="M5355" t="s">
        <v>10733</v>
      </c>
      <c r="N5355" t="s">
        <v>14</v>
      </c>
    </row>
    <row r="5356" x14ac:dyDescent="0.25">
      <c r="A5356" t="n">
        <v>25</v>
      </c>
      <c r="B5356" t="s">
        <v>14</v>
      </c>
      <c r="C5356" t="s">
        <v>51</v>
      </c>
      <c r="D5356" s="2" t="s">
        <f>=HYPERLINK("https://main.knesset.gov.il/APPS/legislation/main/bills/2201416", "הצעת חוק העונשין (תיקון - עבירות אלימות במתחם הר הבית), התשפ""ג-2023")</f>
        <v>9145</v>
      </c>
      <c r="E5356" t="s">
        <v>9145</v>
      </c>
      <c r="F5356" t="s">
        <v>10929</v>
      </c>
      <c r="G5356" t="s">
        <v>14</v>
      </c>
      <c r="H5356">
             </c>
      <c r="I5356" t="s">
        <v>14</v>
      </c>
      <c r="J5356" t="s">
        <v>242</v>
      </c>
      <c r="K5356" t="s">
        <v>14</v>
      </c>
      <c r="L5356" t="s">
        <v>20</v>
      </c>
      <c r="M5356" t="s">
        <v>10733</v>
      </c>
      <c r="N5356" t="s">
        <v>14</v>
      </c>
    </row>
    <row r="5357" x14ac:dyDescent="0.25">
      <c r="A5357" t="n">
        <v>25</v>
      </c>
      <c r="B5357" t="s">
        <v>14</v>
      </c>
      <c r="C5357" t="s">
        <v>51</v>
      </c>
      <c r="D5357" s="2" t="s">
        <f>=HYPERLINK("https://main.knesset.gov.il/APPS/legislation/main/bills/2200765", "הצעת חוק הביטוח הלאומי (תיקון - אבטחה במוסד רפואי כעבודה מועדפת), התשפ""ג-2023")</f>
        <v>10930</v>
      </c>
      <c r="E5357" t="s">
        <v>10930</v>
      </c>
      <c r="F5357" t="s">
        <v>10931</v>
      </c>
      <c r="G5357" t="s">
        <v>14</v>
      </c>
      <c r="H5357">
             </c>
      <c r="I5357" t="s">
        <v>14</v>
      </c>
      <c r="J5357" t="s">
        <v>242</v>
      </c>
      <c r="K5357" t="s">
        <v>14</v>
      </c>
      <c r="L5357" t="s">
        <v>20</v>
      </c>
      <c r="M5357" t="s">
        <v>10733</v>
      </c>
      <c r="N5357" t="s">
        <v>14</v>
      </c>
    </row>
    <row r="5358" x14ac:dyDescent="0.25">
      <c r="A5358" t="n">
        <v>25</v>
      </c>
      <c r="B5358" t="s">
        <v>14</v>
      </c>
      <c r="C5358" t="s">
        <v>51</v>
      </c>
      <c r="D5358" s="2" t="s">
        <f>=HYPERLINK("https://main.knesset.gov.il/APPS/legislation/main/bills/2200495", "הצעת חוק איסור הונאה בכשרות (תיקון - פיקוח על מחירי תעודת הכשר), התשפ""ג-2023")</f>
        <v>10932</v>
      </c>
      <c r="E5358" t="s">
        <v>10932</v>
      </c>
      <c r="F5358" t="s">
        <v>10933</v>
      </c>
      <c r="G5358" t="s">
        <v>14</v>
      </c>
      <c r="H5358">
             </c>
      <c r="I5358" t="s">
        <v>14</v>
      </c>
      <c r="J5358" t="s">
        <v>242</v>
      </c>
      <c r="K5358" t="s">
        <v>14</v>
      </c>
      <c r="L5358" t="s">
        <v>20</v>
      </c>
      <c r="M5358" t="s">
        <v>10733</v>
      </c>
      <c r="N5358" t="s">
        <v>14</v>
      </c>
    </row>
    <row r="5359" x14ac:dyDescent="0.25">
      <c r="A5359" t="n">
        <v>25</v>
      </c>
      <c r="B5359" t="s">
        <v>14</v>
      </c>
      <c r="C5359" t="s">
        <v>51</v>
      </c>
      <c r="D5359" s="2" t="s">
        <f>=HYPERLINK("https://main.knesset.gov.il/APPS/legislation/main/bills/2199809", "הצעת חוק לתיקון פקודת העיריות (ייצוג הולם בשמות מקומות ציבוריים), התשפ""ג-2023")</f>
        <v>10188</v>
      </c>
      <c r="E5359" t="s">
        <v>10188</v>
      </c>
      <c r="F5359" t="s">
        <v>10934</v>
      </c>
      <c r="G5359" t="s">
        <v>14</v>
      </c>
      <c r="H5359">
             </c>
      <c r="I5359" t="s">
        <v>14</v>
      </c>
      <c r="J5359" t="s">
        <v>242</v>
      </c>
      <c r="K5359" t="s">
        <v>14</v>
      </c>
      <c r="L5359" t="s">
        <v>20</v>
      </c>
      <c r="M5359" t="s">
        <v>10733</v>
      </c>
      <c r="N5359" t="s">
        <v>14</v>
      </c>
    </row>
    <row r="5360" x14ac:dyDescent="0.25">
      <c r="A5360" t="n">
        <v>25</v>
      </c>
      <c r="B5360" t="s">
        <v>14</v>
      </c>
      <c r="C5360" t="s">
        <v>51</v>
      </c>
      <c r="D5360" s="2" t="s">
        <f>=HYPERLINK("https://main.knesset.gov.il/APPS/legislation/main/bills/2199338", "הצעת חוק הגנת הצרכן (תיקון - החלת חובת הודעה על סיום עסקה מתמשכת על תאגידים בנקאיים ופיננסיים), התשפ""ג-2023")</f>
        <v>10935</v>
      </c>
      <c r="E5360" t="s">
        <v>10935</v>
      </c>
      <c r="F5360" t="s">
        <v>10936</v>
      </c>
      <c r="G5360" t="s">
        <v>14</v>
      </c>
      <c r="H5360">
             </c>
      <c r="I5360" t="s">
        <v>14</v>
      </c>
      <c r="J5360" t="s">
        <v>242</v>
      </c>
      <c r="K5360" t="s">
        <v>14</v>
      </c>
      <c r="L5360" t="s">
        <v>20</v>
      </c>
      <c r="M5360" t="s">
        <v>10733</v>
      </c>
      <c r="N5360" t="s">
        <v>14</v>
      </c>
    </row>
    <row r="5361" x14ac:dyDescent="0.25">
      <c r="A5361" t="n">
        <v>25</v>
      </c>
      <c r="B5361" t="s">
        <v>14</v>
      </c>
      <c r="C5361" t="s">
        <v>51</v>
      </c>
      <c r="D5361" s="2" t="s">
        <f>=HYPERLINK("https://main.knesset.gov.il/APPS/legislation/main/bills/2198943", "הצעת חוק ההוצאה לפועל (תיקון - ריבית ודמי פיגורים), התשפ""ג-2023")</f>
        <v>10937</v>
      </c>
      <c r="E5361" t="s">
        <v>10937</v>
      </c>
      <c r="F5361" t="s">
        <v>10938</v>
      </c>
      <c r="G5361" t="s">
        <v>14</v>
      </c>
      <c r="H5361">
             </c>
      <c r="I5361" t="s">
        <v>14</v>
      </c>
      <c r="J5361" t="s">
        <v>242</v>
      </c>
      <c r="K5361" t="s">
        <v>14</v>
      </c>
      <c r="L5361" t="s">
        <v>20</v>
      </c>
      <c r="M5361" t="s">
        <v>10733</v>
      </c>
      <c r="N5361" t="s">
        <v>14</v>
      </c>
    </row>
    <row r="5362" x14ac:dyDescent="0.25">
      <c r="A5362" t="n">
        <v>25</v>
      </c>
      <c r="B5362" t="s">
        <v>14</v>
      </c>
      <c r="C5362" t="s">
        <v>51</v>
      </c>
      <c r="D5362" s="2" t="s">
        <f>=HYPERLINK("https://main.knesset.gov.il/APPS/legislation/main/bills/2196072", "הצעת חוק העונשין (תיקון - קביעת עונש מינימום לעבירות יידוי אבנים), התשפ""ג-2022")</f>
        <v>10939</v>
      </c>
      <c r="E5362" t="s">
        <v>10939</v>
      </c>
      <c r="F5362" t="s">
        <v>10940</v>
      </c>
      <c r="G5362" t="s">
        <v>14</v>
      </c>
      <c r="H5362">
             </c>
      <c r="I5362" t="s">
        <v>14</v>
      </c>
      <c r="J5362" t="s">
        <v>202</v>
      </c>
      <c r="K5362" t="s">
        <v>14</v>
      </c>
      <c r="L5362" t="s">
        <v>20</v>
      </c>
      <c r="M5362" t="s">
        <v>10941</v>
      </c>
      <c r="N5362" t="s">
        <v>14</v>
      </c>
    </row>
    <row r="5363" x14ac:dyDescent="0.25">
      <c r="A5363" t="n">
        <v>25</v>
      </c>
      <c r="B5363" t="s">
        <v>14</v>
      </c>
      <c r="C5363" t="s">
        <v>15</v>
      </c>
      <c r="D5363" s="2" t="s">
        <f>=HYPERLINK("https://main.knesset.gov.il/APPS/legislation/main/bills/2201084", "חוק שירות ביטחון (תיקון מס' 7 והוראת שעה) (שירות במשטרה ושירות מוכר) (תיקון מס' 18), התשפ""ג–2023")</f>
        <v>10942</v>
      </c>
      <c r="E5363" t="s">
        <v>10942</v>
      </c>
      <c r="F5363" t="s">
        <v>14</v>
      </c>
      <c r="G5363" t="s">
        <v>10736</v>
      </c>
      <c r="H5363" t="n">
        <v>3023</v>
      </c>
      <c r="I5363" t="s">
        <v>14</v>
      </c>
      <c r="J5363" t="s">
        <v>18</v>
      </c>
      <c r="K5363" t="s">
        <v>39</v>
      </c>
      <c r="L5363" t="s">
        <v>20</v>
      </c>
      <c r="M5363" t="s">
        <v>10943</v>
      </c>
      <c r="N5363" t="s">
        <v>10944</v>
      </c>
    </row>
    <row r="5364" x14ac:dyDescent="0.25">
      <c r="A5364" t="n">
        <v>25</v>
      </c>
      <c r="B5364" t="s">
        <v>14</v>
      </c>
      <c r="C5364" t="s">
        <v>15</v>
      </c>
      <c r="D5364" s="2" t="s">
        <f>=HYPERLINK("https://main.knesset.gov.il/APPS/legislation/main/bills/2200649", "חוק סמכויות מיוחדות להתמודדות עם נגיף הקורונה החדש (הוראת שעה) (תיקון מס' 12), התשפ""ג-2023")</f>
        <v>10945</v>
      </c>
      <c r="E5364" t="s">
        <v>10945</v>
      </c>
      <c r="F5364" t="s">
        <v>14</v>
      </c>
      <c r="G5364" t="s">
        <v>10946</v>
      </c>
      <c r="H5364" t="n">
        <v>3022</v>
      </c>
      <c r="I5364" t="s">
        <v>14</v>
      </c>
      <c r="J5364" t="s">
        <v>18</v>
      </c>
      <c r="K5364" t="s">
        <v>361</v>
      </c>
      <c r="L5364" t="s">
        <v>20</v>
      </c>
      <c r="M5364" t="s">
        <v>10947</v>
      </c>
      <c r="N5364" t="s">
        <v>10948</v>
      </c>
    </row>
    <row r="5365" x14ac:dyDescent="0.25">
      <c r="A5365" t="n">
        <v>25</v>
      </c>
      <c r="B5365" t="s">
        <v>14</v>
      </c>
      <c r="C5365" t="s">
        <v>15</v>
      </c>
      <c r="D5365" s="2" t="s">
        <f>=HYPERLINK("https://main.knesset.gov.il/APPS/legislation/main/bills/2199718", "חוק לפינוי שדות מוקשים ושטחי נפלים (תיקון מס' 2), התשפ""ג-2023")</f>
        <v>10949</v>
      </c>
      <c r="E5365" t="s">
        <v>10949</v>
      </c>
      <c r="F5365" t="s">
        <v>14</v>
      </c>
      <c r="G5365" t="s">
        <v>10950</v>
      </c>
      <c r="H5365" t="n">
        <v>3021</v>
      </c>
      <c r="I5365" t="s">
        <v>14</v>
      </c>
      <c r="J5365" t="s">
        <v>18</v>
      </c>
      <c r="K5365" t="s">
        <v>39</v>
      </c>
      <c r="L5365" t="s">
        <v>20</v>
      </c>
      <c r="M5365" t="s">
        <v>10947</v>
      </c>
      <c r="N5365" t="s">
        <v>10951</v>
      </c>
    </row>
    <row r="5366" x14ac:dyDescent="0.25">
      <c r="A5366" t="n">
        <v>25</v>
      </c>
      <c r="B5366" t="s">
        <v>14</v>
      </c>
      <c r="C5366" t="s">
        <v>15</v>
      </c>
      <c r="D5366" s="2" t="s">
        <f>=HYPERLINK("https://main.knesset.gov.il/APPS/legislation/main/bills/2191853", "חוק לייעול האכיפה והפיקוח העירוניים ברשויות המקומיות (הוראת שעה) (תיקון מס' 9), התשפ""ג-2023 ")</f>
        <v>10952</v>
      </c>
      <c r="E5366" t="s">
        <v>10952</v>
      </c>
      <c r="F5366" t="s">
        <v>14</v>
      </c>
      <c r="G5366" t="s">
        <v>8850</v>
      </c>
      <c r="H5366" t="n">
        <v>3020</v>
      </c>
      <c r="I5366" t="s">
        <v>14</v>
      </c>
      <c r="J5366" t="s">
        <v>18</v>
      </c>
      <c r="K5366" t="s">
        <v>19</v>
      </c>
      <c r="L5366" t="s">
        <v>20</v>
      </c>
      <c r="M5366" t="s">
        <v>10947</v>
      </c>
      <c r="N5366" t="s">
        <v>10953</v>
      </c>
    </row>
    <row r="5367" x14ac:dyDescent="0.25">
      <c r="A5367" t="n">
        <v>25</v>
      </c>
      <c r="B5367" t="s">
        <v>14</v>
      </c>
      <c r="C5367" t="s">
        <v>51</v>
      </c>
      <c r="D5367" s="2" t="s">
        <f>=HYPERLINK("https://main.knesset.gov.il/APPS/legislation/main/bills/2200475", "הצעת חוק שעות עבודה ומנוחה (תיקון - קיצור שבוע העבודה), התשפ""ג-2023")</f>
        <v>9533</v>
      </c>
      <c r="E5367" t="s">
        <v>9533</v>
      </c>
      <c r="F5367" t="s">
        <v>10954</v>
      </c>
      <c r="G5367" t="s">
        <v>14</v>
      </c>
      <c r="H5367">
             </c>
      <c r="I5367" t="s">
        <v>14</v>
      </c>
      <c r="J5367" t="s">
        <v>242</v>
      </c>
      <c r="K5367" t="s">
        <v>14</v>
      </c>
      <c r="L5367" t="s">
        <v>20</v>
      </c>
      <c r="M5367" t="s">
        <v>10947</v>
      </c>
      <c r="N5367" t="s">
        <v>14</v>
      </c>
    </row>
    <row r="5368" x14ac:dyDescent="0.25">
      <c r="A5368" t="n">
        <v>25</v>
      </c>
      <c r="B5368" t="s">
        <v>14</v>
      </c>
      <c r="C5368" t="s">
        <v>51</v>
      </c>
      <c r="D5368" s="2" t="s">
        <f>=HYPERLINK("https://main.knesset.gov.il/APPS/legislation/main/bills/2200450", "הצעת חוק גיל פרישה (תיקון - ביטול גיל פרישת חובה), התשפ""ג-2023")</f>
        <v>10750</v>
      </c>
      <c r="E5368" t="s">
        <v>10750</v>
      </c>
      <c r="F5368" t="s">
        <v>10955</v>
      </c>
      <c r="G5368" t="s">
        <v>14</v>
      </c>
      <c r="H5368">
             </c>
      <c r="I5368" t="s">
        <v>14</v>
      </c>
      <c r="J5368" t="s">
        <v>242</v>
      </c>
      <c r="K5368" t="s">
        <v>14</v>
      </c>
      <c r="L5368" t="s">
        <v>20</v>
      </c>
      <c r="M5368" t="s">
        <v>10947</v>
      </c>
      <c r="N5368" t="s">
        <v>14</v>
      </c>
    </row>
    <row r="5369" x14ac:dyDescent="0.25">
      <c r="A5369" t="n">
        <v>25</v>
      </c>
      <c r="B5369" t="s">
        <v>14</v>
      </c>
      <c r="C5369" t="s">
        <v>51</v>
      </c>
      <c r="D5369" s="2" t="s">
        <f>=HYPERLINK("https://main.knesset.gov.il/APPS/legislation/main/bills/2200353", "הצעת חוק מס ערך מוסף (תיקון - מס בשיעור אפס על תרופות), התשפ""ג-2023")</f>
        <v>8233</v>
      </c>
      <c r="E5369" t="s">
        <v>8233</v>
      </c>
      <c r="F5369" t="s">
        <v>10956</v>
      </c>
      <c r="G5369" t="s">
        <v>14</v>
      </c>
      <c r="H5369">
             </c>
      <c r="I5369" t="s">
        <v>14</v>
      </c>
      <c r="J5369" t="s">
        <v>242</v>
      </c>
      <c r="K5369" t="s">
        <v>14</v>
      </c>
      <c r="L5369" t="s">
        <v>20</v>
      </c>
      <c r="M5369" t="s">
        <v>10947</v>
      </c>
      <c r="N5369" t="s">
        <v>14</v>
      </c>
    </row>
    <row r="5370" x14ac:dyDescent="0.25">
      <c r="A5370" t="n">
        <v>25</v>
      </c>
      <c r="B5370" t="s">
        <v>14</v>
      </c>
      <c r="C5370" t="s">
        <v>51</v>
      </c>
      <c r="D5370" s="2" t="s">
        <f>=HYPERLINK("https://main.knesset.gov.il/APPS/legislation/main/bills/2200498", "הצעת חוק הבטחת הכנסה (תיקון - גמלה להורה עצמאי), התשפ""ג-2023")</f>
        <v>10957</v>
      </c>
      <c r="E5370" t="s">
        <v>10957</v>
      </c>
      <c r="F5370" t="s">
        <v>10958</v>
      </c>
      <c r="G5370" t="s">
        <v>14</v>
      </c>
      <c r="H5370">
             </c>
      <c r="I5370" t="s">
        <v>14</v>
      </c>
      <c r="J5370" t="s">
        <v>242</v>
      </c>
      <c r="K5370" t="s">
        <v>14</v>
      </c>
      <c r="L5370" t="s">
        <v>20</v>
      </c>
      <c r="M5370" t="s">
        <v>10947</v>
      </c>
      <c r="N5370" t="s">
        <v>14</v>
      </c>
    </row>
    <row r="5371" x14ac:dyDescent="0.25">
      <c r="A5371" t="n">
        <v>25</v>
      </c>
      <c r="B5371" t="s">
        <v>14</v>
      </c>
      <c r="C5371" t="s">
        <v>51</v>
      </c>
      <c r="D5371" s="2" t="s">
        <f>=HYPERLINK("https://main.knesset.gov.il/APPS/legislation/main/bills/2200759", "הצעת חוק הביטוח הלאומי (תיקון - קצבת נכות לעולים), התשפ""ג-2023")</f>
        <v>10959</v>
      </c>
      <c r="E5371" t="s">
        <v>10959</v>
      </c>
      <c r="F5371" t="s">
        <v>10960</v>
      </c>
      <c r="G5371" t="s">
        <v>14</v>
      </c>
      <c r="H5371">
             </c>
      <c r="I5371" t="s">
        <v>14</v>
      </c>
      <c r="J5371" t="s">
        <v>242</v>
      </c>
      <c r="K5371" t="s">
        <v>14</v>
      </c>
      <c r="L5371" t="s">
        <v>20</v>
      </c>
      <c r="M5371" t="s">
        <v>10947</v>
      </c>
      <c r="N5371" t="s">
        <v>14</v>
      </c>
    </row>
    <row r="5372" x14ac:dyDescent="0.25">
      <c r="A5372" t="n">
        <v>25</v>
      </c>
      <c r="B5372" t="s">
        <v>14</v>
      </c>
      <c r="C5372" t="s">
        <v>51</v>
      </c>
      <c r="D5372" s="2" t="s">
        <f>=HYPERLINK("https://main.knesset.gov.il/APPS/legislation/main/bills/2200843", "הצעת חוק יום אבל במות קרוב מדרגה שנייה, התשפ""ג-2023")</f>
        <v>10045</v>
      </c>
      <c r="E5372" t="s">
        <v>10045</v>
      </c>
      <c r="F5372" t="s">
        <v>10961</v>
      </c>
      <c r="G5372" t="s">
        <v>14</v>
      </c>
      <c r="H5372">
             </c>
      <c r="I5372" t="s">
        <v>14</v>
      </c>
      <c r="J5372" t="s">
        <v>242</v>
      </c>
      <c r="K5372" t="s">
        <v>14</v>
      </c>
      <c r="L5372" t="s">
        <v>20</v>
      </c>
      <c r="M5372" t="s">
        <v>10947</v>
      </c>
      <c r="N5372" t="s">
        <v>14</v>
      </c>
    </row>
    <row r="5373" x14ac:dyDescent="0.25">
      <c r="A5373" t="n">
        <v>25</v>
      </c>
      <c r="B5373" t="s">
        <v>14</v>
      </c>
      <c r="C5373" t="s">
        <v>51</v>
      </c>
      <c r="D5373" s="2" t="s">
        <f>=HYPERLINK("https://main.knesset.gov.il/APPS/legislation/main/bills/2200909", "הצעת חוק הסדרי עבודה גמישים, התשפ""ג-2023")</f>
        <v>10962</v>
      </c>
      <c r="E5373" t="s">
        <v>10962</v>
      </c>
      <c r="F5373" t="s">
        <v>10963</v>
      </c>
      <c r="G5373" t="s">
        <v>14</v>
      </c>
      <c r="H5373">
             </c>
      <c r="I5373" t="s">
        <v>14</v>
      </c>
      <c r="J5373" t="s">
        <v>242</v>
      </c>
      <c r="K5373" t="s">
        <v>14</v>
      </c>
      <c r="L5373" t="s">
        <v>20</v>
      </c>
      <c r="M5373" t="s">
        <v>10947</v>
      </c>
      <c r="N5373" t="s">
        <v>14</v>
      </c>
    </row>
    <row r="5374" x14ac:dyDescent="0.25">
      <c r="A5374" t="n">
        <v>25</v>
      </c>
      <c r="B5374" t="s">
        <v>14</v>
      </c>
      <c r="C5374" t="s">
        <v>51</v>
      </c>
      <c r="D5374" s="2" t="s">
        <f>=HYPERLINK("https://main.knesset.gov.il/APPS/legislation/main/bills/2200942", "הצעת חוק ביטוח בריאות ממלכתי (תיקון - הגבלת סכום ההשתתפות העצמית בתכשיר מרשם), התשפ""ג-2023")</f>
        <v>9898</v>
      </c>
      <c r="E5374" t="s">
        <v>9898</v>
      </c>
      <c r="F5374" t="s">
        <v>10964</v>
      </c>
      <c r="G5374" t="s">
        <v>14</v>
      </c>
      <c r="H5374">
             </c>
      <c r="I5374" t="s">
        <v>14</v>
      </c>
      <c r="J5374" t="s">
        <v>242</v>
      </c>
      <c r="K5374" t="s">
        <v>14</v>
      </c>
      <c r="L5374" t="s">
        <v>20</v>
      </c>
      <c r="M5374" t="s">
        <v>10947</v>
      </c>
      <c r="N5374" t="s">
        <v>14</v>
      </c>
    </row>
    <row r="5375" x14ac:dyDescent="0.25">
      <c r="A5375" t="n">
        <v>25</v>
      </c>
      <c r="B5375" t="s">
        <v>14</v>
      </c>
      <c r="C5375" t="s">
        <v>51</v>
      </c>
      <c r="D5375" s="2" t="s">
        <f>=HYPERLINK("https://main.knesset.gov.il/APPS/legislation/main/bills/2200530", "הצעת חוק המזונות (הבטחת תשלום) (תיקון - סכום שלא יובא בחשבון במבחן ההכנסה), התשפ""ג-2023")</f>
        <v>10532</v>
      </c>
      <c r="E5375" t="s">
        <v>10532</v>
      </c>
      <c r="F5375" t="s">
        <v>10965</v>
      </c>
      <c r="G5375" t="s">
        <v>14</v>
      </c>
      <c r="H5375">
             </c>
      <c r="I5375" t="s">
        <v>14</v>
      </c>
      <c r="J5375" t="s">
        <v>242</v>
      </c>
      <c r="K5375" t="s">
        <v>14</v>
      </c>
      <c r="L5375" t="s">
        <v>20</v>
      </c>
      <c r="M5375" t="s">
        <v>10947</v>
      </c>
      <c r="N5375" t="s">
        <v>14</v>
      </c>
    </row>
    <row r="5376" x14ac:dyDescent="0.25">
      <c r="A5376" t="n">
        <v>25</v>
      </c>
      <c r="B5376" t="s">
        <v>14</v>
      </c>
      <c r="C5376" t="s">
        <v>51</v>
      </c>
      <c r="D5376" s="2" t="s">
        <f>=HYPERLINK("https://main.knesset.gov.il/APPS/legislation/main/bills/2199154", "הצעת חוק הביטוח הלאומי (תיקון - ביטול הפחתה של גמלת סיעוד למי שמעסיק עובד זר), התשפ""ג-2023")</f>
        <v>9710</v>
      </c>
      <c r="E5376" t="s">
        <v>9710</v>
      </c>
      <c r="F5376" t="s">
        <v>10966</v>
      </c>
      <c r="G5376" t="s">
        <v>14</v>
      </c>
      <c r="H5376">
             </c>
      <c r="I5376" t="s">
        <v>14</v>
      </c>
      <c r="J5376" t="s">
        <v>242</v>
      </c>
      <c r="K5376" t="s">
        <v>14</v>
      </c>
      <c r="L5376" t="s">
        <v>20</v>
      </c>
      <c r="M5376" t="s">
        <v>10947</v>
      </c>
      <c r="N5376" t="s">
        <v>14</v>
      </c>
    </row>
    <row r="5377" x14ac:dyDescent="0.25">
      <c r="A5377" t="n">
        <v>25</v>
      </c>
      <c r="B5377" t="s">
        <v>14</v>
      </c>
      <c r="C5377" t="s">
        <v>51</v>
      </c>
      <c r="D5377" s="2" t="s">
        <f>=HYPERLINK("https://main.knesset.gov.il/APPS/legislation/main/bills/2200742", "הצעת חוק הביטוח הלאומי (תיקון - גמלת אבל לעצמאים), התשפ""ג-2023")</f>
        <v>8287</v>
      </c>
      <c r="E5377" t="s">
        <v>8287</v>
      </c>
      <c r="F5377" t="s">
        <v>10967</v>
      </c>
      <c r="G5377" t="s">
        <v>14</v>
      </c>
      <c r="H5377">
             </c>
      <c r="I5377" t="s">
        <v>14</v>
      </c>
      <c r="J5377" t="s">
        <v>242</v>
      </c>
      <c r="K5377" t="s">
        <v>14</v>
      </c>
      <c r="L5377" t="s">
        <v>20</v>
      </c>
      <c r="M5377" t="s">
        <v>10947</v>
      </c>
      <c r="N5377" t="s">
        <v>14</v>
      </c>
    </row>
    <row r="5378" x14ac:dyDescent="0.25">
      <c r="A5378" t="n">
        <v>25</v>
      </c>
      <c r="B5378" t="s">
        <v>14</v>
      </c>
      <c r="C5378" t="s">
        <v>51</v>
      </c>
      <c r="D5378" s="2" t="s">
        <f>=HYPERLINK("https://main.knesset.gov.il/APPS/legislation/main/bills/2198966", "הצעת חוק לתיקון פקודת סדר הדין הפלילי (מעצר וחיפוש) (סמכות חיפוש בלא צו) (הוראת שעה), התשפ""ג-2023")</f>
        <v>10968</v>
      </c>
      <c r="E5378" t="s">
        <v>10968</v>
      </c>
      <c r="F5378" t="s">
        <v>10969</v>
      </c>
      <c r="G5378" t="s">
        <v>14</v>
      </c>
      <c r="H5378">
             </c>
      <c r="I5378" t="s">
        <v>14</v>
      </c>
      <c r="J5378" t="s">
        <v>242</v>
      </c>
      <c r="K5378" t="s">
        <v>14</v>
      </c>
      <c r="L5378" t="s">
        <v>20</v>
      </c>
      <c r="M5378" t="s">
        <v>10947</v>
      </c>
      <c r="N5378" t="s">
        <v>14</v>
      </c>
    </row>
    <row r="5379" x14ac:dyDescent="0.25">
      <c r="A5379" t="n">
        <v>25</v>
      </c>
      <c r="B5379" t="s">
        <v>14</v>
      </c>
      <c r="C5379" t="s">
        <v>51</v>
      </c>
      <c r="D5379" s="2" t="s">
        <f>=HYPERLINK("https://main.knesset.gov.il/APPS/legislation/main/bills/2198019", "הצעת חוק למניעת הטרדה מינית (תיקון - פגיעה בפרטיות בעלת אופי מיני), התשפ""ג-2023")</f>
        <v>10970</v>
      </c>
      <c r="E5379" t="s">
        <v>10970</v>
      </c>
      <c r="F5379" t="s">
        <v>10971</v>
      </c>
      <c r="G5379" t="s">
        <v>14</v>
      </c>
      <c r="H5379">
             </c>
      <c r="I5379" t="s">
        <v>14</v>
      </c>
      <c r="J5379" t="s">
        <v>242</v>
      </c>
      <c r="K5379" t="s">
        <v>14</v>
      </c>
      <c r="L5379" t="s">
        <v>20</v>
      </c>
      <c r="M5379" t="s">
        <v>10947</v>
      </c>
      <c r="N5379" t="s">
        <v>14</v>
      </c>
    </row>
    <row r="5380" x14ac:dyDescent="0.25">
      <c r="A5380" t="n">
        <v>25</v>
      </c>
      <c r="B5380" t="s">
        <v>14</v>
      </c>
      <c r="C5380" t="s">
        <v>51</v>
      </c>
      <c r="D5380" s="2" t="s">
        <f>=HYPERLINK("https://main.knesset.gov.il/APPS/legislation/main/bills/2198024", "הצעת חוק העונשין (תיקון - איסור תיעוד של חיילי צה""ל), התשפ""ג-2023")</f>
        <v>10972</v>
      </c>
      <c r="E5380" t="s">
        <v>10972</v>
      </c>
      <c r="F5380" t="s">
        <v>10973</v>
      </c>
      <c r="G5380" t="s">
        <v>14</v>
      </c>
      <c r="H5380">
             </c>
      <c r="I5380" t="s">
        <v>14</v>
      </c>
      <c r="J5380" t="s">
        <v>242</v>
      </c>
      <c r="K5380" t="s">
        <v>14</v>
      </c>
      <c r="L5380" t="s">
        <v>20</v>
      </c>
      <c r="M5380" t="s">
        <v>10947</v>
      </c>
      <c r="N5380" t="s">
        <v>14</v>
      </c>
    </row>
    <row r="5381" x14ac:dyDescent="0.25">
      <c r="A5381" t="n">
        <v>25</v>
      </c>
      <c r="B5381" t="s">
        <v>14</v>
      </c>
      <c r="C5381" t="s">
        <v>51</v>
      </c>
      <c r="D5381" s="2" t="s">
        <f>=HYPERLINK("https://main.knesset.gov.il/APPS/legislation/main/bills/2198175", "הצעת חוק שירות המדינה (מינויים) (תיקון - מינוי סגני מנהלים כלליים), התשפ""ג-2023")</f>
        <v>10974</v>
      </c>
      <c r="E5381" t="s">
        <v>10974</v>
      </c>
      <c r="F5381" t="s">
        <v>10975</v>
      </c>
      <c r="G5381" t="s">
        <v>14</v>
      </c>
      <c r="H5381">
             </c>
      <c r="I5381" t="s">
        <v>14</v>
      </c>
      <c r="J5381" t="s">
        <v>242</v>
      </c>
      <c r="K5381" t="s">
        <v>14</v>
      </c>
      <c r="L5381" t="s">
        <v>20</v>
      </c>
      <c r="M5381" t="s">
        <v>10947</v>
      </c>
      <c r="N5381" t="s">
        <v>14</v>
      </c>
    </row>
    <row r="5382" x14ac:dyDescent="0.25">
      <c r="A5382" t="n">
        <v>25</v>
      </c>
      <c r="B5382" t="s">
        <v>14</v>
      </c>
      <c r="C5382" t="s">
        <v>51</v>
      </c>
      <c r="D5382" s="2" t="s">
        <f>=HYPERLINK("https://main.knesset.gov.il/APPS/legislation/main/bills/2200340", "הצעת חוק ביטוח בריאות ממלכתי (תיקון - החזר דמי נסיעות עבור חולה סיעודי וחולה שנפטר), התשפ""ג-2023")</f>
        <v>9988</v>
      </c>
      <c r="E5382" t="s">
        <v>9988</v>
      </c>
      <c r="F5382" t="s">
        <v>10976</v>
      </c>
      <c r="G5382" t="s">
        <v>14</v>
      </c>
      <c r="H5382">
             </c>
      <c r="I5382" t="s">
        <v>14</v>
      </c>
      <c r="J5382" t="s">
        <v>242</v>
      </c>
      <c r="K5382" t="s">
        <v>14</v>
      </c>
      <c r="L5382" t="s">
        <v>20</v>
      </c>
      <c r="M5382" t="s">
        <v>10947</v>
      </c>
      <c r="N5382" t="s">
        <v>14</v>
      </c>
    </row>
    <row r="5383" x14ac:dyDescent="0.25">
      <c r="A5383" t="n">
        <v>25</v>
      </c>
      <c r="B5383" t="s">
        <v>14</v>
      </c>
      <c r="C5383" t="s">
        <v>51</v>
      </c>
      <c r="D5383" s="2" t="s">
        <f>=HYPERLINK("https://main.knesset.gov.il/APPS/legislation/main/bills/2200502", "הצעת חוק הבטחת הכנסה (תיקון - זכויות נשים ששהו במקלט לנשים מוכות), התשפ""ג-2023")</f>
        <v>9374</v>
      </c>
      <c r="E5383" t="s">
        <v>9374</v>
      </c>
      <c r="F5383" t="s">
        <v>10977</v>
      </c>
      <c r="G5383" t="s">
        <v>14</v>
      </c>
      <c r="H5383">
             </c>
      <c r="I5383" t="s">
        <v>14</v>
      </c>
      <c r="J5383" t="s">
        <v>202</v>
      </c>
      <c r="K5383" t="s">
        <v>14</v>
      </c>
      <c r="L5383" t="s">
        <v>20</v>
      </c>
      <c r="M5383" t="s">
        <v>10947</v>
      </c>
      <c r="N5383" t="s">
        <v>14</v>
      </c>
    </row>
    <row r="5384" x14ac:dyDescent="0.25">
      <c r="A5384" t="n">
        <v>25</v>
      </c>
      <c r="B5384" t="s">
        <v>14</v>
      </c>
      <c r="C5384" t="s">
        <v>51</v>
      </c>
      <c r="D5384" s="2" t="s">
        <f>=HYPERLINK("https://main.knesset.gov.il/APPS/legislation/main/bills/2200364", "הצעת חוק הלוואות לדיור (תיקון - מענק מיוחד לרכישת דירת מגורים מזכה באזור עדיפות לאומית), התשפ""ג-2023")</f>
        <v>10978</v>
      </c>
      <c r="E5384" t="s">
        <v>10978</v>
      </c>
      <c r="F5384" t="s">
        <v>10979</v>
      </c>
      <c r="G5384" t="s">
        <v>14</v>
      </c>
      <c r="H5384">
             </c>
      <c r="I5384" t="s">
        <v>14</v>
      </c>
      <c r="J5384" t="s">
        <v>242</v>
      </c>
      <c r="K5384" t="s">
        <v>14</v>
      </c>
      <c r="L5384" t="s">
        <v>20</v>
      </c>
      <c r="M5384" t="s">
        <v>10947</v>
      </c>
      <c r="N5384" t="s">
        <v>14</v>
      </c>
    </row>
    <row r="5385" x14ac:dyDescent="0.25">
      <c r="A5385" t="n">
        <v>25</v>
      </c>
      <c r="B5385" t="s">
        <v>14</v>
      </c>
      <c r="C5385" t="s">
        <v>51</v>
      </c>
      <c r="D5385" s="2" t="s">
        <f>=HYPERLINK("https://main.knesset.gov.il/APPS/legislation/main/bills/2199005", "הצעת חוק הביטוח הלאומי (תיקון - זכאות לדמי אבטלה מגיל 19), התשפ""ג-2023")</f>
        <v>10212</v>
      </c>
      <c r="E5385" t="s">
        <v>10212</v>
      </c>
      <c r="F5385" t="s">
        <v>10980</v>
      </c>
      <c r="G5385" t="s">
        <v>14</v>
      </c>
      <c r="H5385">
             </c>
      <c r="I5385" t="s">
        <v>14</v>
      </c>
      <c r="J5385" t="s">
        <v>242</v>
      </c>
      <c r="K5385" t="s">
        <v>14</v>
      </c>
      <c r="L5385" t="s">
        <v>20</v>
      </c>
      <c r="M5385" t="s">
        <v>10947</v>
      </c>
      <c r="N5385" t="s">
        <v>14</v>
      </c>
    </row>
    <row r="5386" x14ac:dyDescent="0.25">
      <c r="A5386" t="n">
        <v>25</v>
      </c>
      <c r="B5386" t="s">
        <v>14</v>
      </c>
      <c r="C5386" t="s">
        <v>51</v>
      </c>
      <c r="D5386" s="2" t="s">
        <f>=HYPERLINK("https://main.knesset.gov.il/APPS/legislation/main/bills/2200984", "הצעת חוק השמירה על המקומות הקדושים (תיקון - הבטחת פלורליזם דתי), התשפ""ג-2023")</f>
        <v>10981</v>
      </c>
      <c r="E5386" t="s">
        <v>10981</v>
      </c>
      <c r="F5386" t="s">
        <v>10982</v>
      </c>
      <c r="G5386" t="s">
        <v>14</v>
      </c>
      <c r="H5386">
             </c>
      <c r="I5386" t="s">
        <v>14</v>
      </c>
      <c r="J5386" t="s">
        <v>242</v>
      </c>
      <c r="K5386" t="s">
        <v>14</v>
      </c>
      <c r="L5386" t="s">
        <v>20</v>
      </c>
      <c r="M5386" t="s">
        <v>10947</v>
      </c>
      <c r="N5386" t="s">
        <v>14</v>
      </c>
    </row>
    <row r="5387" x14ac:dyDescent="0.25">
      <c r="A5387" t="n">
        <v>25</v>
      </c>
      <c r="B5387" t="s">
        <v>14</v>
      </c>
      <c r="C5387" t="s">
        <v>51</v>
      </c>
      <c r="D5387" s="2" t="s">
        <f>=HYPERLINK("https://main.knesset.gov.il/APPS/legislation/main/bills/2200906", "הצעת חוק שיקום שכונות דרום תל אביב (תמריצים לפיזור גיאוגרפי של מסתננים) (הוראת שעה), התשפ""ג-2023")</f>
        <v>10983</v>
      </c>
      <c r="E5387" t="s">
        <v>10983</v>
      </c>
      <c r="F5387" t="s">
        <v>10984</v>
      </c>
      <c r="G5387" t="s">
        <v>14</v>
      </c>
      <c r="H5387">
             </c>
      <c r="I5387" t="s">
        <v>14</v>
      </c>
      <c r="J5387" t="s">
        <v>242</v>
      </c>
      <c r="K5387" t="s">
        <v>14</v>
      </c>
      <c r="L5387" t="s">
        <v>20</v>
      </c>
      <c r="M5387" t="s">
        <v>10947</v>
      </c>
      <c r="N5387" t="s">
        <v>14</v>
      </c>
    </row>
    <row r="5388" x14ac:dyDescent="0.25">
      <c r="A5388" t="n">
        <v>25</v>
      </c>
      <c r="B5388" t="s">
        <v>14</v>
      </c>
      <c r="C5388" t="s">
        <v>51</v>
      </c>
      <c r="D5388" s="2" t="s">
        <f>=HYPERLINK("https://main.knesset.gov.il/APPS/legislation/main/bills/2199817", "הצעת חוק שירות הביטחון הכללי (תיקון - סיוע בטיפול בפשיעה פלילית חמורה), התשפ""ג-2023")</f>
        <v>9435</v>
      </c>
      <c r="E5388" t="s">
        <v>9435</v>
      </c>
      <c r="F5388" t="s">
        <v>10985</v>
      </c>
      <c r="G5388" t="s">
        <v>14</v>
      </c>
      <c r="H5388">
             </c>
      <c r="I5388" t="s">
        <v>14</v>
      </c>
      <c r="J5388" t="s">
        <v>242</v>
      </c>
      <c r="K5388" t="s">
        <v>14</v>
      </c>
      <c r="L5388" t="s">
        <v>20</v>
      </c>
      <c r="M5388" t="s">
        <v>10947</v>
      </c>
      <c r="N5388" t="s">
        <v>14</v>
      </c>
    </row>
    <row r="5389" x14ac:dyDescent="0.25">
      <c r="A5389" t="n">
        <v>25</v>
      </c>
      <c r="B5389" t="s">
        <v>14</v>
      </c>
      <c r="C5389" t="s">
        <v>51</v>
      </c>
      <c r="D5389" s="2" t="s">
        <f>=HYPERLINK("https://main.knesset.gov.il/APPS/legislation/main/bills/2198383", "הצעת חוק עידוד תרומות מזון (תיקון - הצלת מזון), התשפ""ג-2023")</f>
        <v>10525</v>
      </c>
      <c r="E5389" t="s">
        <v>10525</v>
      </c>
      <c r="F5389" t="s">
        <v>10986</v>
      </c>
      <c r="G5389" t="s">
        <v>14</v>
      </c>
      <c r="H5389">
             </c>
      <c r="I5389" t="s">
        <v>14</v>
      </c>
      <c r="J5389" t="s">
        <v>242</v>
      </c>
      <c r="K5389" t="s">
        <v>14</v>
      </c>
      <c r="L5389" t="s">
        <v>20</v>
      </c>
      <c r="M5389" t="s">
        <v>10947</v>
      </c>
      <c r="N5389" t="s">
        <v>14</v>
      </c>
    </row>
    <row r="5390" x14ac:dyDescent="0.25">
      <c r="A5390" t="n">
        <v>25</v>
      </c>
      <c r="B5390" t="s">
        <v>14</v>
      </c>
      <c r="C5390" t="s">
        <v>51</v>
      </c>
      <c r="D5390" s="2" t="s">
        <f>=HYPERLINK("https://main.knesset.gov.il/APPS/legislation/main/bills/2199405", "הצעת חוק הנחות בתעריפי מים וחשמל לבתי תפילה (תיקוני חקיקה) (הוראת שעה), התשפ""ג-2023")</f>
        <v>10987</v>
      </c>
      <c r="E5390" t="s">
        <v>10987</v>
      </c>
      <c r="F5390" t="s">
        <v>10988</v>
      </c>
      <c r="G5390" t="s">
        <v>14</v>
      </c>
      <c r="H5390">
             </c>
      <c r="I5390" t="s">
        <v>14</v>
      </c>
      <c r="J5390" t="s">
        <v>202</v>
      </c>
      <c r="K5390" t="s">
        <v>14</v>
      </c>
      <c r="L5390" t="s">
        <v>20</v>
      </c>
      <c r="M5390" t="s">
        <v>10947</v>
      </c>
      <c r="N5390" t="s">
        <v>14</v>
      </c>
    </row>
    <row r="5391" x14ac:dyDescent="0.25">
      <c r="A5391" t="n">
        <v>25</v>
      </c>
      <c r="B5391" t="s">
        <v>14</v>
      </c>
      <c r="C5391" t="s">
        <v>51</v>
      </c>
      <c r="D5391" s="2" t="s">
        <f>=HYPERLINK("https://main.knesset.gov.il/APPS/legislation/main/bills/2199991", "הצעת חוק התכנון והבנייה (תיקון מס' 117 - הוראת שעה) (תיקון - הארכת הוראת השעה), התשפ""ג-2023")</f>
        <v>10989</v>
      </c>
      <c r="E5391" t="s">
        <v>10989</v>
      </c>
      <c r="F5391" t="s">
        <v>10990</v>
      </c>
      <c r="G5391" t="s">
        <v>14</v>
      </c>
      <c r="H5391">
             </c>
      <c r="I5391" t="s">
        <v>14</v>
      </c>
      <c r="J5391" t="s">
        <v>242</v>
      </c>
      <c r="K5391" t="s">
        <v>14</v>
      </c>
      <c r="L5391" t="s">
        <v>20</v>
      </c>
      <c r="M5391" t="s">
        <v>10947</v>
      </c>
      <c r="N5391" t="s">
        <v>14</v>
      </c>
    </row>
    <row r="5392" x14ac:dyDescent="0.25">
      <c r="A5392" t="n">
        <v>25</v>
      </c>
      <c r="B5392" t="s">
        <v>14</v>
      </c>
      <c r="C5392" t="s">
        <v>51</v>
      </c>
      <c r="D5392" s="2" t="s">
        <f>=HYPERLINK("https://main.knesset.gov.il/APPS/legislation/main/bills/2200986", "הצעת חוק התכנון והבנייה (תיקון - חובת שידור והקלטת ישיבות, ניהול פרוטוקול ופרסומו), התשפ""ג-2023")</f>
        <v>10991</v>
      </c>
      <c r="E5392" t="s">
        <v>10991</v>
      </c>
      <c r="F5392" t="s">
        <v>10992</v>
      </c>
      <c r="G5392" t="s">
        <v>14</v>
      </c>
      <c r="H5392">
             </c>
      <c r="I5392" t="s">
        <v>14</v>
      </c>
      <c r="J5392" t="s">
        <v>242</v>
      </c>
      <c r="K5392" t="s">
        <v>14</v>
      </c>
      <c r="L5392" t="s">
        <v>20</v>
      </c>
      <c r="M5392" t="s">
        <v>10947</v>
      </c>
      <c r="N5392" t="s">
        <v>14</v>
      </c>
    </row>
    <row r="5393" x14ac:dyDescent="0.25">
      <c r="A5393" t="n">
        <v>25</v>
      </c>
      <c r="B5393" t="s">
        <v>14</v>
      </c>
      <c r="C5393" t="s">
        <v>51</v>
      </c>
      <c r="D5393" s="2" t="s">
        <f>=HYPERLINK("https://main.knesset.gov.il/APPS/legislation/main/bills/2200720", "הצעת חוק לתיקון פקודת מס הכנסה (ניכוי הוצאות בשל ארוחה עסקית לעצמאים), התשפ""ג-2023")</f>
        <v>10516</v>
      </c>
      <c r="E5393" t="s">
        <v>10516</v>
      </c>
      <c r="F5393" t="s">
        <v>10993</v>
      </c>
      <c r="G5393" t="s">
        <v>14</v>
      </c>
      <c r="H5393">
             </c>
      <c r="I5393" t="s">
        <v>14</v>
      </c>
      <c r="J5393" t="s">
        <v>242</v>
      </c>
      <c r="K5393" t="s">
        <v>14</v>
      </c>
      <c r="L5393" t="s">
        <v>20</v>
      </c>
      <c r="M5393" t="s">
        <v>10947</v>
      </c>
      <c r="N5393" t="s">
        <v>14</v>
      </c>
    </row>
    <row r="5394" x14ac:dyDescent="0.25">
      <c r="A5394" t="n">
        <v>25</v>
      </c>
      <c r="B5394" t="s">
        <v>14</v>
      </c>
      <c r="C5394" t="s">
        <v>51</v>
      </c>
      <c r="D5394" s="2" t="s">
        <f>=HYPERLINK("https://main.knesset.gov.il/APPS/legislation/main/bills/2200933", "הצעת חוק איסור לשון הרע (תיקון - השתייכות חברתית), התשפ""ג-2023")</f>
        <v>10994</v>
      </c>
      <c r="E5394" t="s">
        <v>10994</v>
      </c>
      <c r="F5394" t="s">
        <v>10995</v>
      </c>
      <c r="G5394" t="s">
        <v>14</v>
      </c>
      <c r="H5394">
             </c>
      <c r="I5394" t="s">
        <v>14</v>
      </c>
      <c r="J5394" t="s">
        <v>242</v>
      </c>
      <c r="K5394" t="s">
        <v>14</v>
      </c>
      <c r="L5394" t="s">
        <v>20</v>
      </c>
      <c r="M5394" t="s">
        <v>10947</v>
      </c>
      <c r="N5394" t="s">
        <v>14</v>
      </c>
    </row>
    <row r="5395" x14ac:dyDescent="0.25">
      <c r="A5395" t="n">
        <v>25</v>
      </c>
      <c r="B5395" t="s">
        <v>14</v>
      </c>
      <c r="C5395" t="s">
        <v>51</v>
      </c>
      <c r="D5395" s="2" t="s">
        <f>=HYPERLINK("https://main.knesset.gov.il/APPS/legislation/main/bills/2198612", "הצעת חוק העונשין (תיקון - עונש מינימום למצית נכס ציבורי) (הוראת שעה), התשפ""ג-2023")</f>
        <v>10558</v>
      </c>
      <c r="E5395" t="s">
        <v>10558</v>
      </c>
      <c r="F5395" t="s">
        <v>10996</v>
      </c>
      <c r="G5395" t="s">
        <v>14</v>
      </c>
      <c r="H5395">
             </c>
      <c r="I5395" t="s">
        <v>14</v>
      </c>
      <c r="J5395" t="s">
        <v>242</v>
      </c>
      <c r="K5395" t="s">
        <v>14</v>
      </c>
      <c r="L5395" t="s">
        <v>20</v>
      </c>
      <c r="M5395" t="s">
        <v>10947</v>
      </c>
      <c r="N5395" t="s">
        <v>14</v>
      </c>
    </row>
    <row r="5396" x14ac:dyDescent="0.25">
      <c r="A5396" t="n">
        <v>25</v>
      </c>
      <c r="B5396" t="s">
        <v>14</v>
      </c>
      <c r="C5396" t="s">
        <v>51</v>
      </c>
      <c r="D5396" s="2" t="s">
        <f>=HYPERLINK("https://main.knesset.gov.il/APPS/legislation/main/bills/2200816", "הצעת חוק העונשין (תיקון - תקיפת עורך דין כתקיפת עובד ציבור), התשפ""ג-2023")</f>
        <v>8811</v>
      </c>
      <c r="E5396" t="s">
        <v>8811</v>
      </c>
      <c r="F5396" t="s">
        <v>10997</v>
      </c>
      <c r="G5396" t="s">
        <v>14</v>
      </c>
      <c r="H5396">
             </c>
      <c r="I5396" t="s">
        <v>14</v>
      </c>
      <c r="J5396" t="s">
        <v>242</v>
      </c>
      <c r="K5396" t="s">
        <v>14</v>
      </c>
      <c r="L5396" t="s">
        <v>20</v>
      </c>
      <c r="M5396" t="s">
        <v>10947</v>
      </c>
      <c r="N5396" t="s">
        <v>14</v>
      </c>
    </row>
    <row r="5397" x14ac:dyDescent="0.25">
      <c r="A5397" t="n">
        <v>25</v>
      </c>
      <c r="B5397" t="s">
        <v>14</v>
      </c>
      <c r="C5397" t="s">
        <v>51</v>
      </c>
      <c r="D5397" s="2" t="s">
        <f>=HYPERLINK("https://main.knesset.gov.il/APPS/legislation/main/bills/2200976", "הצעת חוק הערבות (תיקון - ביטול החוק), התשפ""ג-2023")</f>
        <v>10998</v>
      </c>
      <c r="E5397" t="s">
        <v>10998</v>
      </c>
      <c r="F5397" t="s">
        <v>10999</v>
      </c>
      <c r="G5397" t="s">
        <v>14</v>
      </c>
      <c r="H5397">
             </c>
      <c r="I5397" t="s">
        <v>14</v>
      </c>
      <c r="J5397" t="s">
        <v>242</v>
      </c>
      <c r="K5397" t="s">
        <v>14</v>
      </c>
      <c r="L5397" t="s">
        <v>20</v>
      </c>
      <c r="M5397" t="s">
        <v>10947</v>
      </c>
      <c r="N5397" t="s">
        <v>14</v>
      </c>
    </row>
    <row r="5398" x14ac:dyDescent="0.25">
      <c r="A5398" t="n">
        <v>25</v>
      </c>
      <c r="B5398" t="s">
        <v>14</v>
      </c>
      <c r="C5398" t="s">
        <v>51</v>
      </c>
      <c r="D5398" s="2" t="s">
        <f>=HYPERLINK("https://main.knesset.gov.il/APPS/legislation/main/bills/2200255", "הצעת חוק סל הקליטה (תיקון - עדכון סל הקליטה), התשפ""ג-2023")</f>
        <v>11000</v>
      </c>
      <c r="E5398" t="s">
        <v>11000</v>
      </c>
      <c r="F5398" t="s">
        <v>11001</v>
      </c>
      <c r="G5398" t="s">
        <v>14</v>
      </c>
      <c r="H5398">
             </c>
      <c r="I5398" t="s">
        <v>14</v>
      </c>
      <c r="J5398" t="s">
        <v>242</v>
      </c>
      <c r="K5398" t="s">
        <v>14</v>
      </c>
      <c r="L5398" t="s">
        <v>20</v>
      </c>
      <c r="M5398" t="s">
        <v>10947</v>
      </c>
      <c r="N5398" t="s">
        <v>14</v>
      </c>
    </row>
    <row r="5399" x14ac:dyDescent="0.25">
      <c r="A5399" t="n">
        <v>25</v>
      </c>
      <c r="B5399" t="s">
        <v>14</v>
      </c>
      <c r="C5399" t="s">
        <v>51</v>
      </c>
      <c r="D5399" s="2" t="s">
        <f>=HYPERLINK("https://main.knesset.gov.il/APPS/legislation/main/bills/2200972", "הצעת חוק העונשין (תיקון - עבירות מין במשפחה), התשפ""ג-2023")</f>
        <v>11002</v>
      </c>
      <c r="E5399" t="s">
        <v>11002</v>
      </c>
      <c r="F5399" t="s">
        <v>11003</v>
      </c>
      <c r="G5399" t="s">
        <v>14</v>
      </c>
      <c r="H5399">
             </c>
      <c r="I5399" t="s">
        <v>14</v>
      </c>
      <c r="J5399" t="s">
        <v>242</v>
      </c>
      <c r="K5399" t="s">
        <v>14</v>
      </c>
      <c r="L5399" t="s">
        <v>20</v>
      </c>
      <c r="M5399" t="s">
        <v>10947</v>
      </c>
      <c r="N5399" t="s">
        <v>14</v>
      </c>
    </row>
    <row r="5400" x14ac:dyDescent="0.25">
      <c r="A5400" t="n">
        <v>25</v>
      </c>
      <c r="B5400" t="s">
        <v>14</v>
      </c>
      <c r="C5400" t="s">
        <v>51</v>
      </c>
      <c r="D5400" s="2" t="s">
        <f>=HYPERLINK("https://main.knesset.gov.il/APPS/legislation/main/bills/2200581", "הצעת חוק לתיקון פקודת מס הכנסה (שינוי מדרגות המס), התשפ""ג-2023")</f>
        <v>11004</v>
      </c>
      <c r="E5400" t="s">
        <v>11004</v>
      </c>
      <c r="F5400" t="s">
        <v>11005</v>
      </c>
      <c r="G5400" t="s">
        <v>14</v>
      </c>
      <c r="H5400">
             </c>
      <c r="I5400" t="s">
        <v>14</v>
      </c>
      <c r="J5400" t="s">
        <v>242</v>
      </c>
      <c r="K5400" t="s">
        <v>14</v>
      </c>
      <c r="L5400" t="s">
        <v>20</v>
      </c>
      <c r="M5400" t="s">
        <v>10947</v>
      </c>
      <c r="N5400" t="s">
        <v>14</v>
      </c>
    </row>
    <row r="5401" x14ac:dyDescent="0.25">
      <c r="A5401" t="n">
        <v>25</v>
      </c>
      <c r="B5401" t="s">
        <v>14</v>
      </c>
      <c r="C5401" t="s">
        <v>51</v>
      </c>
      <c r="D5401" s="2" t="s">
        <f>=HYPERLINK("https://main.knesset.gov.il/APPS/legislation/main/bills/2200463", "הצעת חוק יסודות התקציב (תיקון - אישור הוועדה המשותפת לתקציב הביטחון להחלטות הממשלה להצטיידות או התעצמות), התשפ""ג-2023")</f>
        <v>11006</v>
      </c>
      <c r="E5401" t="s">
        <v>11006</v>
      </c>
      <c r="F5401" t="s">
        <v>11007</v>
      </c>
      <c r="G5401" t="s">
        <v>14</v>
      </c>
      <c r="H5401">
             </c>
      <c r="I5401" t="s">
        <v>14</v>
      </c>
      <c r="J5401" t="s">
        <v>242</v>
      </c>
      <c r="K5401" t="s">
        <v>14</v>
      </c>
      <c r="L5401" t="s">
        <v>20</v>
      </c>
      <c r="M5401" t="s">
        <v>10947</v>
      </c>
      <c r="N5401" t="s">
        <v>14</v>
      </c>
    </row>
    <row r="5402" x14ac:dyDescent="0.25">
      <c r="A5402" t="n">
        <v>25</v>
      </c>
      <c r="B5402" t="s">
        <v>14</v>
      </c>
      <c r="C5402" t="s">
        <v>51</v>
      </c>
      <c r="D5402" s="2" t="s">
        <f>=HYPERLINK("https://main.knesset.gov.il/APPS/legislation/main/bills/2200459", "הצעת חוק תשלומים לחיילים בשירות סדיר (הגנה על תשלומים) (תיקון - הגנה על תשלומים לעולה חדש), התשפ""ג-2023")</f>
        <v>10199</v>
      </c>
      <c r="E5402" t="s">
        <v>10199</v>
      </c>
      <c r="F5402" t="s">
        <v>11008</v>
      </c>
      <c r="G5402" t="s">
        <v>14</v>
      </c>
      <c r="H5402">
             </c>
      <c r="I5402" t="s">
        <v>14</v>
      </c>
      <c r="J5402" t="s">
        <v>242</v>
      </c>
      <c r="K5402" t="s">
        <v>14</v>
      </c>
      <c r="L5402" t="s">
        <v>20</v>
      </c>
      <c r="M5402" t="s">
        <v>10947</v>
      </c>
      <c r="N5402" t="s">
        <v>14</v>
      </c>
    </row>
    <row r="5403" x14ac:dyDescent="0.25">
      <c r="A5403" t="n">
        <v>25</v>
      </c>
      <c r="B5403" t="s">
        <v>14</v>
      </c>
      <c r="C5403" t="s">
        <v>51</v>
      </c>
      <c r="D5403" s="2" t="s">
        <f>=HYPERLINK("https://main.knesset.gov.il/APPS/legislation/main/bills/2196544", "הצעת חוק איסור אלימות בספורט (תיקון - מניעת הרחקה גורפת מאירועי ספורט), התשפ""ג-2023")</f>
        <v>8531</v>
      </c>
      <c r="E5403" t="s">
        <v>8531</v>
      </c>
      <c r="F5403" t="s">
        <v>11009</v>
      </c>
      <c r="G5403" t="s">
        <v>14</v>
      </c>
      <c r="H5403">
             </c>
      <c r="I5403" t="s">
        <v>14</v>
      </c>
      <c r="J5403" t="s">
        <v>242</v>
      </c>
      <c r="K5403" t="s">
        <v>14</v>
      </c>
      <c r="L5403" t="s">
        <v>20</v>
      </c>
      <c r="M5403" t="s">
        <v>10947</v>
      </c>
      <c r="N5403" t="s">
        <v>14</v>
      </c>
    </row>
    <row r="5404" x14ac:dyDescent="0.25">
      <c r="A5404" t="n">
        <v>25</v>
      </c>
      <c r="B5404" t="s">
        <v>14</v>
      </c>
      <c r="C5404" t="s">
        <v>51</v>
      </c>
      <c r="D5404" s="2" t="s">
        <f>=HYPERLINK("https://main.knesset.gov.il/APPS/legislation/main/bills/2198643", "הצעת חוק הסדרים במשק המדינה (תיקוני חקיקה להשגת יעדי התקציב) (תיקון - זכאות להנחה בארנונה בגין ילד נכה נוסף), התשפ""ג-2023")</f>
        <v>11010</v>
      </c>
      <c r="E5404" t="s">
        <v>11010</v>
      </c>
      <c r="F5404" t="s">
        <v>11011</v>
      </c>
      <c r="G5404" t="s">
        <v>14</v>
      </c>
      <c r="H5404">
             </c>
      <c r="I5404" t="s">
        <v>14</v>
      </c>
      <c r="J5404" t="s">
        <v>242</v>
      </c>
      <c r="K5404" t="s">
        <v>14</v>
      </c>
      <c r="L5404" t="s">
        <v>20</v>
      </c>
      <c r="M5404" t="s">
        <v>10947</v>
      </c>
      <c r="N5404" t="s">
        <v>14</v>
      </c>
    </row>
    <row r="5405" x14ac:dyDescent="0.25">
      <c r="A5405" t="n">
        <v>25</v>
      </c>
      <c r="B5405" t="s">
        <v>14</v>
      </c>
      <c r="C5405" t="s">
        <v>51</v>
      </c>
      <c r="D5405" s="2" t="s">
        <f>=HYPERLINK("https://main.knesset.gov.il/APPS/legislation/main/bills/2196517", "הצעת חוק הספורט (תיקון - צירוף נציג אוהדים להנהלת קבוצת כדורגל), התשפ""ג-2023")</f>
        <v>11012</v>
      </c>
      <c r="E5405" t="s">
        <v>11012</v>
      </c>
      <c r="F5405" t="s">
        <v>11013</v>
      </c>
      <c r="G5405" t="s">
        <v>14</v>
      </c>
      <c r="H5405">
             </c>
      <c r="I5405" t="s">
        <v>14</v>
      </c>
      <c r="J5405" t="s">
        <v>242</v>
      </c>
      <c r="K5405" t="s">
        <v>14</v>
      </c>
      <c r="L5405" t="s">
        <v>20</v>
      </c>
      <c r="M5405" t="s">
        <v>10947</v>
      </c>
      <c r="N5405" t="s">
        <v>14</v>
      </c>
    </row>
    <row r="5406" x14ac:dyDescent="0.25">
      <c r="A5406" t="n">
        <v>25</v>
      </c>
      <c r="B5406" t="s">
        <v>14</v>
      </c>
      <c r="C5406" t="s">
        <v>51</v>
      </c>
      <c r="D5406" s="2" t="s">
        <f>=HYPERLINK("https://main.knesset.gov.il/APPS/legislation/main/bills/2200983", "הצעת חוק הרשויות המקומיות (יועצת לענייני מעמד האשה) (תיקון - תקציב ייעודי וייחוד הכהונה), התשפ""ג-2023")</f>
        <v>11014</v>
      </c>
      <c r="E5406" t="s">
        <v>11014</v>
      </c>
      <c r="F5406" t="s">
        <v>11015</v>
      </c>
      <c r="G5406" t="s">
        <v>14</v>
      </c>
      <c r="H5406">
             </c>
      <c r="I5406" t="s">
        <v>14</v>
      </c>
      <c r="J5406" t="s">
        <v>242</v>
      </c>
      <c r="K5406" t="s">
        <v>14</v>
      </c>
      <c r="L5406" t="s">
        <v>20</v>
      </c>
      <c r="M5406" t="s">
        <v>10947</v>
      </c>
      <c r="N5406" t="s">
        <v>14</v>
      </c>
    </row>
    <row r="5407" x14ac:dyDescent="0.25">
      <c r="A5407" t="n">
        <v>25</v>
      </c>
      <c r="B5407" t="s">
        <v>14</v>
      </c>
      <c r="C5407" t="s">
        <v>51</v>
      </c>
      <c r="D5407" s="2" t="s">
        <f>=HYPERLINK("https://main.knesset.gov.il/APPS/legislation/main/bills/2199387", "הצעת חוק התחרות הכלכלית (תיקון - איסור פגיעה ביבוא מקביל או ביבוא אישי) (הוראת שעה), התשפ""ג-2023")</f>
        <v>10810</v>
      </c>
      <c r="E5407" t="s">
        <v>10810</v>
      </c>
      <c r="F5407" t="s">
        <v>11016</v>
      </c>
      <c r="G5407" t="s">
        <v>14</v>
      </c>
      <c r="H5407">
             </c>
      <c r="I5407" t="s">
        <v>14</v>
      </c>
      <c r="J5407" t="s">
        <v>242</v>
      </c>
      <c r="K5407" t="s">
        <v>14</v>
      </c>
      <c r="L5407" t="s">
        <v>20</v>
      </c>
      <c r="M5407" t="s">
        <v>10947</v>
      </c>
      <c r="N5407" t="s">
        <v>14</v>
      </c>
    </row>
    <row r="5408" x14ac:dyDescent="0.25">
      <c r="A5408" t="n">
        <v>25</v>
      </c>
      <c r="B5408" t="s">
        <v>14</v>
      </c>
      <c r="C5408" t="s">
        <v>51</v>
      </c>
      <c r="D5408" s="2" t="s">
        <f>=HYPERLINK("https://main.knesset.gov.il/APPS/legislation/main/bills/2200016", "הצעת חוק הביטוח הלאומי (תיקון - ביטול מעמד עקרת בית), התשפ""ג-2023")</f>
        <v>8223</v>
      </c>
      <c r="E5408" t="s">
        <v>8223</v>
      </c>
      <c r="F5408" t="s">
        <v>11017</v>
      </c>
      <c r="G5408" t="s">
        <v>14</v>
      </c>
      <c r="H5408">
             </c>
      <c r="I5408" t="s">
        <v>14</v>
      </c>
      <c r="J5408" t="s">
        <v>242</v>
      </c>
      <c r="K5408" t="s">
        <v>14</v>
      </c>
      <c r="L5408" t="s">
        <v>20</v>
      </c>
      <c r="M5408" t="s">
        <v>10947</v>
      </c>
      <c r="N5408" t="s">
        <v>14</v>
      </c>
    </row>
    <row r="5409" x14ac:dyDescent="0.25">
      <c r="A5409" t="n">
        <v>25</v>
      </c>
      <c r="B5409" t="s">
        <v>14</v>
      </c>
      <c r="C5409" t="s">
        <v>51</v>
      </c>
      <c r="D5409" s="2" t="s">
        <f>=HYPERLINK("https://main.knesset.gov.il/APPS/legislation/main/bills/2200910", "הצעת חוק הסדרת מעמדם של פליטים ומבקשי מקלט, התשפ""ג-2023")</f>
        <v>11018</v>
      </c>
      <c r="E5409" t="s">
        <v>11018</v>
      </c>
      <c r="F5409" t="s">
        <v>11019</v>
      </c>
      <c r="G5409" t="s">
        <v>14</v>
      </c>
      <c r="H5409">
             </c>
      <c r="I5409" t="s">
        <v>14</v>
      </c>
      <c r="J5409" t="s">
        <v>242</v>
      </c>
      <c r="K5409" t="s">
        <v>14</v>
      </c>
      <c r="L5409" t="s">
        <v>20</v>
      </c>
      <c r="M5409" t="s">
        <v>10947</v>
      </c>
      <c r="N5409" t="s">
        <v>14</v>
      </c>
    </row>
    <row r="5410" x14ac:dyDescent="0.25">
      <c r="A5410" t="n">
        <v>25</v>
      </c>
      <c r="B5410" t="s">
        <v>14</v>
      </c>
      <c r="C5410" t="s">
        <v>51</v>
      </c>
      <c r="D5410" s="2" t="s">
        <f>=HYPERLINK("https://main.knesset.gov.il/APPS/legislation/main/bills/2198945", "הצעת חוק-יסוד: הכנסת (תיקון - הגבלה על התפזרות הכנסת)")</f>
        <v>11020</v>
      </c>
      <c r="E5410" t="s">
        <v>11020</v>
      </c>
      <c r="F5410" t="s">
        <v>11021</v>
      </c>
      <c r="G5410" t="s">
        <v>14</v>
      </c>
      <c r="H5410">
             </c>
      <c r="I5410" t="s">
        <v>14</v>
      </c>
      <c r="J5410" t="s">
        <v>242</v>
      </c>
      <c r="K5410" t="s">
        <v>14</v>
      </c>
      <c r="L5410" t="s">
        <v>20</v>
      </c>
      <c r="M5410" t="s">
        <v>10947</v>
      </c>
      <c r="N5410" t="s">
        <v>14</v>
      </c>
    </row>
    <row r="5411" x14ac:dyDescent="0.25">
      <c r="A5411" t="n">
        <v>25</v>
      </c>
      <c r="B5411" t="s">
        <v>14</v>
      </c>
      <c r="C5411" t="s">
        <v>51</v>
      </c>
      <c r="D5411" s="2" t="s">
        <f>=HYPERLINK("https://main.knesset.gov.il/APPS/legislation/main/bills/2200766", "הצעת חוק איות שמות רחובות, דרכים ומקומות ציבוריים (תיקוני חקיקה), התשפ""ג-2023")</f>
        <v>11022</v>
      </c>
      <c r="E5411" t="s">
        <v>11022</v>
      </c>
      <c r="F5411" t="s">
        <v>11023</v>
      </c>
      <c r="G5411" t="s">
        <v>14</v>
      </c>
      <c r="H5411">
             </c>
      <c r="I5411" t="s">
        <v>14</v>
      </c>
      <c r="J5411" t="s">
        <v>242</v>
      </c>
      <c r="K5411" t="s">
        <v>14</v>
      </c>
      <c r="L5411" t="s">
        <v>20</v>
      </c>
      <c r="M5411" t="s">
        <v>10947</v>
      </c>
      <c r="N5411" t="s">
        <v>14</v>
      </c>
    </row>
    <row r="5412" x14ac:dyDescent="0.25">
      <c r="A5412" t="n">
        <v>25</v>
      </c>
      <c r="B5412" t="s">
        <v>14</v>
      </c>
      <c r="C5412" t="s">
        <v>51</v>
      </c>
      <c r="D5412" s="2" t="s">
        <f>=HYPERLINK("https://main.knesset.gov.il/APPS/legislation/main/bills/2200847", "הצעת חוק אבטחה במוסדות חינוך, התשפ""ג-2023")</f>
        <v>10658</v>
      </c>
      <c r="E5412" t="s">
        <v>10658</v>
      </c>
      <c r="F5412" t="s">
        <v>11024</v>
      </c>
      <c r="G5412" t="s">
        <v>14</v>
      </c>
      <c r="H5412">
             </c>
      <c r="I5412" t="s">
        <v>14</v>
      </c>
      <c r="J5412" t="s">
        <v>242</v>
      </c>
      <c r="K5412" t="s">
        <v>14</v>
      </c>
      <c r="L5412" t="s">
        <v>20</v>
      </c>
      <c r="M5412" t="s">
        <v>10947</v>
      </c>
      <c r="N5412" t="s">
        <v>14</v>
      </c>
    </row>
    <row r="5413" x14ac:dyDescent="0.25">
      <c r="A5413" t="n">
        <v>25</v>
      </c>
      <c r="B5413" t="s">
        <v>14</v>
      </c>
      <c r="C5413" t="s">
        <v>51</v>
      </c>
      <c r="D5413" s="2" t="s">
        <f>=HYPERLINK("https://main.knesset.gov.il/APPS/legislation/main/bills/2200988", "הצעת חוק זכויות הסטודנט (תיקון - פעילות ציבורית), התשפ""ג-2023")</f>
        <v>9900</v>
      </c>
      <c r="E5413" t="s">
        <v>9900</v>
      </c>
      <c r="F5413" t="s">
        <v>11025</v>
      </c>
      <c r="G5413" t="s">
        <v>14</v>
      </c>
      <c r="H5413">
             </c>
      <c r="I5413" t="s">
        <v>14</v>
      </c>
      <c r="J5413" t="s">
        <v>242</v>
      </c>
      <c r="K5413" t="s">
        <v>14</v>
      </c>
      <c r="L5413" t="s">
        <v>20</v>
      </c>
      <c r="M5413" t="s">
        <v>10947</v>
      </c>
      <c r="N5413" t="s">
        <v>14</v>
      </c>
    </row>
    <row r="5414" x14ac:dyDescent="0.25">
      <c r="A5414" t="n">
        <v>25</v>
      </c>
      <c r="B5414" t="s">
        <v>14</v>
      </c>
      <c r="C5414" t="s">
        <v>51</v>
      </c>
      <c r="D5414" s="2" t="s">
        <f>=HYPERLINK("https://main.knesset.gov.il/APPS/legislation/main/bills/2200987", "הצעת חוק התרבות והאומנות (תיקון - הקצאת תקציב שנתי לתרבות ולאומנות), התשפ""ג-2023")</f>
        <v>11026</v>
      </c>
      <c r="E5414" t="s">
        <v>11026</v>
      </c>
      <c r="F5414" t="s">
        <v>11027</v>
      </c>
      <c r="G5414" t="s">
        <v>14</v>
      </c>
      <c r="H5414">
             </c>
      <c r="I5414" t="s">
        <v>14</v>
      </c>
      <c r="J5414" t="s">
        <v>242</v>
      </c>
      <c r="K5414" t="s">
        <v>14</v>
      </c>
      <c r="L5414" t="s">
        <v>20</v>
      </c>
      <c r="M5414" t="s">
        <v>10947</v>
      </c>
      <c r="N5414" t="s">
        <v>14</v>
      </c>
    </row>
    <row r="5415" x14ac:dyDescent="0.25">
      <c r="A5415" t="n">
        <v>25</v>
      </c>
      <c r="B5415" t="s">
        <v>14</v>
      </c>
      <c r="C5415" t="s">
        <v>51</v>
      </c>
      <c r="D5415" s="2" t="s">
        <f>=HYPERLINK("https://main.knesset.gov.il/APPS/legislation/main/bills/2200982", "הצעת חוק הרבנות הראשית לישראל (תיקון - ביטול החוק), התשפ""ג-2023")</f>
        <v>11028</v>
      </c>
      <c r="E5415" t="s">
        <v>11028</v>
      </c>
      <c r="F5415" t="s">
        <v>11029</v>
      </c>
      <c r="G5415" t="s">
        <v>14</v>
      </c>
      <c r="H5415">
             </c>
      <c r="I5415" t="s">
        <v>14</v>
      </c>
      <c r="J5415" t="s">
        <v>242</v>
      </c>
      <c r="K5415" t="s">
        <v>14</v>
      </c>
      <c r="L5415" t="s">
        <v>20</v>
      </c>
      <c r="M5415" t="s">
        <v>10947</v>
      </c>
      <c r="N5415" t="s">
        <v>14</v>
      </c>
    </row>
    <row r="5416" x14ac:dyDescent="0.25">
      <c r="A5416" t="n">
        <v>25</v>
      </c>
      <c r="B5416" t="s">
        <v>14</v>
      </c>
      <c r="C5416" t="s">
        <v>51</v>
      </c>
      <c r="D5416" s="2" t="s">
        <f>=HYPERLINK("https://main.knesset.gov.il/APPS/legislation/main/bills/2200974", "הצעת חוק העסקת עובדי הוראה, התשפ""ג-2023")</f>
        <v>11030</v>
      </c>
      <c r="E5416" t="s">
        <v>11030</v>
      </c>
      <c r="F5416" t="s">
        <v>11031</v>
      </c>
      <c r="G5416" t="s">
        <v>14</v>
      </c>
      <c r="H5416">
             </c>
      <c r="I5416" t="s">
        <v>14</v>
      </c>
      <c r="J5416" t="s">
        <v>242</v>
      </c>
      <c r="K5416" t="s">
        <v>14</v>
      </c>
      <c r="L5416" t="s">
        <v>20</v>
      </c>
      <c r="M5416" t="s">
        <v>10947</v>
      </c>
      <c r="N5416" t="s">
        <v>14</v>
      </c>
    </row>
    <row r="5417" x14ac:dyDescent="0.25">
      <c r="A5417" t="n">
        <v>25</v>
      </c>
      <c r="B5417" t="s">
        <v>14</v>
      </c>
      <c r="C5417" t="s">
        <v>51</v>
      </c>
      <c r="D5417" s="2" t="s">
        <f>=HYPERLINK("https://main.knesset.gov.il/APPS/legislation/main/bills/2200903", "הצעת חוק ברל כצנלסון (ציון זכרו ופועלו), התשפ""ג-2023")</f>
        <v>11032</v>
      </c>
      <c r="E5417" t="s">
        <v>11032</v>
      </c>
      <c r="F5417" t="s">
        <v>11033</v>
      </c>
      <c r="G5417" t="s">
        <v>14</v>
      </c>
      <c r="H5417">
             </c>
      <c r="I5417" t="s">
        <v>14</v>
      </c>
      <c r="J5417" t="s">
        <v>242</v>
      </c>
      <c r="K5417" t="s">
        <v>14</v>
      </c>
      <c r="L5417" t="s">
        <v>20</v>
      </c>
      <c r="M5417" t="s">
        <v>10947</v>
      </c>
      <c r="N5417" t="s">
        <v>14</v>
      </c>
    </row>
    <row r="5418" x14ac:dyDescent="0.25">
      <c r="A5418" t="n">
        <v>25</v>
      </c>
      <c r="B5418" t="s">
        <v>14</v>
      </c>
      <c r="C5418" t="s">
        <v>51</v>
      </c>
      <c r="D5418" s="2" t="s">
        <f>=HYPERLINK("https://main.knesset.gov.il/APPS/legislation/main/bills/2198636", "הצעת חוק חסינות חיילי צה""ל בארועים מבצעיים, התשפ""ג-2023")</f>
        <v>11034</v>
      </c>
      <c r="E5418" t="s">
        <v>11034</v>
      </c>
      <c r="F5418" t="s">
        <v>11035</v>
      </c>
      <c r="G5418" t="s">
        <v>14</v>
      </c>
      <c r="H5418">
             </c>
      <c r="I5418" t="s">
        <v>14</v>
      </c>
      <c r="J5418" t="s">
        <v>242</v>
      </c>
      <c r="K5418" t="s">
        <v>14</v>
      </c>
      <c r="L5418" t="s">
        <v>20</v>
      </c>
      <c r="M5418" t="s">
        <v>10947</v>
      </c>
      <c r="N5418" t="s">
        <v>14</v>
      </c>
    </row>
    <row r="5419" x14ac:dyDescent="0.25">
      <c r="A5419" t="n">
        <v>25</v>
      </c>
      <c r="B5419" t="s">
        <v>14</v>
      </c>
      <c r="C5419" t="s">
        <v>51</v>
      </c>
      <c r="D5419" s="2" t="s">
        <f>=HYPERLINK("https://main.knesset.gov.il/APPS/legislation/main/bills/2200930", "הצעת חוק לתיקון פקודת התעבורה (מרכז שירות ארצי לעניין כרטיס רב-קו), התשפ""ג-2023")</f>
        <v>11036</v>
      </c>
      <c r="E5419" t="s">
        <v>11036</v>
      </c>
      <c r="F5419" t="s">
        <v>11037</v>
      </c>
      <c r="G5419" t="s">
        <v>14</v>
      </c>
      <c r="H5419">
             </c>
      <c r="I5419" t="s">
        <v>14</v>
      </c>
      <c r="J5419" t="s">
        <v>242</v>
      </c>
      <c r="K5419" t="s">
        <v>14</v>
      </c>
      <c r="L5419" t="s">
        <v>20</v>
      </c>
      <c r="M5419" t="s">
        <v>10947</v>
      </c>
      <c r="N5419" t="s">
        <v>14</v>
      </c>
    </row>
    <row r="5420" x14ac:dyDescent="0.25">
      <c r="A5420" t="n">
        <v>25</v>
      </c>
      <c r="B5420" t="s">
        <v>14</v>
      </c>
      <c r="C5420" t="s">
        <v>51</v>
      </c>
      <c r="D5420" s="2" t="s">
        <f>=HYPERLINK("https://main.knesset.gov.il/APPS/legislation/main/bills/2200168", "הצעת חוק הביטוח הלאומי (תיקון - הוראות לעניין עקרת בית), התשפ""ג-2023")</f>
        <v>10281</v>
      </c>
      <c r="E5420" t="s">
        <v>10281</v>
      </c>
      <c r="F5420" t="s">
        <v>11038</v>
      </c>
      <c r="G5420" t="s">
        <v>14</v>
      </c>
      <c r="H5420">
             </c>
      <c r="I5420" t="s">
        <v>14</v>
      </c>
      <c r="J5420" t="s">
        <v>242</v>
      </c>
      <c r="K5420" t="s">
        <v>14</v>
      </c>
      <c r="L5420" t="s">
        <v>20</v>
      </c>
      <c r="M5420" t="s">
        <v>10947</v>
      </c>
      <c r="N5420" t="s">
        <v>14</v>
      </c>
    </row>
    <row r="5421" x14ac:dyDescent="0.25">
      <c r="A5421" t="n">
        <v>25</v>
      </c>
      <c r="B5421" t="s">
        <v>14</v>
      </c>
      <c r="C5421" t="s">
        <v>51</v>
      </c>
      <c r="D5421" s="2" t="s">
        <f>=HYPERLINK("https://main.knesset.gov.il/APPS/legislation/main/bills/2200758", "הצעת חוק הבנקאות (שירות ללקוח) (תיקון - מסירת מידע על עמלות וריביות), התשפ""ג-2023")</f>
        <v>9740</v>
      </c>
      <c r="E5421" t="s">
        <v>9740</v>
      </c>
      <c r="F5421" t="s">
        <v>11039</v>
      </c>
      <c r="G5421" t="s">
        <v>14</v>
      </c>
      <c r="H5421">
             </c>
      <c r="I5421" t="s">
        <v>14</v>
      </c>
      <c r="J5421" t="s">
        <v>242</v>
      </c>
      <c r="K5421" t="s">
        <v>14</v>
      </c>
      <c r="L5421" t="s">
        <v>20</v>
      </c>
      <c r="M5421" t="s">
        <v>10947</v>
      </c>
      <c r="N5421" t="s">
        <v>14</v>
      </c>
    </row>
    <row r="5422" x14ac:dyDescent="0.25">
      <c r="A5422" t="n">
        <v>25</v>
      </c>
      <c r="B5422" t="s">
        <v>14</v>
      </c>
      <c r="C5422" t="s">
        <v>51</v>
      </c>
      <c r="D5422" s="2" t="s">
        <f>=HYPERLINK("https://main.knesset.gov.il/APPS/legislation/main/bills/2200170", "הצעת חוק הביטוח הלאומי (תיקון - עקר בית), התשפ""ג-2023")</f>
        <v>11040</v>
      </c>
      <c r="E5422" t="s">
        <v>11040</v>
      </c>
      <c r="F5422" t="s">
        <v>11041</v>
      </c>
      <c r="G5422" t="s">
        <v>14</v>
      </c>
      <c r="H5422">
             </c>
      <c r="I5422" t="s">
        <v>14</v>
      </c>
      <c r="J5422" t="s">
        <v>242</v>
      </c>
      <c r="K5422" t="s">
        <v>14</v>
      </c>
      <c r="L5422" t="s">
        <v>20</v>
      </c>
      <c r="M5422" t="s">
        <v>10947</v>
      </c>
      <c r="N5422" t="s">
        <v>14</v>
      </c>
    </row>
    <row r="5423" x14ac:dyDescent="0.25">
      <c r="A5423" t="n">
        <v>25</v>
      </c>
      <c r="B5423" t="s">
        <v>14</v>
      </c>
      <c r="C5423" t="s">
        <v>51</v>
      </c>
      <c r="D5423" s="2" t="s">
        <f>=HYPERLINK("https://main.knesset.gov.il/APPS/legislation/main/bills/2200837", "הצעת חוק לתיקון פקודת התעבורה (קביעת קנס בגין גביית יתר של שכר הסעה במונית), התשפ""ג-2023")</f>
        <v>11042</v>
      </c>
      <c r="E5423" t="s">
        <v>11042</v>
      </c>
      <c r="F5423" t="s">
        <v>11043</v>
      </c>
      <c r="G5423" t="s">
        <v>14</v>
      </c>
      <c r="H5423">
             </c>
      <c r="I5423" t="s">
        <v>14</v>
      </c>
      <c r="J5423" t="s">
        <v>242</v>
      </c>
      <c r="K5423" t="s">
        <v>14</v>
      </c>
      <c r="L5423" t="s">
        <v>20</v>
      </c>
      <c r="M5423" t="s">
        <v>10947</v>
      </c>
      <c r="N5423" t="s">
        <v>14</v>
      </c>
    </row>
    <row r="5424" x14ac:dyDescent="0.25">
      <c r="A5424" t="n">
        <v>25</v>
      </c>
      <c r="B5424" t="s">
        <v>14</v>
      </c>
      <c r="C5424" t="s">
        <v>51</v>
      </c>
      <c r="D5424" s="2" t="s">
        <f>=HYPERLINK("https://main.knesset.gov.il/APPS/legislation/main/bills/2200298", "הצעת חוק ביטוח בריאות ממלכתי (תיקון - החזר עבור פינוי באמבולנס), התשפ""ג-2023")</f>
        <v>9796</v>
      </c>
      <c r="E5424" t="s">
        <v>9796</v>
      </c>
      <c r="F5424" t="s">
        <v>11044</v>
      </c>
      <c r="G5424" t="s">
        <v>14</v>
      </c>
      <c r="H5424">
             </c>
      <c r="I5424" t="s">
        <v>14</v>
      </c>
      <c r="J5424" t="s">
        <v>242</v>
      </c>
      <c r="K5424" t="s">
        <v>14</v>
      </c>
      <c r="L5424" t="s">
        <v>20</v>
      </c>
      <c r="M5424" t="s">
        <v>10947</v>
      </c>
      <c r="N5424" t="s">
        <v>14</v>
      </c>
    </row>
    <row r="5425" x14ac:dyDescent="0.25">
      <c r="A5425" t="n">
        <v>25</v>
      </c>
      <c r="B5425" t="s">
        <v>14</v>
      </c>
      <c r="C5425" t="s">
        <v>51</v>
      </c>
      <c r="D5425" s="2" t="s">
        <f>=HYPERLINK("https://main.knesset.gov.il/APPS/legislation/main/bills/2197022", "הצעת חוק הבנקאות (שירות ללקוח) (תיקון - חובת הצבת מכשיר בנק ממוכן), התשפ""ג-2023")</f>
        <v>9735</v>
      </c>
      <c r="E5425" t="s">
        <v>9735</v>
      </c>
      <c r="F5425" t="s">
        <v>11045</v>
      </c>
      <c r="G5425" t="s">
        <v>14</v>
      </c>
      <c r="H5425">
             </c>
      <c r="I5425" t="s">
        <v>14</v>
      </c>
      <c r="J5425" t="s">
        <v>242</v>
      </c>
      <c r="K5425" t="s">
        <v>14</v>
      </c>
      <c r="L5425" t="s">
        <v>20</v>
      </c>
      <c r="M5425" t="s">
        <v>10947</v>
      </c>
      <c r="N5425" t="s">
        <v>14</v>
      </c>
    </row>
    <row r="5426" x14ac:dyDescent="0.25">
      <c r="A5426" t="n">
        <v>25</v>
      </c>
      <c r="B5426" t="s">
        <v>14</v>
      </c>
      <c r="C5426" t="s">
        <v>51</v>
      </c>
      <c r="D5426" s="2" t="s">
        <f>=HYPERLINK("https://main.knesset.gov.il/APPS/legislation/main/bills/2199354", "הצעת חוק שירותי הדת היהודיים (תיקון - סכום ההשתתפות בהוצאות התקציב של מועצה דתית), התשפ""ג-2023")</f>
        <v>10480</v>
      </c>
      <c r="E5426" t="s">
        <v>10480</v>
      </c>
      <c r="F5426" t="s">
        <v>11046</v>
      </c>
      <c r="G5426" t="s">
        <v>14</v>
      </c>
      <c r="H5426">
             </c>
      <c r="I5426" t="s">
        <v>14</v>
      </c>
      <c r="J5426" t="s">
        <v>202</v>
      </c>
      <c r="K5426" t="s">
        <v>14</v>
      </c>
      <c r="L5426" t="s">
        <v>20</v>
      </c>
      <c r="M5426" t="s">
        <v>10947</v>
      </c>
      <c r="N5426" t="s">
        <v>14</v>
      </c>
    </row>
    <row r="5427" x14ac:dyDescent="0.25">
      <c r="A5427" t="n">
        <v>25</v>
      </c>
      <c r="B5427" t="s">
        <v>14</v>
      </c>
      <c r="C5427" t="s">
        <v>51</v>
      </c>
      <c r="D5427" s="2" t="s">
        <f>=HYPERLINK("https://main.knesset.gov.il/APPS/legislation/main/bills/2200458", "הצעת חוק דמי מחלה (היעדרות בשל מחלת ילד) (תיקון - הורה ליותר מילד אחד), התשפ""ג-2023")</f>
        <v>9515</v>
      </c>
      <c r="E5427" t="s">
        <v>9515</v>
      </c>
      <c r="F5427" t="s">
        <v>11047</v>
      </c>
      <c r="G5427" t="s">
        <v>14</v>
      </c>
      <c r="H5427">
             </c>
      <c r="I5427" t="s">
        <v>14</v>
      </c>
      <c r="J5427" t="s">
        <v>242</v>
      </c>
      <c r="K5427" t="s">
        <v>14</v>
      </c>
      <c r="L5427" t="s">
        <v>20</v>
      </c>
      <c r="M5427" t="s">
        <v>10947</v>
      </c>
      <c r="N5427" t="s">
        <v>14</v>
      </c>
    </row>
    <row r="5428" x14ac:dyDescent="0.25">
      <c r="A5428" t="n">
        <v>25</v>
      </c>
      <c r="B5428" t="s">
        <v>14</v>
      </c>
      <c r="C5428" t="s">
        <v>51</v>
      </c>
      <c r="D5428" s="2" t="s">
        <f>=HYPERLINK("https://main.knesset.gov.il/APPS/legislation/main/bills/2200929", "הצעת חוק הלוואה מותנית ללימוד נהיגה, התשפ""ג-2023")</f>
        <v>11048</v>
      </c>
      <c r="E5428" t="s">
        <v>11048</v>
      </c>
      <c r="F5428" t="s">
        <v>11049</v>
      </c>
      <c r="G5428" t="s">
        <v>14</v>
      </c>
      <c r="H5428">
             </c>
      <c r="I5428" t="s">
        <v>14</v>
      </c>
      <c r="J5428" t="s">
        <v>242</v>
      </c>
      <c r="K5428" t="s">
        <v>14</v>
      </c>
      <c r="L5428" t="s">
        <v>20</v>
      </c>
      <c r="M5428" t="s">
        <v>10947</v>
      </c>
      <c r="N5428" t="s">
        <v>14</v>
      </c>
    </row>
    <row r="5429" x14ac:dyDescent="0.25">
      <c r="A5429" t="n">
        <v>25</v>
      </c>
      <c r="B5429" t="s">
        <v>14</v>
      </c>
      <c r="C5429" t="s">
        <v>51</v>
      </c>
      <c r="D5429" s="2" t="s">
        <f>=HYPERLINK("https://main.knesset.gov.il/APPS/legislation/main/bills/2199107", "הצעת חוק העונשין (תיקון - איסור הנפת דגל של מדינת אויב או של ארגון טרור או של הרשות הפלסטינית במרחב הציבורי), התשפ""ג-2023")</f>
        <v>9549</v>
      </c>
      <c r="E5429" t="s">
        <v>9549</v>
      </c>
      <c r="F5429" t="s">
        <v>11050</v>
      </c>
      <c r="G5429" t="s">
        <v>14</v>
      </c>
      <c r="H5429">
             </c>
      <c r="I5429" t="s">
        <v>14</v>
      </c>
      <c r="J5429" t="s">
        <v>242</v>
      </c>
      <c r="K5429" t="s">
        <v>14</v>
      </c>
      <c r="L5429" t="s">
        <v>20</v>
      </c>
      <c r="M5429" t="s">
        <v>10947</v>
      </c>
      <c r="N5429" t="s">
        <v>14</v>
      </c>
    </row>
    <row r="5430" x14ac:dyDescent="0.25">
      <c r="A5430" t="n">
        <v>25</v>
      </c>
      <c r="B5430" t="s">
        <v>14</v>
      </c>
      <c r="C5430" t="s">
        <v>51</v>
      </c>
      <c r="D5430" s="2" t="s">
        <f>=HYPERLINK("https://main.knesset.gov.il/APPS/legislation/main/bills/2200565", "הצעת חוק מס ערך מוסף (תיקון - עוסק פטור חדש), התשפ""ג-2023")</f>
        <v>11051</v>
      </c>
      <c r="E5430" t="s">
        <v>11051</v>
      </c>
      <c r="F5430" t="s">
        <v>11052</v>
      </c>
      <c r="G5430" t="s">
        <v>14</v>
      </c>
      <c r="H5430">
             </c>
      <c r="I5430" t="s">
        <v>14</v>
      </c>
      <c r="J5430" t="s">
        <v>242</v>
      </c>
      <c r="K5430" t="s">
        <v>14</v>
      </c>
      <c r="L5430" t="s">
        <v>20</v>
      </c>
      <c r="M5430" t="s">
        <v>10947</v>
      </c>
      <c r="N5430" t="s">
        <v>14</v>
      </c>
    </row>
    <row r="5431" x14ac:dyDescent="0.25">
      <c r="A5431" t="n">
        <v>25</v>
      </c>
      <c r="B5431" t="s">
        <v>14</v>
      </c>
      <c r="C5431" t="s">
        <v>51</v>
      </c>
      <c r="D5431" s="2" t="s">
        <f>=HYPERLINK("https://main.knesset.gov.il/APPS/legislation/main/bills/2200465", "הצעת חוק לתיקון פקודת מס הכנסה (משיכה מקרן השתלמות לאחר לידה או אימוץ), התשפ""ג-2023")</f>
        <v>11053</v>
      </c>
      <c r="E5431" t="s">
        <v>11053</v>
      </c>
      <c r="F5431" t="s">
        <v>11054</v>
      </c>
      <c r="G5431" t="s">
        <v>14</v>
      </c>
      <c r="H5431">
             </c>
      <c r="I5431" t="s">
        <v>14</v>
      </c>
      <c r="J5431" t="s">
        <v>242</v>
      </c>
      <c r="K5431" t="s">
        <v>14</v>
      </c>
      <c r="L5431" t="s">
        <v>20</v>
      </c>
      <c r="M5431" t="s">
        <v>10947</v>
      </c>
      <c r="N5431" t="s">
        <v>14</v>
      </c>
    </row>
    <row r="5432" x14ac:dyDescent="0.25">
      <c r="A5432" t="n">
        <v>25</v>
      </c>
      <c r="B5432" t="s">
        <v>14</v>
      </c>
      <c r="C5432" t="s">
        <v>51</v>
      </c>
      <c r="D5432" s="2" t="s">
        <f>=HYPERLINK("https://main.knesset.gov.il/APPS/legislation/main/bills/2200563", "הצעת חוק לתיקון פקודת מס הכנסה (נקודות זיכוי למשפחות אומנה), התשפ""ג-2023")</f>
        <v>10412</v>
      </c>
      <c r="E5432" t="s">
        <v>10412</v>
      </c>
      <c r="F5432" t="s">
        <v>11055</v>
      </c>
      <c r="G5432" t="s">
        <v>14</v>
      </c>
      <c r="H5432">
             </c>
      <c r="I5432" t="s">
        <v>14</v>
      </c>
      <c r="J5432" t="s">
        <v>242</v>
      </c>
      <c r="K5432" t="s">
        <v>14</v>
      </c>
      <c r="L5432" t="s">
        <v>20</v>
      </c>
      <c r="M5432" t="s">
        <v>10947</v>
      </c>
      <c r="N5432" t="s">
        <v>14</v>
      </c>
    </row>
    <row r="5433" x14ac:dyDescent="0.25">
      <c r="A5433" t="n">
        <v>25</v>
      </c>
      <c r="B5433" t="s">
        <v>14</v>
      </c>
      <c r="C5433" t="s">
        <v>51</v>
      </c>
      <c r="D5433" s="2" t="s">
        <f>=HYPERLINK("https://main.knesset.gov.il/APPS/legislation/main/bills/2200467", "הצעת חוק לתיקון פקודת מס הכנסה (ניכוי תשלומים לעצמאים), התשפ""ג-2023")</f>
        <v>10545</v>
      </c>
      <c r="E5433" t="s">
        <v>10545</v>
      </c>
      <c r="F5433" t="s">
        <v>11056</v>
      </c>
      <c r="G5433" t="s">
        <v>14</v>
      </c>
      <c r="H5433">
             </c>
      <c r="I5433" t="s">
        <v>14</v>
      </c>
      <c r="J5433" t="s">
        <v>242</v>
      </c>
      <c r="K5433" t="s">
        <v>14</v>
      </c>
      <c r="L5433" t="s">
        <v>20</v>
      </c>
      <c r="M5433" t="s">
        <v>10947</v>
      </c>
      <c r="N5433" t="s">
        <v>14</v>
      </c>
    </row>
    <row r="5434" x14ac:dyDescent="0.25">
      <c r="A5434" t="n">
        <v>25</v>
      </c>
      <c r="B5434" t="s">
        <v>14</v>
      </c>
      <c r="C5434" t="s">
        <v>51</v>
      </c>
      <c r="D5434" s="2" t="s">
        <f>=HYPERLINK("https://main.knesset.gov.il/APPS/legislation/main/bills/2200464", "הצעת חוק לאי-מתן הטבות מס למוסד המקיים הפליה (תיקוני חקיקה), התשפ""ג-2023")</f>
        <v>11057</v>
      </c>
      <c r="E5434" t="s">
        <v>11057</v>
      </c>
      <c r="F5434" t="s">
        <v>11058</v>
      </c>
      <c r="G5434" t="s">
        <v>14</v>
      </c>
      <c r="H5434">
             </c>
      <c r="I5434" t="s">
        <v>14</v>
      </c>
      <c r="J5434" t="s">
        <v>242</v>
      </c>
      <c r="K5434" t="s">
        <v>14</v>
      </c>
      <c r="L5434" t="s">
        <v>20</v>
      </c>
      <c r="M5434" t="s">
        <v>10947</v>
      </c>
      <c r="N5434" t="s">
        <v>14</v>
      </c>
    </row>
    <row r="5435" x14ac:dyDescent="0.25">
      <c r="A5435" t="n">
        <v>25</v>
      </c>
      <c r="B5435" t="s">
        <v>14</v>
      </c>
      <c r="C5435" t="s">
        <v>51</v>
      </c>
      <c r="D5435" s="2" t="s">
        <f>=HYPERLINK("https://main.knesset.gov.il/APPS/legislation/main/bills/2199819", "הצעת חוק לתיקון פקודת מס הכנסה (מיסוי תרומה מישות מדינית זרה), התשפ""ג-2023")</f>
        <v>11059</v>
      </c>
      <c r="E5435" t="s">
        <v>11059</v>
      </c>
      <c r="F5435" t="s">
        <v>11060</v>
      </c>
      <c r="G5435" t="s">
        <v>14</v>
      </c>
      <c r="H5435">
             </c>
      <c r="I5435" t="s">
        <v>14</v>
      </c>
      <c r="J5435" t="s">
        <v>242</v>
      </c>
      <c r="K5435" t="s">
        <v>14</v>
      </c>
      <c r="L5435" t="s">
        <v>20</v>
      </c>
      <c r="M5435" t="s">
        <v>10947</v>
      </c>
      <c r="N5435" t="s">
        <v>14</v>
      </c>
    </row>
    <row r="5436" x14ac:dyDescent="0.25">
      <c r="A5436" t="n">
        <v>25</v>
      </c>
      <c r="B5436" t="s">
        <v>14</v>
      </c>
      <c r="C5436" t="s">
        <v>51</v>
      </c>
      <c r="D5436" s="2" t="s">
        <f>=HYPERLINK("https://main.knesset.gov.il/APPS/legislation/main/bills/2200275", "הצעת חוק להגבלת העברת השליטה בתאגידים מרכזיים לגופים זרים, התשפ""ג-2023")</f>
        <v>11061</v>
      </c>
      <c r="E5436" t="s">
        <v>11061</v>
      </c>
      <c r="F5436" t="s">
        <v>11062</v>
      </c>
      <c r="G5436" t="s">
        <v>14</v>
      </c>
      <c r="H5436">
             </c>
      <c r="I5436" t="s">
        <v>14</v>
      </c>
      <c r="J5436" t="s">
        <v>242</v>
      </c>
      <c r="K5436" t="s">
        <v>14</v>
      </c>
      <c r="L5436" t="s">
        <v>20</v>
      </c>
      <c r="M5436" t="s">
        <v>10947</v>
      </c>
      <c r="N5436" t="s">
        <v>14</v>
      </c>
    </row>
    <row r="5437" x14ac:dyDescent="0.25">
      <c r="A5437" t="n">
        <v>25</v>
      </c>
      <c r="B5437" t="s">
        <v>14</v>
      </c>
      <c r="C5437" t="s">
        <v>51</v>
      </c>
      <c r="D5437" s="2" t="s">
        <f>=HYPERLINK("https://main.knesset.gov.il/APPS/legislation/main/bills/2200197", "הצעת חוק מס ערך מוסף (תיקון - פטור ממס ממכירת תרופות מאריכות חיים שאינן כלולות בסל הבריאות), התשפ""ג-2023")</f>
        <v>10312</v>
      </c>
      <c r="E5437" t="s">
        <v>10312</v>
      </c>
      <c r="F5437" t="s">
        <v>11063</v>
      </c>
      <c r="G5437" t="s">
        <v>14</v>
      </c>
      <c r="H5437">
             </c>
      <c r="I5437" t="s">
        <v>14</v>
      </c>
      <c r="J5437" t="s">
        <v>242</v>
      </c>
      <c r="K5437" t="s">
        <v>14</v>
      </c>
      <c r="L5437" t="s">
        <v>20</v>
      </c>
      <c r="M5437" t="s">
        <v>10947</v>
      </c>
      <c r="N5437" t="s">
        <v>14</v>
      </c>
    </row>
    <row r="5438" x14ac:dyDescent="0.25">
      <c r="A5438" t="n">
        <v>25</v>
      </c>
      <c r="B5438" t="s">
        <v>14</v>
      </c>
      <c r="C5438" t="s">
        <v>51</v>
      </c>
      <c r="D5438" s="2" t="s">
        <f>=HYPERLINK("https://main.knesset.gov.il/APPS/legislation/main/bills/2200971", "הצעת חוק העונשין (תיקון - חלופת מאסר לנשים הרות ואמהות), התשפ""ג-2023")</f>
        <v>11064</v>
      </c>
      <c r="E5438" t="s">
        <v>11064</v>
      </c>
      <c r="F5438" t="s">
        <v>11065</v>
      </c>
      <c r="G5438" t="s">
        <v>14</v>
      </c>
      <c r="H5438">
             </c>
      <c r="I5438" t="s">
        <v>14</v>
      </c>
      <c r="J5438" t="s">
        <v>242</v>
      </c>
      <c r="K5438" t="s">
        <v>14</v>
      </c>
      <c r="L5438" t="s">
        <v>20</v>
      </c>
      <c r="M5438" t="s">
        <v>10947</v>
      </c>
      <c r="N5438" t="s">
        <v>14</v>
      </c>
    </row>
    <row r="5439" x14ac:dyDescent="0.25">
      <c r="A5439" t="n">
        <v>25</v>
      </c>
      <c r="B5439" t="s">
        <v>14</v>
      </c>
      <c r="C5439" t="s">
        <v>51</v>
      </c>
      <c r="D5439" s="2" t="s">
        <f>=HYPERLINK("https://main.knesset.gov.il/APPS/legislation/main/bills/2200915", "הצעת חוק העונשין (תיקון - חילוט רווחי סרסרות), התשפ""ג-2023")</f>
        <v>9050</v>
      </c>
      <c r="E5439" t="s">
        <v>9050</v>
      </c>
      <c r="F5439" t="s">
        <v>11066</v>
      </c>
      <c r="G5439" t="s">
        <v>14</v>
      </c>
      <c r="H5439">
             </c>
      <c r="I5439" t="s">
        <v>14</v>
      </c>
      <c r="J5439" t="s">
        <v>242</v>
      </c>
      <c r="K5439" t="s">
        <v>14</v>
      </c>
      <c r="L5439" t="s">
        <v>20</v>
      </c>
      <c r="M5439" t="s">
        <v>10947</v>
      </c>
      <c r="N5439" t="s">
        <v>14</v>
      </c>
    </row>
    <row r="5440" x14ac:dyDescent="0.25">
      <c r="A5440" t="n">
        <v>25</v>
      </c>
      <c r="B5440" t="s">
        <v>14</v>
      </c>
      <c r="C5440" t="s">
        <v>51</v>
      </c>
      <c r="D5440" s="2" t="s">
        <f>=HYPERLINK("https://main.knesset.gov.il/APPS/legislation/main/bills/2200914", "הצעת חוק העונשין (תיקון - הסתה לגזענות), התשפ""ג-2023")</f>
        <v>11067</v>
      </c>
      <c r="E5440" t="s">
        <v>11067</v>
      </c>
      <c r="F5440" t="s">
        <v>11068</v>
      </c>
      <c r="G5440" t="s">
        <v>14</v>
      </c>
      <c r="H5440">
             </c>
      <c r="I5440" t="s">
        <v>14</v>
      </c>
      <c r="J5440" t="s">
        <v>242</v>
      </c>
      <c r="K5440" t="s">
        <v>14</v>
      </c>
      <c r="L5440" t="s">
        <v>20</v>
      </c>
      <c r="M5440" t="s">
        <v>10947</v>
      </c>
      <c r="N5440" t="s">
        <v>14</v>
      </c>
    </row>
    <row r="5441" x14ac:dyDescent="0.25">
      <c r="A5441" t="n">
        <v>25</v>
      </c>
      <c r="B5441" t="s">
        <v>14</v>
      </c>
      <c r="C5441" t="s">
        <v>51</v>
      </c>
      <c r="D5441" s="2" t="s">
        <f>=HYPERLINK("https://main.knesset.gov.il/APPS/legislation/main/bills/2200315", "הצעת חוק שיווי זכויות האישה (תיקון - ייצוג הולם לנשים בוועדות ציבוריות ברשויות המקומיות), התשפ""ג-2023")</f>
        <v>10873</v>
      </c>
      <c r="E5441" t="s">
        <v>10873</v>
      </c>
      <c r="F5441" t="s">
        <v>11069</v>
      </c>
      <c r="G5441" t="s">
        <v>14</v>
      </c>
      <c r="H5441">
             </c>
      <c r="I5441" t="s">
        <v>14</v>
      </c>
      <c r="J5441" t="s">
        <v>242</v>
      </c>
      <c r="K5441" t="s">
        <v>14</v>
      </c>
      <c r="L5441" t="s">
        <v>20</v>
      </c>
      <c r="M5441" t="s">
        <v>10947</v>
      </c>
      <c r="N5441" t="s">
        <v>14</v>
      </c>
    </row>
    <row r="5442" x14ac:dyDescent="0.25">
      <c r="A5442" t="n">
        <v>25</v>
      </c>
      <c r="B5442" t="s">
        <v>14</v>
      </c>
      <c r="C5442" t="s">
        <v>51</v>
      </c>
      <c r="D5442" s="2" t="s">
        <f>=HYPERLINK("https://main.knesset.gov.il/APPS/legislation/main/bills/2199153", "הצעת חוק הכניסה לישראל (תיקון - הארכת רישיון לישיבת ביקור לעובד זר המועסק במתן טיפול סיעודי), התשפ""ג-2023")</f>
        <v>11070</v>
      </c>
      <c r="E5442" t="s">
        <v>11070</v>
      </c>
      <c r="F5442" t="s">
        <v>11071</v>
      </c>
      <c r="G5442" t="s">
        <v>14</v>
      </c>
      <c r="H5442">
             </c>
      <c r="I5442" t="s">
        <v>14</v>
      </c>
      <c r="J5442" t="s">
        <v>242</v>
      </c>
      <c r="K5442" t="s">
        <v>14</v>
      </c>
      <c r="L5442" t="s">
        <v>20</v>
      </c>
      <c r="M5442" t="s">
        <v>10947</v>
      </c>
      <c r="N5442" t="s">
        <v>14</v>
      </c>
    </row>
    <row r="5443" x14ac:dyDescent="0.25">
      <c r="A5443" t="n">
        <v>25</v>
      </c>
      <c r="B5443" t="s">
        <v>14</v>
      </c>
      <c r="C5443" t="s">
        <v>51</v>
      </c>
      <c r="D5443" s="2" t="s">
        <f>=HYPERLINK("https://main.knesset.gov.il/APPS/legislation/main/bills/2200913", "הצעת חוק העונשין (תיקון - הגדרת גזענות), התשפ""ג-2023")</f>
        <v>9817</v>
      </c>
      <c r="E5443" t="s">
        <v>9817</v>
      </c>
      <c r="F5443" t="s">
        <v>11072</v>
      </c>
      <c r="G5443" t="s">
        <v>14</v>
      </c>
      <c r="H5443">
             </c>
      <c r="I5443" t="s">
        <v>14</v>
      </c>
      <c r="J5443" t="s">
        <v>242</v>
      </c>
      <c r="K5443" t="s">
        <v>14</v>
      </c>
      <c r="L5443" t="s">
        <v>20</v>
      </c>
      <c r="M5443" t="s">
        <v>10947</v>
      </c>
      <c r="N5443" t="s">
        <v>14</v>
      </c>
    </row>
    <row r="5444" x14ac:dyDescent="0.25">
      <c r="A5444" t="n">
        <v>25</v>
      </c>
      <c r="B5444" t="s">
        <v>14</v>
      </c>
      <c r="C5444" t="s">
        <v>51</v>
      </c>
      <c r="D5444" s="2" t="s">
        <f>=HYPERLINK("https://main.knesset.gov.il/APPS/legislation/main/bills/2200912", "הצעת חוק העונשין (תיקון - הארכת התיישנות בעבירות מין שבוצעו במסגרת הנישואין), התשפ""ג-2023")</f>
        <v>11073</v>
      </c>
      <c r="E5444" t="s">
        <v>11073</v>
      </c>
      <c r="F5444" t="s">
        <v>11074</v>
      </c>
      <c r="G5444" t="s">
        <v>14</v>
      </c>
      <c r="H5444">
             </c>
      <c r="I5444" t="s">
        <v>14</v>
      </c>
      <c r="J5444" t="s">
        <v>242</v>
      </c>
      <c r="K5444" t="s">
        <v>14</v>
      </c>
      <c r="L5444" t="s">
        <v>20</v>
      </c>
      <c r="M5444" t="s">
        <v>10947</v>
      </c>
      <c r="N5444" t="s">
        <v>14</v>
      </c>
    </row>
    <row r="5445" x14ac:dyDescent="0.25">
      <c r="A5445" t="n">
        <v>25</v>
      </c>
      <c r="B5445" t="s">
        <v>14</v>
      </c>
      <c r="C5445" t="s">
        <v>51</v>
      </c>
      <c r="D5445" s="2" t="s">
        <f>=HYPERLINK("https://main.knesset.gov.il/APPS/legislation/main/bills/2200911", "הצעת חוק העונשין (תיקון - איסור הצבת מכונות משחק של מפעל הפיס), התשפ""ג-2023")</f>
        <v>11075</v>
      </c>
      <c r="E5445" t="s">
        <v>11075</v>
      </c>
      <c r="F5445" t="s">
        <v>11076</v>
      </c>
      <c r="G5445" t="s">
        <v>14</v>
      </c>
      <c r="H5445">
             </c>
      <c r="I5445" t="s">
        <v>14</v>
      </c>
      <c r="J5445" t="s">
        <v>242</v>
      </c>
      <c r="K5445" t="s">
        <v>14</v>
      </c>
      <c r="L5445" t="s">
        <v>20</v>
      </c>
      <c r="M5445" t="s">
        <v>10947</v>
      </c>
      <c r="N5445" t="s">
        <v>14</v>
      </c>
    </row>
    <row r="5446" x14ac:dyDescent="0.25">
      <c r="A5446" t="n">
        <v>25</v>
      </c>
      <c r="B5446" t="s">
        <v>14</v>
      </c>
      <c r="C5446" t="s">
        <v>51</v>
      </c>
      <c r="D5446" s="2" t="s">
        <f>=HYPERLINK("https://main.knesset.gov.il/APPS/legislation/main/bills/2200764", "הצעת חוק למניעת הטרדה מינית (תיקון - הרחבת תחולה על עובדים עצמאים, מתנדבים ועובדי כלכלת הפלטפורמה), התשפ""ג-2023")</f>
        <v>8317</v>
      </c>
      <c r="E5446" t="s">
        <v>8317</v>
      </c>
      <c r="F5446" t="s">
        <v>11077</v>
      </c>
      <c r="G5446" t="s">
        <v>14</v>
      </c>
      <c r="H5446">
             </c>
      <c r="I5446" t="s">
        <v>14</v>
      </c>
      <c r="J5446" t="s">
        <v>242</v>
      </c>
      <c r="K5446" t="s">
        <v>14</v>
      </c>
      <c r="L5446" t="s">
        <v>20</v>
      </c>
      <c r="M5446" t="s">
        <v>10947</v>
      </c>
      <c r="N5446" t="s">
        <v>14</v>
      </c>
    </row>
    <row r="5447" x14ac:dyDescent="0.25">
      <c r="A5447" t="n">
        <v>25</v>
      </c>
      <c r="B5447" t="s">
        <v>14</v>
      </c>
      <c r="C5447" t="s">
        <v>51</v>
      </c>
      <c r="D5447" s="2" t="s">
        <f>=HYPERLINK("https://main.knesset.gov.il/APPS/legislation/main/bills/2200904", "הצעת חוק לביטול ההתיישנות בעבירות מין (תיקוני חקיקה), התשפ""ג-2023")</f>
        <v>3089</v>
      </c>
      <c r="E5447" t="s">
        <v>3089</v>
      </c>
      <c r="F5447" t="s">
        <v>11078</v>
      </c>
      <c r="G5447" t="s">
        <v>14</v>
      </c>
      <c r="H5447">
             </c>
      <c r="I5447" t="s">
        <v>14</v>
      </c>
      <c r="J5447" t="s">
        <v>242</v>
      </c>
      <c r="K5447" t="s">
        <v>14</v>
      </c>
      <c r="L5447" t="s">
        <v>20</v>
      </c>
      <c r="M5447" t="s">
        <v>10947</v>
      </c>
      <c r="N5447" t="s">
        <v>14</v>
      </c>
    </row>
    <row r="5448" x14ac:dyDescent="0.25">
      <c r="A5448" t="n">
        <v>25</v>
      </c>
      <c r="B5448" t="s">
        <v>14</v>
      </c>
      <c r="C5448" t="s">
        <v>51</v>
      </c>
      <c r="D5448" s="2" t="s">
        <f>=HYPERLINK("https://main.knesset.gov.il/APPS/legislation/main/bills/2200313", "הצעת חוק חובת המכרזים (תיקון - עידוד עסקים קטנים ובינוניים באזור פריפריה במכרז), התשפ""ג-2023")</f>
        <v>10124</v>
      </c>
      <c r="E5448" t="s">
        <v>10124</v>
      </c>
      <c r="F5448" t="s">
        <v>11079</v>
      </c>
      <c r="G5448" t="s">
        <v>14</v>
      </c>
      <c r="H5448">
             </c>
      <c r="I5448" t="s">
        <v>14</v>
      </c>
      <c r="J5448" t="s">
        <v>242</v>
      </c>
      <c r="K5448" t="s">
        <v>14</v>
      </c>
      <c r="L5448" t="s">
        <v>20</v>
      </c>
      <c r="M5448" t="s">
        <v>10947</v>
      </c>
      <c r="N5448" t="s">
        <v>14</v>
      </c>
    </row>
    <row r="5449" x14ac:dyDescent="0.25">
      <c r="A5449" t="n">
        <v>25</v>
      </c>
      <c r="B5449" t="s">
        <v>14</v>
      </c>
      <c r="C5449" t="s">
        <v>15</v>
      </c>
      <c r="D5449" s="2" t="s">
        <f>=HYPERLINK("https://main.knesset.gov.il/APPS/legislation/main/bills/2199720", "חוק המרכז לגביית קנסות, אגרות והוצאות (תיקון מס' 19 והוראת שעה) (תיקון), התשפ""ג-2023")</f>
        <v>11080</v>
      </c>
      <c r="E5449" t="s">
        <v>11080</v>
      </c>
      <c r="F5449" t="s">
        <v>14</v>
      </c>
      <c r="G5449" t="s">
        <v>11081</v>
      </c>
      <c r="H5449" t="n">
        <v>3019</v>
      </c>
      <c r="I5449" t="s">
        <v>14</v>
      </c>
      <c r="J5449" t="s">
        <v>18</v>
      </c>
      <c r="K5449" t="s">
        <v>27</v>
      </c>
      <c r="L5449" t="s">
        <v>20</v>
      </c>
      <c r="M5449" t="s">
        <v>11082</v>
      </c>
      <c r="N5449" t="s">
        <v>11083</v>
      </c>
    </row>
    <row r="5450" x14ac:dyDescent="0.25">
      <c r="A5450" t="n">
        <v>25</v>
      </c>
      <c r="B5450" t="s">
        <v>14</v>
      </c>
      <c r="C5450" t="s">
        <v>15</v>
      </c>
      <c r="D5450" s="2" t="s">
        <f>=HYPERLINK("https://main.knesset.gov.il/APPS/legislation/main/bills/2200650", "חוק לתיקון פקודת מס הכנסה (מס' 263), התשפ""ג-2023")</f>
        <v>11084</v>
      </c>
      <c r="E5450" t="s">
        <v>11084</v>
      </c>
      <c r="F5450" t="s">
        <v>14</v>
      </c>
      <c r="G5450" t="s">
        <v>11085</v>
      </c>
      <c r="H5450" t="n">
        <v>3018</v>
      </c>
      <c r="I5450" t="s">
        <v>14</v>
      </c>
      <c r="J5450" t="s">
        <v>18</v>
      </c>
      <c r="K5450" t="s">
        <v>75</v>
      </c>
      <c r="L5450" t="s">
        <v>20</v>
      </c>
      <c r="M5450" t="s">
        <v>11082</v>
      </c>
      <c r="N5450" t="s">
        <v>11086</v>
      </c>
    </row>
    <row r="5451" x14ac:dyDescent="0.25">
      <c r="A5451" t="n">
        <v>25</v>
      </c>
      <c r="B5451" t="s">
        <v>14</v>
      </c>
      <c r="C5451" t="s">
        <v>15</v>
      </c>
      <c r="D5451" s="2" t="s">
        <f>=HYPERLINK("https://main.knesset.gov.il/APPS/legislation/main/bills/2200651", "חוק לתיקון פקודת בתי הסוהר (מס' 61 והוראת שעה), התשפ""ג-2023")</f>
        <v>11087</v>
      </c>
      <c r="E5451" t="s">
        <v>11087</v>
      </c>
      <c r="F5451" t="s">
        <v>14</v>
      </c>
      <c r="G5451" t="s">
        <v>11088</v>
      </c>
      <c r="H5451" t="n">
        <v>3017</v>
      </c>
      <c r="I5451" t="s">
        <v>14</v>
      </c>
      <c r="J5451" t="s">
        <v>18</v>
      </c>
      <c r="K5451" t="s">
        <v>19</v>
      </c>
      <c r="L5451" t="s">
        <v>20</v>
      </c>
      <c r="M5451" t="s">
        <v>11082</v>
      </c>
      <c r="N5451" t="s">
        <v>11089</v>
      </c>
    </row>
    <row r="5452" x14ac:dyDescent="0.25">
      <c r="A5452" t="n">
        <v>25</v>
      </c>
      <c r="B5452" t="s">
        <v>14</v>
      </c>
      <c r="C5452" t="s">
        <v>15</v>
      </c>
      <c r="D5452" s="2" t="s">
        <f>=HYPERLINK("https://main.knesset.gov.il/APPS/legislation/main/bills/2200135", "חוק ההוצאה לפועל (נגיף הקורונה החדש – תיקון מס' 68 והוראת שעה) (תיקון מס' 2), התשפ""ג-2023")</f>
        <v>11090</v>
      </c>
      <c r="E5452" t="s">
        <v>11090</v>
      </c>
      <c r="F5452" t="s">
        <v>14</v>
      </c>
      <c r="G5452" t="s">
        <v>11091</v>
      </c>
      <c r="H5452" t="n">
        <v>3015</v>
      </c>
      <c r="I5452" t="s">
        <v>14</v>
      </c>
      <c r="J5452" t="s">
        <v>18</v>
      </c>
      <c r="K5452" t="s">
        <v>27</v>
      </c>
      <c r="L5452" t="s">
        <v>20</v>
      </c>
      <c r="M5452" t="s">
        <v>11082</v>
      </c>
      <c r="N5452" t="s">
        <v>11092</v>
      </c>
    </row>
    <row r="5453" x14ac:dyDescent="0.25">
      <c r="A5453" t="n">
        <v>25</v>
      </c>
      <c r="B5453" t="s">
        <v>14</v>
      </c>
      <c r="C5453" t="s">
        <v>20</v>
      </c>
      <c r="D5453" s="2" t="s">
        <f>=HYPERLINK("https://main.knesset.gov.il/APPS/legislation/main/bills/2199304", "חוק לעניין ועדות הכנסת (תיקוני חקיקה והוראת שעה), התשפ""ג-2023")</f>
        <v>11093</v>
      </c>
      <c r="E5453" t="s">
        <v>11093</v>
      </c>
      <c r="F5453" t="s">
        <v>14</v>
      </c>
      <c r="G5453" t="s">
        <v>11094</v>
      </c>
      <c r="H5453" t="n">
        <v>3016</v>
      </c>
      <c r="I5453" t="s">
        <v>14</v>
      </c>
      <c r="J5453" t="s">
        <v>18</v>
      </c>
      <c r="K5453" t="s">
        <v>42</v>
      </c>
      <c r="L5453" t="s">
        <v>20</v>
      </c>
      <c r="M5453" t="s">
        <v>11095</v>
      </c>
      <c r="N5453" t="s">
        <v>11096</v>
      </c>
    </row>
    <row r="5454" x14ac:dyDescent="0.25">
      <c r="A5454" t="n">
        <v>25</v>
      </c>
      <c r="B5454" t="s">
        <v>14</v>
      </c>
      <c r="C5454" t="s">
        <v>51</v>
      </c>
      <c r="D5454" s="2" t="s">
        <f>=HYPERLINK("https://main.knesset.gov.il/APPS/legislation/main/bills/2197891", "הצעת חוק העונשין (תיקון - איסור הנפת דגל של מדינת אויב או של ארגון טרור או של הרשות הפלסטינית במרחב הציבורי), התשפ""ג-2023")</f>
        <v>9549</v>
      </c>
      <c r="E5454" t="s">
        <v>9549</v>
      </c>
      <c r="F5454" t="s">
        <v>11097</v>
      </c>
      <c r="G5454" t="s">
        <v>14</v>
      </c>
      <c r="H5454">
             </c>
      <c r="I5454" t="s">
        <v>14</v>
      </c>
      <c r="J5454" t="s">
        <v>242</v>
      </c>
      <c r="K5454" t="s">
        <v>14</v>
      </c>
      <c r="L5454" t="s">
        <v>20</v>
      </c>
      <c r="M5454" t="s">
        <v>11098</v>
      </c>
      <c r="N5454" t="s">
        <v>14</v>
      </c>
    </row>
    <row r="5455" x14ac:dyDescent="0.25">
      <c r="A5455" t="n">
        <v>25</v>
      </c>
      <c r="B5455" t="s">
        <v>14</v>
      </c>
      <c r="C5455" t="s">
        <v>51</v>
      </c>
      <c r="D5455" s="2" t="s">
        <f>=HYPERLINK("https://main.knesset.gov.il/APPS/legislation/main/bills/2199010", "הצעת חוק לתיקון פקודת מס הכנסה (הטבות מס ליישובים), התשפ""ג-2023")</f>
        <v>9480</v>
      </c>
      <c r="E5455" t="s">
        <v>9480</v>
      </c>
      <c r="F5455" t="s">
        <v>11099</v>
      </c>
      <c r="G5455" t="s">
        <v>14</v>
      </c>
      <c r="H5455">
             </c>
      <c r="I5455" t="s">
        <v>14</v>
      </c>
      <c r="J5455" t="s">
        <v>242</v>
      </c>
      <c r="K5455" t="s">
        <v>14</v>
      </c>
      <c r="L5455" t="s">
        <v>20</v>
      </c>
      <c r="M5455" t="s">
        <v>11098</v>
      </c>
      <c r="N5455" t="s">
        <v>14</v>
      </c>
    </row>
    <row r="5456" x14ac:dyDescent="0.25">
      <c r="A5456" t="n">
        <v>25</v>
      </c>
      <c r="B5456" t="s">
        <v>14</v>
      </c>
      <c r="C5456" t="s">
        <v>51</v>
      </c>
      <c r="D5456" s="2" t="s">
        <f>=HYPERLINK("https://main.knesset.gov.il/APPS/legislation/main/bills/2199996", "הצעת חוק הביטוח הלאומי (תיקון - הארכת תקופת הזכאות לדמי אבטלה לשכיר שהפך לעצמאי ועסקו נסגר), התשפ""ג-2023")</f>
        <v>11100</v>
      </c>
      <c r="E5456" t="s">
        <v>11100</v>
      </c>
      <c r="F5456" t="s">
        <v>11101</v>
      </c>
      <c r="G5456" t="s">
        <v>14</v>
      </c>
      <c r="H5456">
             </c>
      <c r="I5456" t="s">
        <v>14</v>
      </c>
      <c r="J5456" t="s">
        <v>242</v>
      </c>
      <c r="K5456" t="s">
        <v>14</v>
      </c>
      <c r="L5456" t="s">
        <v>20</v>
      </c>
      <c r="M5456" t="s">
        <v>11098</v>
      </c>
      <c r="N5456" t="s">
        <v>14</v>
      </c>
    </row>
    <row r="5457" x14ac:dyDescent="0.25">
      <c r="A5457" t="n">
        <v>25</v>
      </c>
      <c r="B5457" t="s">
        <v>14</v>
      </c>
      <c r="C5457" t="s">
        <v>51</v>
      </c>
      <c r="D5457" s="2" t="s">
        <f>=HYPERLINK("https://main.knesset.gov.il/APPS/legislation/main/bills/2200631", "הצעת חוק הביטוח הלאומי (תיקון - השוואת קצבת נכות לשכר מינימום), התשפ""ג-2023")</f>
        <v>11102</v>
      </c>
      <c r="E5457" t="s">
        <v>11102</v>
      </c>
      <c r="F5457" t="s">
        <v>11103</v>
      </c>
      <c r="G5457" t="s">
        <v>14</v>
      </c>
      <c r="H5457">
             </c>
      <c r="I5457" t="s">
        <v>14</v>
      </c>
      <c r="J5457" t="s">
        <v>242</v>
      </c>
      <c r="K5457" t="s">
        <v>14</v>
      </c>
      <c r="L5457" t="s">
        <v>20</v>
      </c>
      <c r="M5457" t="s">
        <v>11098</v>
      </c>
      <c r="N5457" t="s">
        <v>14</v>
      </c>
    </row>
    <row r="5458" x14ac:dyDescent="0.25">
      <c r="A5458" t="n">
        <v>25</v>
      </c>
      <c r="B5458" t="s">
        <v>14</v>
      </c>
      <c r="C5458" t="s">
        <v>51</v>
      </c>
      <c r="D5458" s="2" t="s">
        <f>=HYPERLINK("https://main.knesset.gov.il/APPS/legislation/main/bills/2200299", "הצעת חוק הביטוח הלאומי (תיקון - השוואת קצבת אזרח ותיק לשכר הממוצע במשק), התשפ""ג-2023")</f>
        <v>9845</v>
      </c>
      <c r="E5458" t="s">
        <v>9845</v>
      </c>
      <c r="F5458" t="s">
        <v>11104</v>
      </c>
      <c r="G5458" t="s">
        <v>14</v>
      </c>
      <c r="H5458">
             </c>
      <c r="I5458" t="s">
        <v>14</v>
      </c>
      <c r="J5458" t="s">
        <v>242</v>
      </c>
      <c r="K5458" t="s">
        <v>14</v>
      </c>
      <c r="L5458" t="s">
        <v>20</v>
      </c>
      <c r="M5458" t="s">
        <v>11098</v>
      </c>
      <c r="N5458" t="s">
        <v>14</v>
      </c>
    </row>
    <row r="5459" x14ac:dyDescent="0.25">
      <c r="A5459" t="n">
        <v>25</v>
      </c>
      <c r="B5459" t="s">
        <v>14</v>
      </c>
      <c r="C5459" t="s">
        <v>51</v>
      </c>
      <c r="D5459" s="2" t="s">
        <f>=HYPERLINK("https://main.knesset.gov.il/APPS/legislation/main/bills/2198841", "הצעת חוק הבטחת הכנסה (תיקון - תוספת לגמלה בעד הילד השלישי ואילך), התשפ""ג-2023")</f>
        <v>9228</v>
      </c>
      <c r="E5459" t="s">
        <v>9228</v>
      </c>
      <c r="F5459" t="s">
        <v>11105</v>
      </c>
      <c r="G5459" t="s">
        <v>14</v>
      </c>
      <c r="H5459">
             </c>
      <c r="I5459" t="s">
        <v>14</v>
      </c>
      <c r="J5459" t="s">
        <v>242</v>
      </c>
      <c r="K5459" t="s">
        <v>14</v>
      </c>
      <c r="L5459" t="s">
        <v>20</v>
      </c>
      <c r="M5459" t="s">
        <v>11098</v>
      </c>
      <c r="N5459" t="s">
        <v>14</v>
      </c>
    </row>
    <row r="5460" x14ac:dyDescent="0.25">
      <c r="A5460" t="n">
        <v>25</v>
      </c>
      <c r="B5460" t="s">
        <v>14</v>
      </c>
      <c r="C5460" t="s">
        <v>51</v>
      </c>
      <c r="D5460" s="2" t="s">
        <f>=HYPERLINK("https://main.knesset.gov.il/APPS/legislation/main/bills/2199759", "הצעת חוק יום ציון לאומי לתרומתה ולפועלה של העדה הדרוזית (תיקון - עיגון מעמדה של העדה הדרוזית כשוות זכויות במדינת ישראל), התשפ""ג-2023")</f>
        <v>11106</v>
      </c>
      <c r="E5460" t="s">
        <v>11106</v>
      </c>
      <c r="F5460" t="s">
        <v>11107</v>
      </c>
      <c r="G5460" t="s">
        <v>14</v>
      </c>
      <c r="H5460">
             </c>
      <c r="I5460" t="s">
        <v>14</v>
      </c>
      <c r="J5460" t="s">
        <v>202</v>
      </c>
      <c r="K5460" t="s">
        <v>14</v>
      </c>
      <c r="L5460" t="s">
        <v>20</v>
      </c>
      <c r="M5460" t="s">
        <v>11098</v>
      </c>
      <c r="N5460" t="s">
        <v>14</v>
      </c>
    </row>
    <row r="5461" x14ac:dyDescent="0.25">
      <c r="A5461" t="n">
        <v>25</v>
      </c>
      <c r="B5461" t="s">
        <v>14</v>
      </c>
      <c r="C5461" t="s">
        <v>51</v>
      </c>
      <c r="D5461" s="2" t="s">
        <f>=HYPERLINK("https://main.knesset.gov.il/APPS/legislation/main/bills/2198781", "הצעת חוק העונשין (תיקון - חיוב אוצר המדינה בהוצאות הגנה ובפיצוי על מאסר או מעצר בשל זיכוי או אישום שבוטל), התשפ""ג-2023")</f>
        <v>11108</v>
      </c>
      <c r="E5461" t="s">
        <v>11108</v>
      </c>
      <c r="F5461" t="s">
        <v>11109</v>
      </c>
      <c r="G5461" t="s">
        <v>14</v>
      </c>
      <c r="H5461">
             </c>
      <c r="I5461" t="s">
        <v>14</v>
      </c>
      <c r="J5461" t="s">
        <v>242</v>
      </c>
      <c r="K5461" t="s">
        <v>14</v>
      </c>
      <c r="L5461" t="s">
        <v>20</v>
      </c>
      <c r="M5461" t="s">
        <v>11098</v>
      </c>
      <c r="N5461" t="s">
        <v>14</v>
      </c>
    </row>
    <row r="5462" x14ac:dyDescent="0.25">
      <c r="A5462" t="n">
        <v>25</v>
      </c>
      <c r="B5462" t="s">
        <v>14</v>
      </c>
      <c r="C5462" t="s">
        <v>51</v>
      </c>
      <c r="D5462" s="2" t="s">
        <f>=HYPERLINK("https://main.knesset.gov.il/APPS/legislation/main/bills/2200249", "הצעת חוק הביטוח הלאומי (תיקון - ביטול מבחן ההכנסה לצורך קבלת גמלת סיעוד), התשפ""ג-2023")</f>
        <v>9694</v>
      </c>
      <c r="E5462" t="s">
        <v>9694</v>
      </c>
      <c r="F5462" t="s">
        <v>11110</v>
      </c>
      <c r="G5462" t="s">
        <v>14</v>
      </c>
      <c r="H5462">
             </c>
      <c r="I5462" t="s">
        <v>14</v>
      </c>
      <c r="J5462" t="s">
        <v>242</v>
      </c>
      <c r="K5462" t="s">
        <v>14</v>
      </c>
      <c r="L5462" t="s">
        <v>20</v>
      </c>
      <c r="M5462" t="s">
        <v>11098</v>
      </c>
      <c r="N5462" t="s">
        <v>14</v>
      </c>
    </row>
    <row r="5463" x14ac:dyDescent="0.25">
      <c r="A5463" t="n">
        <v>25</v>
      </c>
      <c r="B5463" t="s">
        <v>14</v>
      </c>
      <c r="C5463" t="s">
        <v>51</v>
      </c>
      <c r="D5463" s="2" t="s">
        <f>=HYPERLINK("https://main.knesset.gov.il/APPS/legislation/main/bills/2199872", "הצעת חוק עוסק זעיר, התשפ""ג-2023")</f>
        <v>10043</v>
      </c>
      <c r="E5463" t="s">
        <v>10043</v>
      </c>
      <c r="F5463" t="s">
        <v>11111</v>
      </c>
      <c r="G5463" t="s">
        <v>14</v>
      </c>
      <c r="H5463">
             </c>
      <c r="I5463" t="s">
        <v>14</v>
      </c>
      <c r="J5463" t="s">
        <v>242</v>
      </c>
      <c r="K5463" t="s">
        <v>14</v>
      </c>
      <c r="L5463" t="s">
        <v>20</v>
      </c>
      <c r="M5463" t="s">
        <v>11098</v>
      </c>
      <c r="N5463" t="s">
        <v>14</v>
      </c>
    </row>
    <row r="5464" x14ac:dyDescent="0.25">
      <c r="A5464" t="n">
        <v>25</v>
      </c>
      <c r="B5464" t="s">
        <v>14</v>
      </c>
      <c r="C5464" t="s">
        <v>51</v>
      </c>
      <c r="D5464" s="2" t="s">
        <f>=HYPERLINK("https://main.knesset.gov.il/APPS/legislation/main/bills/2200723", "הצעת חוק מאבק בארגוני פשיעה (תיקון - הרחבת הנסיבה המחמירה לזיקה לארגון פשיעה), התשפ""ג-2023")</f>
        <v>8856</v>
      </c>
      <c r="E5464" t="s">
        <v>8856</v>
      </c>
      <c r="F5464" t="s">
        <v>11112</v>
      </c>
      <c r="G5464" t="s">
        <v>14</v>
      </c>
      <c r="H5464">
             </c>
      <c r="I5464" t="s">
        <v>14</v>
      </c>
      <c r="J5464" t="s">
        <v>242</v>
      </c>
      <c r="K5464" t="s">
        <v>14</v>
      </c>
      <c r="L5464" t="s">
        <v>20</v>
      </c>
      <c r="M5464" t="s">
        <v>11098</v>
      </c>
      <c r="N5464" t="s">
        <v>14</v>
      </c>
    </row>
    <row r="5465" x14ac:dyDescent="0.25">
      <c r="A5465" t="n">
        <v>25</v>
      </c>
      <c r="B5465" t="s">
        <v>14</v>
      </c>
      <c r="C5465" t="s">
        <v>51</v>
      </c>
      <c r="D5465" s="2" t="s">
        <f>=HYPERLINK("https://main.knesset.gov.il/APPS/legislation/main/bills/2200627", "הצעת חוק הביטוח הלאומי (תיקון - משלוח הודעה בדבר זכאות המבוטח), התשפ""ג-2023")</f>
        <v>4855</v>
      </c>
      <c r="E5465" t="s">
        <v>4855</v>
      </c>
      <c r="F5465" t="s">
        <v>11113</v>
      </c>
      <c r="G5465" t="s">
        <v>14</v>
      </c>
      <c r="H5465">
             </c>
      <c r="I5465" t="s">
        <v>14</v>
      </c>
      <c r="J5465" t="s">
        <v>242</v>
      </c>
      <c r="K5465" t="s">
        <v>14</v>
      </c>
      <c r="L5465" t="s">
        <v>20</v>
      </c>
      <c r="M5465" t="s">
        <v>11098</v>
      </c>
      <c r="N5465" t="s">
        <v>14</v>
      </c>
    </row>
    <row r="5466" x14ac:dyDescent="0.25">
      <c r="A5466" t="n">
        <v>25</v>
      </c>
      <c r="B5466" t="s">
        <v>14</v>
      </c>
      <c r="C5466" t="s">
        <v>51</v>
      </c>
      <c r="D5466" s="2" t="s">
        <f>=HYPERLINK("https://main.knesset.gov.il/APPS/legislation/main/bills/2200634", "הצעת חוק הרשויות המקומיות (גמול השתתפות בישיבות והחזר הוצאות לחברי מועצה), התשפ""ג-2023")</f>
        <v>3064</v>
      </c>
      <c r="E5466" t="s">
        <v>3064</v>
      </c>
      <c r="F5466" t="s">
        <v>11114</v>
      </c>
      <c r="G5466" t="s">
        <v>14</v>
      </c>
      <c r="H5466">
             </c>
      <c r="I5466" t="s">
        <v>14</v>
      </c>
      <c r="J5466" t="s">
        <v>242</v>
      </c>
      <c r="K5466" t="s">
        <v>14</v>
      </c>
      <c r="L5466" t="s">
        <v>20</v>
      </c>
      <c r="M5466" t="s">
        <v>11098</v>
      </c>
      <c r="N5466" t="s">
        <v>14</v>
      </c>
    </row>
    <row r="5467" x14ac:dyDescent="0.25">
      <c r="A5467" t="n">
        <v>25</v>
      </c>
      <c r="B5467" t="s">
        <v>14</v>
      </c>
      <c r="C5467" t="s">
        <v>51</v>
      </c>
      <c r="D5467" s="2" t="s">
        <f>=HYPERLINK("https://main.knesset.gov.il/APPS/legislation/main/bills/2200470", "הצעת חוק מיקוד גמלאות לאזרחים ותיקים (תיקוני חקיקה), התשפ""ג-2023")</f>
        <v>9536</v>
      </c>
      <c r="E5467" t="s">
        <v>9536</v>
      </c>
      <c r="F5467" t="s">
        <v>11115</v>
      </c>
      <c r="G5467" t="s">
        <v>14</v>
      </c>
      <c r="H5467">
             </c>
      <c r="I5467" t="s">
        <v>14</v>
      </c>
      <c r="J5467" t="s">
        <v>242</v>
      </c>
      <c r="K5467" t="s">
        <v>14</v>
      </c>
      <c r="L5467" t="s">
        <v>20</v>
      </c>
      <c r="M5467" t="s">
        <v>11098</v>
      </c>
      <c r="N5467" t="s">
        <v>14</v>
      </c>
    </row>
    <row r="5468" x14ac:dyDescent="0.25">
      <c r="A5468" t="n">
        <v>25</v>
      </c>
      <c r="B5468" t="s">
        <v>14</v>
      </c>
      <c r="C5468" t="s">
        <v>51</v>
      </c>
      <c r="D5468" s="2" t="s">
        <f>=HYPERLINK("https://main.knesset.gov.il/APPS/legislation/main/bills/2200457", "הצעת חוק דמי מחלה (היעדרות בשל מחלת ילד) (תיקון - היעדרות בשל אשפוז ילד), התשפ""ג-2023")</f>
        <v>10379</v>
      </c>
      <c r="E5468" t="s">
        <v>10379</v>
      </c>
      <c r="F5468" t="s">
        <v>11116</v>
      </c>
      <c r="G5468" t="s">
        <v>14</v>
      </c>
      <c r="H5468">
             </c>
      <c r="I5468" t="s">
        <v>14</v>
      </c>
      <c r="J5468" t="s">
        <v>242</v>
      </c>
      <c r="K5468" t="s">
        <v>14</v>
      </c>
      <c r="L5468" t="s">
        <v>20</v>
      </c>
      <c r="M5468" t="s">
        <v>11098</v>
      </c>
      <c r="N5468" t="s">
        <v>14</v>
      </c>
    </row>
    <row r="5469" x14ac:dyDescent="0.25">
      <c r="A5469" t="n">
        <v>25</v>
      </c>
      <c r="B5469" t="s">
        <v>14</v>
      </c>
      <c r="C5469" t="s">
        <v>51</v>
      </c>
      <c r="D5469" s="2" t="s">
        <f>=HYPERLINK("https://main.knesset.gov.il/APPS/legislation/main/bills/2199702", "הצעת חוק חישוב דרגת הזכאות של מורה להשתתפות המדינה בדמי ההחזקה לילד במעונות יום ובמשפחתונים, התשפ""ג-2023")</f>
        <v>8543</v>
      </c>
      <c r="E5469" t="s">
        <v>8543</v>
      </c>
      <c r="F5469" t="s">
        <v>11117</v>
      </c>
      <c r="G5469" t="s">
        <v>14</v>
      </c>
      <c r="H5469">
             </c>
      <c r="I5469" t="s">
        <v>14</v>
      </c>
      <c r="J5469" t="s">
        <v>242</v>
      </c>
      <c r="K5469" t="s">
        <v>14</v>
      </c>
      <c r="L5469" t="s">
        <v>20</v>
      </c>
      <c r="M5469" t="s">
        <v>11098</v>
      </c>
      <c r="N5469" t="s">
        <v>14</v>
      </c>
    </row>
    <row r="5470" x14ac:dyDescent="0.25">
      <c r="A5470" t="n">
        <v>25</v>
      </c>
      <c r="B5470" t="s">
        <v>14</v>
      </c>
      <c r="C5470" t="s">
        <v>51</v>
      </c>
      <c r="D5470" s="2" t="s">
        <f>=HYPERLINK("https://main.knesset.gov.il/APPS/legislation/main/bills/2200227", "הצעת חוק שכר מינימום (תיקון - תוספת שלא תובא בחשבון בשכר המינימום), התשפ""ג-2023")</f>
        <v>11118</v>
      </c>
      <c r="E5470" t="s">
        <v>11118</v>
      </c>
      <c r="F5470" t="s">
        <v>11119</v>
      </c>
      <c r="G5470" t="s">
        <v>14</v>
      </c>
      <c r="H5470">
             </c>
      <c r="I5470" t="s">
        <v>14</v>
      </c>
      <c r="J5470" t="s">
        <v>242</v>
      </c>
      <c r="K5470" t="s">
        <v>14</v>
      </c>
      <c r="L5470" t="s">
        <v>20</v>
      </c>
      <c r="M5470" t="s">
        <v>11098</v>
      </c>
      <c r="N5470" t="s">
        <v>14</v>
      </c>
    </row>
    <row r="5471" x14ac:dyDescent="0.25">
      <c r="A5471" t="n">
        <v>25</v>
      </c>
      <c r="B5471" t="s">
        <v>14</v>
      </c>
      <c r="C5471" t="s">
        <v>51</v>
      </c>
      <c r="D5471" s="2" t="s">
        <f>=HYPERLINK("https://main.knesset.gov.il/APPS/legislation/main/bills/2200301", "הצעת חוק הביטוח הלאומי (תיקון - הכרה בפגיעה מינית בעבודה כפגיעה בעבודה), התשפ""ג-2023")</f>
        <v>11120</v>
      </c>
      <c r="E5471" t="s">
        <v>11120</v>
      </c>
      <c r="F5471" t="s">
        <v>11121</v>
      </c>
      <c r="G5471" t="s">
        <v>14</v>
      </c>
      <c r="H5471">
             </c>
      <c r="I5471" t="s">
        <v>14</v>
      </c>
      <c r="J5471" t="s">
        <v>242</v>
      </c>
      <c r="K5471" t="s">
        <v>14</v>
      </c>
      <c r="L5471" t="s">
        <v>20</v>
      </c>
      <c r="M5471" t="s">
        <v>11098</v>
      </c>
      <c r="N5471" t="s">
        <v>14</v>
      </c>
    </row>
    <row r="5472" x14ac:dyDescent="0.25">
      <c r="A5472" t="n">
        <v>25</v>
      </c>
      <c r="B5472" t="s">
        <v>14</v>
      </c>
      <c r="C5472" t="s">
        <v>51</v>
      </c>
      <c r="D5472" s="2" t="s">
        <f>=HYPERLINK("https://main.knesset.gov.il/APPS/legislation/main/bills/2200632", "הצעת חוק האזרחים הוותיקים (תיקון - הקמת קרן למימון תרופות לאזרחים ותיקים מעוטי יכולת), התשפ""ג-2023")</f>
        <v>11122</v>
      </c>
      <c r="E5472" t="s">
        <v>11122</v>
      </c>
      <c r="F5472" t="s">
        <v>11123</v>
      </c>
      <c r="G5472" t="s">
        <v>14</v>
      </c>
      <c r="H5472">
             </c>
      <c r="I5472" t="s">
        <v>14</v>
      </c>
      <c r="J5472" t="s">
        <v>242</v>
      </c>
      <c r="K5472" t="s">
        <v>14</v>
      </c>
      <c r="L5472" t="s">
        <v>20</v>
      </c>
      <c r="M5472" t="s">
        <v>11098</v>
      </c>
      <c r="N5472" t="s">
        <v>14</v>
      </c>
    </row>
    <row r="5473" x14ac:dyDescent="0.25">
      <c r="A5473" t="n">
        <v>25</v>
      </c>
      <c r="B5473" t="s">
        <v>14</v>
      </c>
      <c r="C5473" t="s">
        <v>51</v>
      </c>
      <c r="D5473" s="2" t="s">
        <f>=HYPERLINK("https://main.knesset.gov.il/APPS/legislation/main/bills/2200746", "הצעת חוק הביטוח הלאומי (תיקון - הרחבת הזכאות למענק פטירה), התשפ""ג-2023")</f>
        <v>11124</v>
      </c>
      <c r="E5473" t="s">
        <v>11124</v>
      </c>
      <c r="F5473" t="s">
        <v>11125</v>
      </c>
      <c r="G5473" t="s">
        <v>14</v>
      </c>
      <c r="H5473">
             </c>
      <c r="I5473" t="s">
        <v>14</v>
      </c>
      <c r="J5473" t="s">
        <v>242</v>
      </c>
      <c r="K5473" t="s">
        <v>14</v>
      </c>
      <c r="L5473" t="s">
        <v>20</v>
      </c>
      <c r="M5473" t="s">
        <v>11098</v>
      </c>
      <c r="N5473" t="s">
        <v>14</v>
      </c>
    </row>
    <row r="5474" x14ac:dyDescent="0.25">
      <c r="A5474" t="n">
        <v>25</v>
      </c>
      <c r="B5474" t="s">
        <v>14</v>
      </c>
      <c r="C5474" t="s">
        <v>51</v>
      </c>
      <c r="D5474" s="2" t="s">
        <f>=HYPERLINK("https://main.knesset.gov.il/APPS/legislation/main/bills/2200289", "הצעת חוק סיוע לקטינים נפגעי עבירות מין או אלימות (תיקון - טיפול נפשי לילדים נפגעי אלימות במשפחה), התשפ""ג-2023")</f>
        <v>11126</v>
      </c>
      <c r="E5474" t="s">
        <v>11126</v>
      </c>
      <c r="F5474" t="s">
        <v>11127</v>
      </c>
      <c r="G5474" t="s">
        <v>14</v>
      </c>
      <c r="H5474">
             </c>
      <c r="I5474" t="s">
        <v>14</v>
      </c>
      <c r="J5474" t="s">
        <v>242</v>
      </c>
      <c r="K5474" t="s">
        <v>14</v>
      </c>
      <c r="L5474" t="s">
        <v>20</v>
      </c>
      <c r="M5474" t="s">
        <v>11098</v>
      </c>
      <c r="N5474" t="s">
        <v>14</v>
      </c>
    </row>
    <row r="5475" x14ac:dyDescent="0.25">
      <c r="A5475" t="n">
        <v>25</v>
      </c>
      <c r="B5475" t="s">
        <v>14</v>
      </c>
      <c r="C5475" t="s">
        <v>51</v>
      </c>
      <c r="D5475" s="2" t="s">
        <f>=HYPERLINK("https://main.knesset.gov.il/APPS/legislation/main/bills/2199986", "הצעת חוק הבטחת הכנסה (תיקון - הצמדת הגמלה בגיל פרישה לשכר הממוצע במשק), התשפ""ג-2023")</f>
        <v>11128</v>
      </c>
      <c r="E5475" t="s">
        <v>11128</v>
      </c>
      <c r="F5475" t="s">
        <v>11129</v>
      </c>
      <c r="G5475" t="s">
        <v>14</v>
      </c>
      <c r="H5475">
             </c>
      <c r="I5475" t="s">
        <v>14</v>
      </c>
      <c r="J5475" t="s">
        <v>242</v>
      </c>
      <c r="K5475" t="s">
        <v>14</v>
      </c>
      <c r="L5475" t="s">
        <v>20</v>
      </c>
      <c r="M5475" t="s">
        <v>11098</v>
      </c>
      <c r="N5475" t="s">
        <v>14</v>
      </c>
    </row>
    <row r="5476" x14ac:dyDescent="0.25">
      <c r="A5476" t="n">
        <v>25</v>
      </c>
      <c r="B5476" t="s">
        <v>14</v>
      </c>
      <c r="C5476" t="s">
        <v>51</v>
      </c>
      <c r="D5476" s="2" t="s">
        <f>=HYPERLINK("https://main.knesset.gov.il/APPS/legislation/main/bills/2200013", "הצעת חוק הביטוח הלאומי (תיקון - דמי אבטלה לעובד שפוטר לאחר שהגיע לגיל פרישה), התשפ""ג-2023")</f>
        <v>11130</v>
      </c>
      <c r="E5476" t="s">
        <v>11130</v>
      </c>
      <c r="F5476" t="s">
        <v>11131</v>
      </c>
      <c r="G5476" t="s">
        <v>14</v>
      </c>
      <c r="H5476">
             </c>
      <c r="I5476" t="s">
        <v>14</v>
      </c>
      <c r="J5476" t="s">
        <v>242</v>
      </c>
      <c r="K5476" t="s">
        <v>14</v>
      </c>
      <c r="L5476" t="s">
        <v>20</v>
      </c>
      <c r="M5476" t="s">
        <v>11098</v>
      </c>
      <c r="N5476" t="s">
        <v>14</v>
      </c>
    </row>
    <row r="5477" x14ac:dyDescent="0.25">
      <c r="A5477" t="n">
        <v>25</v>
      </c>
      <c r="B5477" t="s">
        <v>14</v>
      </c>
      <c r="C5477" t="s">
        <v>51</v>
      </c>
      <c r="D5477" s="2" t="s">
        <f>=HYPERLINK("https://main.knesset.gov.il/APPS/legislation/main/bills/2198696", "הצעת חוק סיוע לקטינים נפגעי עבירות מין או אלימות (תיקון - טיפול נפשי לילדים נפגעי אלימות במשפחה), התשפ""ג-2023")</f>
        <v>11126</v>
      </c>
      <c r="E5477" t="s">
        <v>11126</v>
      </c>
      <c r="F5477" t="s">
        <v>11132</v>
      </c>
      <c r="G5477" t="s">
        <v>14</v>
      </c>
      <c r="H5477">
             </c>
      <c r="I5477" t="s">
        <v>14</v>
      </c>
      <c r="J5477" t="s">
        <v>242</v>
      </c>
      <c r="K5477" t="s">
        <v>14</v>
      </c>
      <c r="L5477" t="s">
        <v>20</v>
      </c>
      <c r="M5477" t="s">
        <v>11098</v>
      </c>
      <c r="N5477" t="s">
        <v>14</v>
      </c>
    </row>
    <row r="5478" x14ac:dyDescent="0.25">
      <c r="A5478" t="n">
        <v>25</v>
      </c>
      <c r="B5478" t="s">
        <v>14</v>
      </c>
      <c r="C5478" t="s">
        <v>51</v>
      </c>
      <c r="D5478" s="2" t="s">
        <f>=HYPERLINK("https://main.knesset.gov.il/APPS/legislation/main/bills/2200515", "הצעת חוק הגנת השכר (תיקון - צירוף פירוט שעות חודשי לתלוש השכר), התשפ""ג-2023")</f>
        <v>11133</v>
      </c>
      <c r="E5478" t="s">
        <v>11133</v>
      </c>
      <c r="F5478" t="s">
        <v>11134</v>
      </c>
      <c r="G5478" t="s">
        <v>14</v>
      </c>
      <c r="H5478">
             </c>
      <c r="I5478" t="s">
        <v>14</v>
      </c>
      <c r="J5478" t="s">
        <v>242</v>
      </c>
      <c r="K5478" t="s">
        <v>14</v>
      </c>
      <c r="L5478" t="s">
        <v>20</v>
      </c>
      <c r="M5478" t="s">
        <v>11098</v>
      </c>
      <c r="N5478" t="s">
        <v>14</v>
      </c>
    </row>
    <row r="5479" x14ac:dyDescent="0.25">
      <c r="A5479" t="n">
        <v>25</v>
      </c>
      <c r="B5479" t="s">
        <v>14</v>
      </c>
      <c r="C5479" t="s">
        <v>51</v>
      </c>
      <c r="D5479" s="2" t="s">
        <f>=HYPERLINK("https://main.knesset.gov.il/APPS/legislation/main/bills/2200685", "הצעת חוק דמי מחלה (תיקון - הצהרת מחלה), התשפ""ג-2023")</f>
        <v>11135</v>
      </c>
      <c r="E5479" t="s">
        <v>11135</v>
      </c>
      <c r="F5479" t="s">
        <v>11136</v>
      </c>
      <c r="G5479" t="s">
        <v>14</v>
      </c>
      <c r="H5479">
             </c>
      <c r="I5479" t="s">
        <v>14</v>
      </c>
      <c r="J5479" t="s">
        <v>242</v>
      </c>
      <c r="K5479" t="s">
        <v>14</v>
      </c>
      <c r="L5479" t="s">
        <v>20</v>
      </c>
      <c r="M5479" t="s">
        <v>11098</v>
      </c>
      <c r="N5479" t="s">
        <v>14</v>
      </c>
    </row>
    <row r="5480" x14ac:dyDescent="0.25">
      <c r="A5480" t="n">
        <v>25</v>
      </c>
      <c r="B5480" t="s">
        <v>14</v>
      </c>
      <c r="C5480" t="s">
        <v>51</v>
      </c>
      <c r="D5480" s="2" t="s">
        <f>=HYPERLINK("https://main.knesset.gov.il/APPS/legislation/main/bills/2200637", "הצעת חוק תומכות חינוך במוסדות חינוך, התשפ""ג-2023")</f>
        <v>11137</v>
      </c>
      <c r="E5480" t="s">
        <v>11137</v>
      </c>
      <c r="F5480" t="s">
        <v>11138</v>
      </c>
      <c r="G5480" t="s">
        <v>14</v>
      </c>
      <c r="H5480">
             </c>
      <c r="I5480" t="s">
        <v>14</v>
      </c>
      <c r="J5480" t="s">
        <v>242</v>
      </c>
      <c r="K5480" t="s">
        <v>14</v>
      </c>
      <c r="L5480" t="s">
        <v>20</v>
      </c>
      <c r="M5480" t="s">
        <v>11098</v>
      </c>
      <c r="N5480" t="s">
        <v>14</v>
      </c>
    </row>
    <row r="5481" x14ac:dyDescent="0.25">
      <c r="A5481" t="n">
        <v>25</v>
      </c>
      <c r="B5481" t="s">
        <v>14</v>
      </c>
      <c r="C5481" t="s">
        <v>51</v>
      </c>
      <c r="D5481" s="2" t="s">
        <f>=HYPERLINK("https://main.knesset.gov.il/APPS/legislation/main/bills/2200360", "הצעת חוק שכר מינימום (תיקון - שכר שווה לאנשים המתמודדים עם מוגבלות), התשפ""ג-2023")</f>
        <v>9634</v>
      </c>
      <c r="E5481" t="s">
        <v>9634</v>
      </c>
      <c r="F5481" t="s">
        <v>11139</v>
      </c>
      <c r="G5481" t="s">
        <v>14</v>
      </c>
      <c r="H5481">
             </c>
      <c r="I5481" t="s">
        <v>14</v>
      </c>
      <c r="J5481" t="s">
        <v>242</v>
      </c>
      <c r="K5481" t="s">
        <v>14</v>
      </c>
      <c r="L5481" t="s">
        <v>20</v>
      </c>
      <c r="M5481" t="s">
        <v>11098</v>
      </c>
      <c r="N5481" t="s">
        <v>14</v>
      </c>
    </row>
    <row r="5482" x14ac:dyDescent="0.25">
      <c r="A5482" t="n">
        <v>25</v>
      </c>
      <c r="B5482" t="s">
        <v>14</v>
      </c>
      <c r="C5482" t="s">
        <v>51</v>
      </c>
      <c r="D5482" s="2" t="s">
        <f>=HYPERLINK("https://main.knesset.gov.il/APPS/legislation/main/bills/2200529", "הצעת חוק היערכות אזרחית למצבי חירום, התשפ""ג-2023")</f>
        <v>11140</v>
      </c>
      <c r="E5482" t="s">
        <v>11140</v>
      </c>
      <c r="F5482" t="s">
        <v>11141</v>
      </c>
      <c r="G5482" t="s">
        <v>14</v>
      </c>
      <c r="H5482">
             </c>
      <c r="I5482" t="s">
        <v>14</v>
      </c>
      <c r="J5482" t="s">
        <v>242</v>
      </c>
      <c r="K5482" t="s">
        <v>14</v>
      </c>
      <c r="L5482" t="s">
        <v>20</v>
      </c>
      <c r="M5482" t="s">
        <v>11098</v>
      </c>
      <c r="N5482" t="s">
        <v>14</v>
      </c>
    </row>
    <row r="5483" x14ac:dyDescent="0.25">
      <c r="A5483" t="n">
        <v>25</v>
      </c>
      <c r="B5483" t="s">
        <v>14</v>
      </c>
      <c r="C5483" t="s">
        <v>51</v>
      </c>
      <c r="D5483" s="2" t="s">
        <f>=HYPERLINK("https://main.knesset.gov.il/APPS/legislation/main/bills/2200026", "הצעת חוק הבטחת הכנסה (תיקון - הגדלת הסכום להשתכרות בנוסף לקצבה), התשפ""ג-2023")</f>
        <v>9726</v>
      </c>
      <c r="E5483" t="s">
        <v>9726</v>
      </c>
      <c r="F5483" t="s">
        <v>11142</v>
      </c>
      <c r="G5483" t="s">
        <v>14</v>
      </c>
      <c r="H5483">
             </c>
      <c r="I5483" t="s">
        <v>14</v>
      </c>
      <c r="J5483" t="s">
        <v>242</v>
      </c>
      <c r="K5483" t="s">
        <v>14</v>
      </c>
      <c r="L5483" t="s">
        <v>20</v>
      </c>
      <c r="M5483" t="s">
        <v>11098</v>
      </c>
      <c r="N5483" t="s">
        <v>14</v>
      </c>
    </row>
    <row r="5484" x14ac:dyDescent="0.25">
      <c r="A5484" t="n">
        <v>25</v>
      </c>
      <c r="B5484" t="s">
        <v>14</v>
      </c>
      <c r="C5484" t="s">
        <v>51</v>
      </c>
      <c r="D5484" s="2" t="s">
        <f>=HYPERLINK("https://main.knesset.gov.il/APPS/legislation/main/bills/2200683", "הצעת חוק דמי מחלה (היעדרות בשל מחלת ילד) (תיקון - היעדרות בעקבות פגיעה בעבירת מין או אלימות חמורה), התשפ""ג-2023")</f>
        <v>8227</v>
      </c>
      <c r="E5484" t="s">
        <v>8227</v>
      </c>
      <c r="F5484" t="s">
        <v>11143</v>
      </c>
      <c r="G5484" t="s">
        <v>14</v>
      </c>
      <c r="H5484">
             </c>
      <c r="I5484" t="s">
        <v>14</v>
      </c>
      <c r="J5484" t="s">
        <v>242</v>
      </c>
      <c r="K5484" t="s">
        <v>14</v>
      </c>
      <c r="L5484" t="s">
        <v>20</v>
      </c>
      <c r="M5484" t="s">
        <v>11098</v>
      </c>
      <c r="N5484" t="s">
        <v>14</v>
      </c>
    </row>
    <row r="5485" x14ac:dyDescent="0.25">
      <c r="A5485" t="n">
        <v>25</v>
      </c>
      <c r="B5485" t="s">
        <v>14</v>
      </c>
      <c r="C5485" t="s">
        <v>51</v>
      </c>
      <c r="D5485" s="2" t="s">
        <f>=HYPERLINK("https://main.knesset.gov.il/APPS/legislation/main/bills/2200633", "הצעת חוק לתיקון פקודת העיריות (חובת גילוי מסמכי תאגיד עירוני), התשפ""ג-2023")</f>
        <v>10628</v>
      </c>
      <c r="E5485" t="s">
        <v>10628</v>
      </c>
      <c r="F5485" t="s">
        <v>11144</v>
      </c>
      <c r="G5485" t="s">
        <v>14</v>
      </c>
      <c r="H5485">
             </c>
      <c r="I5485" t="s">
        <v>14</v>
      </c>
      <c r="J5485" t="s">
        <v>242</v>
      </c>
      <c r="K5485" t="s">
        <v>14</v>
      </c>
      <c r="L5485" t="s">
        <v>20</v>
      </c>
      <c r="M5485" t="s">
        <v>11098</v>
      </c>
      <c r="N5485" t="s">
        <v>14</v>
      </c>
    </row>
    <row r="5486" x14ac:dyDescent="0.25">
      <c r="A5486" t="n">
        <v>25</v>
      </c>
      <c r="B5486" t="s">
        <v>14</v>
      </c>
      <c r="C5486" t="s">
        <v>51</v>
      </c>
      <c r="D5486" s="2" t="s">
        <f>=HYPERLINK("https://main.knesset.gov.il/APPS/legislation/main/bills/2200217", "הצעת חוק הגנה על עובדים (חשיפת עבירות ופגיעה בטוהר המידות או במינהל התקין) (תיקון - הגדלת סכום הפיצוי שאינו תלוי בנזק ושינוי נטל ההוכחה), התשפ""ג-2023")</f>
        <v>11145</v>
      </c>
      <c r="E5486" t="s">
        <v>11145</v>
      </c>
      <c r="F5486" t="s">
        <v>11146</v>
      </c>
      <c r="G5486" t="s">
        <v>14</v>
      </c>
      <c r="H5486">
             </c>
      <c r="I5486" t="s">
        <v>14</v>
      </c>
      <c r="J5486" t="s">
        <v>242</v>
      </c>
      <c r="K5486" t="s">
        <v>14</v>
      </c>
      <c r="L5486" t="s">
        <v>20</v>
      </c>
      <c r="M5486" t="s">
        <v>11098</v>
      </c>
      <c r="N5486" t="s">
        <v>14</v>
      </c>
    </row>
    <row r="5487" x14ac:dyDescent="0.25">
      <c r="A5487" t="n">
        <v>25</v>
      </c>
      <c r="B5487" t="s">
        <v>14</v>
      </c>
      <c r="C5487" t="s">
        <v>51</v>
      </c>
      <c r="D5487" s="2" t="s">
        <f>=HYPERLINK("https://main.knesset.gov.il/APPS/legislation/main/bills/2200015", "הצעת חוק הביטוח הלאומי (תיקון - הארכת תקופת הזכאות לדמי אבטלה לצעירים), התשפ""ג-2023")</f>
        <v>11147</v>
      </c>
      <c r="E5487" t="s">
        <v>11147</v>
      </c>
      <c r="F5487" t="s">
        <v>11148</v>
      </c>
      <c r="G5487" t="s">
        <v>14</v>
      </c>
      <c r="H5487">
             </c>
      <c r="I5487" t="s">
        <v>14</v>
      </c>
      <c r="J5487" t="s">
        <v>242</v>
      </c>
      <c r="K5487" t="s">
        <v>14</v>
      </c>
      <c r="L5487" t="s">
        <v>20</v>
      </c>
      <c r="M5487" t="s">
        <v>11098</v>
      </c>
      <c r="N5487" t="s">
        <v>14</v>
      </c>
    </row>
    <row r="5488" x14ac:dyDescent="0.25">
      <c r="A5488" t="n">
        <v>25</v>
      </c>
      <c r="B5488" t="s">
        <v>14</v>
      </c>
      <c r="C5488" t="s">
        <v>51</v>
      </c>
      <c r="D5488" s="2" t="s">
        <f>=HYPERLINK("https://main.knesset.gov.il/APPS/legislation/main/bills/2196516", "הצעת חוק הביטוח הלאומי (תיקון - הגדלת סכום קצבאות הילדים), התשפ""ג-2023")</f>
        <v>9884</v>
      </c>
      <c r="E5488" t="s">
        <v>9884</v>
      </c>
      <c r="F5488" t="s">
        <v>11149</v>
      </c>
      <c r="G5488" t="s">
        <v>14</v>
      </c>
      <c r="H5488">
             </c>
      <c r="I5488" t="s">
        <v>14</v>
      </c>
      <c r="J5488" t="s">
        <v>242</v>
      </c>
      <c r="K5488" t="s">
        <v>14</v>
      </c>
      <c r="L5488" t="s">
        <v>20</v>
      </c>
      <c r="M5488" t="s">
        <v>11098</v>
      </c>
      <c r="N5488" t="s">
        <v>14</v>
      </c>
    </row>
    <row r="5489" x14ac:dyDescent="0.25">
      <c r="A5489" t="n">
        <v>25</v>
      </c>
      <c r="B5489" t="s">
        <v>14</v>
      </c>
      <c r="C5489" t="s">
        <v>51</v>
      </c>
      <c r="D5489" s="2" t="s">
        <f>=HYPERLINK("https://main.knesset.gov.il/APPS/legislation/main/bills/2200571", "הצעת חוק איסור שימוש ברכב במימון ציבורי לחבר כנסת, שר וסגן שר ביום המנוחה השבועי ובחג, התשפ""ג-2023")</f>
        <v>11150</v>
      </c>
      <c r="E5489" t="s">
        <v>11150</v>
      </c>
      <c r="F5489" t="s">
        <v>11151</v>
      </c>
      <c r="G5489" t="s">
        <v>14</v>
      </c>
      <c r="H5489">
             </c>
      <c r="I5489" t="s">
        <v>14</v>
      </c>
      <c r="J5489" t="s">
        <v>242</v>
      </c>
      <c r="K5489" t="s">
        <v>14</v>
      </c>
      <c r="L5489" t="s">
        <v>20</v>
      </c>
      <c r="M5489" t="s">
        <v>11098</v>
      </c>
      <c r="N5489" t="s">
        <v>14</v>
      </c>
    </row>
    <row r="5490" x14ac:dyDescent="0.25">
      <c r="A5490" t="n">
        <v>25</v>
      </c>
      <c r="B5490" t="s">
        <v>14</v>
      </c>
      <c r="C5490" t="s">
        <v>51</v>
      </c>
      <c r="D5490" s="2" t="s">
        <f>=HYPERLINK("https://main.knesset.gov.il/APPS/legislation/main/bills/2200531", "הצעת חוק המים (תיקון - הוספת נציג ציבור לעניין איכות הסביבה למועצת רשות המים), התשפ""ג-2023")</f>
        <v>11152</v>
      </c>
      <c r="E5490" t="s">
        <v>11152</v>
      </c>
      <c r="F5490" t="s">
        <v>11153</v>
      </c>
      <c r="G5490" t="s">
        <v>14</v>
      </c>
      <c r="H5490">
             </c>
      <c r="I5490" t="s">
        <v>14</v>
      </c>
      <c r="J5490" t="s">
        <v>242</v>
      </c>
      <c r="K5490" t="s">
        <v>14</v>
      </c>
      <c r="L5490" t="s">
        <v>20</v>
      </c>
      <c r="M5490" t="s">
        <v>11098</v>
      </c>
      <c r="N5490" t="s">
        <v>14</v>
      </c>
    </row>
    <row r="5491" x14ac:dyDescent="0.25">
      <c r="A5491" t="n">
        <v>25</v>
      </c>
      <c r="B5491" t="s">
        <v>14</v>
      </c>
      <c r="C5491" t="s">
        <v>51</v>
      </c>
      <c r="D5491" s="2" t="s">
        <f>=HYPERLINK("https://main.knesset.gov.il/APPS/legislation/main/bills/2200616", "הצעת חוק שירותי הדת היהודיים (מועצות דתיות - בחירות), התשפ""ג-2023")</f>
        <v>11154</v>
      </c>
      <c r="E5491" t="s">
        <v>11154</v>
      </c>
      <c r="F5491" t="s">
        <v>11155</v>
      </c>
      <c r="G5491" t="s">
        <v>14</v>
      </c>
      <c r="H5491">
             </c>
      <c r="I5491" t="s">
        <v>14</v>
      </c>
      <c r="J5491" t="s">
        <v>242</v>
      </c>
      <c r="K5491" t="s">
        <v>14</v>
      </c>
      <c r="L5491" t="s">
        <v>20</v>
      </c>
      <c r="M5491" t="s">
        <v>11098</v>
      </c>
      <c r="N5491" t="s">
        <v>14</v>
      </c>
    </row>
    <row r="5492" x14ac:dyDescent="0.25">
      <c r="A5492" t="n">
        <v>25</v>
      </c>
      <c r="B5492" t="s">
        <v>14</v>
      </c>
      <c r="C5492" t="s">
        <v>51</v>
      </c>
      <c r="D5492" s="2" t="s">
        <f>=HYPERLINK("https://main.knesset.gov.il/APPS/legislation/main/bills/2200716", "הצעת חוק מפעל הזנה במוסדות חינוך על יסודיים לנוער בסיכון ולנוער נושר, התשפ''ג-2023")</f>
        <v>9670</v>
      </c>
      <c r="E5492" t="s">
        <v>9670</v>
      </c>
      <c r="F5492" t="s">
        <v>11156</v>
      </c>
      <c r="G5492" t="s">
        <v>14</v>
      </c>
      <c r="H5492">
             </c>
      <c r="I5492" t="s">
        <v>14</v>
      </c>
      <c r="J5492" t="s">
        <v>242</v>
      </c>
      <c r="K5492" t="s">
        <v>14</v>
      </c>
      <c r="L5492" t="s">
        <v>20</v>
      </c>
      <c r="M5492" t="s">
        <v>11098</v>
      </c>
      <c r="N5492" t="s">
        <v>14</v>
      </c>
    </row>
    <row r="5493" x14ac:dyDescent="0.25">
      <c r="A5493" t="n">
        <v>25</v>
      </c>
      <c r="B5493" t="s">
        <v>14</v>
      </c>
      <c r="C5493" t="s">
        <v>51</v>
      </c>
      <c r="D5493" s="2" t="s">
        <f>=HYPERLINK("https://main.knesset.gov.il/APPS/legislation/main/bills/2200454", "הצעת חוק הרשות הלאומית לתרבות ולשפה המרוקאית יהודית, התשפ""ג-2023")</f>
        <v>3292</v>
      </c>
      <c r="E5493" t="s">
        <v>3292</v>
      </c>
      <c r="F5493" t="s">
        <v>11157</v>
      </c>
      <c r="G5493" t="s">
        <v>14</v>
      </c>
      <c r="H5493">
             </c>
      <c r="I5493" t="s">
        <v>14</v>
      </c>
      <c r="J5493" t="s">
        <v>242</v>
      </c>
      <c r="K5493" t="s">
        <v>14</v>
      </c>
      <c r="L5493" t="s">
        <v>20</v>
      </c>
      <c r="M5493" t="s">
        <v>11098</v>
      </c>
      <c r="N5493" t="s">
        <v>14</v>
      </c>
    </row>
    <row r="5494" x14ac:dyDescent="0.25">
      <c r="A5494" t="n">
        <v>25</v>
      </c>
      <c r="B5494" t="s">
        <v>14</v>
      </c>
      <c r="C5494" t="s">
        <v>51</v>
      </c>
      <c r="D5494" s="2" t="s">
        <f>=HYPERLINK("https://main.knesset.gov.il/APPS/legislation/main/bills/2200644", "הצעת חוק הדיור הציבורי (זכויות רכישה) (תיקון - הארכת תוקף), התשפ""ג-2023")</f>
        <v>2192</v>
      </c>
      <c r="E5494" t="s">
        <v>2192</v>
      </c>
      <c r="F5494" t="s">
        <v>11158</v>
      </c>
      <c r="G5494" t="s">
        <v>14</v>
      </c>
      <c r="H5494">
             </c>
      <c r="I5494" t="s">
        <v>14</v>
      </c>
      <c r="J5494" t="s">
        <v>242</v>
      </c>
      <c r="K5494" t="s">
        <v>14</v>
      </c>
      <c r="L5494" t="s">
        <v>20</v>
      </c>
      <c r="M5494" t="s">
        <v>11098</v>
      </c>
      <c r="N5494" t="s">
        <v>14</v>
      </c>
    </row>
    <row r="5495" x14ac:dyDescent="0.25">
      <c r="A5495" t="n">
        <v>25</v>
      </c>
      <c r="B5495" t="s">
        <v>14</v>
      </c>
      <c r="C5495" t="s">
        <v>51</v>
      </c>
      <c r="D5495" s="2" t="s">
        <f>=HYPERLINK("https://main.knesset.gov.il/APPS/legislation/main/bills/2200462", "הצעת חוק לימוד חובה (תיקון - חינוך חינם לפעוטות), התשפ""ג-2023")</f>
        <v>11159</v>
      </c>
      <c r="E5495" t="s">
        <v>11159</v>
      </c>
      <c r="F5495" t="s">
        <v>11160</v>
      </c>
      <c r="G5495" t="s">
        <v>14</v>
      </c>
      <c r="H5495">
             </c>
      <c r="I5495" t="s">
        <v>14</v>
      </c>
      <c r="J5495" t="s">
        <v>242</v>
      </c>
      <c r="K5495" t="s">
        <v>14</v>
      </c>
      <c r="L5495" t="s">
        <v>20</v>
      </c>
      <c r="M5495" t="s">
        <v>11098</v>
      </c>
      <c r="N5495" t="s">
        <v>14</v>
      </c>
    </row>
    <row r="5496" x14ac:dyDescent="0.25">
      <c r="A5496" t="n">
        <v>25</v>
      </c>
      <c r="B5496" t="s">
        <v>14</v>
      </c>
      <c r="C5496" t="s">
        <v>51</v>
      </c>
      <c r="D5496" s="2" t="s">
        <f>=HYPERLINK("https://main.knesset.gov.il/APPS/legislation/main/bills/2200441", "הצעת חוק המועצה להשכלה גבוהה (תיקון - הגבלת שיתוף פעולה בין מוסד אקדמי לבין ארגון הפועל נגד מדינת ישראל), התשפ""ג-2023")</f>
        <v>11161</v>
      </c>
      <c r="E5496" t="s">
        <v>11161</v>
      </c>
      <c r="F5496" t="s">
        <v>11162</v>
      </c>
      <c r="G5496" t="s">
        <v>14</v>
      </c>
      <c r="H5496">
             </c>
      <c r="I5496" t="s">
        <v>14</v>
      </c>
      <c r="J5496" t="s">
        <v>242</v>
      </c>
      <c r="K5496" t="s">
        <v>14</v>
      </c>
      <c r="L5496" t="s">
        <v>20</v>
      </c>
      <c r="M5496" t="s">
        <v>11098</v>
      </c>
      <c r="N5496" t="s">
        <v>14</v>
      </c>
    </row>
    <row r="5497" x14ac:dyDescent="0.25">
      <c r="A5497" t="n">
        <v>25</v>
      </c>
      <c r="B5497" t="s">
        <v>14</v>
      </c>
      <c r="C5497" t="s">
        <v>51</v>
      </c>
      <c r="D5497" s="2" t="s">
        <f>=HYPERLINK("https://main.knesset.gov.il/APPS/legislation/main/bills/2200626", "הצעת חוק הדיור הציבורי (פתרונות דיור עבור ממתינים לדיור ציבורי), התשפ""ג-2023")</f>
        <v>10920</v>
      </c>
      <c r="E5497" t="s">
        <v>10920</v>
      </c>
      <c r="F5497" t="s">
        <v>11163</v>
      </c>
      <c r="G5497" t="s">
        <v>14</v>
      </c>
      <c r="H5497">
             </c>
      <c r="I5497" t="s">
        <v>14</v>
      </c>
      <c r="J5497" t="s">
        <v>242</v>
      </c>
      <c r="K5497" t="s">
        <v>14</v>
      </c>
      <c r="L5497" t="s">
        <v>20</v>
      </c>
      <c r="M5497" t="s">
        <v>11098</v>
      </c>
      <c r="N5497" t="s">
        <v>14</v>
      </c>
    </row>
    <row r="5498" x14ac:dyDescent="0.25">
      <c r="A5498" t="n">
        <v>25</v>
      </c>
      <c r="B5498" t="s">
        <v>14</v>
      </c>
      <c r="C5498" t="s">
        <v>51</v>
      </c>
      <c r="D5498" s="2" t="s">
        <f>=HYPERLINK("https://main.knesset.gov.il/APPS/legislation/main/bills/2199805", "הצעת חוק העונשין (תיקון - עונש מינימום וקנס על החזקת נשק בלתי חוקי), התשפ""ג-2023")</f>
        <v>11164</v>
      </c>
      <c r="E5498" t="s">
        <v>11164</v>
      </c>
      <c r="F5498" t="s">
        <v>11165</v>
      </c>
      <c r="G5498" t="s">
        <v>14</v>
      </c>
      <c r="H5498">
             </c>
      <c r="I5498" t="s">
        <v>14</v>
      </c>
      <c r="J5498" t="s">
        <v>242</v>
      </c>
      <c r="K5498" t="s">
        <v>14</v>
      </c>
      <c r="L5498" t="s">
        <v>20</v>
      </c>
      <c r="M5498" t="s">
        <v>11098</v>
      </c>
      <c r="N5498" t="s">
        <v>14</v>
      </c>
    </row>
    <row r="5499" x14ac:dyDescent="0.25">
      <c r="A5499" t="n">
        <v>25</v>
      </c>
      <c r="B5499" t="s">
        <v>14</v>
      </c>
      <c r="C5499" t="s">
        <v>51</v>
      </c>
      <c r="D5499" s="2" t="s">
        <f>=HYPERLINK("https://main.knesset.gov.il/APPS/legislation/main/bills/2198604", "הצעת חוק העונשין (תיקון - עבירות מין במשפחה), התשפ""ג-2023")</f>
        <v>11002</v>
      </c>
      <c r="E5499" t="s">
        <v>11002</v>
      </c>
      <c r="F5499" t="s">
        <v>11166</v>
      </c>
      <c r="G5499" t="s">
        <v>14</v>
      </c>
      <c r="H5499">
             </c>
      <c r="I5499" t="s">
        <v>14</v>
      </c>
      <c r="J5499" t="s">
        <v>242</v>
      </c>
      <c r="K5499" t="s">
        <v>14</v>
      </c>
      <c r="L5499" t="s">
        <v>20</v>
      </c>
      <c r="M5499" t="s">
        <v>11098</v>
      </c>
      <c r="N5499" t="s">
        <v>14</v>
      </c>
    </row>
    <row r="5500" x14ac:dyDescent="0.25">
      <c r="A5500" t="n">
        <v>25</v>
      </c>
      <c r="B5500" t="s">
        <v>14</v>
      </c>
      <c r="C5500" t="s">
        <v>51</v>
      </c>
      <c r="D5500" s="2" t="s">
        <f>=HYPERLINK("https://main.knesset.gov.il/APPS/legislation/main/bills/2200516", "הצעת חוק הדיינים (תיקון - כשירות מנהל בתי הדין הרבניים), התשפ""ג-2023")</f>
        <v>11167</v>
      </c>
      <c r="E5500" t="s">
        <v>11167</v>
      </c>
      <c r="F5500" t="s">
        <v>11168</v>
      </c>
      <c r="G5500" t="s">
        <v>14</v>
      </c>
      <c r="H5500">
             </c>
      <c r="I5500" t="s">
        <v>14</v>
      </c>
      <c r="J5500" t="s">
        <v>242</v>
      </c>
      <c r="K5500" t="s">
        <v>14</v>
      </c>
      <c r="L5500" t="s">
        <v>20</v>
      </c>
      <c r="M5500" t="s">
        <v>11098</v>
      </c>
      <c r="N5500" t="s">
        <v>14</v>
      </c>
    </row>
    <row r="5501" x14ac:dyDescent="0.25">
      <c r="A5501" t="n">
        <v>25</v>
      </c>
      <c r="B5501" t="s">
        <v>14</v>
      </c>
      <c r="C5501" t="s">
        <v>51</v>
      </c>
      <c r="D5501" s="2" t="s">
        <f>=HYPERLINK("https://main.knesset.gov.il/APPS/legislation/main/bills/2198387", "הצעת חוק שיווי זכויות האישה (תיקון - ייצוג הולם לנשים בכנסים במימון ציבורי), התשפ""ג-2023")</f>
        <v>11169</v>
      </c>
      <c r="E5501" t="s">
        <v>11169</v>
      </c>
      <c r="F5501" t="s">
        <v>11170</v>
      </c>
      <c r="G5501" t="s">
        <v>14</v>
      </c>
      <c r="H5501">
             </c>
      <c r="I5501" t="s">
        <v>14</v>
      </c>
      <c r="J5501" t="s">
        <v>242</v>
      </c>
      <c r="K5501" t="s">
        <v>14</v>
      </c>
      <c r="L5501" t="s">
        <v>20</v>
      </c>
      <c r="M5501" t="s">
        <v>11098</v>
      </c>
      <c r="N5501" t="s">
        <v>14</v>
      </c>
    </row>
    <row r="5502" x14ac:dyDescent="0.25">
      <c r="A5502" t="n">
        <v>25</v>
      </c>
      <c r="B5502" t="s">
        <v>14</v>
      </c>
      <c r="C5502" t="s">
        <v>51</v>
      </c>
      <c r="D5502" s="2" t="s">
        <f>=HYPERLINK("https://main.knesset.gov.il/APPS/legislation/main/bills/2200802", "הצעת חוק רכזי ביטחון שוטף צבאיים, התשפ""ג-2023")</f>
        <v>10842</v>
      </c>
      <c r="E5502" t="s">
        <v>10842</v>
      </c>
      <c r="F5502" t="s">
        <v>11171</v>
      </c>
      <c r="G5502" t="s">
        <v>14</v>
      </c>
      <c r="H5502">
             </c>
      <c r="I5502" t="s">
        <v>14</v>
      </c>
      <c r="J5502" t="s">
        <v>242</v>
      </c>
      <c r="K5502" t="s">
        <v>14</v>
      </c>
      <c r="L5502" t="s">
        <v>20</v>
      </c>
      <c r="M5502" t="s">
        <v>11098</v>
      </c>
      <c r="N5502" t="s">
        <v>14</v>
      </c>
    </row>
    <row r="5503" x14ac:dyDescent="0.25">
      <c r="A5503" t="n">
        <v>25</v>
      </c>
      <c r="B5503" t="s">
        <v>14</v>
      </c>
      <c r="C5503" t="s">
        <v>51</v>
      </c>
      <c r="D5503" s="2" t="s">
        <f>=HYPERLINK("https://main.knesset.gov.il/APPS/legislation/main/bills/2196632", "הצעת חוק למניעת פגיעה במדינת ישראל באמצעות חרם (תיקון - פיצוי בעלי עסקים), התשפ""ג-2023")</f>
        <v>11172</v>
      </c>
      <c r="E5503" t="s">
        <v>11172</v>
      </c>
      <c r="F5503" t="s">
        <v>11173</v>
      </c>
      <c r="G5503" t="s">
        <v>14</v>
      </c>
      <c r="H5503">
             </c>
      <c r="I5503" t="s">
        <v>14</v>
      </c>
      <c r="J5503" t="s">
        <v>242</v>
      </c>
      <c r="K5503" t="s">
        <v>14</v>
      </c>
      <c r="L5503" t="s">
        <v>20</v>
      </c>
      <c r="M5503" t="s">
        <v>11098</v>
      </c>
      <c r="N5503" t="s">
        <v>14</v>
      </c>
    </row>
    <row r="5504" x14ac:dyDescent="0.25">
      <c r="A5504" t="n">
        <v>25</v>
      </c>
      <c r="B5504" t="s">
        <v>14</v>
      </c>
      <c r="C5504" t="s">
        <v>51</v>
      </c>
      <c r="D5504" s="2" t="s">
        <f>=HYPERLINK("https://main.knesset.gov.il/APPS/legislation/main/bills/2200506", "הצעת חוק הגנה על הציבור מפני ביצוע עבירות מין (תיקון - מתן טיפול שיקום מונע ללא הרשעה), התשפ""ג-2023")</f>
        <v>11174</v>
      </c>
      <c r="E5504" t="s">
        <v>11174</v>
      </c>
      <c r="F5504" t="s">
        <v>11175</v>
      </c>
      <c r="G5504" t="s">
        <v>14</v>
      </c>
      <c r="H5504">
             </c>
      <c r="I5504" t="s">
        <v>14</v>
      </c>
      <c r="J5504" t="s">
        <v>242</v>
      </c>
      <c r="K5504" t="s">
        <v>14</v>
      </c>
      <c r="L5504" t="s">
        <v>20</v>
      </c>
      <c r="M5504" t="s">
        <v>11098</v>
      </c>
      <c r="N5504" t="s">
        <v>14</v>
      </c>
    </row>
    <row r="5505" x14ac:dyDescent="0.25">
      <c r="A5505" t="n">
        <v>25</v>
      </c>
      <c r="B5505" t="s">
        <v>14</v>
      </c>
      <c r="C5505" t="s">
        <v>51</v>
      </c>
      <c r="D5505" s="2" t="s">
        <f>=HYPERLINK("https://main.knesset.gov.il/APPS/legislation/main/bills/2200517", "הצעת חוק לקידום דיור בר השגה, התשפ""ג-2023")</f>
        <v>11176</v>
      </c>
      <c r="E5505" t="s">
        <v>11176</v>
      </c>
      <c r="F5505" t="s">
        <v>11177</v>
      </c>
      <c r="G5505" t="s">
        <v>14</v>
      </c>
      <c r="H5505">
             </c>
      <c r="I5505" t="s">
        <v>14</v>
      </c>
      <c r="J5505" t="s">
        <v>242</v>
      </c>
      <c r="K5505" t="s">
        <v>14</v>
      </c>
      <c r="L5505" t="s">
        <v>20</v>
      </c>
      <c r="M5505" t="s">
        <v>11098</v>
      </c>
      <c r="N5505" t="s">
        <v>14</v>
      </c>
    </row>
    <row r="5506" x14ac:dyDescent="0.25">
      <c r="A5506" t="n">
        <v>25</v>
      </c>
      <c r="B5506" t="s">
        <v>14</v>
      </c>
      <c r="C5506" t="s">
        <v>51</v>
      </c>
      <c r="D5506" s="2" t="s">
        <f>=HYPERLINK("https://main.knesset.gov.il/APPS/legislation/main/bills/2200524", "הצעת חוק החברות (תיקון - איסור חברות בדירקטוריון של בנק ושל חברה ציבורית נוספת), התשפ""ג-2023")</f>
        <v>11178</v>
      </c>
      <c r="E5506" t="s">
        <v>11178</v>
      </c>
      <c r="F5506" t="s">
        <v>11179</v>
      </c>
      <c r="G5506" t="s">
        <v>14</v>
      </c>
      <c r="H5506">
             </c>
      <c r="I5506" t="s">
        <v>14</v>
      </c>
      <c r="J5506" t="s">
        <v>242</v>
      </c>
      <c r="K5506" t="s">
        <v>14</v>
      </c>
      <c r="L5506" t="s">
        <v>20</v>
      </c>
      <c r="M5506" t="s">
        <v>11098</v>
      </c>
      <c r="N5506" t="s">
        <v>14</v>
      </c>
    </row>
    <row r="5507" x14ac:dyDescent="0.25">
      <c r="A5507" t="n">
        <v>25</v>
      </c>
      <c r="B5507" t="s">
        <v>14</v>
      </c>
      <c r="C5507" t="s">
        <v>51</v>
      </c>
      <c r="D5507" s="2" t="s">
        <f>=HYPERLINK("https://main.knesset.gov.il/APPS/legislation/main/bills/2200521", "הצעת חוק ההוצאה לפועל (תיקון - קביעת תעריף מקסימלי לשכר טרחת עורך דין), התשפ""ג-2023")</f>
        <v>10705</v>
      </c>
      <c r="E5507" t="s">
        <v>10705</v>
      </c>
      <c r="F5507" t="s">
        <v>11180</v>
      </c>
      <c r="G5507" t="s">
        <v>14</v>
      </c>
      <c r="H5507">
             </c>
      <c r="I5507" t="s">
        <v>14</v>
      </c>
      <c r="J5507" t="s">
        <v>242</v>
      </c>
      <c r="K5507" t="s">
        <v>14</v>
      </c>
      <c r="L5507" t="s">
        <v>20</v>
      </c>
      <c r="M5507" t="s">
        <v>11098</v>
      </c>
      <c r="N5507" t="s">
        <v>14</v>
      </c>
    </row>
    <row r="5508" x14ac:dyDescent="0.25">
      <c r="A5508" t="n">
        <v>25</v>
      </c>
      <c r="B5508" t="s">
        <v>14</v>
      </c>
      <c r="C5508" t="s">
        <v>51</v>
      </c>
      <c r="D5508" s="2" t="s">
        <f>=HYPERLINK("https://main.knesset.gov.il/APPS/legislation/main/bills/2200514", "הצעת חוק זכויות הדייר בדיור הציבורי (תיקון - זכאות לאימהות יחידניות המקבלות מזונות ילדים), התשפ""ג-2023")</f>
        <v>10837</v>
      </c>
      <c r="E5508" t="s">
        <v>10837</v>
      </c>
      <c r="F5508" t="s">
        <v>11181</v>
      </c>
      <c r="G5508" t="s">
        <v>14</v>
      </c>
      <c r="H5508">
             </c>
      <c r="I5508" t="s">
        <v>14</v>
      </c>
      <c r="J5508" t="s">
        <v>242</v>
      </c>
      <c r="K5508" t="s">
        <v>14</v>
      </c>
      <c r="L5508" t="s">
        <v>20</v>
      </c>
      <c r="M5508" t="s">
        <v>11098</v>
      </c>
      <c r="N5508" t="s">
        <v>14</v>
      </c>
    </row>
    <row r="5509" x14ac:dyDescent="0.25">
      <c r="A5509" t="n">
        <v>25</v>
      </c>
      <c r="B5509" t="s">
        <v>14</v>
      </c>
      <c r="C5509" t="s">
        <v>51</v>
      </c>
      <c r="D5509" s="2" t="s">
        <f>=HYPERLINK("https://main.knesset.gov.il/APPS/legislation/main/bills/2200461", "הצעת חוק זכויות נפגעי עבירה (תיקון - מרכזי טיפול ייעודיים לנפגעות ונפגעי עבירות מין בגירים), התשפ""ג-2023")</f>
        <v>11182</v>
      </c>
      <c r="E5509" t="s">
        <v>11182</v>
      </c>
      <c r="F5509" t="s">
        <v>11183</v>
      </c>
      <c r="G5509" t="s">
        <v>14</v>
      </c>
      <c r="H5509">
             </c>
      <c r="I5509" t="s">
        <v>14</v>
      </c>
      <c r="J5509" t="s">
        <v>242</v>
      </c>
      <c r="K5509" t="s">
        <v>14</v>
      </c>
      <c r="L5509" t="s">
        <v>20</v>
      </c>
      <c r="M5509" t="s">
        <v>11098</v>
      </c>
      <c r="N5509" t="s">
        <v>14</v>
      </c>
    </row>
    <row r="5510" x14ac:dyDescent="0.25">
      <c r="A5510" t="n">
        <v>25</v>
      </c>
      <c r="B5510" t="s">
        <v>14</v>
      </c>
      <c r="C5510" t="s">
        <v>51</v>
      </c>
      <c r="D5510" s="2" t="s">
        <f>=HYPERLINK("https://main.knesset.gov.il/APPS/legislation/main/bills/2200292", "הצעת חוק הביטוח הלאומי (תיקון - גמלת סיעוד למבוטח הנמצא במוסד סיעודי), התשפ""ג-2023")</f>
        <v>11184</v>
      </c>
      <c r="E5510" t="s">
        <v>11184</v>
      </c>
      <c r="F5510" t="s">
        <v>11185</v>
      </c>
      <c r="G5510" t="s">
        <v>14</v>
      </c>
      <c r="H5510">
             </c>
      <c r="I5510" t="s">
        <v>14</v>
      </c>
      <c r="J5510" t="s">
        <v>242</v>
      </c>
      <c r="K5510" t="s">
        <v>14</v>
      </c>
      <c r="L5510" t="s">
        <v>20</v>
      </c>
      <c r="M5510" t="s">
        <v>11098</v>
      </c>
      <c r="N5510" t="s">
        <v>14</v>
      </c>
    </row>
    <row r="5511" x14ac:dyDescent="0.25">
      <c r="A5511" t="n">
        <v>25</v>
      </c>
      <c r="B5511" t="s">
        <v>14</v>
      </c>
      <c r="C5511" t="s">
        <v>51</v>
      </c>
      <c r="D5511" s="2" t="s">
        <f>=HYPERLINK("https://main.knesset.gov.il/APPS/legislation/main/bills/2198646", "הצעת חוק צירוף משפחות נפגעי טרור כצד להליך המשפטי (תיקוני חקיקה), התשפ""ג-2023")</f>
        <v>11186</v>
      </c>
      <c r="E5511" t="s">
        <v>11186</v>
      </c>
      <c r="F5511" t="s">
        <v>11187</v>
      </c>
      <c r="G5511" t="s">
        <v>14</v>
      </c>
      <c r="H5511">
             </c>
      <c r="I5511" t="s">
        <v>14</v>
      </c>
      <c r="J5511" t="s">
        <v>242</v>
      </c>
      <c r="K5511" t="s">
        <v>14</v>
      </c>
      <c r="L5511" t="s">
        <v>20</v>
      </c>
      <c r="M5511" t="s">
        <v>11098</v>
      </c>
      <c r="N5511" t="s">
        <v>14</v>
      </c>
    </row>
    <row r="5512" x14ac:dyDescent="0.25">
      <c r="A5512" t="n">
        <v>25</v>
      </c>
      <c r="B5512" t="s">
        <v>14</v>
      </c>
      <c r="C5512" t="s">
        <v>51</v>
      </c>
      <c r="D5512" s="2" t="s">
        <f>=HYPERLINK("https://main.knesset.gov.il/APPS/legislation/main/bills/2200519", "הצעת חוק ההוצאה לפועל (תיקון - הגבלת עיקול מיטלטליו של קשיש), התשפ""ג-2023")</f>
        <v>11188</v>
      </c>
      <c r="E5512" t="s">
        <v>11188</v>
      </c>
      <c r="F5512" t="s">
        <v>11189</v>
      </c>
      <c r="G5512" t="s">
        <v>14</v>
      </c>
      <c r="H5512">
             </c>
      <c r="I5512" t="s">
        <v>14</v>
      </c>
      <c r="J5512" t="s">
        <v>242</v>
      </c>
      <c r="K5512" t="s">
        <v>14</v>
      </c>
      <c r="L5512" t="s">
        <v>20</v>
      </c>
      <c r="M5512" t="s">
        <v>11098</v>
      </c>
      <c r="N5512" t="s">
        <v>14</v>
      </c>
    </row>
    <row r="5513" x14ac:dyDescent="0.25">
      <c r="A5513" t="n">
        <v>25</v>
      </c>
      <c r="B5513" t="s">
        <v>14</v>
      </c>
      <c r="C5513" t="s">
        <v>51</v>
      </c>
      <c r="D5513" s="2" t="s">
        <f>=HYPERLINK("https://main.knesset.gov.il/APPS/legislation/main/bills/2200513", "הצעת חוק החברות (תיקון - ייצוג הולם של נשים בדירקטוריונים של חברות ציבוריות), התשפ""ג-2023")</f>
        <v>11190</v>
      </c>
      <c r="E5513" t="s">
        <v>11190</v>
      </c>
      <c r="F5513" t="s">
        <v>11191</v>
      </c>
      <c r="G5513" t="s">
        <v>14</v>
      </c>
      <c r="H5513">
             </c>
      <c r="I5513" t="s">
        <v>14</v>
      </c>
      <c r="J5513" t="s">
        <v>242</v>
      </c>
      <c r="K5513" t="s">
        <v>14</v>
      </c>
      <c r="L5513" t="s">
        <v>20</v>
      </c>
      <c r="M5513" t="s">
        <v>11098</v>
      </c>
      <c r="N5513" t="s">
        <v>14</v>
      </c>
    </row>
    <row r="5514" x14ac:dyDescent="0.25">
      <c r="A5514" t="n">
        <v>25</v>
      </c>
      <c r="B5514" t="s">
        <v>14</v>
      </c>
      <c r="C5514" t="s">
        <v>51</v>
      </c>
      <c r="D5514" s="2" t="s">
        <f>=HYPERLINK("https://main.knesset.gov.il/APPS/legislation/main/bills/2200253", "הצעת חוק הביטוח הלאומי (תיקון - דמי אבטלה לעצמאים), התשפ""ג-2023")</f>
        <v>9590</v>
      </c>
      <c r="E5514" t="s">
        <v>9590</v>
      </c>
      <c r="F5514" t="s">
        <v>11192</v>
      </c>
      <c r="G5514" t="s">
        <v>14</v>
      </c>
      <c r="H5514">
             </c>
      <c r="I5514" t="s">
        <v>14</v>
      </c>
      <c r="J5514" t="s">
        <v>242</v>
      </c>
      <c r="K5514" t="s">
        <v>14</v>
      </c>
      <c r="L5514" t="s">
        <v>20</v>
      </c>
      <c r="M5514" t="s">
        <v>11098</v>
      </c>
      <c r="N5514" t="s">
        <v>14</v>
      </c>
    </row>
    <row r="5515" x14ac:dyDescent="0.25">
      <c r="A5515" t="n">
        <v>25</v>
      </c>
      <c r="B5515" t="s">
        <v>14</v>
      </c>
      <c r="C5515" t="s">
        <v>51</v>
      </c>
      <c r="D5515" s="2" t="s">
        <f>=HYPERLINK("https://main.knesset.gov.il/APPS/legislation/main/bills/2199967", "הצעת חוק החזר דמי נסיעה במונית לבית החולים (תיקוני חקיקה), התשפ""ג-2023")</f>
        <v>11193</v>
      </c>
      <c r="E5515" t="s">
        <v>11193</v>
      </c>
      <c r="F5515" t="s">
        <v>11194</v>
      </c>
      <c r="G5515" t="s">
        <v>14</v>
      </c>
      <c r="H5515">
             </c>
      <c r="I5515" t="s">
        <v>14</v>
      </c>
      <c r="J5515" t="s">
        <v>242</v>
      </c>
      <c r="K5515" t="s">
        <v>14</v>
      </c>
      <c r="L5515" t="s">
        <v>20</v>
      </c>
      <c r="M5515" t="s">
        <v>11098</v>
      </c>
      <c r="N5515" t="s">
        <v>14</v>
      </c>
    </row>
    <row r="5516" x14ac:dyDescent="0.25">
      <c r="A5516" t="n">
        <v>25</v>
      </c>
      <c r="B5516" t="s">
        <v>14</v>
      </c>
      <c r="C5516" t="s">
        <v>51</v>
      </c>
      <c r="D5516" s="2" t="s">
        <f>=HYPERLINK("https://main.knesset.gov.il/APPS/legislation/main/bills/2200096", "הצעת חוק חוזה עבודה (הגבלות לעניין סיום העסקה של עובד), התשפ""ג-2023 ")</f>
        <v>9216</v>
      </c>
      <c r="E5516" t="s">
        <v>9216</v>
      </c>
      <c r="F5516" t="s">
        <v>11195</v>
      </c>
      <c r="G5516" t="s">
        <v>14</v>
      </c>
      <c r="H5516">
             </c>
      <c r="I5516" t="s">
        <v>14</v>
      </c>
      <c r="J5516" t="s">
        <v>242</v>
      </c>
      <c r="K5516" t="s">
        <v>14</v>
      </c>
      <c r="L5516" t="s">
        <v>20</v>
      </c>
      <c r="M5516" t="s">
        <v>11098</v>
      </c>
      <c r="N5516" t="s">
        <v>14</v>
      </c>
    </row>
    <row r="5517" x14ac:dyDescent="0.25">
      <c r="A5517" t="n">
        <v>25</v>
      </c>
      <c r="B5517" t="s">
        <v>14</v>
      </c>
      <c r="C5517" t="s">
        <v>51</v>
      </c>
      <c r="D5517" s="2" t="s">
        <f>=HYPERLINK("https://main.knesset.gov.il/APPS/legislation/main/bills/2200636", "הצעת חוק-יסוד: משק המדינה (תיקון - בחינת העלות לרשויות מקומיות)")</f>
        <v>2941</v>
      </c>
      <c r="E5517" t="s">
        <v>2941</v>
      </c>
      <c r="F5517" t="s">
        <v>11196</v>
      </c>
      <c r="G5517" t="s">
        <v>14</v>
      </c>
      <c r="H5517">
             </c>
      <c r="I5517" t="s">
        <v>14</v>
      </c>
      <c r="J5517" t="s">
        <v>242</v>
      </c>
      <c r="K5517" t="s">
        <v>14</v>
      </c>
      <c r="L5517" t="s">
        <v>20</v>
      </c>
      <c r="M5517" t="s">
        <v>11098</v>
      </c>
      <c r="N5517" t="s">
        <v>14</v>
      </c>
    </row>
    <row r="5518" x14ac:dyDescent="0.25">
      <c r="A5518" t="n">
        <v>25</v>
      </c>
      <c r="B5518" t="s">
        <v>14</v>
      </c>
      <c r="C5518" t="s">
        <v>51</v>
      </c>
      <c r="D5518" s="2" t="s">
        <f>=HYPERLINK("https://main.knesset.gov.il/APPS/legislation/main/bills/2200587", "הצעת חוק לתיקון פקודת התעבורה (ביטול מופע אור ירוק ברמזור פנייה ימינה בעת הופעת אור ירוק ברמזור להולכי רגל), התשפ""ג-2023")</f>
        <v>11197</v>
      </c>
      <c r="E5518" t="s">
        <v>11197</v>
      </c>
      <c r="F5518" t="s">
        <v>11198</v>
      </c>
      <c r="G5518" t="s">
        <v>14</v>
      </c>
      <c r="H5518">
             </c>
      <c r="I5518" t="s">
        <v>14</v>
      </c>
      <c r="J5518" t="s">
        <v>242</v>
      </c>
      <c r="K5518" t="s">
        <v>14</v>
      </c>
      <c r="L5518" t="s">
        <v>20</v>
      </c>
      <c r="M5518" t="s">
        <v>11098</v>
      </c>
      <c r="N5518" t="s">
        <v>14</v>
      </c>
    </row>
    <row r="5519" x14ac:dyDescent="0.25">
      <c r="A5519" t="n">
        <v>25</v>
      </c>
      <c r="B5519" t="s">
        <v>14</v>
      </c>
      <c r="C5519" t="s">
        <v>51</v>
      </c>
      <c r="D5519" s="2" t="s">
        <f>=HYPERLINK("https://main.knesset.gov.il/APPS/legislation/main/bills/2200512", "הצעת חוק המקרקעין (תיקון - התקנת מעלית מטעמים מיוחדים), התשפ""ג-2023")</f>
        <v>9038</v>
      </c>
      <c r="E5519" t="s">
        <v>9038</v>
      </c>
      <c r="F5519" t="s">
        <v>11199</v>
      </c>
      <c r="G5519" t="s">
        <v>14</v>
      </c>
      <c r="H5519">
             </c>
      <c r="I5519" t="s">
        <v>14</v>
      </c>
      <c r="J5519" t="s">
        <v>242</v>
      </c>
      <c r="K5519" t="s">
        <v>14</v>
      </c>
      <c r="L5519" t="s">
        <v>20</v>
      </c>
      <c r="M5519" t="s">
        <v>11098</v>
      </c>
      <c r="N5519" t="s">
        <v>14</v>
      </c>
    </row>
    <row r="5520" x14ac:dyDescent="0.25">
      <c r="A5520" t="n">
        <v>25</v>
      </c>
      <c r="B5520" t="s">
        <v>14</v>
      </c>
      <c r="C5520" t="s">
        <v>51</v>
      </c>
      <c r="D5520" s="2" t="s">
        <f>=HYPERLINK("https://main.knesset.gov.il/APPS/legislation/main/bills/2200533", "הצעת חוק הממשלה (תיקון - ועדת שרים לענייני חקיקה), התשפ""ג-2023")</f>
        <v>11200</v>
      </c>
      <c r="E5520" t="s">
        <v>11200</v>
      </c>
      <c r="F5520" t="s">
        <v>11201</v>
      </c>
      <c r="G5520" t="s">
        <v>14</v>
      </c>
      <c r="H5520">
             </c>
      <c r="I5520" t="s">
        <v>14</v>
      </c>
      <c r="J5520" t="s">
        <v>242</v>
      </c>
      <c r="K5520" t="s">
        <v>14</v>
      </c>
      <c r="L5520" t="s">
        <v>20</v>
      </c>
      <c r="M5520" t="s">
        <v>11098</v>
      </c>
      <c r="N5520" t="s">
        <v>14</v>
      </c>
    </row>
    <row r="5521" x14ac:dyDescent="0.25">
      <c r="A5521" t="n">
        <v>25</v>
      </c>
      <c r="B5521" t="s">
        <v>14</v>
      </c>
      <c r="C5521" t="s">
        <v>51</v>
      </c>
      <c r="D5521" s="2" t="s">
        <f>=HYPERLINK("https://main.knesset.gov.il/APPS/legislation/main/bills/2199671", "הצעת חוק להסדרת מקצוע עוזר רופא, התשפ""ג-2023")</f>
        <v>8885</v>
      </c>
      <c r="E5521" t="s">
        <v>8885</v>
      </c>
      <c r="F5521" t="s">
        <v>11202</v>
      </c>
      <c r="G5521" t="s">
        <v>14</v>
      </c>
      <c r="H5521">
             </c>
      <c r="I5521" t="s">
        <v>14</v>
      </c>
      <c r="J5521" t="s">
        <v>242</v>
      </c>
      <c r="K5521" t="s">
        <v>14</v>
      </c>
      <c r="L5521" t="s">
        <v>20</v>
      </c>
      <c r="M5521" t="s">
        <v>11098</v>
      </c>
      <c r="N5521" t="s">
        <v>14</v>
      </c>
    </row>
    <row r="5522" x14ac:dyDescent="0.25">
      <c r="A5522" t="n">
        <v>25</v>
      </c>
      <c r="B5522" t="s">
        <v>14</v>
      </c>
      <c r="C5522" t="s">
        <v>51</v>
      </c>
      <c r="D5522" s="2" t="s">
        <f>=HYPERLINK("https://main.knesset.gov.il/APPS/legislation/main/bills/2200256", "הצעת חוק שוויון זכויות לאנשים עם מוגבלות (תיקון - חובת נגישות באוטובוסים בין-עירוניים), התשפ""ג-2023")</f>
        <v>10611</v>
      </c>
      <c r="E5522" t="s">
        <v>10611</v>
      </c>
      <c r="F5522" t="s">
        <v>11203</v>
      </c>
      <c r="G5522" t="s">
        <v>14</v>
      </c>
      <c r="H5522">
             </c>
      <c r="I5522" t="s">
        <v>14</v>
      </c>
      <c r="J5522" t="s">
        <v>242</v>
      </c>
      <c r="K5522" t="s">
        <v>14</v>
      </c>
      <c r="L5522" t="s">
        <v>20</v>
      </c>
      <c r="M5522" t="s">
        <v>11098</v>
      </c>
      <c r="N5522" t="s">
        <v>14</v>
      </c>
    </row>
    <row r="5523" x14ac:dyDescent="0.25">
      <c r="A5523" t="n">
        <v>25</v>
      </c>
      <c r="B5523" t="s">
        <v>14</v>
      </c>
      <c r="C5523" t="s">
        <v>51</v>
      </c>
      <c r="D5523" s="2" t="s">
        <f>=HYPERLINK("https://main.knesset.gov.il/APPS/legislation/main/bills/2200497", "הצעת חוק הבחירות לכנסת (תיקון - עדכון כתובת לצורכי בחירות), התשפ""ג-2023")</f>
        <v>11204</v>
      </c>
      <c r="E5523" t="s">
        <v>11204</v>
      </c>
      <c r="F5523" t="s">
        <v>11205</v>
      </c>
      <c r="G5523" t="s">
        <v>14</v>
      </c>
      <c r="H5523">
             </c>
      <c r="I5523" t="s">
        <v>14</v>
      </c>
      <c r="J5523" t="s">
        <v>202</v>
      </c>
      <c r="K5523" t="s">
        <v>14</v>
      </c>
      <c r="L5523" t="s">
        <v>20</v>
      </c>
      <c r="M5523" t="s">
        <v>11098</v>
      </c>
      <c r="N5523" t="s">
        <v>14</v>
      </c>
    </row>
    <row r="5524" x14ac:dyDescent="0.25">
      <c r="A5524" t="n">
        <v>25</v>
      </c>
      <c r="B5524" t="s">
        <v>14</v>
      </c>
      <c r="C5524" t="s">
        <v>51</v>
      </c>
      <c r="D5524" s="2" t="s">
        <f>=HYPERLINK("https://main.knesset.gov.il/APPS/legislation/main/bills/2200496", "הצעת חוק הבחירות לכנסת (תיקון - ביטול עקרון הריתוק לקלפי), התשפ""ג-2023")</f>
        <v>11206</v>
      </c>
      <c r="E5524" t="s">
        <v>11206</v>
      </c>
      <c r="F5524" t="s">
        <v>11207</v>
      </c>
      <c r="G5524" t="s">
        <v>14</v>
      </c>
      <c r="H5524">
             </c>
      <c r="I5524" t="s">
        <v>14</v>
      </c>
      <c r="J5524" t="s">
        <v>242</v>
      </c>
      <c r="K5524" t="s">
        <v>14</v>
      </c>
      <c r="L5524" t="s">
        <v>20</v>
      </c>
      <c r="M5524" t="s">
        <v>11098</v>
      </c>
      <c r="N5524" t="s">
        <v>14</v>
      </c>
    </row>
    <row r="5525" x14ac:dyDescent="0.25">
      <c r="A5525" t="n">
        <v>25</v>
      </c>
      <c r="B5525" t="s">
        <v>14</v>
      </c>
      <c r="C5525" t="s">
        <v>51</v>
      </c>
      <c r="D5525" s="2" t="s">
        <f>=HYPERLINK("https://main.knesset.gov.il/APPS/legislation/main/bills/2200527", "הצעת חוק הביטוח הלאומי (תיקון - קצבת תלויים וקצבת אזרח ותיק), התשפ""ג-2023")</f>
        <v>9645</v>
      </c>
      <c r="E5525" t="s">
        <v>9645</v>
      </c>
      <c r="F5525" t="s">
        <v>11208</v>
      </c>
      <c r="G5525" t="s">
        <v>14</v>
      </c>
      <c r="H5525">
             </c>
      <c r="I5525" t="s">
        <v>14</v>
      </c>
      <c r="J5525" t="s">
        <v>242</v>
      </c>
      <c r="K5525" t="s">
        <v>14</v>
      </c>
      <c r="L5525" t="s">
        <v>20</v>
      </c>
      <c r="M5525" t="s">
        <v>11098</v>
      </c>
      <c r="N5525" t="s">
        <v>14</v>
      </c>
    </row>
    <row r="5526" x14ac:dyDescent="0.25">
      <c r="A5526" t="n">
        <v>25</v>
      </c>
      <c r="B5526" t="s">
        <v>14</v>
      </c>
      <c r="C5526" t="s">
        <v>51</v>
      </c>
      <c r="D5526" s="2" t="s">
        <f>=HYPERLINK("https://main.knesset.gov.il/APPS/legislation/main/bills/2200525", "הצעת חוק החברות (תיקון - הגבלת כהונת דירקטור לשלוש חברות), התשפ""ג-2023")</f>
        <v>11209</v>
      </c>
      <c r="E5526" t="s">
        <v>11209</v>
      </c>
      <c r="F5526" t="s">
        <v>11210</v>
      </c>
      <c r="G5526" t="s">
        <v>14</v>
      </c>
      <c r="H5526">
             </c>
      <c r="I5526" t="s">
        <v>14</v>
      </c>
      <c r="J5526" t="s">
        <v>242</v>
      </c>
      <c r="K5526" t="s">
        <v>14</v>
      </c>
      <c r="L5526" t="s">
        <v>20</v>
      </c>
      <c r="M5526" t="s">
        <v>11098</v>
      </c>
      <c r="N5526" t="s">
        <v>14</v>
      </c>
    </row>
    <row r="5527" x14ac:dyDescent="0.25">
      <c r="A5527" t="n">
        <v>25</v>
      </c>
      <c r="B5527" t="s">
        <v>14</v>
      </c>
      <c r="C5527" t="s">
        <v>51</v>
      </c>
      <c r="D5527" s="2" t="s">
        <f>=HYPERLINK("https://main.knesset.gov.il/APPS/legislation/main/bills/2198727", "הצעת חוק הביטוח הלאומי (תיקון - השוואת קצבת אזרח ותיק לשכר המינימום), התשפ""ג-2023")</f>
        <v>10384</v>
      </c>
      <c r="E5527" t="s">
        <v>10384</v>
      </c>
      <c r="F5527" t="s">
        <v>11211</v>
      </c>
      <c r="G5527" t="s">
        <v>14</v>
      </c>
      <c r="H5527">
             </c>
      <c r="I5527" t="s">
        <v>14</v>
      </c>
      <c r="J5527" t="s">
        <v>242</v>
      </c>
      <c r="K5527" t="s">
        <v>14</v>
      </c>
      <c r="L5527" t="s">
        <v>20</v>
      </c>
      <c r="M5527" t="s">
        <v>11098</v>
      </c>
      <c r="N5527" t="s">
        <v>14</v>
      </c>
    </row>
    <row r="5528" x14ac:dyDescent="0.25">
      <c r="A5528" t="n">
        <v>25</v>
      </c>
      <c r="B5528" t="s">
        <v>14</v>
      </c>
      <c r="C5528" t="s">
        <v>51</v>
      </c>
      <c r="D5528" s="2" t="s">
        <f>=HYPERLINK("https://main.knesset.gov.il/APPS/legislation/main/bills/2200520", "הצעת חוק ההוצאה לפועל (תיקון - מסלול מקוצר חובה), התשפ""ג-2023")</f>
        <v>11212</v>
      </c>
      <c r="E5528" t="s">
        <v>11212</v>
      </c>
      <c r="F5528" t="s">
        <v>11213</v>
      </c>
      <c r="G5528" t="s">
        <v>14</v>
      </c>
      <c r="H5528">
             </c>
      <c r="I5528" t="s">
        <v>14</v>
      </c>
      <c r="J5528" t="s">
        <v>242</v>
      </c>
      <c r="K5528" t="s">
        <v>14</v>
      </c>
      <c r="L5528" t="s">
        <v>20</v>
      </c>
      <c r="M5528" t="s">
        <v>11098</v>
      </c>
      <c r="N5528" t="s">
        <v>14</v>
      </c>
    </row>
    <row r="5529" x14ac:dyDescent="0.25">
      <c r="A5529" t="n">
        <v>25</v>
      </c>
      <c r="B5529" t="s">
        <v>14</v>
      </c>
      <c r="C5529" t="s">
        <v>51</v>
      </c>
      <c r="D5529" s="2" t="s">
        <f>=HYPERLINK("https://main.knesset.gov.il/APPS/legislation/main/bills/2199747", "הצעת חוק הביטוח הלאומי (תיקון - הרחבת הזכאות למענק לימודים), התשפ""ג-2023")</f>
        <v>9233</v>
      </c>
      <c r="E5529" t="s">
        <v>9233</v>
      </c>
      <c r="F5529" t="s">
        <v>11214</v>
      </c>
      <c r="G5529" t="s">
        <v>14</v>
      </c>
      <c r="H5529">
             </c>
      <c r="I5529" t="s">
        <v>14</v>
      </c>
      <c r="J5529" t="s">
        <v>242</v>
      </c>
      <c r="K5529" t="s">
        <v>14</v>
      </c>
      <c r="L5529" t="s">
        <v>20</v>
      </c>
      <c r="M5529" t="s">
        <v>11098</v>
      </c>
      <c r="N5529" t="s">
        <v>14</v>
      </c>
    </row>
    <row r="5530" x14ac:dyDescent="0.25">
      <c r="A5530" t="n">
        <v>25</v>
      </c>
      <c r="B5530" t="s">
        <v>14</v>
      </c>
      <c r="C5530" t="s">
        <v>51</v>
      </c>
      <c r="D5530" s="2" t="s">
        <f>=HYPERLINK("https://main.knesset.gov.il/APPS/legislation/main/bills/2199574", "הצעת חוק איסור הכחשת השואה (תיקון - איסור הבעת אהדה לשלטון הנאצי או הזדהות עמו ואיסור שימוש בסמלים נאציים), התשפ""ג-2023")</f>
        <v>9742</v>
      </c>
      <c r="E5530" t="s">
        <v>9742</v>
      </c>
      <c r="F5530" t="s">
        <v>11215</v>
      </c>
      <c r="G5530" t="s">
        <v>14</v>
      </c>
      <c r="H5530">
             </c>
      <c r="I5530" t="s">
        <v>14</v>
      </c>
      <c r="J5530" t="s">
        <v>242</v>
      </c>
      <c r="K5530" t="s">
        <v>14</v>
      </c>
      <c r="L5530" t="s">
        <v>20</v>
      </c>
      <c r="M5530" t="s">
        <v>11098</v>
      </c>
      <c r="N5530" t="s">
        <v>14</v>
      </c>
    </row>
    <row r="5531" x14ac:dyDescent="0.25">
      <c r="A5531" t="n">
        <v>25</v>
      </c>
      <c r="B5531" t="s">
        <v>14</v>
      </c>
      <c r="C5531" t="s">
        <v>51</v>
      </c>
      <c r="D5531" s="2" t="s">
        <f>=HYPERLINK("https://main.knesset.gov.il/APPS/legislation/main/bills/2200504", "הצעת חוק הגבלת תקופת עסקה בעניין הגרלות או הימורים, התשפ""ג-2023")</f>
        <v>11216</v>
      </c>
      <c r="E5531" t="s">
        <v>11216</v>
      </c>
      <c r="F5531" t="s">
        <v>11217</v>
      </c>
      <c r="G5531" t="s">
        <v>14</v>
      </c>
      <c r="H5531">
             </c>
      <c r="I5531" t="s">
        <v>14</v>
      </c>
      <c r="J5531" t="s">
        <v>242</v>
      </c>
      <c r="K5531" t="s">
        <v>14</v>
      </c>
      <c r="L5531" t="s">
        <v>20</v>
      </c>
      <c r="M5531" t="s">
        <v>11098</v>
      </c>
      <c r="N5531" t="s">
        <v>14</v>
      </c>
    </row>
    <row r="5532" x14ac:dyDescent="0.25">
      <c r="A5532" t="n">
        <v>25</v>
      </c>
      <c r="B5532" t="s">
        <v>14</v>
      </c>
      <c r="C5532" t="s">
        <v>51</v>
      </c>
      <c r="D5532" s="2" t="s">
        <f>=HYPERLINK("https://main.knesset.gov.il/APPS/legislation/main/bills/2198990", "הצעת חוק ביטוח בריאות ממלכתי (תיקון - החזר אגרת נסיעה באמבולנס), התשפ""ג-2023")</f>
        <v>11218</v>
      </c>
      <c r="E5532" t="s">
        <v>11218</v>
      </c>
      <c r="F5532" t="s">
        <v>11219</v>
      </c>
      <c r="G5532" t="s">
        <v>14</v>
      </c>
      <c r="H5532">
             </c>
      <c r="I5532" t="s">
        <v>14</v>
      </c>
      <c r="J5532" t="s">
        <v>242</v>
      </c>
      <c r="K5532" t="s">
        <v>14</v>
      </c>
      <c r="L5532" t="s">
        <v>20</v>
      </c>
      <c r="M5532" t="s">
        <v>11098</v>
      </c>
      <c r="N5532" t="s">
        <v>14</v>
      </c>
    </row>
    <row r="5533" x14ac:dyDescent="0.25">
      <c r="A5533" t="n">
        <v>25</v>
      </c>
      <c r="B5533" t="s">
        <v>14</v>
      </c>
      <c r="C5533" t="s">
        <v>51</v>
      </c>
      <c r="D5533" s="2" t="s">
        <f>=HYPERLINK("https://main.knesset.gov.il/APPS/legislation/main/bills/2200460", "הצעת חוק הכשרות המשפטית והאפוטרופסות (תיקון - תשלום שכר והוצאות של אפוטרופוס מאוצר המדינה), התשפ""ג-2023")</f>
        <v>11220</v>
      </c>
      <c r="E5533" t="s">
        <v>11220</v>
      </c>
      <c r="F5533" t="s">
        <v>11221</v>
      </c>
      <c r="G5533" t="s">
        <v>14</v>
      </c>
      <c r="H5533">
             </c>
      <c r="I5533" t="s">
        <v>14</v>
      </c>
      <c r="J5533" t="s">
        <v>242</v>
      </c>
      <c r="K5533" t="s">
        <v>14</v>
      </c>
      <c r="L5533" t="s">
        <v>20</v>
      </c>
      <c r="M5533" t="s">
        <v>11098</v>
      </c>
      <c r="N5533" t="s">
        <v>14</v>
      </c>
    </row>
    <row r="5534" x14ac:dyDescent="0.25">
      <c r="A5534" t="n">
        <v>25</v>
      </c>
      <c r="B5534" t="s">
        <v>14</v>
      </c>
      <c r="C5534" t="s">
        <v>51</v>
      </c>
      <c r="D5534" s="2" t="s">
        <f>=HYPERLINK("https://main.knesset.gov.il/APPS/legislation/main/bills/2200361", "הצעת חוק זכויות החולה (תיקון - טיפול בזמן סביר), התשפ""ג-2023")</f>
        <v>4059</v>
      </c>
      <c r="E5534" t="s">
        <v>4059</v>
      </c>
      <c r="F5534" t="s">
        <v>11222</v>
      </c>
      <c r="G5534" t="s">
        <v>14</v>
      </c>
      <c r="H5534">
             </c>
      <c r="I5534" t="s">
        <v>14</v>
      </c>
      <c r="J5534" t="s">
        <v>242</v>
      </c>
      <c r="K5534" t="s">
        <v>14</v>
      </c>
      <c r="L5534" t="s">
        <v>20</v>
      </c>
      <c r="M5534" t="s">
        <v>11098</v>
      </c>
      <c r="N5534" t="s">
        <v>14</v>
      </c>
    </row>
    <row r="5535" x14ac:dyDescent="0.25">
      <c r="A5535" t="n">
        <v>25</v>
      </c>
      <c r="B5535" t="s">
        <v>14</v>
      </c>
      <c r="C5535" t="s">
        <v>51</v>
      </c>
      <c r="D5535" s="2" t="s">
        <f>=HYPERLINK("https://main.knesset.gov.il/APPS/legislation/main/bills/2200505", "הצעת חוק הגישור, התשפ""ג-2023")</f>
        <v>11223</v>
      </c>
      <c r="E5535" t="s">
        <v>11223</v>
      </c>
      <c r="F5535" t="s">
        <v>11224</v>
      </c>
      <c r="G5535" t="s">
        <v>14</v>
      </c>
      <c r="H5535">
             </c>
      <c r="I5535" t="s">
        <v>14</v>
      </c>
      <c r="J5535" t="s">
        <v>242</v>
      </c>
      <c r="K5535" t="s">
        <v>14</v>
      </c>
      <c r="L5535" t="s">
        <v>20</v>
      </c>
      <c r="M5535" t="s">
        <v>11098</v>
      </c>
      <c r="N5535" t="s">
        <v>14</v>
      </c>
    </row>
    <row r="5536" x14ac:dyDescent="0.25">
      <c r="A5536" t="n">
        <v>25</v>
      </c>
      <c r="B5536" t="s">
        <v>14</v>
      </c>
      <c r="C5536" t="s">
        <v>51</v>
      </c>
      <c r="D5536" s="2" t="s">
        <f>=HYPERLINK("https://main.knesset.gov.il/APPS/legislation/main/bills/2200493", "הצעת חוק אימוץ ילדים (תיקון - הוספת סמכות בנושא דתו של המאומץ), התשפ""ג-2023")</f>
        <v>11225</v>
      </c>
      <c r="E5536" t="s">
        <v>11225</v>
      </c>
      <c r="F5536" t="s">
        <v>11226</v>
      </c>
      <c r="G5536" t="s">
        <v>14</v>
      </c>
      <c r="H5536">
             </c>
      <c r="I5536" t="s">
        <v>14</v>
      </c>
      <c r="J5536" t="s">
        <v>242</v>
      </c>
      <c r="K5536" t="s">
        <v>14</v>
      </c>
      <c r="L5536" t="s">
        <v>20</v>
      </c>
      <c r="M5536" t="s">
        <v>11098</v>
      </c>
      <c r="N5536" t="s">
        <v>14</v>
      </c>
    </row>
    <row r="5537" x14ac:dyDescent="0.25">
      <c r="A5537" t="n">
        <v>25</v>
      </c>
      <c r="B5537" t="s">
        <v>14</v>
      </c>
      <c r="C5537" t="s">
        <v>51</v>
      </c>
      <c r="D5537" s="2" t="s">
        <f>=HYPERLINK("https://main.knesset.gov.il/APPS/legislation/main/bills/2200370", "הצעת חוק האזרחים הוותיקים (תיקון - סבסוד מלא של נסיעות בתחבורה ציבורית לניצולי שואה ולאסירי ציון), התשפ""ג-2023")</f>
        <v>11227</v>
      </c>
      <c r="E5537" t="s">
        <v>11227</v>
      </c>
      <c r="F5537" t="s">
        <v>11228</v>
      </c>
      <c r="G5537" t="s">
        <v>14</v>
      </c>
      <c r="H5537">
             </c>
      <c r="I5537" t="s">
        <v>14</v>
      </c>
      <c r="J5537" t="s">
        <v>242</v>
      </c>
      <c r="K5537" t="s">
        <v>14</v>
      </c>
      <c r="L5537" t="s">
        <v>20</v>
      </c>
      <c r="M5537" t="s">
        <v>11098</v>
      </c>
      <c r="N5537" t="s">
        <v>14</v>
      </c>
    </row>
    <row r="5538" x14ac:dyDescent="0.25">
      <c r="A5538" t="n">
        <v>25</v>
      </c>
      <c r="B5538" t="s">
        <v>14</v>
      </c>
      <c r="C5538" t="s">
        <v>51</v>
      </c>
      <c r="D5538" s="2" t="s">
        <f>=HYPERLINK("https://main.knesset.gov.il/APPS/legislation/main/bills/2200745", "הצעת חוק בית המשפט לענייני משפחה (תיקון - פטור מתשלום אגרה למקבלי הבטחת הכנסה), התשפ""ג-2023")</f>
        <v>11229</v>
      </c>
      <c r="E5538" t="s">
        <v>11229</v>
      </c>
      <c r="F5538" t="s">
        <v>11230</v>
      </c>
      <c r="G5538" t="s">
        <v>14</v>
      </c>
      <c r="H5538">
             </c>
      <c r="I5538" t="s">
        <v>14</v>
      </c>
      <c r="J5538" t="s">
        <v>242</v>
      </c>
      <c r="K5538" t="s">
        <v>14</v>
      </c>
      <c r="L5538" t="s">
        <v>20</v>
      </c>
      <c r="M5538" t="s">
        <v>11098</v>
      </c>
      <c r="N5538" t="s">
        <v>14</v>
      </c>
    </row>
    <row r="5539" x14ac:dyDescent="0.25">
      <c r="A5539" t="n">
        <v>25</v>
      </c>
      <c r="B5539" t="s">
        <v>14</v>
      </c>
      <c r="C5539" t="s">
        <v>51</v>
      </c>
      <c r="D5539" s="2" t="s">
        <f>=HYPERLINK("https://main.knesset.gov.il/APPS/legislation/main/bills/2199838", "הצעת חוק שירות המדינה (מינויים) (תיקון - מינוי יועצים משפטיים של משרדים), התשפ""ג-2023")</f>
        <v>11231</v>
      </c>
      <c r="E5539" t="s">
        <v>11231</v>
      </c>
      <c r="F5539" t="s">
        <v>11232</v>
      </c>
      <c r="G5539" t="s">
        <v>14</v>
      </c>
      <c r="H5539">
             </c>
      <c r="I5539" t="s">
        <v>14</v>
      </c>
      <c r="J5539" t="s">
        <v>242</v>
      </c>
      <c r="K5539" t="s">
        <v>14</v>
      </c>
      <c r="L5539" t="s">
        <v>20</v>
      </c>
      <c r="M5539" t="s">
        <v>11098</v>
      </c>
      <c r="N5539" t="s">
        <v>14</v>
      </c>
    </row>
    <row r="5540" x14ac:dyDescent="0.25">
      <c r="A5540" t="n">
        <v>25</v>
      </c>
      <c r="B5540" t="s">
        <v>14</v>
      </c>
      <c r="C5540" t="s">
        <v>51</v>
      </c>
      <c r="D5540" s="2" t="s">
        <f>=HYPERLINK("https://main.knesset.gov.il/APPS/legislation/main/bills/2198644", "הצעת חוק הביטוח הלאומי (תיקון - העלאת קצבת הילדים), התשפ""ג-2023")</f>
        <v>11233</v>
      </c>
      <c r="E5540" t="s">
        <v>11233</v>
      </c>
      <c r="F5540" t="s">
        <v>11234</v>
      </c>
      <c r="G5540" t="s">
        <v>14</v>
      </c>
      <c r="H5540">
             </c>
      <c r="I5540" t="s">
        <v>14</v>
      </c>
      <c r="J5540" t="s">
        <v>242</v>
      </c>
      <c r="K5540" t="s">
        <v>14</v>
      </c>
      <c r="L5540" t="s">
        <v>20</v>
      </c>
      <c r="M5540" t="s">
        <v>11098</v>
      </c>
      <c r="N5540" t="s">
        <v>14</v>
      </c>
    </row>
    <row r="5541" x14ac:dyDescent="0.25">
      <c r="A5541" t="n">
        <v>25</v>
      </c>
      <c r="B5541" t="s">
        <v>14</v>
      </c>
      <c r="C5541" t="s">
        <v>51</v>
      </c>
      <c r="D5541" s="2" t="s">
        <f>=HYPERLINK("https://main.knesset.gov.il/APPS/legislation/main/bills/2200446", "הצעת חוק בית המשפט לענייני משפחה (תיקון - מימון ניהול ההליך המשפטי), התשפ""ג-2023")</f>
        <v>11235</v>
      </c>
      <c r="E5541" t="s">
        <v>11235</v>
      </c>
      <c r="F5541" t="s">
        <v>11236</v>
      </c>
      <c r="G5541" t="s">
        <v>14</v>
      </c>
      <c r="H5541">
             </c>
      <c r="I5541" t="s">
        <v>14</v>
      </c>
      <c r="J5541" t="s">
        <v>242</v>
      </c>
      <c r="K5541" t="s">
        <v>14</v>
      </c>
      <c r="L5541" t="s">
        <v>20</v>
      </c>
      <c r="M5541" t="s">
        <v>11098</v>
      </c>
      <c r="N5541" t="s">
        <v>14</v>
      </c>
    </row>
    <row r="5542" x14ac:dyDescent="0.25">
      <c r="A5542" t="n">
        <v>25</v>
      </c>
      <c r="B5542" t="s">
        <v>14</v>
      </c>
      <c r="C5542" t="s">
        <v>51</v>
      </c>
      <c r="D5542" s="2" t="s">
        <f>=HYPERLINK("https://main.knesset.gov.il/APPS/legislation/main/bills/2199040", "הצעת חוק הבטחת הכנסה (תיקון - הגדלת שווי רכב המאפשר זכאות לגמלה), התשפ""ג-2023")</f>
        <v>11237</v>
      </c>
      <c r="E5542" t="s">
        <v>11237</v>
      </c>
      <c r="F5542" t="s">
        <v>11238</v>
      </c>
      <c r="G5542" t="s">
        <v>14</v>
      </c>
      <c r="H5542">
             </c>
      <c r="I5542" t="s">
        <v>14</v>
      </c>
      <c r="J5542" t="s">
        <v>242</v>
      </c>
      <c r="K5542" t="s">
        <v>14</v>
      </c>
      <c r="L5542" t="s">
        <v>20</v>
      </c>
      <c r="M5542" t="s">
        <v>11098</v>
      </c>
      <c r="N5542" t="s">
        <v>14</v>
      </c>
    </row>
    <row r="5543" x14ac:dyDescent="0.25">
      <c r="A5543" t="n">
        <v>25</v>
      </c>
      <c r="B5543" t="s">
        <v>14</v>
      </c>
      <c r="C5543" t="s">
        <v>51</v>
      </c>
      <c r="D5543" s="2" t="s">
        <f>=HYPERLINK("https://main.knesset.gov.il/APPS/legislation/main/bills/2200384", "הצעת חוק דמי מחלה עבור מלווה בן משפחה לבדיקה רפואית (תיקוני חקיקה), התשפ""ג-2023")</f>
        <v>10298</v>
      </c>
      <c r="E5543" t="s">
        <v>10298</v>
      </c>
      <c r="F5543" t="s">
        <v>11239</v>
      </c>
      <c r="G5543" t="s">
        <v>14</v>
      </c>
      <c r="H5543">
             </c>
      <c r="I5543" t="s">
        <v>14</v>
      </c>
      <c r="J5543" t="s">
        <v>242</v>
      </c>
      <c r="K5543" t="s">
        <v>14</v>
      </c>
      <c r="L5543" t="s">
        <v>20</v>
      </c>
      <c r="M5543" t="s">
        <v>11098</v>
      </c>
      <c r="N5543" t="s">
        <v>14</v>
      </c>
    </row>
    <row r="5544" x14ac:dyDescent="0.25">
      <c r="A5544" t="n">
        <v>25</v>
      </c>
      <c r="B5544" t="s">
        <v>14</v>
      </c>
      <c r="C5544" t="s">
        <v>51</v>
      </c>
      <c r="D5544" s="2" t="s">
        <f>=HYPERLINK("https://main.knesset.gov.il/APPS/legislation/main/bills/2200700", "הצעת חוק התניית יום שבתון בהצבעה בבחירות (תיקוני חקיקה), התשפ""ג-2023")</f>
        <v>11240</v>
      </c>
      <c r="E5544" t="s">
        <v>11240</v>
      </c>
      <c r="F5544" t="s">
        <v>11241</v>
      </c>
      <c r="G5544" t="s">
        <v>14</v>
      </c>
      <c r="H5544">
             </c>
      <c r="I5544" t="s">
        <v>14</v>
      </c>
      <c r="J5544" t="s">
        <v>242</v>
      </c>
      <c r="K5544" t="s">
        <v>14</v>
      </c>
      <c r="L5544" t="s">
        <v>20</v>
      </c>
      <c r="M5544" t="s">
        <v>11098</v>
      </c>
      <c r="N5544" t="s">
        <v>14</v>
      </c>
    </row>
    <row r="5545" x14ac:dyDescent="0.25">
      <c r="A5545" t="n">
        <v>25</v>
      </c>
      <c r="B5545" t="s">
        <v>14</v>
      </c>
      <c r="C5545" t="s">
        <v>51</v>
      </c>
      <c r="D5545" s="2" t="s">
        <f>=HYPERLINK("https://main.knesset.gov.il/APPS/legislation/main/bills/2200444", "הצעת חוק איסור הפליה בשל מין, נטיה מינית או זהות מגדרית (תיקוני חקיקה), התשפ""ג-2023")</f>
        <v>11242</v>
      </c>
      <c r="E5545" t="s">
        <v>11242</v>
      </c>
      <c r="F5545" t="s">
        <v>11243</v>
      </c>
      <c r="G5545" t="s">
        <v>14</v>
      </c>
      <c r="H5545">
             </c>
      <c r="I5545" t="s">
        <v>14</v>
      </c>
      <c r="J5545" t="s">
        <v>242</v>
      </c>
      <c r="K5545" t="s">
        <v>14</v>
      </c>
      <c r="L5545" t="s">
        <v>20</v>
      </c>
      <c r="M5545" t="s">
        <v>11098</v>
      </c>
      <c r="N5545" t="s">
        <v>14</v>
      </c>
    </row>
    <row r="5546" x14ac:dyDescent="0.25">
      <c r="A5546" t="n">
        <v>25</v>
      </c>
      <c r="B5546" t="s">
        <v>14</v>
      </c>
      <c r="C5546" t="s">
        <v>51</v>
      </c>
      <c r="D5546" s="2" t="s">
        <f>=HYPERLINK("https://main.knesset.gov.il/APPS/legislation/main/bills/2200718", "הצעת חוק שיפוט בתי דין רבניים (נישואין וגירושין) (תיקון - ביטול כריכה), התשפ""ג-2023")</f>
        <v>10846</v>
      </c>
      <c r="E5546" t="s">
        <v>10846</v>
      </c>
      <c r="F5546" t="s">
        <v>11244</v>
      </c>
      <c r="G5546" t="s">
        <v>14</v>
      </c>
      <c r="H5546">
             </c>
      <c r="I5546" t="s">
        <v>14</v>
      </c>
      <c r="J5546" t="s">
        <v>242</v>
      </c>
      <c r="K5546" t="s">
        <v>14</v>
      </c>
      <c r="L5546" t="s">
        <v>20</v>
      </c>
      <c r="M5546" t="s">
        <v>11098</v>
      </c>
      <c r="N5546" t="s">
        <v>14</v>
      </c>
    </row>
    <row r="5547" x14ac:dyDescent="0.25">
      <c r="A5547" t="n">
        <v>25</v>
      </c>
      <c r="B5547" t="s">
        <v>14</v>
      </c>
      <c r="C5547" t="s">
        <v>51</v>
      </c>
      <c r="D5547" s="2" t="s">
        <f>=HYPERLINK("https://main.knesset.gov.il/APPS/legislation/main/bills/2200023", "הצעת חוק הביטוח הלאומי (תיקון - ביטול מבחן הכנסה לצורך קביעת זכאות ניצול שואה לגמלת סיעוד), התשפ""ג-2023")</f>
        <v>11245</v>
      </c>
      <c r="E5547" t="s">
        <v>11245</v>
      </c>
      <c r="F5547" t="s">
        <v>11246</v>
      </c>
      <c r="G5547" t="s">
        <v>14</v>
      </c>
      <c r="H5547">
             </c>
      <c r="I5547" t="s">
        <v>14</v>
      </c>
      <c r="J5547" t="s">
        <v>242</v>
      </c>
      <c r="K5547" t="s">
        <v>14</v>
      </c>
      <c r="L5547" t="s">
        <v>20</v>
      </c>
      <c r="M5547" t="s">
        <v>11098</v>
      </c>
      <c r="N5547" t="s">
        <v>14</v>
      </c>
    </row>
    <row r="5548" x14ac:dyDescent="0.25">
      <c r="A5548" t="n">
        <v>25</v>
      </c>
      <c r="B5548" t="s">
        <v>14</v>
      </c>
      <c r="C5548" t="s">
        <v>51</v>
      </c>
      <c r="D5548" s="2" t="s">
        <f>=HYPERLINK("https://main.knesset.gov.il/APPS/legislation/main/bills/2200209", "הצעת חוק הביטוח הלאומי (תיקון - תוספת לקצבה של מי שמעסיק עובד בענף הסיעוד), התשפ""ג-2023")</f>
        <v>11247</v>
      </c>
      <c r="E5548" t="s">
        <v>11247</v>
      </c>
      <c r="F5548" t="s">
        <v>11248</v>
      </c>
      <c r="G5548" t="s">
        <v>14</v>
      </c>
      <c r="H5548">
             </c>
      <c r="I5548" t="s">
        <v>14</v>
      </c>
      <c r="J5548" t="s">
        <v>242</v>
      </c>
      <c r="K5548" t="s">
        <v>14</v>
      </c>
      <c r="L5548" t="s">
        <v>20</v>
      </c>
      <c r="M5548" t="s">
        <v>11098</v>
      </c>
      <c r="N5548" t="s">
        <v>14</v>
      </c>
    </row>
    <row r="5549" x14ac:dyDescent="0.25">
      <c r="A5549" t="n">
        <v>25</v>
      </c>
      <c r="B5549" t="s">
        <v>14</v>
      </c>
      <c r="C5549" t="s">
        <v>51</v>
      </c>
      <c r="D5549" s="2" t="s">
        <f>=HYPERLINK("https://main.knesset.gov.il/APPS/legislation/main/bills/2197726", "הצעת חוק החברות (תיקון - פרסום דוחות כספיים של מונופול), התשפ""ג-2023")</f>
        <v>11249</v>
      </c>
      <c r="E5549" t="s">
        <v>11249</v>
      </c>
      <c r="F5549" t="s">
        <v>11250</v>
      </c>
      <c r="G5549" t="s">
        <v>14</v>
      </c>
      <c r="H5549">
             </c>
      <c r="I5549" t="s">
        <v>14</v>
      </c>
      <c r="J5549" t="s">
        <v>242</v>
      </c>
      <c r="K5549" t="s">
        <v>14</v>
      </c>
      <c r="L5549" t="s">
        <v>20</v>
      </c>
      <c r="M5549" t="s">
        <v>11098</v>
      </c>
      <c r="N5549" t="s">
        <v>14</v>
      </c>
    </row>
    <row r="5550" x14ac:dyDescent="0.25">
      <c r="A5550" t="n">
        <v>25</v>
      </c>
      <c r="B5550" t="s">
        <v>14</v>
      </c>
      <c r="C5550" t="s">
        <v>51</v>
      </c>
      <c r="D5550" s="2" t="s">
        <f>=HYPERLINK("https://main.knesset.gov.il/APPS/legislation/main/bills/2200167", "הצעת חוק הביטוח הלאומי (תיקון - ביטוח זכויות עצמאי שעיקר הכנסתו מעסק בהליכי חדלות פירעון), התשפ""ג-2023")</f>
        <v>11251</v>
      </c>
      <c r="E5550" t="s">
        <v>11251</v>
      </c>
      <c r="F5550" t="s">
        <v>11252</v>
      </c>
      <c r="G5550" t="s">
        <v>14</v>
      </c>
      <c r="H5550">
             </c>
      <c r="I5550" t="s">
        <v>14</v>
      </c>
      <c r="J5550" t="s">
        <v>242</v>
      </c>
      <c r="K5550" t="s">
        <v>14</v>
      </c>
      <c r="L5550" t="s">
        <v>20</v>
      </c>
      <c r="M5550" t="s">
        <v>11098</v>
      </c>
      <c r="N5550" t="s">
        <v>14</v>
      </c>
    </row>
    <row r="5551" x14ac:dyDescent="0.25">
      <c r="A5551" t="n">
        <v>25</v>
      </c>
      <c r="B5551" t="s">
        <v>14</v>
      </c>
      <c r="C5551" t="s">
        <v>51</v>
      </c>
      <c r="D5551" s="2" t="s">
        <f>=HYPERLINK("https://main.knesset.gov.il/APPS/legislation/main/bills/2200244", "הצעת חוק המשתתף החופשי, התשפ""ג-2023")</f>
        <v>11253</v>
      </c>
      <c r="E5551" t="s">
        <v>11253</v>
      </c>
      <c r="F5551" t="s">
        <v>11254</v>
      </c>
      <c r="G5551" t="s">
        <v>14</v>
      </c>
      <c r="H5551">
             </c>
      <c r="I5551" t="s">
        <v>14</v>
      </c>
      <c r="J5551" t="s">
        <v>242</v>
      </c>
      <c r="K5551" t="s">
        <v>14</v>
      </c>
      <c r="L5551" t="s">
        <v>20</v>
      </c>
      <c r="M5551" t="s">
        <v>11098</v>
      </c>
      <c r="N5551" t="s">
        <v>14</v>
      </c>
    </row>
    <row r="5552" x14ac:dyDescent="0.25">
      <c r="A5552" t="n">
        <v>25</v>
      </c>
      <c r="B5552" t="s">
        <v>14</v>
      </c>
      <c r="C5552" t="s">
        <v>51</v>
      </c>
      <c r="D5552" s="2" t="s">
        <f>=HYPERLINK("https://main.knesset.gov.il/APPS/legislation/main/bills/2197842", "הצעת חוק סיוע למשפחות ברוכות ילדים (תיקוני חקיקה), התשפ""ג-2023")</f>
        <v>9730</v>
      </c>
      <c r="E5552" t="s">
        <v>9730</v>
      </c>
      <c r="F5552" t="s">
        <v>11255</v>
      </c>
      <c r="G5552" t="s">
        <v>14</v>
      </c>
      <c r="H5552">
             </c>
      <c r="I5552" t="s">
        <v>14</v>
      </c>
      <c r="J5552" t="s">
        <v>242</v>
      </c>
      <c r="K5552" t="s">
        <v>14</v>
      </c>
      <c r="L5552" t="s">
        <v>20</v>
      </c>
      <c r="M5552" t="s">
        <v>11098</v>
      </c>
      <c r="N5552" t="s">
        <v>14</v>
      </c>
    </row>
    <row r="5553" x14ac:dyDescent="0.25">
      <c r="A5553" t="n">
        <v>25</v>
      </c>
      <c r="B5553" t="s">
        <v>14</v>
      </c>
      <c r="C5553" t="s">
        <v>51</v>
      </c>
      <c r="D5553" s="2" t="s">
        <f>=HYPERLINK("https://main.knesset.gov.il/APPS/legislation/main/bills/2200164", "הצעת חוק דמי מחלה (היעדרות בשל מחלת נכד), התשפ""ג-2023")</f>
        <v>11256</v>
      </c>
      <c r="E5553" t="s">
        <v>11256</v>
      </c>
      <c r="F5553" t="s">
        <v>11257</v>
      </c>
      <c r="G5553" t="s">
        <v>14</v>
      </c>
      <c r="H5553">
             </c>
      <c r="I5553" t="s">
        <v>14</v>
      </c>
      <c r="J5553" t="s">
        <v>242</v>
      </c>
      <c r="K5553" t="s">
        <v>14</v>
      </c>
      <c r="L5553" t="s">
        <v>20</v>
      </c>
      <c r="M5553" t="s">
        <v>11098</v>
      </c>
      <c r="N5553" t="s">
        <v>14</v>
      </c>
    </row>
    <row r="5554" x14ac:dyDescent="0.25">
      <c r="A5554" t="n">
        <v>25</v>
      </c>
      <c r="B5554" t="s">
        <v>14</v>
      </c>
      <c r="C5554" t="s">
        <v>51</v>
      </c>
      <c r="D5554" s="2" t="s">
        <f>=HYPERLINK("https://main.knesset.gov.il/APPS/legislation/main/bills/2198625", "הצעת חוק הסדרת העיסוק במקצועות הבריאות (תיקון - הסדרת העיסוק בפודולוגיה), התשפ""ג-2023")</f>
        <v>7473</v>
      </c>
      <c r="E5554" t="s">
        <v>7473</v>
      </c>
      <c r="F5554" t="s">
        <v>11258</v>
      </c>
      <c r="G5554" t="s">
        <v>14</v>
      </c>
      <c r="H5554">
             </c>
      <c r="I5554" t="s">
        <v>14</v>
      </c>
      <c r="J5554" t="s">
        <v>242</v>
      </c>
      <c r="K5554" t="s">
        <v>14</v>
      </c>
      <c r="L5554" t="s">
        <v>20</v>
      </c>
      <c r="M5554" t="s">
        <v>11098</v>
      </c>
      <c r="N5554" t="s">
        <v>14</v>
      </c>
    </row>
    <row r="5555" x14ac:dyDescent="0.25">
      <c r="A5555" t="n">
        <v>25</v>
      </c>
      <c r="B5555" t="s">
        <v>14</v>
      </c>
      <c r="C5555" t="s">
        <v>51</v>
      </c>
      <c r="D5555" s="2" t="s">
        <f>=HYPERLINK("https://main.knesset.gov.il/APPS/legislation/main/bills/2200473", "הצעת חוק סמכות ואחריות הורית (משמורת), התשפ""ג-2023")</f>
        <v>11259</v>
      </c>
      <c r="E5555" t="s">
        <v>11259</v>
      </c>
      <c r="F5555" t="s">
        <v>11260</v>
      </c>
      <c r="G5555" t="s">
        <v>14</v>
      </c>
      <c r="H5555">
             </c>
      <c r="I5555" t="s">
        <v>14</v>
      </c>
      <c r="J5555" t="s">
        <v>242</v>
      </c>
      <c r="K5555" t="s">
        <v>14</v>
      </c>
      <c r="L5555" t="s">
        <v>20</v>
      </c>
      <c r="M5555" t="s">
        <v>11098</v>
      </c>
      <c r="N5555" t="s">
        <v>14</v>
      </c>
    </row>
    <row r="5556" x14ac:dyDescent="0.25">
      <c r="A5556" t="n">
        <v>25</v>
      </c>
      <c r="B5556" t="s">
        <v>14</v>
      </c>
      <c r="C5556" t="s">
        <v>51</v>
      </c>
      <c r="D5556" s="2" t="s">
        <f>=HYPERLINK("https://main.knesset.gov.il/APPS/legislation/main/bills/2200031", "הצעת חוק תאגידי מים וביוב (תיקון - הקמת ועדת הנחות), התשפ""ג-2023")</f>
        <v>7414</v>
      </c>
      <c r="E5556" t="s">
        <v>7414</v>
      </c>
      <c r="F5556" t="s">
        <v>11261</v>
      </c>
      <c r="G5556" t="s">
        <v>14</v>
      </c>
      <c r="H5556">
             </c>
      <c r="I5556" t="s">
        <v>14</v>
      </c>
      <c r="J5556" t="s">
        <v>242</v>
      </c>
      <c r="K5556" t="s">
        <v>14</v>
      </c>
      <c r="L5556" t="s">
        <v>20</v>
      </c>
      <c r="M5556" t="s">
        <v>11098</v>
      </c>
      <c r="N5556" t="s">
        <v>14</v>
      </c>
    </row>
    <row r="5557" x14ac:dyDescent="0.25">
      <c r="A5557" t="n">
        <v>25</v>
      </c>
      <c r="B5557" t="s">
        <v>14</v>
      </c>
      <c r="C5557" t="s">
        <v>51</v>
      </c>
      <c r="D5557" s="2" t="s">
        <f>=HYPERLINK("https://main.knesset.gov.il/APPS/legislation/main/bills/2199085", "הצעת חוק הכשרות לאנשי מקצוע בתחום החינוך בנושא מגדר ונטייה מינית, התשפ""ג-2023")</f>
        <v>11262</v>
      </c>
      <c r="E5557" t="s">
        <v>11262</v>
      </c>
      <c r="F5557" t="s">
        <v>11263</v>
      </c>
      <c r="G5557" t="s">
        <v>14</v>
      </c>
      <c r="H5557">
             </c>
      <c r="I5557" t="s">
        <v>14</v>
      </c>
      <c r="J5557" t="s">
        <v>242</v>
      </c>
      <c r="K5557" t="s">
        <v>14</v>
      </c>
      <c r="L5557" t="s">
        <v>20</v>
      </c>
      <c r="M5557" t="s">
        <v>11098</v>
      </c>
      <c r="N5557" t="s">
        <v>14</v>
      </c>
    </row>
    <row r="5558" x14ac:dyDescent="0.25">
      <c r="A5558" t="n">
        <v>25</v>
      </c>
      <c r="B5558" t="s">
        <v>14</v>
      </c>
      <c r="C5558" t="s">
        <v>51</v>
      </c>
      <c r="D5558" s="2" t="s">
        <f>=HYPERLINK("https://main.knesset.gov.il/APPS/legislation/main/bills/2200523", "הצעת חוק ההתגוננות האזרחית (תיקון - הקמת תשתית חיבור לרשת אינטרנט אלחוטית במקלטים שביישובי קו העימות), התשפ""ג-2023")</f>
        <v>11264</v>
      </c>
      <c r="E5558" t="s">
        <v>11264</v>
      </c>
      <c r="F5558" t="s">
        <v>11265</v>
      </c>
      <c r="G5558" t="s">
        <v>14</v>
      </c>
      <c r="H5558">
             </c>
      <c r="I5558" t="s">
        <v>14</v>
      </c>
      <c r="J5558" t="s">
        <v>242</v>
      </c>
      <c r="K5558" t="s">
        <v>14</v>
      </c>
      <c r="L5558" t="s">
        <v>20</v>
      </c>
      <c r="M5558" t="s">
        <v>11098</v>
      </c>
      <c r="N5558" t="s">
        <v>14</v>
      </c>
    </row>
    <row r="5559" x14ac:dyDescent="0.25">
      <c r="A5559" t="n">
        <v>25</v>
      </c>
      <c r="B5559" t="s">
        <v>14</v>
      </c>
      <c r="C5559" t="s">
        <v>51</v>
      </c>
      <c r="D5559" s="2" t="s">
        <f>=HYPERLINK("https://main.knesset.gov.il/APPS/legislation/main/bills/2200466", "הצעת חוק מרשם האוכלוסין (תיקון - רישום בת זוג או בן זוג כהורה), התשפ""ג-2023")</f>
        <v>9189</v>
      </c>
      <c r="E5559" t="s">
        <v>9189</v>
      </c>
      <c r="F5559" t="s">
        <v>11266</v>
      </c>
      <c r="G5559" t="s">
        <v>14</v>
      </c>
      <c r="H5559">
             </c>
      <c r="I5559" t="s">
        <v>14</v>
      </c>
      <c r="J5559" t="s">
        <v>242</v>
      </c>
      <c r="K5559" t="s">
        <v>14</v>
      </c>
      <c r="L5559" t="s">
        <v>20</v>
      </c>
      <c r="M5559" t="s">
        <v>11098</v>
      </c>
      <c r="N5559" t="s">
        <v>14</v>
      </c>
    </row>
    <row r="5560" x14ac:dyDescent="0.25">
      <c r="A5560" t="n">
        <v>25</v>
      </c>
      <c r="B5560" t="s">
        <v>14</v>
      </c>
      <c r="C5560" t="s">
        <v>51</v>
      </c>
      <c r="D5560" s="2" t="s">
        <f>=HYPERLINK("https://main.knesset.gov.il/APPS/legislation/main/bills/2200522", "הצעת חוק משק החשמל (תיקון - גביית תשלומים), התשפ""ג-2023")</f>
        <v>10548</v>
      </c>
      <c r="E5560" t="s">
        <v>10548</v>
      </c>
      <c r="F5560" t="s">
        <v>11267</v>
      </c>
      <c r="G5560" t="s">
        <v>14</v>
      </c>
      <c r="H5560">
             </c>
      <c r="I5560" t="s">
        <v>14</v>
      </c>
      <c r="J5560" t="s">
        <v>242</v>
      </c>
      <c r="K5560" t="s">
        <v>14</v>
      </c>
      <c r="L5560" t="s">
        <v>20</v>
      </c>
      <c r="M5560" t="s">
        <v>11098</v>
      </c>
      <c r="N5560" t="s">
        <v>14</v>
      </c>
    </row>
    <row r="5561" x14ac:dyDescent="0.25">
      <c r="A5561" t="n">
        <v>25</v>
      </c>
      <c r="B5561" t="s">
        <v>14</v>
      </c>
      <c r="C5561" t="s">
        <v>51</v>
      </c>
      <c r="D5561" s="2" t="s">
        <f>=HYPERLINK("https://main.knesset.gov.il/APPS/legislation/main/bills/2200448", "הצעת חוק בתי קברות צבאיים (תיקון - חיילים זכאי חוק השבות), התשפ""ג-2023")</f>
        <v>9440</v>
      </c>
      <c r="E5561" t="s">
        <v>9440</v>
      </c>
      <c r="F5561" t="s">
        <v>11268</v>
      </c>
      <c r="G5561" t="s">
        <v>14</v>
      </c>
      <c r="H5561">
             </c>
      <c r="I5561" t="s">
        <v>14</v>
      </c>
      <c r="J5561" t="s">
        <v>242</v>
      </c>
      <c r="K5561" t="s">
        <v>14</v>
      </c>
      <c r="L5561" t="s">
        <v>20</v>
      </c>
      <c r="M5561" t="s">
        <v>11098</v>
      </c>
      <c r="N5561" t="s">
        <v>14</v>
      </c>
    </row>
    <row r="5562" x14ac:dyDescent="0.25">
      <c r="A5562" t="n">
        <v>25</v>
      </c>
      <c r="B5562" t="s">
        <v>14</v>
      </c>
      <c r="C5562" t="s">
        <v>51</v>
      </c>
      <c r="D5562" s="2" t="s">
        <f>=HYPERLINK("https://main.knesset.gov.il/APPS/legislation/main/bills/2200518", "הצעת חוק משק החשמל (תיקון - איסור ניתוק חשמל), התשפ""ג-2023")</f>
        <v>11269</v>
      </c>
      <c r="E5562" t="s">
        <v>11269</v>
      </c>
      <c r="F5562" t="s">
        <v>11270</v>
      </c>
      <c r="G5562" t="s">
        <v>14</v>
      </c>
      <c r="H5562">
             </c>
      <c r="I5562" t="s">
        <v>14</v>
      </c>
      <c r="J5562" t="s">
        <v>242</v>
      </c>
      <c r="K5562" t="s">
        <v>14</v>
      </c>
      <c r="L5562" t="s">
        <v>20</v>
      </c>
      <c r="M5562" t="s">
        <v>11098</v>
      </c>
      <c r="N5562" t="s">
        <v>14</v>
      </c>
    </row>
    <row r="5563" x14ac:dyDescent="0.25">
      <c r="A5563" t="n">
        <v>25</v>
      </c>
      <c r="B5563" t="s">
        <v>14</v>
      </c>
      <c r="C5563" t="s">
        <v>51</v>
      </c>
      <c r="D5563" s="2" t="s">
        <f>=HYPERLINK("https://main.knesset.gov.il/APPS/legislation/main/bills/2200337", "הצעת חוק ביטוח בריאות ממלכתי (תיקון - אשפוז בית), התשפ""ג-2023")</f>
        <v>10688</v>
      </c>
      <c r="E5563" t="s">
        <v>10688</v>
      </c>
      <c r="F5563" t="s">
        <v>11271</v>
      </c>
      <c r="G5563" t="s">
        <v>14</v>
      </c>
      <c r="H5563">
             </c>
      <c r="I5563" t="s">
        <v>14</v>
      </c>
      <c r="J5563" t="s">
        <v>242</v>
      </c>
      <c r="K5563" t="s">
        <v>14</v>
      </c>
      <c r="L5563" t="s">
        <v>20</v>
      </c>
      <c r="M5563" t="s">
        <v>11098</v>
      </c>
      <c r="N5563" t="s">
        <v>14</v>
      </c>
    </row>
    <row r="5564" x14ac:dyDescent="0.25">
      <c r="A5564" t="n">
        <v>25</v>
      </c>
      <c r="B5564" t="s">
        <v>14</v>
      </c>
      <c r="C5564" t="s">
        <v>51</v>
      </c>
      <c r="D5564" s="2" t="s">
        <f>=HYPERLINK("https://main.knesset.gov.il/APPS/legislation/main/bills/2200171", "הצעת חוק הביטוח הלאומי (תיקון - קצבת שאירים למי שמנהל משק בית משותף), התשפ""ג-2023")</f>
        <v>11272</v>
      </c>
      <c r="E5564" t="s">
        <v>11272</v>
      </c>
      <c r="F5564" t="s">
        <v>11273</v>
      </c>
      <c r="G5564" t="s">
        <v>14</v>
      </c>
      <c r="H5564">
             </c>
      <c r="I5564" t="s">
        <v>14</v>
      </c>
      <c r="J5564" t="s">
        <v>242</v>
      </c>
      <c r="K5564" t="s">
        <v>14</v>
      </c>
      <c r="L5564" t="s">
        <v>20</v>
      </c>
      <c r="M5564" t="s">
        <v>11098</v>
      </c>
      <c r="N5564" t="s">
        <v>14</v>
      </c>
    </row>
    <row r="5565" x14ac:dyDescent="0.25">
      <c r="A5565" t="n">
        <v>25</v>
      </c>
      <c r="B5565" t="s">
        <v>14</v>
      </c>
      <c r="C5565" t="s">
        <v>51</v>
      </c>
      <c r="D5565" s="2" t="s">
        <f>=HYPERLINK("https://main.knesset.gov.il/APPS/legislation/main/bills/2200386", "הצעת חוק הביטוח הלאומי (תיקון - דמי לידה לעצמאיות - מתן זכות לעבודה חלקית), התשפ""ג-2023")</f>
        <v>2022</v>
      </c>
      <c r="E5565" t="s">
        <v>2022</v>
      </c>
      <c r="F5565" t="s">
        <v>11274</v>
      </c>
      <c r="G5565" t="s">
        <v>14</v>
      </c>
      <c r="H5565">
             </c>
      <c r="I5565" t="s">
        <v>14</v>
      </c>
      <c r="J5565" t="s">
        <v>242</v>
      </c>
      <c r="K5565" t="s">
        <v>14</v>
      </c>
      <c r="L5565" t="s">
        <v>20</v>
      </c>
      <c r="M5565" t="s">
        <v>11098</v>
      </c>
      <c r="N5565" t="s">
        <v>14</v>
      </c>
    </row>
    <row r="5566" x14ac:dyDescent="0.25">
      <c r="A5566" t="n">
        <v>25</v>
      </c>
      <c r="B5566" t="s">
        <v>14</v>
      </c>
      <c r="C5566" t="s">
        <v>51</v>
      </c>
      <c r="D5566" s="2" t="s">
        <f>=HYPERLINK("https://main.knesset.gov.il/APPS/legislation/main/bills/2200214", "הצעת חוק טיפול בחולי נפש (תיקון - בחירת מקום אשפוז), התשפ""ג-2023")</f>
        <v>11275</v>
      </c>
      <c r="E5566" t="s">
        <v>11275</v>
      </c>
      <c r="F5566" t="s">
        <v>11276</v>
      </c>
      <c r="G5566" t="s">
        <v>14</v>
      </c>
      <c r="H5566">
             </c>
      <c r="I5566" t="s">
        <v>14</v>
      </c>
      <c r="J5566" t="s">
        <v>242</v>
      </c>
      <c r="K5566" t="s">
        <v>14</v>
      </c>
      <c r="L5566" t="s">
        <v>20</v>
      </c>
      <c r="M5566" t="s">
        <v>11098</v>
      </c>
      <c r="N5566" t="s">
        <v>14</v>
      </c>
    </row>
    <row r="5567" x14ac:dyDescent="0.25">
      <c r="A5567" t="n">
        <v>25</v>
      </c>
      <c r="B5567" t="s">
        <v>14</v>
      </c>
      <c r="C5567" t="s">
        <v>51</v>
      </c>
      <c r="D5567" s="2" t="s">
        <f>=HYPERLINK("https://main.knesset.gov.il/APPS/legislation/main/bills/2200507", "הצעת חוק הגנת הצרכן (תיקון - פיצויים בלא הוכחת נזק בשל חריגה מזמני המתנה במוקד שירות טלפוני), התשפ""ג-2023")</f>
        <v>11277</v>
      </c>
      <c r="E5567" t="s">
        <v>11277</v>
      </c>
      <c r="F5567" t="s">
        <v>11278</v>
      </c>
      <c r="G5567" t="s">
        <v>14</v>
      </c>
      <c r="H5567">
             </c>
      <c r="I5567" t="s">
        <v>14</v>
      </c>
      <c r="J5567" t="s">
        <v>242</v>
      </c>
      <c r="K5567" t="s">
        <v>14</v>
      </c>
      <c r="L5567" t="s">
        <v>20</v>
      </c>
      <c r="M5567" t="s">
        <v>11098</v>
      </c>
      <c r="N5567" t="s">
        <v>14</v>
      </c>
    </row>
    <row r="5568" x14ac:dyDescent="0.25">
      <c r="A5568" t="n">
        <v>25</v>
      </c>
      <c r="B5568" t="s">
        <v>14</v>
      </c>
      <c r="C5568" t="s">
        <v>51</v>
      </c>
      <c r="D5568" s="2" t="s">
        <f>=HYPERLINK("https://main.knesset.gov.il/APPS/legislation/main/bills/2200528", "הצעת חוק הגנת הצרכן (תיקון - חובת הקלטה של עסקה טלפונית), התשפ""ג-2023")</f>
        <v>2968</v>
      </c>
      <c r="E5568" t="s">
        <v>2968</v>
      </c>
      <c r="F5568" t="s">
        <v>11279</v>
      </c>
      <c r="G5568" t="s">
        <v>14</v>
      </c>
      <c r="H5568">
             </c>
      <c r="I5568" t="s">
        <v>14</v>
      </c>
      <c r="J5568" t="s">
        <v>242</v>
      </c>
      <c r="K5568" t="s">
        <v>14</v>
      </c>
      <c r="L5568" t="s">
        <v>20</v>
      </c>
      <c r="M5568" t="s">
        <v>11098</v>
      </c>
      <c r="N5568" t="s">
        <v>14</v>
      </c>
    </row>
    <row r="5569" x14ac:dyDescent="0.25">
      <c r="A5569" t="n">
        <v>25</v>
      </c>
      <c r="B5569" t="s">
        <v>14</v>
      </c>
      <c r="C5569" t="s">
        <v>51</v>
      </c>
      <c r="D5569" s="2" t="s">
        <f>=HYPERLINK("https://main.knesset.gov.il/APPS/legislation/main/bills/2200471", "הצעת חוק תאגידי מים וביוב (תיקון - הפעלת שירותי מים וביוב על ידי רשות מקומית), התשפ""ג-2023")</f>
        <v>8725</v>
      </c>
      <c r="E5569" t="s">
        <v>8725</v>
      </c>
      <c r="F5569" t="s">
        <v>11280</v>
      </c>
      <c r="G5569" t="s">
        <v>14</v>
      </c>
      <c r="H5569">
             </c>
      <c r="I5569" t="s">
        <v>14</v>
      </c>
      <c r="J5569" t="s">
        <v>242</v>
      </c>
      <c r="K5569" t="s">
        <v>14</v>
      </c>
      <c r="L5569" t="s">
        <v>20</v>
      </c>
      <c r="M5569" t="s">
        <v>11098</v>
      </c>
      <c r="N5569" t="s">
        <v>14</v>
      </c>
    </row>
    <row r="5570" x14ac:dyDescent="0.25">
      <c r="A5570" t="n">
        <v>25</v>
      </c>
      <c r="B5570" t="s">
        <v>14</v>
      </c>
      <c r="C5570" t="s">
        <v>51</v>
      </c>
      <c r="D5570" s="2" t="s">
        <f>=HYPERLINK("https://main.knesset.gov.il/APPS/legislation/main/bills/2200323", "הצעת חוק חובת דיווח שנתי על מצב הטבע והמגוון הביולוגי בישראל, התשפ""ג-2023")</f>
        <v>11281</v>
      </c>
      <c r="E5570" t="s">
        <v>11281</v>
      </c>
      <c r="F5570" t="s">
        <v>11282</v>
      </c>
      <c r="G5570" t="s">
        <v>14</v>
      </c>
      <c r="H5570">
             </c>
      <c r="I5570" t="s">
        <v>14</v>
      </c>
      <c r="J5570" t="s">
        <v>202</v>
      </c>
      <c r="K5570" t="s">
        <v>14</v>
      </c>
      <c r="L5570" t="s">
        <v>20</v>
      </c>
      <c r="M5570" t="s">
        <v>11098</v>
      </c>
      <c r="N5570" t="s">
        <v>14</v>
      </c>
    </row>
    <row r="5571" x14ac:dyDescent="0.25">
      <c r="A5571" t="n">
        <v>25</v>
      </c>
      <c r="B5571" t="s">
        <v>14</v>
      </c>
      <c r="C5571" t="s">
        <v>51</v>
      </c>
      <c r="D5571" s="2" t="s">
        <f>=HYPERLINK("https://main.knesset.gov.il/APPS/legislation/main/bills/2200335", "הצעת חוק הסדרת מקומות רחצה (תיקון - קביעת מקומות לרחצה נפרדת), התשפ""ג-2023")</f>
        <v>11283</v>
      </c>
      <c r="E5571" t="s">
        <v>11283</v>
      </c>
      <c r="F5571" t="s">
        <v>11284</v>
      </c>
      <c r="G5571" t="s">
        <v>14</v>
      </c>
      <c r="H5571">
             </c>
      <c r="I5571" t="s">
        <v>14</v>
      </c>
      <c r="J5571" t="s">
        <v>242</v>
      </c>
      <c r="K5571" t="s">
        <v>14</v>
      </c>
      <c r="L5571" t="s">
        <v>20</v>
      </c>
      <c r="M5571" t="s">
        <v>11098</v>
      </c>
      <c r="N5571" t="s">
        <v>14</v>
      </c>
    </row>
    <row r="5572" x14ac:dyDescent="0.25">
      <c r="A5572" t="n">
        <v>25</v>
      </c>
      <c r="B5572" t="s">
        <v>14</v>
      </c>
      <c r="C5572" t="s">
        <v>51</v>
      </c>
      <c r="D5572" s="2" t="s">
        <f>=HYPERLINK("https://main.knesset.gov.il/APPS/legislation/main/bills/2200169", "הצעת חוק הביטוח הלאומי (תיקון - זכאות לדמי לידה לחיילות בשירות קבע), התשפ""ג-2023")</f>
        <v>11285</v>
      </c>
      <c r="E5572" t="s">
        <v>11285</v>
      </c>
      <c r="F5572" t="s">
        <v>11286</v>
      </c>
      <c r="G5572" t="s">
        <v>14</v>
      </c>
      <c r="H5572">
             </c>
      <c r="I5572" t="s">
        <v>14</v>
      </c>
      <c r="J5572" t="s">
        <v>242</v>
      </c>
      <c r="K5572" t="s">
        <v>14</v>
      </c>
      <c r="L5572" t="s">
        <v>20</v>
      </c>
      <c r="M5572" t="s">
        <v>11098</v>
      </c>
      <c r="N5572" t="s">
        <v>14</v>
      </c>
    </row>
    <row r="5573" x14ac:dyDescent="0.25">
      <c r="A5573" t="n">
        <v>25</v>
      </c>
      <c r="B5573" t="s">
        <v>14</v>
      </c>
      <c r="C5573" t="s">
        <v>51</v>
      </c>
      <c r="D5573" s="2" t="s">
        <f>=HYPERLINK("https://main.knesset.gov.il/APPS/legislation/main/bills/2200300", "הצעת חוק תשלום קצבאות לחיילי מילואים ולבני משפחותיהם (תיקון - השוואת תנאי אלמנות חללי המילואים), התשפ""ג-2023")</f>
        <v>8941</v>
      </c>
      <c r="E5573" t="s">
        <v>8941</v>
      </c>
      <c r="F5573" t="s">
        <v>11287</v>
      </c>
      <c r="G5573" t="s">
        <v>14</v>
      </c>
      <c r="H5573">
             </c>
      <c r="I5573" t="s">
        <v>14</v>
      </c>
      <c r="J5573" t="s">
        <v>242</v>
      </c>
      <c r="K5573" t="s">
        <v>14</v>
      </c>
      <c r="L5573" t="s">
        <v>20</v>
      </c>
      <c r="M5573" t="s">
        <v>11098</v>
      </c>
      <c r="N5573" t="s">
        <v>14</v>
      </c>
    </row>
    <row r="5574" x14ac:dyDescent="0.25">
      <c r="A5574" t="n">
        <v>25</v>
      </c>
      <c r="B5574" t="s">
        <v>14</v>
      </c>
      <c r="C5574" t="s">
        <v>51</v>
      </c>
      <c r="D5574" s="2" t="s">
        <f>=HYPERLINK("https://main.knesset.gov.il/APPS/legislation/main/bills/2200239", "הצעת חוק הביטוח הלאומי (תיקון - דמי מחלה לעובד עצמאי), התשפ""ב-2023")</f>
        <v>11288</v>
      </c>
      <c r="E5574" t="s">
        <v>11288</v>
      </c>
      <c r="F5574" t="s">
        <v>11289</v>
      </c>
      <c r="G5574" t="s">
        <v>14</v>
      </c>
      <c r="H5574">
             </c>
      <c r="I5574" t="s">
        <v>14</v>
      </c>
      <c r="J5574" t="s">
        <v>242</v>
      </c>
      <c r="K5574" t="s">
        <v>14</v>
      </c>
      <c r="L5574" t="s">
        <v>20</v>
      </c>
      <c r="M5574" t="s">
        <v>11098</v>
      </c>
      <c r="N5574" t="s">
        <v>14</v>
      </c>
    </row>
    <row r="5575" x14ac:dyDescent="0.25">
      <c r="A5575" t="n">
        <v>25</v>
      </c>
      <c r="B5575" t="s">
        <v>14</v>
      </c>
      <c r="C5575" t="s">
        <v>51</v>
      </c>
      <c r="D5575" s="2" t="s">
        <f>=HYPERLINK("https://main.knesset.gov.il/APPS/legislation/main/bills/2200234", "הצעת חוק שירותי הדת היהודיים (תיקון - הנחה ברכישת קבר זוגי), התשפ""ג-2023")</f>
        <v>11290</v>
      </c>
      <c r="E5575" t="s">
        <v>11290</v>
      </c>
      <c r="F5575" t="s">
        <v>11291</v>
      </c>
      <c r="G5575" t="s">
        <v>14</v>
      </c>
      <c r="H5575">
             </c>
      <c r="I5575" t="s">
        <v>14</v>
      </c>
      <c r="J5575" t="s">
        <v>242</v>
      </c>
      <c r="K5575" t="s">
        <v>14</v>
      </c>
      <c r="L5575" t="s">
        <v>20</v>
      </c>
      <c r="M5575" t="s">
        <v>11098</v>
      </c>
      <c r="N5575" t="s">
        <v>14</v>
      </c>
    </row>
    <row r="5576" x14ac:dyDescent="0.25">
      <c r="A5576" t="n">
        <v>25</v>
      </c>
      <c r="B5576" t="s">
        <v>14</v>
      </c>
      <c r="C5576" t="s">
        <v>51</v>
      </c>
      <c r="D5576" s="2" t="s">
        <f>=HYPERLINK("https://main.knesset.gov.il/APPS/legislation/main/bills/2200390", "הצעת חוק שירות המילואים (תיקון - קביעת נקודות זיכוי), התשפ""ג-2023")</f>
        <v>11292</v>
      </c>
      <c r="E5576" t="s">
        <v>11292</v>
      </c>
      <c r="F5576" t="s">
        <v>11293</v>
      </c>
      <c r="G5576" t="s">
        <v>14</v>
      </c>
      <c r="H5576">
             </c>
      <c r="I5576" t="s">
        <v>14</v>
      </c>
      <c r="J5576" t="s">
        <v>242</v>
      </c>
      <c r="K5576" t="s">
        <v>14</v>
      </c>
      <c r="L5576" t="s">
        <v>20</v>
      </c>
      <c r="M5576" t="s">
        <v>11098</v>
      </c>
      <c r="N5576" t="s">
        <v>14</v>
      </c>
    </row>
    <row r="5577" x14ac:dyDescent="0.25">
      <c r="A5577" t="n">
        <v>25</v>
      </c>
      <c r="B5577" t="s">
        <v>14</v>
      </c>
      <c r="C5577" t="s">
        <v>51</v>
      </c>
      <c r="D5577" s="2" t="s">
        <f>=HYPERLINK("https://main.knesset.gov.il/APPS/legislation/main/bills/2200166", "הצעת חוק הבטחת הכנסה (תיקון - מסגרת שיקומית מזנות), התשפ""ג-2023")</f>
        <v>11294</v>
      </c>
      <c r="E5577" t="s">
        <v>11294</v>
      </c>
      <c r="F5577" t="s">
        <v>11295</v>
      </c>
      <c r="G5577" t="s">
        <v>14</v>
      </c>
      <c r="H5577">
             </c>
      <c r="I5577" t="s">
        <v>14</v>
      </c>
      <c r="J5577" t="s">
        <v>242</v>
      </c>
      <c r="K5577" t="s">
        <v>14</v>
      </c>
      <c r="L5577" t="s">
        <v>20</v>
      </c>
      <c r="M5577" t="s">
        <v>11098</v>
      </c>
      <c r="N5577" t="s">
        <v>14</v>
      </c>
    </row>
    <row r="5578" x14ac:dyDescent="0.25">
      <c r="A5578" t="n">
        <v>25</v>
      </c>
      <c r="B5578" t="s">
        <v>14</v>
      </c>
      <c r="C5578" t="s">
        <v>51</v>
      </c>
      <c r="D5578" s="2" t="s">
        <f>=HYPERLINK("https://main.knesset.gov.il/APPS/legislation/main/bills/2200272", "הצעת חוק ביטוח בריאות ממלכתי (תיקון - סבסוד מחוללי חמצן ניידים), התשפ""ג-2023")</f>
        <v>5217</v>
      </c>
      <c r="E5578" t="s">
        <v>5217</v>
      </c>
      <c r="F5578" t="s">
        <v>11296</v>
      </c>
      <c r="G5578" t="s">
        <v>14</v>
      </c>
      <c r="H5578">
             </c>
      <c r="I5578" t="s">
        <v>14</v>
      </c>
      <c r="J5578" t="s">
        <v>242</v>
      </c>
      <c r="K5578" t="s">
        <v>14</v>
      </c>
      <c r="L5578" t="s">
        <v>20</v>
      </c>
      <c r="M5578" t="s">
        <v>11098</v>
      </c>
      <c r="N5578" t="s">
        <v>14</v>
      </c>
    </row>
    <row r="5579" x14ac:dyDescent="0.25">
      <c r="A5579" t="n">
        <v>25</v>
      </c>
      <c r="B5579" t="s">
        <v>14</v>
      </c>
      <c r="C5579" t="s">
        <v>51</v>
      </c>
      <c r="D5579" s="2" t="s">
        <f>=HYPERLINK("https://main.knesset.gov.il/APPS/legislation/main/bills/2200193", "הצעת חוק שירותי הסעד (תיקון - הגבלת מספר התיקים בטיפול עובד סוציאלי המטפל במשפחות), התשפ""ג-2023")</f>
        <v>8403</v>
      </c>
      <c r="E5579" t="s">
        <v>8403</v>
      </c>
      <c r="F5579" t="s">
        <v>11297</v>
      </c>
      <c r="G5579" t="s">
        <v>14</v>
      </c>
      <c r="H5579">
             </c>
      <c r="I5579" t="s">
        <v>14</v>
      </c>
      <c r="J5579" t="s">
        <v>242</v>
      </c>
      <c r="K5579" t="s">
        <v>14</v>
      </c>
      <c r="L5579" t="s">
        <v>20</v>
      </c>
      <c r="M5579" t="s">
        <v>11098</v>
      </c>
      <c r="N5579" t="s">
        <v>14</v>
      </c>
    </row>
    <row r="5580" x14ac:dyDescent="0.25">
      <c r="A5580" t="n">
        <v>25</v>
      </c>
      <c r="B5580" t="s">
        <v>14</v>
      </c>
      <c r="C5580" t="s">
        <v>51</v>
      </c>
      <c r="D5580" s="2" t="s">
        <f>=HYPERLINK("https://main.knesset.gov.il/APPS/legislation/main/bills/2200161", "הצעת חוק ביטוח בריאות ממלכתי (תיקון - צמצום פערים בין הפריפריה למרכז), התשפ""ג-2023")</f>
        <v>970</v>
      </c>
      <c r="E5580" t="s">
        <v>970</v>
      </c>
      <c r="F5580" t="s">
        <v>11298</v>
      </c>
      <c r="G5580" t="s">
        <v>14</v>
      </c>
      <c r="H5580">
             </c>
      <c r="I5580" t="s">
        <v>14</v>
      </c>
      <c r="J5580" t="s">
        <v>202</v>
      </c>
      <c r="K5580" t="s">
        <v>14</v>
      </c>
      <c r="L5580" t="s">
        <v>20</v>
      </c>
      <c r="M5580" t="s">
        <v>11098</v>
      </c>
      <c r="N5580" t="s">
        <v>14</v>
      </c>
    </row>
    <row r="5581" x14ac:dyDescent="0.25">
      <c r="A5581" t="n">
        <v>25</v>
      </c>
      <c r="B5581" t="s">
        <v>14</v>
      </c>
      <c r="C5581" t="s">
        <v>51</v>
      </c>
      <c r="D5581" s="2" t="s">
        <f>=HYPERLINK("https://main.knesset.gov.il/APPS/legislation/main/bills/2199543", "הצעת חוק להגדלת שיעור ההשתתפות בכוח העבודה ולצמצום פערים חברתיים (מענק עבודה) (תיקון - גיל הזכאות), התשפ""ג-2023")</f>
        <v>11299</v>
      </c>
      <c r="E5581" t="s">
        <v>11299</v>
      </c>
      <c r="F5581" t="s">
        <v>11300</v>
      </c>
      <c r="G5581" t="s">
        <v>14</v>
      </c>
      <c r="H5581">
             </c>
      <c r="I5581" t="s">
        <v>14</v>
      </c>
      <c r="J5581" t="s">
        <v>242</v>
      </c>
      <c r="K5581" t="s">
        <v>14</v>
      </c>
      <c r="L5581" t="s">
        <v>20</v>
      </c>
      <c r="M5581" t="s">
        <v>11098</v>
      </c>
      <c r="N5581" t="s">
        <v>14</v>
      </c>
    </row>
    <row r="5582" x14ac:dyDescent="0.25">
      <c r="A5582" t="n">
        <v>25</v>
      </c>
      <c r="B5582" t="s">
        <v>14</v>
      </c>
      <c r="C5582" t="s">
        <v>51</v>
      </c>
      <c r="D5582" s="2" t="s">
        <f>=HYPERLINK("https://main.knesset.gov.il/APPS/legislation/main/bills/2199129", "הצעת חוק הגנה על בריאות הציבור (מזון) (תיקון - הגבלת השימוש בחומצות שומן טראנס), התשפ""ג-2023")</f>
        <v>11301</v>
      </c>
      <c r="E5582" t="s">
        <v>11301</v>
      </c>
      <c r="F5582" t="s">
        <v>11302</v>
      </c>
      <c r="G5582" t="s">
        <v>14</v>
      </c>
      <c r="H5582">
             </c>
      <c r="I5582" t="s">
        <v>14</v>
      </c>
      <c r="J5582" t="s">
        <v>242</v>
      </c>
      <c r="K5582" t="s">
        <v>14</v>
      </c>
      <c r="L5582" t="s">
        <v>20</v>
      </c>
      <c r="M5582" t="s">
        <v>11098</v>
      </c>
      <c r="N5582" t="s">
        <v>14</v>
      </c>
    </row>
    <row r="5583" x14ac:dyDescent="0.25">
      <c r="A5583" t="n">
        <v>25</v>
      </c>
      <c r="B5583" t="s">
        <v>14</v>
      </c>
      <c r="C5583" t="s">
        <v>51</v>
      </c>
      <c r="D5583" s="2" t="s">
        <f>=HYPERLINK("https://main.knesset.gov.il/APPS/legislation/main/bills/2200141", "הצעת חוק רשות מקרקעי ישראל (תיקון - העדפת בני המקום בשיווק קרקעות), התשפ""ג-2023")</f>
        <v>11303</v>
      </c>
      <c r="E5583" t="s">
        <v>11303</v>
      </c>
      <c r="F5583" t="s">
        <v>11304</v>
      </c>
      <c r="G5583" t="s">
        <v>14</v>
      </c>
      <c r="H5583">
             </c>
      <c r="I5583" t="s">
        <v>14</v>
      </c>
      <c r="J5583" t="s">
        <v>242</v>
      </c>
      <c r="K5583" t="s">
        <v>14</v>
      </c>
      <c r="L5583" t="s">
        <v>20</v>
      </c>
      <c r="M5583" t="s">
        <v>11098</v>
      </c>
      <c r="N5583" t="s">
        <v>14</v>
      </c>
    </row>
    <row r="5584" x14ac:dyDescent="0.25">
      <c r="A5584" t="n">
        <v>25</v>
      </c>
      <c r="B5584" t="s">
        <v>14</v>
      </c>
      <c r="C5584" t="s">
        <v>51</v>
      </c>
      <c r="D5584" s="2" t="s">
        <f>=HYPERLINK("https://main.knesset.gov.il/APPS/legislation/main/bills/2199104", "הצעת חוק לתיקון בריאות העם (הוספת מכשור רפואי לפריפריה), התשפ""ג-2023")</f>
        <v>11305</v>
      </c>
      <c r="E5584" t="s">
        <v>11305</v>
      </c>
      <c r="F5584" t="s">
        <v>11306</v>
      </c>
      <c r="G5584" t="s">
        <v>14</v>
      </c>
      <c r="H5584">
             </c>
      <c r="I5584" t="s">
        <v>14</v>
      </c>
      <c r="J5584" t="s">
        <v>242</v>
      </c>
      <c r="K5584" t="s">
        <v>14</v>
      </c>
      <c r="L5584" t="s">
        <v>20</v>
      </c>
      <c r="M5584" t="s">
        <v>11098</v>
      </c>
      <c r="N5584" t="s">
        <v>14</v>
      </c>
    </row>
    <row r="5585" x14ac:dyDescent="0.25">
      <c r="A5585" t="n">
        <v>25</v>
      </c>
      <c r="B5585" t="s">
        <v>14</v>
      </c>
      <c r="C5585" t="s">
        <v>51</v>
      </c>
      <c r="D5585" s="2" t="s">
        <f>=HYPERLINK("https://main.knesset.gov.il/APPS/legislation/main/bills/2199094", "הצעת חוק מרשם האוכלוסין (תיקון - רישום הורה נוסף), התשפ""ג-2023")</f>
        <v>11307</v>
      </c>
      <c r="E5585" t="s">
        <v>11307</v>
      </c>
      <c r="F5585" t="s">
        <v>11308</v>
      </c>
      <c r="G5585" t="s">
        <v>14</v>
      </c>
      <c r="H5585">
             </c>
      <c r="I5585" t="s">
        <v>14</v>
      </c>
      <c r="J5585" t="s">
        <v>242</v>
      </c>
      <c r="K5585" t="s">
        <v>14</v>
      </c>
      <c r="L5585" t="s">
        <v>20</v>
      </c>
      <c r="M5585" t="s">
        <v>11098</v>
      </c>
      <c r="N5585" t="s">
        <v>14</v>
      </c>
    </row>
    <row r="5586" x14ac:dyDescent="0.25">
      <c r="A5586" t="n">
        <v>25</v>
      </c>
      <c r="B5586" t="s">
        <v>14</v>
      </c>
      <c r="C5586" t="s">
        <v>51</v>
      </c>
      <c r="D5586" s="2" t="s">
        <f>=HYPERLINK("https://main.knesset.gov.il/APPS/legislation/main/bills/2198926", "הצעת חוק הביטוח הלאומי (תיקון - ביטול מבחני התלות לקבלת גמלת סיעוד לאזרח שמלאו לו 80 שנים), התשפ""ג-2023")</f>
        <v>11309</v>
      </c>
      <c r="E5586" t="s">
        <v>11309</v>
      </c>
      <c r="F5586" t="s">
        <v>11310</v>
      </c>
      <c r="G5586" t="s">
        <v>14</v>
      </c>
      <c r="H5586">
             </c>
      <c r="I5586" t="s">
        <v>14</v>
      </c>
      <c r="J5586" t="s">
        <v>202</v>
      </c>
      <c r="K5586" t="s">
        <v>14</v>
      </c>
      <c r="L5586" t="s">
        <v>20</v>
      </c>
      <c r="M5586" t="s">
        <v>11098</v>
      </c>
      <c r="N5586" t="s">
        <v>14</v>
      </c>
    </row>
    <row r="5587" x14ac:dyDescent="0.25">
      <c r="A5587" t="n">
        <v>25</v>
      </c>
      <c r="B5587" t="s">
        <v>14</v>
      </c>
      <c r="C5587" t="s">
        <v>51</v>
      </c>
      <c r="D5587" s="2" t="s">
        <f>=HYPERLINK("https://main.knesset.gov.il/APPS/legislation/main/bills/2200282", "הצעת חוק צירוף משפחות נפגעי טרור כצד להליך המשפטי (תיקוני חקיקה), התשפ""ג-2023 ")</f>
        <v>11311</v>
      </c>
      <c r="E5587" t="s">
        <v>11311</v>
      </c>
      <c r="F5587" t="s">
        <v>11312</v>
      </c>
      <c r="G5587" t="s">
        <v>14</v>
      </c>
      <c r="H5587">
             </c>
      <c r="I5587" t="s">
        <v>14</v>
      </c>
      <c r="J5587" t="s">
        <v>242</v>
      </c>
      <c r="K5587" t="s">
        <v>14</v>
      </c>
      <c r="L5587" t="s">
        <v>20</v>
      </c>
      <c r="M5587" t="s">
        <v>11313</v>
      </c>
      <c r="N5587" t="s">
        <v>14</v>
      </c>
    </row>
    <row r="5588" x14ac:dyDescent="0.25">
      <c r="A5588" t="n">
        <v>25</v>
      </c>
      <c r="B5588" t="s">
        <v>14</v>
      </c>
      <c r="C5588" t="s">
        <v>51</v>
      </c>
      <c r="D5588" s="2" t="s">
        <f>=HYPERLINK("https://main.knesset.gov.il/APPS/legislation/main/bills/2198638", "הצעת חוק העונשין (תיקון מס' 140 - הוראת שעה) (תיקון - הארכת תוקף והגדלת עונש המינימום), התשפ""ג-2023")</f>
        <v>11314</v>
      </c>
      <c r="E5588" t="s">
        <v>11314</v>
      </c>
      <c r="F5588" t="s">
        <v>11315</v>
      </c>
      <c r="G5588" t="s">
        <v>14</v>
      </c>
      <c r="H5588">
             </c>
      <c r="I5588" t="s">
        <v>14</v>
      </c>
      <c r="J5588" t="s">
        <v>242</v>
      </c>
      <c r="K5588" t="s">
        <v>14</v>
      </c>
      <c r="L5588" t="s">
        <v>20</v>
      </c>
      <c r="M5588" t="s">
        <v>11313</v>
      </c>
      <c r="N5588" t="s">
        <v>14</v>
      </c>
    </row>
    <row r="5589" x14ac:dyDescent="0.25">
      <c r="A5589" t="n">
        <v>25</v>
      </c>
      <c r="B5589" t="s">
        <v>14</v>
      </c>
      <c r="C5589" t="s">
        <v>51</v>
      </c>
      <c r="D5589" s="2" t="s">
        <f>=HYPERLINK("https://main.knesset.gov.il/APPS/legislation/main/bills/2198777", "הצעת חוק הסדרת העיסוק במקצועות הבריאות (תיקון - הסדרת העיסוק במקצועות הבריאות עוזר רופא ודימותנות רפואית), התשפ""ג-2023")</f>
        <v>11316</v>
      </c>
      <c r="E5589" t="s">
        <v>11316</v>
      </c>
      <c r="F5589" t="s">
        <v>11317</v>
      </c>
      <c r="G5589" t="s">
        <v>14</v>
      </c>
      <c r="H5589">
             </c>
      <c r="I5589" t="s">
        <v>14</v>
      </c>
      <c r="J5589" t="s">
        <v>242</v>
      </c>
      <c r="K5589" t="s">
        <v>14</v>
      </c>
      <c r="L5589" t="s">
        <v>20</v>
      </c>
      <c r="M5589" t="s">
        <v>11313</v>
      </c>
      <c r="N5589" t="s">
        <v>14</v>
      </c>
    </row>
    <row r="5590" x14ac:dyDescent="0.25">
      <c r="A5590" t="n">
        <v>25</v>
      </c>
      <c r="B5590" t="s">
        <v>14</v>
      </c>
      <c r="C5590" t="s">
        <v>51</v>
      </c>
      <c r="D5590" s="2" t="s">
        <f>=HYPERLINK("https://main.knesset.gov.il/APPS/legislation/main/bills/2198965", "הצעת חוק הסדרים במשק המדינה (תיקוני חקיקה להשגת יעדי התקציב) (תיקון - פטור מארנונה למגורים), התשפ""ג-2023")</f>
        <v>11318</v>
      </c>
      <c r="E5590" t="s">
        <v>11318</v>
      </c>
      <c r="F5590" t="s">
        <v>11319</v>
      </c>
      <c r="G5590" t="s">
        <v>14</v>
      </c>
      <c r="H5590">
             </c>
      <c r="I5590" t="s">
        <v>14</v>
      </c>
      <c r="J5590" t="s">
        <v>242</v>
      </c>
      <c r="K5590" t="s">
        <v>14</v>
      </c>
      <c r="L5590" t="s">
        <v>20</v>
      </c>
      <c r="M5590" t="s">
        <v>11313</v>
      </c>
      <c r="N5590" t="s">
        <v>14</v>
      </c>
    </row>
    <row r="5591" x14ac:dyDescent="0.25">
      <c r="A5591" t="n">
        <v>25</v>
      </c>
      <c r="B5591" t="s">
        <v>14</v>
      </c>
      <c r="C5591" t="s">
        <v>51</v>
      </c>
      <c r="D5591" s="2" t="s">
        <f>=HYPERLINK("https://main.knesset.gov.il/APPS/legislation/main/bills/2200163", "הצעת חוק בתי דין רבניים (קיום פסקי דין של גירושין) (תיקון - סמכות בית המשפט לענייני משפחה), התשפ""ג-2023")</f>
        <v>11320</v>
      </c>
      <c r="E5591" t="s">
        <v>11320</v>
      </c>
      <c r="F5591" t="s">
        <v>11321</v>
      </c>
      <c r="G5591" t="s">
        <v>14</v>
      </c>
      <c r="H5591">
             </c>
      <c r="I5591" t="s">
        <v>14</v>
      </c>
      <c r="J5591" t="s">
        <v>242</v>
      </c>
      <c r="K5591" t="s">
        <v>14</v>
      </c>
      <c r="L5591" t="s">
        <v>20</v>
      </c>
      <c r="M5591" t="s">
        <v>11313</v>
      </c>
      <c r="N5591" t="s">
        <v>14</v>
      </c>
    </row>
    <row r="5592" x14ac:dyDescent="0.25">
      <c r="A5592" t="n">
        <v>25</v>
      </c>
      <c r="B5592" t="s">
        <v>14</v>
      </c>
      <c r="C5592" t="s">
        <v>51</v>
      </c>
      <c r="D5592" s="2" t="s">
        <f>=HYPERLINK("https://main.knesset.gov.il/APPS/legislation/main/bills/2199424", "הצעת חוק ביטוח בריאות ממלכתי (תיקון - החזר דמי נסיעה באמבולנס למי שהגיע לגיל פרישה), התשפ""ג-2023")</f>
        <v>4188</v>
      </c>
      <c r="E5592" t="s">
        <v>4188</v>
      </c>
      <c r="F5592" t="s">
        <v>11322</v>
      </c>
      <c r="G5592" t="s">
        <v>14</v>
      </c>
      <c r="H5592">
             </c>
      <c r="I5592" t="s">
        <v>14</v>
      </c>
      <c r="J5592" t="s">
        <v>242</v>
      </c>
      <c r="K5592" t="s">
        <v>14</v>
      </c>
      <c r="L5592" t="s">
        <v>20</v>
      </c>
      <c r="M5592" t="s">
        <v>11313</v>
      </c>
      <c r="N5592" t="s">
        <v>14</v>
      </c>
    </row>
    <row r="5593" x14ac:dyDescent="0.25">
      <c r="A5593" t="n">
        <v>25</v>
      </c>
      <c r="B5593" t="s">
        <v>14</v>
      </c>
      <c r="C5593" t="s">
        <v>51</v>
      </c>
      <c r="D5593" s="2" t="s">
        <f>=HYPERLINK("https://main.knesset.gov.il/APPS/legislation/main/bills/2200118", "הצעת חוק הביטוח הלאומי (תיקון - דמי פגיעה לעובד עצמאי), התשפ""ג-2023")</f>
        <v>10207</v>
      </c>
      <c r="E5593" t="s">
        <v>10207</v>
      </c>
      <c r="F5593" t="s">
        <v>11323</v>
      </c>
      <c r="G5593" t="s">
        <v>14</v>
      </c>
      <c r="H5593">
             </c>
      <c r="I5593" t="s">
        <v>14</v>
      </c>
      <c r="J5593" t="s">
        <v>242</v>
      </c>
      <c r="K5593" t="s">
        <v>14</v>
      </c>
      <c r="L5593" t="s">
        <v>20</v>
      </c>
      <c r="M5593" t="s">
        <v>11313</v>
      </c>
      <c r="N5593" t="s">
        <v>14</v>
      </c>
    </row>
    <row r="5594" x14ac:dyDescent="0.25">
      <c r="A5594" t="n">
        <v>25</v>
      </c>
      <c r="B5594" t="s">
        <v>14</v>
      </c>
      <c r="C5594" t="s">
        <v>51</v>
      </c>
      <c r="D5594" s="2" t="s">
        <f>=HYPERLINK("https://main.knesset.gov.il/APPS/legislation/main/bills/2199932", "הצעת חוק הביטוח הלאומי (תיקון - דמי פגיעה לעובד עצמאי), התשפ""ג-2023")</f>
        <v>10207</v>
      </c>
      <c r="E5594" t="s">
        <v>10207</v>
      </c>
      <c r="F5594" t="s">
        <v>11324</v>
      </c>
      <c r="G5594" t="s">
        <v>14</v>
      </c>
      <c r="H5594">
             </c>
      <c r="I5594" t="s">
        <v>14</v>
      </c>
      <c r="J5594" t="s">
        <v>242</v>
      </c>
      <c r="K5594" t="s">
        <v>14</v>
      </c>
      <c r="L5594" t="s">
        <v>20</v>
      </c>
      <c r="M5594" t="s">
        <v>11313</v>
      </c>
      <c r="N5594" t="s">
        <v>14</v>
      </c>
    </row>
    <row r="5595" x14ac:dyDescent="0.25">
      <c r="A5595" t="n">
        <v>25</v>
      </c>
      <c r="B5595" t="s">
        <v>14</v>
      </c>
      <c r="C5595" t="s">
        <v>51</v>
      </c>
      <c r="D5595" s="2" t="s">
        <f>=HYPERLINK("https://main.knesset.gov.il/APPS/legislation/main/bills/2200165", "הצעת חוק האפוטרופוס הכללי (תיקון - הקמת מאגר מידע לעניין כספים ללא דורש), התשפ""ג-2023")</f>
        <v>11325</v>
      </c>
      <c r="E5595" t="s">
        <v>11325</v>
      </c>
      <c r="F5595" t="s">
        <v>11326</v>
      </c>
      <c r="G5595" t="s">
        <v>14</v>
      </c>
      <c r="H5595">
             </c>
      <c r="I5595" t="s">
        <v>14</v>
      </c>
      <c r="J5595" t="s">
        <v>242</v>
      </c>
      <c r="K5595" t="s">
        <v>14</v>
      </c>
      <c r="L5595" t="s">
        <v>20</v>
      </c>
      <c r="M5595" t="s">
        <v>11313</v>
      </c>
      <c r="N5595" t="s">
        <v>14</v>
      </c>
    </row>
    <row r="5596" x14ac:dyDescent="0.25">
      <c r="A5596" t="n">
        <v>25</v>
      </c>
      <c r="B5596" t="s">
        <v>14</v>
      </c>
      <c r="C5596" t="s">
        <v>51</v>
      </c>
      <c r="D5596" s="2" t="s">
        <f>=HYPERLINK("https://main.knesset.gov.il/APPS/legislation/main/bills/2200326", "הצעת חוק שמירת הסביבה החופית (בחינה ועדכון של תכניות), התשפ""ג-2023")</f>
        <v>11327</v>
      </c>
      <c r="E5596" t="s">
        <v>11327</v>
      </c>
      <c r="F5596" t="s">
        <v>11328</v>
      </c>
      <c r="G5596" t="s">
        <v>14</v>
      </c>
      <c r="H5596">
             </c>
      <c r="I5596" t="s">
        <v>14</v>
      </c>
      <c r="J5596" t="s">
        <v>242</v>
      </c>
      <c r="K5596" t="s">
        <v>14</v>
      </c>
      <c r="L5596" t="s">
        <v>20</v>
      </c>
      <c r="M5596" t="s">
        <v>11313</v>
      </c>
      <c r="N5596" t="s">
        <v>14</v>
      </c>
    </row>
    <row r="5597" x14ac:dyDescent="0.25">
      <c r="A5597" t="n">
        <v>25</v>
      </c>
      <c r="B5597" t="s">
        <v>14</v>
      </c>
      <c r="C5597" t="s">
        <v>51</v>
      </c>
      <c r="D5597" s="2" t="s">
        <f>=HYPERLINK("https://main.knesset.gov.il/APPS/legislation/main/bills/2200363", "הצעת חוק ההוצאה לפועל (תיקון - הגבלת סכום עיקול בידי צד שלישי שהוא תאגיד בנקאי), התשפ""ג-2023")</f>
        <v>10290</v>
      </c>
      <c r="E5597" t="s">
        <v>10290</v>
      </c>
      <c r="F5597" t="s">
        <v>11329</v>
      </c>
      <c r="G5597" t="s">
        <v>14</v>
      </c>
      <c r="H5597">
             </c>
      <c r="I5597" t="s">
        <v>14</v>
      </c>
      <c r="J5597" t="s">
        <v>242</v>
      </c>
      <c r="K5597" t="s">
        <v>14</v>
      </c>
      <c r="L5597" t="s">
        <v>20</v>
      </c>
      <c r="M5597" t="s">
        <v>11313</v>
      </c>
      <c r="N5597" t="s">
        <v>14</v>
      </c>
    </row>
    <row r="5598" x14ac:dyDescent="0.25">
      <c r="A5598" t="n">
        <v>25</v>
      </c>
      <c r="B5598" t="s">
        <v>14</v>
      </c>
      <c r="C5598" t="s">
        <v>51</v>
      </c>
      <c r="D5598" s="2" t="s">
        <f>=HYPERLINK("https://main.knesset.gov.il/APPS/legislation/main/bills/2200349", "הצעת חוק המקרקעין (חיזוק בתים משותפים מפני רעידות אדמה) (תיקון - פינוי קשישים), התשפ""ג-2023")</f>
        <v>11330</v>
      </c>
      <c r="E5598" t="s">
        <v>11330</v>
      </c>
      <c r="F5598" t="s">
        <v>11331</v>
      </c>
      <c r="G5598" t="s">
        <v>14</v>
      </c>
      <c r="H5598">
             </c>
      <c r="I5598" t="s">
        <v>14</v>
      </c>
      <c r="J5598" t="s">
        <v>242</v>
      </c>
      <c r="K5598" t="s">
        <v>14</v>
      </c>
      <c r="L5598" t="s">
        <v>20</v>
      </c>
      <c r="M5598" t="s">
        <v>11313</v>
      </c>
      <c r="N5598" t="s">
        <v>14</v>
      </c>
    </row>
    <row r="5599" x14ac:dyDescent="0.25">
      <c r="A5599" t="n">
        <v>25</v>
      </c>
      <c r="B5599" t="s">
        <v>14</v>
      </c>
      <c r="C5599" t="s">
        <v>51</v>
      </c>
      <c r="D5599" s="2" t="s">
        <f>=HYPERLINK("https://main.knesset.gov.il/APPS/legislation/main/bills/2200006", "הצעת חוק השוואת תשלומים לחיילים בודדים ילידי ישראל וחיילים בודדים שנולדו מחוץ לישראל, התשפ""ג-2023")</f>
        <v>11332</v>
      </c>
      <c r="E5599" t="s">
        <v>11332</v>
      </c>
      <c r="F5599" t="s">
        <v>11333</v>
      </c>
      <c r="G5599" t="s">
        <v>14</v>
      </c>
      <c r="H5599">
             </c>
      <c r="I5599" t="s">
        <v>14</v>
      </c>
      <c r="J5599" t="s">
        <v>242</v>
      </c>
      <c r="K5599" t="s">
        <v>14</v>
      </c>
      <c r="L5599" t="s">
        <v>20</v>
      </c>
      <c r="M5599" t="s">
        <v>11313</v>
      </c>
      <c r="N5599" t="s">
        <v>14</v>
      </c>
    </row>
    <row r="5600" x14ac:dyDescent="0.25">
      <c r="A5600" t="n">
        <v>25</v>
      </c>
      <c r="B5600" t="s">
        <v>14</v>
      </c>
      <c r="C5600" t="s">
        <v>51</v>
      </c>
      <c r="D5600" s="2" t="s">
        <f>=HYPERLINK("https://main.knesset.gov.il/APPS/legislation/main/bills/2200375", "הצעת חוק הסדרת מקומות רחצה (תיקון - ייעוד זמנים לרחצה נפרדת באתרי טבע), התשפ""ג-2023")</f>
        <v>11334</v>
      </c>
      <c r="E5600" t="s">
        <v>11334</v>
      </c>
      <c r="F5600" t="s">
        <v>11335</v>
      </c>
      <c r="G5600" t="s">
        <v>14</v>
      </c>
      <c r="H5600">
             </c>
      <c r="I5600" t="s">
        <v>14</v>
      </c>
      <c r="J5600" t="s">
        <v>242</v>
      </c>
      <c r="K5600" t="s">
        <v>14</v>
      </c>
      <c r="L5600" t="s">
        <v>20</v>
      </c>
      <c r="M5600" t="s">
        <v>11313</v>
      </c>
      <c r="N5600" t="s">
        <v>14</v>
      </c>
    </row>
    <row r="5601" x14ac:dyDescent="0.25">
      <c r="A5601" t="n">
        <v>25</v>
      </c>
      <c r="B5601" t="s">
        <v>14</v>
      </c>
      <c r="C5601" t="s">
        <v>51</v>
      </c>
      <c r="D5601" s="2" t="s">
        <f>=HYPERLINK("https://main.knesset.gov.il/APPS/legislation/main/bills/2200291", "הצעת חוק חינוך ממלכתי (תיקון – מעמד החינוך הממלכתי המשלב), התשפ""ג–2023")</f>
        <v>11336</v>
      </c>
      <c r="E5601" t="s">
        <v>11336</v>
      </c>
      <c r="F5601" t="s">
        <v>11337</v>
      </c>
      <c r="G5601" t="s">
        <v>14</v>
      </c>
      <c r="H5601">
             </c>
      <c r="I5601" t="s">
        <v>14</v>
      </c>
      <c r="J5601" t="s">
        <v>242</v>
      </c>
      <c r="K5601" t="s">
        <v>14</v>
      </c>
      <c r="L5601" t="s">
        <v>20</v>
      </c>
      <c r="M5601" t="s">
        <v>11313</v>
      </c>
      <c r="N5601" t="s">
        <v>14</v>
      </c>
    </row>
    <row r="5602" x14ac:dyDescent="0.25">
      <c r="A5602" t="n">
        <v>25</v>
      </c>
      <c r="B5602" t="s">
        <v>14</v>
      </c>
      <c r="C5602" t="s">
        <v>51</v>
      </c>
      <c r="D5602" s="2" t="s">
        <f>=HYPERLINK("https://main.knesset.gov.il/APPS/legislation/main/bills/2200277", "הצעת חוק למניעת העסקה של עברייני מין במוסדות מסוימים (תיקון - הגדרת עבירת מין), התשפ""ג-2023")</f>
        <v>11338</v>
      </c>
      <c r="E5602" t="s">
        <v>11338</v>
      </c>
      <c r="F5602" t="s">
        <v>11339</v>
      </c>
      <c r="G5602" t="s">
        <v>14</v>
      </c>
      <c r="H5602">
             </c>
      <c r="I5602" t="s">
        <v>14</v>
      </c>
      <c r="J5602" t="s">
        <v>242</v>
      </c>
      <c r="K5602" t="s">
        <v>14</v>
      </c>
      <c r="L5602" t="s">
        <v>20</v>
      </c>
      <c r="M5602" t="s">
        <v>11313</v>
      </c>
      <c r="N5602" t="s">
        <v>14</v>
      </c>
    </row>
    <row r="5603" x14ac:dyDescent="0.25">
      <c r="A5603" t="n">
        <v>25</v>
      </c>
      <c r="B5603" t="s">
        <v>14</v>
      </c>
      <c r="C5603" t="s">
        <v>51</v>
      </c>
      <c r="D5603" s="2" t="s">
        <f>=HYPERLINK("https://main.knesset.gov.il/APPS/legislation/main/bills/2199913", "הצעת חוק עבודת נשים (תיקון - זכאות להשתתפות בעלות מעון יום בתקופת הלידה וההורות), התשפ""ג-2023")</f>
        <v>11340</v>
      </c>
      <c r="E5603" t="s">
        <v>11340</v>
      </c>
      <c r="F5603" t="s">
        <v>11341</v>
      </c>
      <c r="G5603" t="s">
        <v>14</v>
      </c>
      <c r="H5603">
             </c>
      <c r="I5603" t="s">
        <v>14</v>
      </c>
      <c r="J5603" t="s">
        <v>242</v>
      </c>
      <c r="K5603" t="s">
        <v>14</v>
      </c>
      <c r="L5603" t="s">
        <v>20</v>
      </c>
      <c r="M5603" t="s">
        <v>11313</v>
      </c>
      <c r="N5603" t="s">
        <v>14</v>
      </c>
    </row>
    <row r="5604" x14ac:dyDescent="0.25">
      <c r="A5604" t="n">
        <v>25</v>
      </c>
      <c r="B5604" t="s">
        <v>14</v>
      </c>
      <c r="C5604" t="s">
        <v>51</v>
      </c>
      <c r="D5604" s="2" t="s">
        <f>=HYPERLINK("https://main.knesset.gov.il/APPS/legislation/main/bills/2199862", "הצעת חוק בתי המשפט (תיקון - הרכב מלא בדיון בתיקי בג""ץ), התשפ""ג-2023")</f>
        <v>11342</v>
      </c>
      <c r="E5604" t="s">
        <v>11342</v>
      </c>
      <c r="F5604" t="s">
        <v>11343</v>
      </c>
      <c r="G5604" t="s">
        <v>14</v>
      </c>
      <c r="H5604">
             </c>
      <c r="I5604" t="s">
        <v>14</v>
      </c>
      <c r="J5604" t="s">
        <v>242</v>
      </c>
      <c r="K5604" t="s">
        <v>14</v>
      </c>
      <c r="L5604" t="s">
        <v>20</v>
      </c>
      <c r="M5604" t="s">
        <v>11313</v>
      </c>
      <c r="N5604" t="s">
        <v>14</v>
      </c>
    </row>
    <row r="5605" x14ac:dyDescent="0.25">
      <c r="A5605" t="n">
        <v>25</v>
      </c>
      <c r="B5605" t="s">
        <v>14</v>
      </c>
      <c r="C5605" t="s">
        <v>51</v>
      </c>
      <c r="D5605" s="2" t="s">
        <f>=HYPERLINK("https://main.knesset.gov.il/APPS/legislation/main/bills/2199336", "הצעת חוק עבודת נשים (תיקון - הארכת תקופת לידה והורות בתשלום), התשפ""ג-2023")</f>
        <v>11344</v>
      </c>
      <c r="E5605" t="s">
        <v>11344</v>
      </c>
      <c r="F5605" t="s">
        <v>11345</v>
      </c>
      <c r="G5605" t="s">
        <v>14</v>
      </c>
      <c r="H5605">
             </c>
      <c r="I5605" t="s">
        <v>14</v>
      </c>
      <c r="J5605" t="s">
        <v>242</v>
      </c>
      <c r="K5605" t="s">
        <v>14</v>
      </c>
      <c r="L5605" t="s">
        <v>20</v>
      </c>
      <c r="M5605" t="s">
        <v>11313</v>
      </c>
      <c r="N5605" t="s">
        <v>14</v>
      </c>
    </row>
    <row r="5606" x14ac:dyDescent="0.25">
      <c r="A5606" t="n">
        <v>25</v>
      </c>
      <c r="B5606" t="s">
        <v>14</v>
      </c>
      <c r="C5606" t="s">
        <v>51</v>
      </c>
      <c r="D5606" s="2" t="s">
        <f>=HYPERLINK("https://main.knesset.gov.il/APPS/legislation/main/bills/2200215", "הצעת חוק הגבלת פעולות אנשי דת בלתי מורשים בצבא הגנה לישראל ובמשטרת ישראל, התשפ""ג-2023")</f>
        <v>11346</v>
      </c>
      <c r="E5606" t="s">
        <v>11346</v>
      </c>
      <c r="F5606" t="s">
        <v>11347</v>
      </c>
      <c r="G5606" t="s">
        <v>14</v>
      </c>
      <c r="H5606">
             </c>
      <c r="I5606" t="s">
        <v>14</v>
      </c>
      <c r="J5606" t="s">
        <v>242</v>
      </c>
      <c r="K5606" t="s">
        <v>14</v>
      </c>
      <c r="L5606" t="s">
        <v>20</v>
      </c>
      <c r="M5606" t="s">
        <v>11313</v>
      </c>
      <c r="N5606" t="s">
        <v>14</v>
      </c>
    </row>
    <row r="5607" x14ac:dyDescent="0.25">
      <c r="A5607" t="n">
        <v>25</v>
      </c>
      <c r="B5607" t="s">
        <v>14</v>
      </c>
      <c r="C5607" t="s">
        <v>51</v>
      </c>
      <c r="D5607" s="2" t="s">
        <f>=HYPERLINK("https://main.knesset.gov.il/APPS/legislation/main/bills/2200285", "הצעת חוק סייעות במוסדות חינוך, התשפ""ג-2023")</f>
        <v>9674</v>
      </c>
      <c r="E5607" t="s">
        <v>9674</v>
      </c>
      <c r="F5607" t="s">
        <v>11348</v>
      </c>
      <c r="G5607" t="s">
        <v>14</v>
      </c>
      <c r="H5607">
             </c>
      <c r="I5607" t="s">
        <v>14</v>
      </c>
      <c r="J5607" t="s">
        <v>242</v>
      </c>
      <c r="K5607" t="s">
        <v>14</v>
      </c>
      <c r="L5607" t="s">
        <v>20</v>
      </c>
      <c r="M5607" t="s">
        <v>11313</v>
      </c>
      <c r="N5607" t="s">
        <v>14</v>
      </c>
    </row>
    <row r="5608" x14ac:dyDescent="0.25">
      <c r="A5608" t="n">
        <v>25</v>
      </c>
      <c r="B5608" t="s">
        <v>14</v>
      </c>
      <c r="C5608" t="s">
        <v>51</v>
      </c>
      <c r="D5608" s="2" t="s">
        <f>=HYPERLINK("https://main.knesset.gov.il/APPS/legislation/main/bills/2200329", "הצעת חוק אימוץ ילדים (תיקון - כשירות המאמץ), התשפ""ג-2023")</f>
        <v>11349</v>
      </c>
      <c r="E5608" t="s">
        <v>11349</v>
      </c>
      <c r="F5608" t="s">
        <v>11350</v>
      </c>
      <c r="G5608" t="s">
        <v>14</v>
      </c>
      <c r="H5608">
             </c>
      <c r="I5608" t="s">
        <v>14</v>
      </c>
      <c r="J5608" t="s">
        <v>242</v>
      </c>
      <c r="K5608" t="s">
        <v>14</v>
      </c>
      <c r="L5608" t="s">
        <v>20</v>
      </c>
      <c r="M5608" t="s">
        <v>11313</v>
      </c>
      <c r="N5608" t="s">
        <v>14</v>
      </c>
    </row>
    <row r="5609" x14ac:dyDescent="0.25">
      <c r="A5609" t="n">
        <v>25</v>
      </c>
      <c r="B5609" t="s">
        <v>14</v>
      </c>
      <c r="C5609" t="s">
        <v>51</v>
      </c>
      <c r="D5609" s="2" t="s">
        <f>=HYPERLINK("https://main.knesset.gov.il/APPS/legislation/main/bills/2200097", "הצעת חוק איסור הפליה במוצרים, בשירותים ובכניסה למקומות בידור ולמקומות ציבוריים (תיקון - הגדלת סכום הפיצוי בלא הוכחת נזק), התשפ""ג-2023")</f>
        <v>5027</v>
      </c>
      <c r="E5609" t="s">
        <v>5027</v>
      </c>
      <c r="F5609" t="s">
        <v>11351</v>
      </c>
      <c r="G5609" t="s">
        <v>14</v>
      </c>
      <c r="H5609">
             </c>
      <c r="I5609" t="s">
        <v>14</v>
      </c>
      <c r="J5609" t="s">
        <v>242</v>
      </c>
      <c r="K5609" t="s">
        <v>14</v>
      </c>
      <c r="L5609" t="s">
        <v>20</v>
      </c>
      <c r="M5609" t="s">
        <v>11313</v>
      </c>
      <c r="N5609" t="s">
        <v>14</v>
      </c>
    </row>
    <row r="5610" x14ac:dyDescent="0.25">
      <c r="A5610" t="n">
        <v>25</v>
      </c>
      <c r="B5610" t="s">
        <v>14</v>
      </c>
      <c r="C5610" t="s">
        <v>51</v>
      </c>
      <c r="D5610" s="2" t="s">
        <f>=HYPERLINK("https://main.knesset.gov.il/APPS/legislation/main/bills/2199002", "הצעת חוק לתיקון פקודת הרופאים (ביצוע פעולות בבית החולה), התשפ""ג-2023")</f>
        <v>11352</v>
      </c>
      <c r="E5610" t="s">
        <v>11352</v>
      </c>
      <c r="F5610" t="s">
        <v>11353</v>
      </c>
      <c r="G5610" t="s">
        <v>14</v>
      </c>
      <c r="H5610">
             </c>
      <c r="I5610" t="s">
        <v>14</v>
      </c>
      <c r="J5610" t="s">
        <v>242</v>
      </c>
      <c r="K5610" t="s">
        <v>14</v>
      </c>
      <c r="L5610" t="s">
        <v>20</v>
      </c>
      <c r="M5610" t="s">
        <v>11313</v>
      </c>
      <c r="N5610" t="s">
        <v>14</v>
      </c>
    </row>
    <row r="5611" x14ac:dyDescent="0.25">
      <c r="A5611" t="n">
        <v>25</v>
      </c>
      <c r="B5611" t="s">
        <v>14</v>
      </c>
      <c r="C5611" t="s">
        <v>51</v>
      </c>
      <c r="D5611" s="2" t="s">
        <f>=HYPERLINK("https://main.knesset.gov.il/APPS/legislation/main/bills/2200192", "הצעת חוק זכויות הדייר בדיור הציבורי (תיקון - הארכת תוקף זכאות לדירה ציבורית), התשפ""ג-2023")</f>
        <v>11354</v>
      </c>
      <c r="E5611" t="s">
        <v>11354</v>
      </c>
      <c r="F5611" t="s">
        <v>11355</v>
      </c>
      <c r="G5611" t="s">
        <v>14</v>
      </c>
      <c r="H5611">
             </c>
      <c r="I5611" t="s">
        <v>14</v>
      </c>
      <c r="J5611" t="s">
        <v>242</v>
      </c>
      <c r="K5611" t="s">
        <v>14</v>
      </c>
      <c r="L5611" t="s">
        <v>20</v>
      </c>
      <c r="M5611" t="s">
        <v>11313</v>
      </c>
      <c r="N5611" t="s">
        <v>14</v>
      </c>
    </row>
    <row r="5612" x14ac:dyDescent="0.25">
      <c r="A5612" t="n">
        <v>25</v>
      </c>
      <c r="B5612" t="s">
        <v>14</v>
      </c>
      <c r="C5612" t="s">
        <v>51</v>
      </c>
      <c r="D5612" s="2" t="s">
        <f>=HYPERLINK("https://main.knesset.gov.il/APPS/legislation/main/bills/2200136", "הצעת חוק הנישואין ופירוקם, התשפ""ג-2023")</f>
        <v>11356</v>
      </c>
      <c r="E5612" t="s">
        <v>11356</v>
      </c>
      <c r="F5612" t="s">
        <v>11357</v>
      </c>
      <c r="G5612" t="s">
        <v>14</v>
      </c>
      <c r="H5612">
             </c>
      <c r="I5612" t="s">
        <v>14</v>
      </c>
      <c r="J5612" t="s">
        <v>242</v>
      </c>
      <c r="K5612" t="s">
        <v>14</v>
      </c>
      <c r="L5612" t="s">
        <v>20</v>
      </c>
      <c r="M5612" t="s">
        <v>11313</v>
      </c>
      <c r="N5612" t="s">
        <v>14</v>
      </c>
    </row>
    <row r="5613" x14ac:dyDescent="0.25">
      <c r="A5613" t="n">
        <v>25</v>
      </c>
      <c r="B5613" t="s">
        <v>14</v>
      </c>
      <c r="C5613" t="s">
        <v>51</v>
      </c>
      <c r="D5613" s="2" t="s">
        <f>=HYPERLINK("https://main.knesset.gov.il/APPS/legislation/main/bills/2200284", "הצעת חוק הפיקוח על מעונות יום לפעוטות (תיקון - החמרת ענישה), התשפ""ג-2023")</f>
        <v>9692</v>
      </c>
      <c r="E5613" t="s">
        <v>9692</v>
      </c>
      <c r="F5613" t="s">
        <v>11358</v>
      </c>
      <c r="G5613" t="s">
        <v>14</v>
      </c>
      <c r="H5613">
             </c>
      <c r="I5613" t="s">
        <v>14</v>
      </c>
      <c r="J5613" t="s">
        <v>242</v>
      </c>
      <c r="K5613" t="s">
        <v>14</v>
      </c>
      <c r="L5613" t="s">
        <v>20</v>
      </c>
      <c r="M5613" t="s">
        <v>11313</v>
      </c>
      <c r="N5613" t="s">
        <v>14</v>
      </c>
    </row>
    <row r="5614" x14ac:dyDescent="0.25">
      <c r="A5614" t="n">
        <v>25</v>
      </c>
      <c r="B5614" t="s">
        <v>14</v>
      </c>
      <c r="C5614" t="s">
        <v>51</v>
      </c>
      <c r="D5614" s="2" t="s">
        <f>=HYPERLINK("https://main.knesset.gov.il/APPS/legislation/main/bills/2200116", "הצעת חוק שירותי הדת היהודיים (תיקון - פיזור מועצה דתית בידי מועצת הרשות המקומית), התשפ""ג-2023")</f>
        <v>11359</v>
      </c>
      <c r="E5614" t="s">
        <v>11359</v>
      </c>
      <c r="F5614" t="s">
        <v>11360</v>
      </c>
      <c r="G5614" t="s">
        <v>14</v>
      </c>
      <c r="H5614">
             </c>
      <c r="I5614" t="s">
        <v>14</v>
      </c>
      <c r="J5614" t="s">
        <v>242</v>
      </c>
      <c r="K5614" t="s">
        <v>14</v>
      </c>
      <c r="L5614" t="s">
        <v>20</v>
      </c>
      <c r="M5614" t="s">
        <v>11313</v>
      </c>
      <c r="N5614" t="s">
        <v>14</v>
      </c>
    </row>
    <row r="5615" x14ac:dyDescent="0.25">
      <c r="A5615" t="n">
        <v>25</v>
      </c>
      <c r="B5615" t="s">
        <v>14</v>
      </c>
      <c r="C5615" t="s">
        <v>51</v>
      </c>
      <c r="D5615" s="2" t="s">
        <f>=HYPERLINK("https://main.knesset.gov.il/APPS/legislation/main/bills/2197125", "הצעת חוק חינוך מיוחד (תיקון - הרחבה לגבי מוסדות שאינם מוכרים), התשפ""ג-2023")</f>
        <v>11361</v>
      </c>
      <c r="E5615" t="s">
        <v>11361</v>
      </c>
      <c r="F5615" t="s">
        <v>11362</v>
      </c>
      <c r="G5615" t="s">
        <v>14</v>
      </c>
      <c r="H5615">
             </c>
      <c r="I5615" t="s">
        <v>14</v>
      </c>
      <c r="J5615" t="s">
        <v>242</v>
      </c>
      <c r="K5615" t="s">
        <v>14</v>
      </c>
      <c r="L5615" t="s">
        <v>20</v>
      </c>
      <c r="M5615" t="s">
        <v>11313</v>
      </c>
      <c r="N5615" t="s">
        <v>14</v>
      </c>
    </row>
    <row r="5616" x14ac:dyDescent="0.25">
      <c r="A5616" t="n">
        <v>25</v>
      </c>
      <c r="B5616" t="s">
        <v>14</v>
      </c>
      <c r="C5616" t="s">
        <v>51</v>
      </c>
      <c r="D5616" s="2" t="s">
        <f>=HYPERLINK("https://main.knesset.gov.il/APPS/legislation/main/bills/2198498", "הצעת חוק מפעל הזנה במוסדות חינוך על יסודיים לנוער בסיכון ולנוער נושר, התשפ''ג-2023")</f>
        <v>9670</v>
      </c>
      <c r="E5616" t="s">
        <v>9670</v>
      </c>
      <c r="F5616" t="s">
        <v>11363</v>
      </c>
      <c r="G5616" t="s">
        <v>14</v>
      </c>
      <c r="H5616">
             </c>
      <c r="I5616" t="s">
        <v>14</v>
      </c>
      <c r="J5616" t="s">
        <v>242</v>
      </c>
      <c r="K5616" t="s">
        <v>14</v>
      </c>
      <c r="L5616" t="s">
        <v>20</v>
      </c>
      <c r="M5616" t="s">
        <v>11313</v>
      </c>
      <c r="N5616" t="s">
        <v>14</v>
      </c>
    </row>
    <row r="5617" x14ac:dyDescent="0.25">
      <c r="A5617" t="n">
        <v>25</v>
      </c>
      <c r="B5617" t="s">
        <v>14</v>
      </c>
      <c r="C5617" t="s">
        <v>51</v>
      </c>
      <c r="D5617" s="2" t="s">
        <f>=HYPERLINK("https://main.knesset.gov.il/APPS/legislation/main/bills/2199949", "הצעת חוק האזרחים הוותיקים (תיקון - לחצן מצוקה לקשיש), התשפ""ג-2023")</f>
        <v>9882</v>
      </c>
      <c r="E5617" t="s">
        <v>9882</v>
      </c>
      <c r="F5617" t="s">
        <v>11364</v>
      </c>
      <c r="G5617" t="s">
        <v>14</v>
      </c>
      <c r="H5617">
             </c>
      <c r="I5617" t="s">
        <v>14</v>
      </c>
      <c r="J5617" t="s">
        <v>242</v>
      </c>
      <c r="K5617" t="s">
        <v>14</v>
      </c>
      <c r="L5617" t="s">
        <v>20</v>
      </c>
      <c r="M5617" t="s">
        <v>11313</v>
      </c>
      <c r="N5617" t="s">
        <v>14</v>
      </c>
    </row>
    <row r="5618" x14ac:dyDescent="0.25">
      <c r="A5618" t="n">
        <v>25</v>
      </c>
      <c r="B5618" t="s">
        <v>14</v>
      </c>
      <c r="C5618" t="s">
        <v>51</v>
      </c>
      <c r="D5618" s="2" t="s">
        <f>=HYPERLINK("https://main.knesset.gov.il/APPS/legislation/main/bills/2200066", "הצעת חוק הגנת השכר (תיקון - מתכונת אחידה לפנקס שכר ותלוש שכר), התשפ""ג-2023")</f>
        <v>11365</v>
      </c>
      <c r="E5618" t="s">
        <v>11365</v>
      </c>
      <c r="F5618" t="s">
        <v>11366</v>
      </c>
      <c r="G5618" t="s">
        <v>14</v>
      </c>
      <c r="H5618">
             </c>
      <c r="I5618" t="s">
        <v>14</v>
      </c>
      <c r="J5618" t="s">
        <v>242</v>
      </c>
      <c r="K5618" t="s">
        <v>14</v>
      </c>
      <c r="L5618" t="s">
        <v>20</v>
      </c>
      <c r="M5618" t="s">
        <v>11313</v>
      </c>
      <c r="N5618" t="s">
        <v>14</v>
      </c>
    </row>
    <row r="5619" x14ac:dyDescent="0.25">
      <c r="A5619" t="n">
        <v>25</v>
      </c>
      <c r="B5619" t="s">
        <v>14</v>
      </c>
      <c r="C5619" t="s">
        <v>51</v>
      </c>
      <c r="D5619" s="2" t="s">
        <f>=HYPERLINK("https://main.knesset.gov.il/APPS/legislation/main/bills/2200022", "הצעת חוק עבודת נשים (תיקון - שעות היעדרות מעבודה לאישה בהריון בר-סיכון), התשפ""ג-2023")</f>
        <v>9986</v>
      </c>
      <c r="E5619" t="s">
        <v>9986</v>
      </c>
      <c r="F5619" t="s">
        <v>11367</v>
      </c>
      <c r="G5619" t="s">
        <v>14</v>
      </c>
      <c r="H5619">
             </c>
      <c r="I5619" t="s">
        <v>14</v>
      </c>
      <c r="J5619" t="s">
        <v>242</v>
      </c>
      <c r="K5619" t="s">
        <v>14</v>
      </c>
      <c r="L5619" t="s">
        <v>20</v>
      </c>
      <c r="M5619" t="s">
        <v>11313</v>
      </c>
      <c r="N5619" t="s">
        <v>14</v>
      </c>
    </row>
    <row r="5620" x14ac:dyDescent="0.25">
      <c r="A5620" t="n">
        <v>25</v>
      </c>
      <c r="B5620" t="s">
        <v>14</v>
      </c>
      <c r="C5620" t="s">
        <v>51</v>
      </c>
      <c r="D5620" s="2" t="s">
        <f>=HYPERLINK("https://main.knesset.gov.il/APPS/legislation/main/bills/2200293", "הצעת חוק שימוש חוזר במים אפורים, התשפ""ג-2023")</f>
        <v>11368</v>
      </c>
      <c r="E5620" t="s">
        <v>11368</v>
      </c>
      <c r="F5620" t="s">
        <v>11369</v>
      </c>
      <c r="G5620" t="s">
        <v>14</v>
      </c>
      <c r="H5620">
             </c>
      <c r="I5620" t="s">
        <v>14</v>
      </c>
      <c r="J5620" t="s">
        <v>242</v>
      </c>
      <c r="K5620" t="s">
        <v>14</v>
      </c>
      <c r="L5620" t="s">
        <v>20</v>
      </c>
      <c r="M5620" t="s">
        <v>11313</v>
      </c>
      <c r="N5620" t="s">
        <v>14</v>
      </c>
    </row>
    <row r="5621" x14ac:dyDescent="0.25">
      <c r="A5621" t="n">
        <v>25</v>
      </c>
      <c r="B5621" t="s">
        <v>14</v>
      </c>
      <c r="C5621" t="s">
        <v>51</v>
      </c>
      <c r="D5621" s="2" t="s">
        <f>=HYPERLINK("https://main.knesset.gov.il/APPS/legislation/main/bills/2200271", "הצעת חוק חינוך ממלכתי (תיקון - חובת לימוד עברית וערבית במוסדות חינוך תיכוניים), התשפ""ג-2023")</f>
        <v>10283</v>
      </c>
      <c r="E5621" t="s">
        <v>10283</v>
      </c>
      <c r="F5621" t="s">
        <v>11370</v>
      </c>
      <c r="G5621" t="s">
        <v>14</v>
      </c>
      <c r="H5621">
             </c>
      <c r="I5621" t="s">
        <v>14</v>
      </c>
      <c r="J5621" t="s">
        <v>242</v>
      </c>
      <c r="K5621" t="s">
        <v>14</v>
      </c>
      <c r="L5621" t="s">
        <v>20</v>
      </c>
      <c r="M5621" t="s">
        <v>11313</v>
      </c>
      <c r="N5621" t="s">
        <v>14</v>
      </c>
    </row>
    <row r="5622" x14ac:dyDescent="0.25">
      <c r="A5622" t="n">
        <v>25</v>
      </c>
      <c r="B5622" t="s">
        <v>14</v>
      </c>
      <c r="C5622" t="s">
        <v>51</v>
      </c>
      <c r="D5622" s="2" t="s">
        <f>=HYPERLINK("https://main.knesset.gov.il/APPS/legislation/main/bills/2199966", "הצעת חוק החזקת תכשיר אפינפרין במוסדות חינוך ובמקומות ציבוריים (תיקון - החזקת תכשיר אפינפרין בבית אוכל), התשפ""ג-2023")</f>
        <v>11371</v>
      </c>
      <c r="E5622" t="s">
        <v>11371</v>
      </c>
      <c r="F5622" t="s">
        <v>11372</v>
      </c>
      <c r="G5622" t="s">
        <v>14</v>
      </c>
      <c r="H5622">
             </c>
      <c r="I5622" t="s">
        <v>14</v>
      </c>
      <c r="J5622" t="s">
        <v>242</v>
      </c>
      <c r="K5622" t="s">
        <v>14</v>
      </c>
      <c r="L5622" t="s">
        <v>20</v>
      </c>
      <c r="M5622" t="s">
        <v>11313</v>
      </c>
      <c r="N5622" t="s">
        <v>14</v>
      </c>
    </row>
    <row r="5623" x14ac:dyDescent="0.25">
      <c r="A5623" t="n">
        <v>25</v>
      </c>
      <c r="B5623" t="s">
        <v>14</v>
      </c>
      <c r="C5623" t="s">
        <v>51</v>
      </c>
      <c r="D5623" s="2" t="s">
        <f>=HYPERLINK("https://main.knesset.gov.il/APPS/legislation/main/bills/2200225", "הצעת חוק הרבנות הראשית לישראל (תיקון - סייג לבחירה או למינוי לתפקיד רב ראשי לישראל או לחבר מועצה), התשפ""ג-2023")</f>
        <v>11373</v>
      </c>
      <c r="E5623" t="s">
        <v>11373</v>
      </c>
      <c r="F5623" t="s">
        <v>11374</v>
      </c>
      <c r="G5623" t="s">
        <v>14</v>
      </c>
      <c r="H5623">
             </c>
      <c r="I5623" t="s">
        <v>14</v>
      </c>
      <c r="J5623" t="s">
        <v>242</v>
      </c>
      <c r="K5623" t="s">
        <v>14</v>
      </c>
      <c r="L5623" t="s">
        <v>20</v>
      </c>
      <c r="M5623" t="s">
        <v>11313</v>
      </c>
      <c r="N5623" t="s">
        <v>14</v>
      </c>
    </row>
    <row r="5624" x14ac:dyDescent="0.25">
      <c r="A5624" t="n">
        <v>25</v>
      </c>
      <c r="B5624" t="s">
        <v>14</v>
      </c>
      <c r="C5624" t="s">
        <v>51</v>
      </c>
      <c r="D5624" s="2" t="s">
        <f>=HYPERLINK("https://main.knesset.gov.il/APPS/legislation/main/bills/2199839", "הצעת חוק הגנת הצרכן (תיקון - מגבלות על חיוב חשבון של צרכן בתשלומים), התשפ""ג-2023")</f>
        <v>11375</v>
      </c>
      <c r="E5624" t="s">
        <v>11375</v>
      </c>
      <c r="F5624" t="s">
        <v>11376</v>
      </c>
      <c r="G5624" t="s">
        <v>14</v>
      </c>
      <c r="H5624">
             </c>
      <c r="I5624" t="s">
        <v>14</v>
      </c>
      <c r="J5624" t="s">
        <v>242</v>
      </c>
      <c r="K5624" t="s">
        <v>14</v>
      </c>
      <c r="L5624" t="s">
        <v>20</v>
      </c>
      <c r="M5624" t="s">
        <v>11313</v>
      </c>
      <c r="N5624" t="s">
        <v>14</v>
      </c>
    </row>
    <row r="5625" x14ac:dyDescent="0.25">
      <c r="A5625" t="n">
        <v>25</v>
      </c>
      <c r="B5625" t="s">
        <v>14</v>
      </c>
      <c r="C5625" t="s">
        <v>51</v>
      </c>
      <c r="D5625" s="2" t="s">
        <f>=HYPERLINK("https://main.knesset.gov.il/APPS/legislation/main/bills/2199821", "הצעת חוק הביטוח הלאומי (תיקון - השוואת קצבת אזרח ותיק לשכר המינימום), התשפ""ג-2023")</f>
        <v>10384</v>
      </c>
      <c r="E5625" t="s">
        <v>10384</v>
      </c>
      <c r="F5625" t="s">
        <v>11377</v>
      </c>
      <c r="G5625" t="s">
        <v>14</v>
      </c>
      <c r="H5625">
             </c>
      <c r="I5625" t="s">
        <v>14</v>
      </c>
      <c r="J5625" t="s">
        <v>242</v>
      </c>
      <c r="K5625" t="s">
        <v>14</v>
      </c>
      <c r="L5625" t="s">
        <v>20</v>
      </c>
      <c r="M5625" t="s">
        <v>11313</v>
      </c>
      <c r="N5625" t="s">
        <v>14</v>
      </c>
    </row>
    <row r="5626" x14ac:dyDescent="0.25">
      <c r="A5626" t="n">
        <v>25</v>
      </c>
      <c r="B5626" t="s">
        <v>14</v>
      </c>
      <c r="C5626" t="s">
        <v>51</v>
      </c>
      <c r="D5626" s="2" t="s">
        <f>=HYPERLINK("https://main.knesset.gov.il/APPS/legislation/main/bills/2199824", "הצעת חוק דיני העבודה (תיקוני חקיקה), התשפ""ג-2023")</f>
        <v>9641</v>
      </c>
      <c r="E5626" t="s">
        <v>9641</v>
      </c>
      <c r="F5626" t="s">
        <v>11378</v>
      </c>
      <c r="G5626" t="s">
        <v>14</v>
      </c>
      <c r="H5626">
             </c>
      <c r="I5626" t="s">
        <v>14</v>
      </c>
      <c r="J5626" t="s">
        <v>242</v>
      </c>
      <c r="K5626" t="s">
        <v>14</v>
      </c>
      <c r="L5626" t="s">
        <v>20</v>
      </c>
      <c r="M5626" t="s">
        <v>11313</v>
      </c>
      <c r="N5626" t="s">
        <v>14</v>
      </c>
    </row>
    <row r="5627" x14ac:dyDescent="0.25">
      <c r="A5627" t="n">
        <v>25</v>
      </c>
      <c r="B5627" t="s">
        <v>14</v>
      </c>
      <c r="C5627" t="s">
        <v>51</v>
      </c>
      <c r="D5627" s="2" t="s">
        <f>=HYPERLINK("https://main.knesset.gov.il/APPS/legislation/main/bills/2199517", "הצעת חוק ביטוח בריאות ממלכתי (תיקון - מחלה יתומה), התשפ""ג-2023")</f>
        <v>11379</v>
      </c>
      <c r="E5627" t="s">
        <v>11379</v>
      </c>
      <c r="F5627" t="s">
        <v>11380</v>
      </c>
      <c r="G5627" t="s">
        <v>14</v>
      </c>
      <c r="H5627">
             </c>
      <c r="I5627" t="s">
        <v>14</v>
      </c>
      <c r="J5627" t="s">
        <v>242</v>
      </c>
      <c r="K5627" t="s">
        <v>14</v>
      </c>
      <c r="L5627" t="s">
        <v>20</v>
      </c>
      <c r="M5627" t="s">
        <v>11313</v>
      </c>
      <c r="N5627" t="s">
        <v>14</v>
      </c>
    </row>
    <row r="5628" x14ac:dyDescent="0.25">
      <c r="A5628" t="n">
        <v>25</v>
      </c>
      <c r="B5628" t="s">
        <v>14</v>
      </c>
      <c r="C5628" t="s">
        <v>51</v>
      </c>
      <c r="D5628" s="2" t="s">
        <f>=HYPERLINK("https://main.knesset.gov.il/APPS/legislation/main/bills/2200229", "הצעת חוק-יסוד: השפיטה (תיקון - משפט חוזר אזרחי)")</f>
        <v>11381</v>
      </c>
      <c r="E5628" t="s">
        <v>11381</v>
      </c>
      <c r="F5628" t="s">
        <v>11382</v>
      </c>
      <c r="G5628" t="s">
        <v>14</v>
      </c>
      <c r="H5628">
             </c>
      <c r="I5628" t="s">
        <v>14</v>
      </c>
      <c r="J5628" t="s">
        <v>242</v>
      </c>
      <c r="K5628" t="s">
        <v>14</v>
      </c>
      <c r="L5628" t="s">
        <v>20</v>
      </c>
      <c r="M5628" t="s">
        <v>11313</v>
      </c>
      <c r="N5628" t="s">
        <v>14</v>
      </c>
    </row>
    <row r="5629" x14ac:dyDescent="0.25">
      <c r="A5629" t="n">
        <v>25</v>
      </c>
      <c r="B5629" t="s">
        <v>14</v>
      </c>
      <c r="C5629" t="s">
        <v>51</v>
      </c>
      <c r="D5629" s="2" t="s">
        <f>=HYPERLINK("https://main.knesset.gov.il/APPS/legislation/main/bills/2200172", "הצעת חוק החזר הוצאות כספיות בגין עריכת נישואין אזרחיים בחוץ לארץ למי שאינם רשאים להינשא על פי הדין הדתי, התשפ""ג-2023")</f>
        <v>11383</v>
      </c>
      <c r="E5629" t="s">
        <v>11383</v>
      </c>
      <c r="F5629" t="s">
        <v>11384</v>
      </c>
      <c r="G5629" t="s">
        <v>14</v>
      </c>
      <c r="H5629">
             </c>
      <c r="I5629" t="s">
        <v>14</v>
      </c>
      <c r="J5629" t="s">
        <v>242</v>
      </c>
      <c r="K5629" t="s">
        <v>14</v>
      </c>
      <c r="L5629" t="s">
        <v>20</v>
      </c>
      <c r="M5629" t="s">
        <v>11313</v>
      </c>
      <c r="N5629" t="s">
        <v>14</v>
      </c>
    </row>
    <row r="5630" x14ac:dyDescent="0.25">
      <c r="A5630" t="n">
        <v>25</v>
      </c>
      <c r="B5630" t="s">
        <v>14</v>
      </c>
      <c r="C5630" t="s">
        <v>51</v>
      </c>
      <c r="D5630" s="2" t="s">
        <f>=HYPERLINK("https://main.knesset.gov.il/APPS/legislation/main/bills/2200288", "הצעת חוק סדר הדין הפלילי (חקירת חשודים) (תיקון - יידוע זכויות חשודים), התשפ""ג-2023")</f>
        <v>11385</v>
      </c>
      <c r="E5630" t="s">
        <v>11385</v>
      </c>
      <c r="F5630" t="s">
        <v>11386</v>
      </c>
      <c r="G5630" t="s">
        <v>14</v>
      </c>
      <c r="H5630">
             </c>
      <c r="I5630" t="s">
        <v>14</v>
      </c>
      <c r="J5630" t="s">
        <v>242</v>
      </c>
      <c r="K5630" t="s">
        <v>14</v>
      </c>
      <c r="L5630" t="s">
        <v>20</v>
      </c>
      <c r="M5630" t="s">
        <v>11313</v>
      </c>
      <c r="N5630" t="s">
        <v>14</v>
      </c>
    </row>
    <row r="5631" x14ac:dyDescent="0.25">
      <c r="A5631" t="n">
        <v>25</v>
      </c>
      <c r="B5631" t="s">
        <v>14</v>
      </c>
      <c r="C5631" t="s">
        <v>51</v>
      </c>
      <c r="D5631" s="2" t="s">
        <f>=HYPERLINK("https://main.knesset.gov.il/APPS/legislation/main/bills/2199272", "הצעת חוק שוויון זכויות לאנשים עם מוגבלות (תיקון - הרחבת הזכאות למתן שירות בלא המתנה בתור), התשפ""ג-2023")</f>
        <v>11387</v>
      </c>
      <c r="E5631" t="s">
        <v>11387</v>
      </c>
      <c r="F5631" t="s">
        <v>11388</v>
      </c>
      <c r="G5631" t="s">
        <v>14</v>
      </c>
      <c r="H5631">
             </c>
      <c r="I5631" t="s">
        <v>14</v>
      </c>
      <c r="J5631" t="s">
        <v>242</v>
      </c>
      <c r="K5631" t="s">
        <v>14</v>
      </c>
      <c r="L5631" t="s">
        <v>20</v>
      </c>
      <c r="M5631" t="s">
        <v>11313</v>
      </c>
      <c r="N5631" t="s">
        <v>14</v>
      </c>
    </row>
    <row r="5632" x14ac:dyDescent="0.25">
      <c r="A5632" t="n">
        <v>25</v>
      </c>
      <c r="B5632" t="s">
        <v>14</v>
      </c>
      <c r="C5632" t="s">
        <v>51</v>
      </c>
      <c r="D5632" s="2" t="s">
        <f>=HYPERLINK("https://main.knesset.gov.il/APPS/legislation/main/bills/2200283", "הצעת חוק מניעת עבירות מין בקטינים (תיקוני חקיקה), התשפ""ג-2023")</f>
        <v>11389</v>
      </c>
      <c r="E5632" t="s">
        <v>11389</v>
      </c>
      <c r="F5632" t="s">
        <v>11390</v>
      </c>
      <c r="G5632" t="s">
        <v>14</v>
      </c>
      <c r="H5632">
             </c>
      <c r="I5632" t="s">
        <v>14</v>
      </c>
      <c r="J5632" t="s">
        <v>242</v>
      </c>
      <c r="K5632" t="s">
        <v>14</v>
      </c>
      <c r="L5632" t="s">
        <v>20</v>
      </c>
      <c r="M5632" t="s">
        <v>11313</v>
      </c>
      <c r="N5632" t="s">
        <v>14</v>
      </c>
    </row>
    <row r="5633" x14ac:dyDescent="0.25">
      <c r="A5633" t="n">
        <v>25</v>
      </c>
      <c r="B5633" t="s">
        <v>14</v>
      </c>
      <c r="C5633" t="s">
        <v>51</v>
      </c>
      <c r="D5633" s="2" t="s">
        <f>=HYPERLINK("https://main.knesset.gov.il/APPS/legislation/main/bills/2199433", "הצעת חוק הביטוח הלאומי (תיקון - דמי אבטלה למתמחים), התשפ""ג-2023")</f>
        <v>9990</v>
      </c>
      <c r="E5633" t="s">
        <v>9990</v>
      </c>
      <c r="F5633" t="s">
        <v>11391</v>
      </c>
      <c r="G5633" t="s">
        <v>14</v>
      </c>
      <c r="H5633">
             </c>
      <c r="I5633" t="s">
        <v>14</v>
      </c>
      <c r="J5633" t="s">
        <v>242</v>
      </c>
      <c r="K5633" t="s">
        <v>14</v>
      </c>
      <c r="L5633" t="s">
        <v>20</v>
      </c>
      <c r="M5633" t="s">
        <v>11313</v>
      </c>
      <c r="N5633" t="s">
        <v>14</v>
      </c>
    </row>
    <row r="5634" x14ac:dyDescent="0.25">
      <c r="A5634" t="n">
        <v>25</v>
      </c>
      <c r="B5634" t="s">
        <v>14</v>
      </c>
      <c r="C5634" t="s">
        <v>51</v>
      </c>
      <c r="D5634" s="2" t="s">
        <f>=HYPERLINK("https://main.knesset.gov.il/APPS/legislation/main/bills/2199217", "הצעת חוק הביטוח הלאומי (תיקון - דמי אבטלה למתמחים), התשפ""ג-2023")</f>
        <v>9990</v>
      </c>
      <c r="E5634" t="s">
        <v>9990</v>
      </c>
      <c r="F5634" t="s">
        <v>11392</v>
      </c>
      <c r="G5634" t="s">
        <v>14</v>
      </c>
      <c r="H5634">
             </c>
      <c r="I5634" t="s">
        <v>14</v>
      </c>
      <c r="J5634" t="s">
        <v>242</v>
      </c>
      <c r="K5634" t="s">
        <v>14</v>
      </c>
      <c r="L5634" t="s">
        <v>20</v>
      </c>
      <c r="M5634" t="s">
        <v>11313</v>
      </c>
      <c r="N5634" t="s">
        <v>14</v>
      </c>
    </row>
    <row r="5635" x14ac:dyDescent="0.25">
      <c r="A5635" t="n">
        <v>25</v>
      </c>
      <c r="B5635" t="s">
        <v>14</v>
      </c>
      <c r="C5635" t="s">
        <v>51</v>
      </c>
      <c r="D5635" s="2" t="s">
        <f>=HYPERLINK("https://main.knesset.gov.il/APPS/legislation/main/bills/2200213", "הצעת חוק הבנקאות (שירות ללקוח) (תיקון - מרווח שיעורי הריבית), התשפ""ג-2023")</f>
        <v>11393</v>
      </c>
      <c r="E5635" t="s">
        <v>11393</v>
      </c>
      <c r="F5635" t="s">
        <v>11394</v>
      </c>
      <c r="G5635" t="s">
        <v>14</v>
      </c>
      <c r="H5635">
             </c>
      <c r="I5635" t="s">
        <v>14</v>
      </c>
      <c r="J5635" t="s">
        <v>242</v>
      </c>
      <c r="K5635" t="s">
        <v>14</v>
      </c>
      <c r="L5635" t="s">
        <v>20</v>
      </c>
      <c r="M5635" t="s">
        <v>11313</v>
      </c>
      <c r="N5635" t="s">
        <v>14</v>
      </c>
    </row>
    <row r="5636" x14ac:dyDescent="0.25">
      <c r="A5636" t="n">
        <v>25</v>
      </c>
      <c r="B5636" t="s">
        <v>14</v>
      </c>
      <c r="C5636" t="s">
        <v>51</v>
      </c>
      <c r="D5636" s="2" t="s">
        <f>=HYPERLINK("https://main.knesset.gov.il/APPS/legislation/main/bills/2197971", "הצעת חוק הבנקאות (שירות ללקוח) (תיקון - ריבית על כספי פיקדונות), התשפ""ג-2023")</f>
        <v>9746</v>
      </c>
      <c r="E5636" t="s">
        <v>9746</v>
      </c>
      <c r="F5636" t="s">
        <v>11395</v>
      </c>
      <c r="G5636" t="s">
        <v>14</v>
      </c>
      <c r="H5636">
             </c>
      <c r="I5636" t="s">
        <v>14</v>
      </c>
      <c r="J5636" t="s">
        <v>242</v>
      </c>
      <c r="K5636" t="s">
        <v>14</v>
      </c>
      <c r="L5636" t="s">
        <v>20</v>
      </c>
      <c r="M5636" t="s">
        <v>11313</v>
      </c>
      <c r="N5636" t="s">
        <v>14</v>
      </c>
    </row>
    <row r="5637" x14ac:dyDescent="0.25">
      <c r="A5637" t="n">
        <v>25</v>
      </c>
      <c r="B5637" t="s">
        <v>14</v>
      </c>
      <c r="C5637" t="s">
        <v>51</v>
      </c>
      <c r="D5637" s="2" t="s">
        <f>=HYPERLINK("https://main.knesset.gov.il/APPS/legislation/main/bills/2200158", "הצעת חוק הסניגוריה הציבורית (תיקון - פיקוח על החזקה בבידוד או על החזקה באיפול תקשורתי), התשפ""ג-2023")</f>
        <v>11396</v>
      </c>
      <c r="E5637" t="s">
        <v>11396</v>
      </c>
      <c r="F5637" t="s">
        <v>11397</v>
      </c>
      <c r="G5637" t="s">
        <v>14</v>
      </c>
      <c r="H5637">
             </c>
      <c r="I5637" t="s">
        <v>14</v>
      </c>
      <c r="J5637" t="s">
        <v>242</v>
      </c>
      <c r="K5637" t="s">
        <v>14</v>
      </c>
      <c r="L5637" t="s">
        <v>20</v>
      </c>
      <c r="M5637" t="s">
        <v>11313</v>
      </c>
      <c r="N5637" t="s">
        <v>14</v>
      </c>
    </row>
    <row r="5638" x14ac:dyDescent="0.25">
      <c r="A5638" t="n">
        <v>25</v>
      </c>
      <c r="B5638" t="s">
        <v>14</v>
      </c>
      <c r="C5638" t="s">
        <v>51</v>
      </c>
      <c r="D5638" s="2" t="s">
        <f>=HYPERLINK("https://main.knesset.gov.il/APPS/legislation/main/bills/2199873", "הצעת חוק מגן דוד אדום (תיקון - הענקת שירותי רפואה מרחוק), התשפ""ג-2023")</f>
        <v>10050</v>
      </c>
      <c r="E5638" t="s">
        <v>10050</v>
      </c>
      <c r="F5638" t="s">
        <v>11398</v>
      </c>
      <c r="G5638" t="s">
        <v>14</v>
      </c>
      <c r="H5638">
             </c>
      <c r="I5638" t="s">
        <v>14</v>
      </c>
      <c r="J5638" t="s">
        <v>242</v>
      </c>
      <c r="K5638" t="s">
        <v>14</v>
      </c>
      <c r="L5638" t="s">
        <v>20</v>
      </c>
      <c r="M5638" t="s">
        <v>11313</v>
      </c>
      <c r="N5638" t="s">
        <v>14</v>
      </c>
    </row>
    <row r="5639" x14ac:dyDescent="0.25">
      <c r="A5639" t="n">
        <v>25</v>
      </c>
      <c r="B5639" t="s">
        <v>14</v>
      </c>
      <c r="C5639" t="s">
        <v>51</v>
      </c>
      <c r="D5639" s="2" t="s">
        <f>=HYPERLINK("https://main.knesset.gov.il/APPS/legislation/main/bills/2200274", "הצעת חוק שוויון ההזדמנויות בעבודה (תיקון - איסור הפליה מחמת מצב כלכלי), התשפ""ג-2023")</f>
        <v>11399</v>
      </c>
      <c r="E5639" t="s">
        <v>11399</v>
      </c>
      <c r="F5639" t="s">
        <v>11400</v>
      </c>
      <c r="G5639" t="s">
        <v>14</v>
      </c>
      <c r="H5639">
             </c>
      <c r="I5639" t="s">
        <v>14</v>
      </c>
      <c r="J5639" t="s">
        <v>242</v>
      </c>
      <c r="K5639" t="s">
        <v>14</v>
      </c>
      <c r="L5639" t="s">
        <v>20</v>
      </c>
      <c r="M5639" t="s">
        <v>11313</v>
      </c>
      <c r="N5639" t="s">
        <v>14</v>
      </c>
    </row>
    <row r="5640" x14ac:dyDescent="0.25">
      <c r="A5640" t="n">
        <v>25</v>
      </c>
      <c r="B5640" t="s">
        <v>14</v>
      </c>
      <c r="C5640" t="s">
        <v>51</v>
      </c>
      <c r="D5640" s="2" t="s">
        <f>=HYPERLINK("https://main.knesset.gov.il/APPS/legislation/main/bills/2200280", "הצעת חוק למניעת עיגון מנישואין, התשפ""ג-2023")</f>
        <v>11401</v>
      </c>
      <c r="E5640" t="s">
        <v>11401</v>
      </c>
      <c r="F5640" t="s">
        <v>11402</v>
      </c>
      <c r="G5640" t="s">
        <v>14</v>
      </c>
      <c r="H5640">
             </c>
      <c r="I5640" t="s">
        <v>14</v>
      </c>
      <c r="J5640" t="s">
        <v>242</v>
      </c>
      <c r="K5640" t="s">
        <v>14</v>
      </c>
      <c r="L5640" t="s">
        <v>20</v>
      </c>
      <c r="M5640" t="s">
        <v>11313</v>
      </c>
      <c r="N5640" t="s">
        <v>14</v>
      </c>
    </row>
    <row r="5641" x14ac:dyDescent="0.25">
      <c r="A5641" t="n">
        <v>25</v>
      </c>
      <c r="B5641" t="s">
        <v>14</v>
      </c>
      <c r="C5641" t="s">
        <v>51</v>
      </c>
      <c r="D5641" s="2" t="s">
        <f>=HYPERLINK("https://main.knesset.gov.il/APPS/legislation/main/bills/2200230", "הצעת חוק-יסוד: נשיא המדינה (תיקון - איסור מועמדות וכהונה לנאשם או מורשע בפלילים)")</f>
        <v>11403</v>
      </c>
      <c r="E5641" t="s">
        <v>11403</v>
      </c>
      <c r="F5641" t="s">
        <v>11404</v>
      </c>
      <c r="G5641" t="s">
        <v>14</v>
      </c>
      <c r="H5641">
             </c>
      <c r="I5641" t="s">
        <v>14</v>
      </c>
      <c r="J5641" t="s">
        <v>242</v>
      </c>
      <c r="K5641" t="s">
        <v>14</v>
      </c>
      <c r="L5641" t="s">
        <v>20</v>
      </c>
      <c r="M5641" t="s">
        <v>11313</v>
      </c>
      <c r="N5641" t="s">
        <v>14</v>
      </c>
    </row>
    <row r="5642" x14ac:dyDescent="0.25">
      <c r="A5642" t="n">
        <v>25</v>
      </c>
      <c r="B5642" t="s">
        <v>14</v>
      </c>
      <c r="C5642" t="s">
        <v>51</v>
      </c>
      <c r="D5642" s="2" t="s">
        <f>=HYPERLINK("https://main.knesset.gov.il/APPS/legislation/main/bills/2200190", "הצעת חוק זכויות הדייר בדיור הציבורי (תיקון - סיוע ריאלי בשכר דירה), התשפ""ג-2023")</f>
        <v>9442</v>
      </c>
      <c r="E5642" t="s">
        <v>9442</v>
      </c>
      <c r="F5642" t="s">
        <v>11405</v>
      </c>
      <c r="G5642" t="s">
        <v>14</v>
      </c>
      <c r="H5642">
             </c>
      <c r="I5642" t="s">
        <v>14</v>
      </c>
      <c r="J5642" t="s">
        <v>242</v>
      </c>
      <c r="K5642" t="s">
        <v>14</v>
      </c>
      <c r="L5642" t="s">
        <v>20</v>
      </c>
      <c r="M5642" t="s">
        <v>11313</v>
      </c>
      <c r="N5642" t="s">
        <v>14</v>
      </c>
    </row>
    <row r="5643" x14ac:dyDescent="0.25">
      <c r="A5643" t="n">
        <v>25</v>
      </c>
      <c r="B5643" t="s">
        <v>14</v>
      </c>
      <c r="C5643" t="s">
        <v>51</v>
      </c>
      <c r="D5643" s="2" t="s">
        <f>=HYPERLINK("https://main.knesset.gov.il/APPS/legislation/main/bills/2200134", "הצעת חוק ההוצאה לפועל (תיקון - שכר עורך דין), התשפ""ג-2023")</f>
        <v>11406</v>
      </c>
      <c r="E5643" t="s">
        <v>11406</v>
      </c>
      <c r="F5643" t="s">
        <v>11407</v>
      </c>
      <c r="G5643" t="s">
        <v>14</v>
      </c>
      <c r="H5643">
             </c>
      <c r="I5643" t="s">
        <v>14</v>
      </c>
      <c r="J5643" t="s">
        <v>242</v>
      </c>
      <c r="K5643" t="s">
        <v>14</v>
      </c>
      <c r="L5643" t="s">
        <v>20</v>
      </c>
      <c r="M5643" t="s">
        <v>11313</v>
      </c>
      <c r="N5643" t="s">
        <v>14</v>
      </c>
    </row>
    <row r="5644" x14ac:dyDescent="0.25">
      <c r="A5644" t="n">
        <v>25</v>
      </c>
      <c r="B5644" t="s">
        <v>14</v>
      </c>
      <c r="C5644" t="s">
        <v>51</v>
      </c>
      <c r="D5644" s="2" t="s">
        <f>=HYPERLINK("https://main.knesset.gov.il/APPS/legislation/main/bills/2200252", "הצעת חוק לתיקון פקודת התעבורה (חניה במקום ציבורי למשתמשים בעגלת ילדים), התשפ""ג-2023")</f>
        <v>11408</v>
      </c>
      <c r="E5644" t="s">
        <v>11408</v>
      </c>
      <c r="F5644" t="s">
        <v>11409</v>
      </c>
      <c r="G5644" t="s">
        <v>14</v>
      </c>
      <c r="H5644">
             </c>
      <c r="I5644" t="s">
        <v>14</v>
      </c>
      <c r="J5644" t="s">
        <v>242</v>
      </c>
      <c r="K5644" t="s">
        <v>14</v>
      </c>
      <c r="L5644" t="s">
        <v>20</v>
      </c>
      <c r="M5644" t="s">
        <v>11313</v>
      </c>
      <c r="N5644" t="s">
        <v>14</v>
      </c>
    </row>
    <row r="5645" x14ac:dyDescent="0.25">
      <c r="A5645" t="n">
        <v>25</v>
      </c>
      <c r="B5645" t="s">
        <v>14</v>
      </c>
      <c r="C5645" t="s">
        <v>51</v>
      </c>
      <c r="D5645" s="2" t="s">
        <f>=HYPERLINK("https://main.knesset.gov.il/APPS/legislation/main/bills/2199938", "הצעת חוק הביטוח הלאומי (תיקון - דמי מחלה לעובד עצמאי), התשפ""ג-2023")</f>
        <v>9538</v>
      </c>
      <c r="E5645" t="s">
        <v>9538</v>
      </c>
      <c r="F5645" t="s">
        <v>11410</v>
      </c>
      <c r="G5645" t="s">
        <v>14</v>
      </c>
      <c r="H5645">
             </c>
      <c r="I5645" t="s">
        <v>14</v>
      </c>
      <c r="J5645" t="s">
        <v>242</v>
      </c>
      <c r="K5645" t="s">
        <v>14</v>
      </c>
      <c r="L5645" t="s">
        <v>20</v>
      </c>
      <c r="M5645" t="s">
        <v>11313</v>
      </c>
      <c r="N5645" t="s">
        <v>14</v>
      </c>
    </row>
    <row r="5646" x14ac:dyDescent="0.25">
      <c r="A5646" t="n">
        <v>25</v>
      </c>
      <c r="B5646" t="s">
        <v>14</v>
      </c>
      <c r="C5646" t="s">
        <v>51</v>
      </c>
      <c r="D5646" s="2" t="s">
        <f>=HYPERLINK("https://main.knesset.gov.il/APPS/legislation/main/bills/2199542", "הצעת חוק עבודת נשים (תיקון - שעות היעדרות מעבודה לאישה בהריון בר-סיכון), התשפ""ג-2023")</f>
        <v>9986</v>
      </c>
      <c r="E5646" t="s">
        <v>9986</v>
      </c>
      <c r="F5646" t="s">
        <v>11411</v>
      </c>
      <c r="G5646" t="s">
        <v>14</v>
      </c>
      <c r="H5646">
             </c>
      <c r="I5646" t="s">
        <v>14</v>
      </c>
      <c r="J5646" t="s">
        <v>242</v>
      </c>
      <c r="K5646" t="s">
        <v>14</v>
      </c>
      <c r="L5646" t="s">
        <v>20</v>
      </c>
      <c r="M5646" t="s">
        <v>11313</v>
      </c>
      <c r="N5646" t="s">
        <v>14</v>
      </c>
    </row>
    <row r="5647" x14ac:dyDescent="0.25">
      <c r="A5647" t="n">
        <v>25</v>
      </c>
      <c r="B5647" t="s">
        <v>14</v>
      </c>
      <c r="C5647" t="s">
        <v>51</v>
      </c>
      <c r="D5647" s="2" t="s">
        <f>=HYPERLINK("https://main.knesset.gov.il/APPS/legislation/main/bills/2200224", "הצעת חוק למניעת אלימות כלכלית בין בני זוג ובני משפחה, התשפ""ג-2023")</f>
        <v>11412</v>
      </c>
      <c r="E5647" t="s">
        <v>11412</v>
      </c>
      <c r="F5647" t="s">
        <v>11413</v>
      </c>
      <c r="G5647" t="s">
        <v>14</v>
      </c>
      <c r="H5647">
             </c>
      <c r="I5647" t="s">
        <v>14</v>
      </c>
      <c r="J5647" t="s">
        <v>242</v>
      </c>
      <c r="K5647" t="s">
        <v>14</v>
      </c>
      <c r="L5647" t="s">
        <v>20</v>
      </c>
      <c r="M5647" t="s">
        <v>11313</v>
      </c>
      <c r="N5647" t="s">
        <v>14</v>
      </c>
    </row>
    <row r="5648" x14ac:dyDescent="0.25">
      <c r="A5648" t="n">
        <v>25</v>
      </c>
      <c r="B5648" t="s">
        <v>14</v>
      </c>
      <c r="C5648" t="s">
        <v>51</v>
      </c>
      <c r="D5648" s="2" t="s">
        <f>=HYPERLINK("https://main.knesset.gov.il/APPS/legislation/main/bills/2200268", "הצעת חוק העונשין (תיקון - החריגים לעבירת ריבוי נישואין), התשפ""ג-2023")</f>
        <v>11414</v>
      </c>
      <c r="E5648" t="s">
        <v>11414</v>
      </c>
      <c r="F5648" t="s">
        <v>11415</v>
      </c>
      <c r="G5648" t="s">
        <v>14</v>
      </c>
      <c r="H5648">
             </c>
      <c r="I5648" t="s">
        <v>14</v>
      </c>
      <c r="J5648" t="s">
        <v>242</v>
      </c>
      <c r="K5648" t="s">
        <v>14</v>
      </c>
      <c r="L5648" t="s">
        <v>20</v>
      </c>
      <c r="M5648" t="s">
        <v>11313</v>
      </c>
      <c r="N5648" t="s">
        <v>14</v>
      </c>
    </row>
    <row r="5649" x14ac:dyDescent="0.25">
      <c r="A5649" t="n">
        <v>25</v>
      </c>
      <c r="B5649" t="s">
        <v>14</v>
      </c>
      <c r="C5649" t="s">
        <v>51</v>
      </c>
      <c r="D5649" s="2" t="s">
        <f>=HYPERLINK("https://main.knesset.gov.il/APPS/legislation/main/bills/2200020", "הצעת חוק האזרחים הוותיקים (תיקון - חניה חינם לאזרח ותיק שמלאו לו 70 שנים), התשפ""ג-2023")</f>
        <v>11416</v>
      </c>
      <c r="E5649" t="s">
        <v>11416</v>
      </c>
      <c r="F5649" t="s">
        <v>11417</v>
      </c>
      <c r="G5649" t="s">
        <v>14</v>
      </c>
      <c r="H5649">
             </c>
      <c r="I5649" t="s">
        <v>14</v>
      </c>
      <c r="J5649" t="s">
        <v>242</v>
      </c>
      <c r="K5649" t="s">
        <v>14</v>
      </c>
      <c r="L5649" t="s">
        <v>20</v>
      </c>
      <c r="M5649" t="s">
        <v>11313</v>
      </c>
      <c r="N5649" t="s">
        <v>14</v>
      </c>
    </row>
    <row r="5650" x14ac:dyDescent="0.25">
      <c r="A5650" t="n">
        <v>25</v>
      </c>
      <c r="B5650" t="s">
        <v>14</v>
      </c>
      <c r="C5650" t="s">
        <v>51</v>
      </c>
      <c r="D5650" s="2" t="s">
        <f>=HYPERLINK("https://main.knesset.gov.il/APPS/legislation/main/bills/2199673", "הצעת חוק להקמת קרן למוצרי מזון בריא, התשפ''ג-2023")</f>
        <v>11418</v>
      </c>
      <c r="E5650" t="s">
        <v>11418</v>
      </c>
      <c r="F5650" t="s">
        <v>11419</v>
      </c>
      <c r="G5650" t="s">
        <v>14</v>
      </c>
      <c r="H5650">
             </c>
      <c r="I5650" t="s">
        <v>14</v>
      </c>
      <c r="J5650" t="s">
        <v>242</v>
      </c>
      <c r="K5650" t="s">
        <v>14</v>
      </c>
      <c r="L5650" t="s">
        <v>20</v>
      </c>
      <c r="M5650" t="s">
        <v>11313</v>
      </c>
      <c r="N5650" t="s">
        <v>14</v>
      </c>
    </row>
    <row r="5651" x14ac:dyDescent="0.25">
      <c r="A5651" t="n">
        <v>25</v>
      </c>
      <c r="B5651" t="s">
        <v>14</v>
      </c>
      <c r="C5651" t="s">
        <v>51</v>
      </c>
      <c r="D5651" s="2" t="s">
        <f>=HYPERLINK("https://main.knesset.gov.il/APPS/legislation/main/bills/2199898", "הצעת חוק רכזי ביטחון שוטף צבאיים, התשפ""ג-2023")</f>
        <v>10842</v>
      </c>
      <c r="E5651" t="s">
        <v>10842</v>
      </c>
      <c r="F5651" t="s">
        <v>11420</v>
      </c>
      <c r="G5651" t="s">
        <v>14</v>
      </c>
      <c r="H5651">
             </c>
      <c r="I5651" t="s">
        <v>14</v>
      </c>
      <c r="J5651" t="s">
        <v>242</v>
      </c>
      <c r="K5651" t="s">
        <v>14</v>
      </c>
      <c r="L5651" t="s">
        <v>20</v>
      </c>
      <c r="M5651" t="s">
        <v>11313</v>
      </c>
      <c r="N5651" t="s">
        <v>14</v>
      </c>
    </row>
    <row r="5652" x14ac:dyDescent="0.25">
      <c r="A5652" t="n">
        <v>25</v>
      </c>
      <c r="B5652" t="s">
        <v>14</v>
      </c>
      <c r="C5652" t="s">
        <v>51</v>
      </c>
      <c r="D5652" s="2" t="s">
        <f>=HYPERLINK("https://main.knesset.gov.il/APPS/legislation/main/bills/2199407", "הצעת חוק ביטוח בריאות ממלכתי (תיקון - צמצום פערים בין הפריפריה למרכז), התשפ""ג-2023")</f>
        <v>970</v>
      </c>
      <c r="E5652" t="s">
        <v>970</v>
      </c>
      <c r="F5652" t="s">
        <v>11421</v>
      </c>
      <c r="G5652" t="s">
        <v>14</v>
      </c>
      <c r="H5652">
             </c>
      <c r="I5652" t="s">
        <v>14</v>
      </c>
      <c r="J5652" t="s">
        <v>242</v>
      </c>
      <c r="K5652" t="s">
        <v>14</v>
      </c>
      <c r="L5652" t="s">
        <v>20</v>
      </c>
      <c r="M5652" t="s">
        <v>11313</v>
      </c>
      <c r="N5652" t="s">
        <v>14</v>
      </c>
    </row>
    <row r="5653" x14ac:dyDescent="0.25">
      <c r="A5653" t="n">
        <v>25</v>
      </c>
      <c r="B5653" t="s">
        <v>14</v>
      </c>
      <c r="C5653" t="s">
        <v>51</v>
      </c>
      <c r="D5653" s="2" t="s">
        <f>=HYPERLINK("https://main.knesset.gov.il/APPS/legislation/main/bills/2199941", "הצעת חוק שירות הציבור (הגבלות לאחר פרישה) (תיקון - תקופת צינון לנושאי משרה בכירה בשירות הציבור), התשפ""ג-2023")</f>
        <v>11422</v>
      </c>
      <c r="E5653" t="s">
        <v>11422</v>
      </c>
      <c r="F5653" t="s">
        <v>11423</v>
      </c>
      <c r="G5653" t="s">
        <v>14</v>
      </c>
      <c r="H5653">
             </c>
      <c r="I5653" t="s">
        <v>14</v>
      </c>
      <c r="J5653" t="s">
        <v>242</v>
      </c>
      <c r="K5653" t="s">
        <v>14</v>
      </c>
      <c r="L5653" t="s">
        <v>20</v>
      </c>
      <c r="M5653" t="s">
        <v>11313</v>
      </c>
      <c r="N5653" t="s">
        <v>14</v>
      </c>
    </row>
    <row r="5654" x14ac:dyDescent="0.25">
      <c r="A5654" t="n">
        <v>25</v>
      </c>
      <c r="B5654" t="s">
        <v>14</v>
      </c>
      <c r="C5654" t="s">
        <v>51</v>
      </c>
      <c r="D5654" s="2" t="s">
        <f>=HYPERLINK("https://main.knesset.gov.il/APPS/legislation/main/bills/2199962", "הצעת חוק הבנקאות (שירות ללקוח) (תיקון - קיצור משך זמן לביטול שעבוד), התשפ""ג-2023")</f>
        <v>11424</v>
      </c>
      <c r="E5654" t="s">
        <v>11424</v>
      </c>
      <c r="F5654" t="s">
        <v>11425</v>
      </c>
      <c r="G5654" t="s">
        <v>14</v>
      </c>
      <c r="H5654">
             </c>
      <c r="I5654" t="s">
        <v>14</v>
      </c>
      <c r="J5654" t="s">
        <v>242</v>
      </c>
      <c r="K5654" t="s">
        <v>14</v>
      </c>
      <c r="L5654" t="s">
        <v>20</v>
      </c>
      <c r="M5654" t="s">
        <v>11313</v>
      </c>
      <c r="N5654" t="s">
        <v>14</v>
      </c>
    </row>
    <row r="5655" x14ac:dyDescent="0.25">
      <c r="A5655" t="n">
        <v>25</v>
      </c>
      <c r="B5655" t="s">
        <v>14</v>
      </c>
      <c r="C5655" t="s">
        <v>51</v>
      </c>
      <c r="D5655" s="2" t="s">
        <f>=HYPERLINK("https://main.knesset.gov.il/APPS/legislation/main/bills/2199578", "הצעת חוק רכזי ביטחון שוטף צבאיים, התשפ""ג-2023")</f>
        <v>10842</v>
      </c>
      <c r="E5655" t="s">
        <v>10842</v>
      </c>
      <c r="F5655" t="s">
        <v>11426</v>
      </c>
      <c r="G5655" t="s">
        <v>14</v>
      </c>
      <c r="H5655">
             </c>
      <c r="I5655" t="s">
        <v>14</v>
      </c>
      <c r="J5655" t="s">
        <v>242</v>
      </c>
      <c r="K5655" t="s">
        <v>14</v>
      </c>
      <c r="L5655" t="s">
        <v>20</v>
      </c>
      <c r="M5655" t="s">
        <v>11313</v>
      </c>
      <c r="N5655" t="s">
        <v>14</v>
      </c>
    </row>
    <row r="5656" x14ac:dyDescent="0.25">
      <c r="A5656" t="n">
        <v>25</v>
      </c>
      <c r="B5656" t="s">
        <v>14</v>
      </c>
      <c r="C5656" t="s">
        <v>51</v>
      </c>
      <c r="D5656" s="2" t="s">
        <f>=HYPERLINK("https://main.knesset.gov.il/APPS/legislation/main/bills/2200265", "הצעת חוק המכר (דירות) (תיקון - הגבלת הסכום הנקוב במפרט בשל שינוי מיקומו של פריט בדירה חדשה), התשפ""ג-2023")</f>
        <v>11427</v>
      </c>
      <c r="E5656" t="s">
        <v>11427</v>
      </c>
      <c r="F5656" t="s">
        <v>11428</v>
      </c>
      <c r="G5656" t="s">
        <v>14</v>
      </c>
      <c r="H5656">
             </c>
      <c r="I5656" t="s">
        <v>14</v>
      </c>
      <c r="J5656" t="s">
        <v>242</v>
      </c>
      <c r="K5656" t="s">
        <v>14</v>
      </c>
      <c r="L5656" t="s">
        <v>20</v>
      </c>
      <c r="M5656" t="s">
        <v>11313</v>
      </c>
      <c r="N5656" t="s">
        <v>14</v>
      </c>
    </row>
    <row r="5657" x14ac:dyDescent="0.25">
      <c r="A5657" t="n">
        <v>25</v>
      </c>
      <c r="B5657" t="s">
        <v>14</v>
      </c>
      <c r="C5657" t="s">
        <v>51</v>
      </c>
      <c r="D5657" s="2" t="s">
        <f>=HYPERLINK("https://main.knesset.gov.il/APPS/legislation/main/bills/2200294", "הצעת חוק שיפוט בתי דין רבניים (נישואין וגירושין) (תיקון - דרישת הסכמה בכתב), התשפ""ג-2023")</f>
        <v>9660</v>
      </c>
      <c r="E5657" t="s">
        <v>9660</v>
      </c>
      <c r="F5657" t="s">
        <v>11429</v>
      </c>
      <c r="G5657" t="s">
        <v>14</v>
      </c>
      <c r="H5657">
             </c>
      <c r="I5657" t="s">
        <v>14</v>
      </c>
      <c r="J5657" t="s">
        <v>242</v>
      </c>
      <c r="K5657" t="s">
        <v>14</v>
      </c>
      <c r="L5657" t="s">
        <v>20</v>
      </c>
      <c r="M5657" t="s">
        <v>11313</v>
      </c>
      <c r="N5657" t="s">
        <v>14</v>
      </c>
    </row>
    <row r="5658" x14ac:dyDescent="0.25">
      <c r="A5658" t="n">
        <v>25</v>
      </c>
      <c r="B5658" t="s">
        <v>14</v>
      </c>
      <c r="C5658" t="s">
        <v>51</v>
      </c>
      <c r="D5658" s="2" t="s">
        <f>=HYPERLINK("https://main.knesset.gov.il/APPS/legislation/main/bills/2200152", "הצעת חוק פריסת תשלום חוב ללא תוספת ריבית או אגרה, התשפ""ג-2023")</f>
        <v>9751</v>
      </c>
      <c r="E5658" t="s">
        <v>9751</v>
      </c>
      <c r="F5658" t="s">
        <v>11430</v>
      </c>
      <c r="G5658" t="s">
        <v>14</v>
      </c>
      <c r="H5658">
             </c>
      <c r="I5658" t="s">
        <v>14</v>
      </c>
      <c r="J5658" t="s">
        <v>242</v>
      </c>
      <c r="K5658" t="s">
        <v>14</v>
      </c>
      <c r="L5658" t="s">
        <v>20</v>
      </c>
      <c r="M5658" t="s">
        <v>11313</v>
      </c>
      <c r="N5658" t="s">
        <v>14</v>
      </c>
    </row>
    <row r="5659" x14ac:dyDescent="0.25">
      <c r="A5659" t="n">
        <v>25</v>
      </c>
      <c r="B5659" t="s">
        <v>14</v>
      </c>
      <c r="C5659" t="s">
        <v>51</v>
      </c>
      <c r="D5659" s="2" t="s">
        <f>=HYPERLINK("https://main.knesset.gov.il/APPS/legislation/main/bills/2200128", "הצעת חוק שיפוט בתי דין רבניים (נישואין וגירושין) (תיקון - קציבת זמן לכריכת ענייני ממון ומשמורת), התשפ""ג-2023")</f>
        <v>11431</v>
      </c>
      <c r="E5659" t="s">
        <v>11431</v>
      </c>
      <c r="F5659" t="s">
        <v>11432</v>
      </c>
      <c r="G5659" t="s">
        <v>14</v>
      </c>
      <c r="H5659">
             </c>
      <c r="I5659" t="s">
        <v>14</v>
      </c>
      <c r="J5659" t="s">
        <v>242</v>
      </c>
      <c r="K5659" t="s">
        <v>14</v>
      </c>
      <c r="L5659" t="s">
        <v>20</v>
      </c>
      <c r="M5659" t="s">
        <v>11313</v>
      </c>
      <c r="N5659" t="s">
        <v>14</v>
      </c>
    </row>
    <row r="5660" x14ac:dyDescent="0.25">
      <c r="A5660" t="n">
        <v>25</v>
      </c>
      <c r="B5660" t="s">
        <v>14</v>
      </c>
      <c r="C5660" t="s">
        <v>51</v>
      </c>
      <c r="D5660" s="2" t="s">
        <f>=HYPERLINK("https://main.knesset.gov.il/APPS/legislation/main/bills/2200027", "הצעת חוק הגנת הצרכן (תיקון - מענה אנושי בשירות טלפוני לאזרח ותיק), התשפ""ג-2023")</f>
        <v>5541</v>
      </c>
      <c r="E5660" t="s">
        <v>5541</v>
      </c>
      <c r="F5660" t="s">
        <v>11433</v>
      </c>
      <c r="G5660" t="s">
        <v>14</v>
      </c>
      <c r="H5660">
             </c>
      <c r="I5660" t="s">
        <v>14</v>
      </c>
      <c r="J5660" t="s">
        <v>242</v>
      </c>
      <c r="K5660" t="s">
        <v>14</v>
      </c>
      <c r="L5660" t="s">
        <v>20</v>
      </c>
      <c r="M5660" t="s">
        <v>11313</v>
      </c>
      <c r="N5660" t="s">
        <v>14</v>
      </c>
    </row>
    <row r="5661" x14ac:dyDescent="0.25">
      <c r="A5661" t="n">
        <v>25</v>
      </c>
      <c r="B5661" t="s">
        <v>14</v>
      </c>
      <c r="C5661" t="s">
        <v>51</v>
      </c>
      <c r="D5661" s="2" t="s">
        <f>=HYPERLINK("https://main.knesset.gov.il/APPS/legislation/main/bills/2200093", "הצעת חוק איסור הפליה במוצרים, בשירותים ובכניסה למקומות בידור ולמקומות ציבוריים (תיקון - איסור בקשה לשינוי בהסדר במתן השירות), התשפ""ג-2023")</f>
        <v>11434</v>
      </c>
      <c r="E5661" t="s">
        <v>11434</v>
      </c>
      <c r="F5661" t="s">
        <v>11435</v>
      </c>
      <c r="G5661" t="s">
        <v>14</v>
      </c>
      <c r="H5661">
             </c>
      <c r="I5661" t="s">
        <v>14</v>
      </c>
      <c r="J5661" t="s">
        <v>242</v>
      </c>
      <c r="K5661" t="s">
        <v>14</v>
      </c>
      <c r="L5661" t="s">
        <v>20</v>
      </c>
      <c r="M5661" t="s">
        <v>11313</v>
      </c>
      <c r="N5661" t="s">
        <v>14</v>
      </c>
    </row>
    <row r="5662" x14ac:dyDescent="0.25">
      <c r="A5662" t="n">
        <v>25</v>
      </c>
      <c r="B5662" t="s">
        <v>14</v>
      </c>
      <c r="C5662" t="s">
        <v>51</v>
      </c>
      <c r="D5662" s="2" t="s">
        <f>=HYPERLINK("https://main.knesset.gov.il/APPS/legislation/main/bills/2200159", "הצעת חוק איסור פרסום הפליה (תיקוני חקיקה), התשפ""ג-2023")</f>
        <v>11436</v>
      </c>
      <c r="E5662" t="s">
        <v>11436</v>
      </c>
      <c r="F5662" t="s">
        <v>11437</v>
      </c>
      <c r="G5662" t="s">
        <v>14</v>
      </c>
      <c r="H5662">
             </c>
      <c r="I5662" t="s">
        <v>14</v>
      </c>
      <c r="J5662" t="s">
        <v>242</v>
      </c>
      <c r="K5662" t="s">
        <v>14</v>
      </c>
      <c r="L5662" t="s">
        <v>20</v>
      </c>
      <c r="M5662" t="s">
        <v>11313</v>
      </c>
      <c r="N5662" t="s">
        <v>14</v>
      </c>
    </row>
    <row r="5663" x14ac:dyDescent="0.25">
      <c r="A5663" t="n">
        <v>25</v>
      </c>
      <c r="B5663" t="s">
        <v>14</v>
      </c>
      <c r="C5663" t="s">
        <v>51</v>
      </c>
      <c r="D5663" s="2" t="s">
        <f>=HYPERLINK("https://main.knesset.gov.il/APPS/legislation/main/bills/2200057", "הצעת חוק לתיקון פקודת התעבורה (שירות טלפוני לדיווח ולקבלת תלונות על עבירות תעבורה או נהיגה מסוכנת של נהג אוטובוס), התשפ""ג-2023")</f>
        <v>11438</v>
      </c>
      <c r="E5663" t="s">
        <v>11438</v>
      </c>
      <c r="F5663" t="s">
        <v>11439</v>
      </c>
      <c r="G5663" t="s">
        <v>14</v>
      </c>
      <c r="H5663">
             </c>
      <c r="I5663" t="s">
        <v>14</v>
      </c>
      <c r="J5663" t="s">
        <v>242</v>
      </c>
      <c r="K5663" t="s">
        <v>14</v>
      </c>
      <c r="L5663" t="s">
        <v>20</v>
      </c>
      <c r="M5663" t="s">
        <v>11313</v>
      </c>
      <c r="N5663" t="s">
        <v>14</v>
      </c>
    </row>
    <row r="5664" x14ac:dyDescent="0.25">
      <c r="A5664" t="n">
        <v>25</v>
      </c>
      <c r="B5664" t="s">
        <v>14</v>
      </c>
      <c r="C5664" t="s">
        <v>51</v>
      </c>
      <c r="D5664" s="2" t="s">
        <f>=HYPERLINK("https://main.knesset.gov.il/APPS/legislation/main/bills/2200089", "הצעת חוק הרבנות הראשית לישראל (תיקון - ייצוג הציבור באסיפה הבוחרת), התשפ""ג-2023")</f>
        <v>11440</v>
      </c>
      <c r="E5664" t="s">
        <v>11440</v>
      </c>
      <c r="F5664" t="s">
        <v>11441</v>
      </c>
      <c r="G5664" t="s">
        <v>14</v>
      </c>
      <c r="H5664">
             </c>
      <c r="I5664" t="s">
        <v>14</v>
      </c>
      <c r="J5664" t="s">
        <v>242</v>
      </c>
      <c r="K5664" t="s">
        <v>14</v>
      </c>
      <c r="L5664" t="s">
        <v>20</v>
      </c>
      <c r="M5664" t="s">
        <v>11313</v>
      </c>
      <c r="N5664" t="s">
        <v>14</v>
      </c>
    </row>
    <row r="5665" x14ac:dyDescent="0.25">
      <c r="A5665" t="n">
        <v>25</v>
      </c>
      <c r="B5665" t="s">
        <v>14</v>
      </c>
      <c r="C5665" t="s">
        <v>51</v>
      </c>
      <c r="D5665" s="2" t="s">
        <f>=HYPERLINK("https://main.knesset.gov.il/APPS/legislation/main/bills/2200068", "הצעת חוק לתיקון פקודת התעבורה (פיצוי למתלונן), התשפ""ג-2023")</f>
        <v>11442</v>
      </c>
      <c r="E5665" t="s">
        <v>11442</v>
      </c>
      <c r="F5665" t="s">
        <v>11443</v>
      </c>
      <c r="G5665" t="s">
        <v>14</v>
      </c>
      <c r="H5665">
             </c>
      <c r="I5665" t="s">
        <v>14</v>
      </c>
      <c r="J5665" t="s">
        <v>242</v>
      </c>
      <c r="K5665" t="s">
        <v>14</v>
      </c>
      <c r="L5665" t="s">
        <v>20</v>
      </c>
      <c r="M5665" t="s">
        <v>11313</v>
      </c>
      <c r="N5665" t="s">
        <v>14</v>
      </c>
    </row>
    <row r="5666" x14ac:dyDescent="0.25">
      <c r="A5666" t="n">
        <v>25</v>
      </c>
      <c r="B5666" t="s">
        <v>14</v>
      </c>
      <c r="C5666" t="s">
        <v>51</v>
      </c>
      <c r="D5666" s="2" t="s">
        <f>=HYPERLINK("https://main.knesset.gov.il/APPS/legislation/main/bills/2200004", "הצעת חוק בית המשפט לענייני משפחה (תיקון - פטור מתשלום אגרה למקבלי הבטחת הכנסה), התשפ""ג-2023")</f>
        <v>11229</v>
      </c>
      <c r="E5666" t="s">
        <v>11229</v>
      </c>
      <c r="F5666" t="s">
        <v>11444</v>
      </c>
      <c r="G5666" t="s">
        <v>14</v>
      </c>
      <c r="H5666">
             </c>
      <c r="I5666" t="s">
        <v>14</v>
      </c>
      <c r="J5666" t="s">
        <v>242</v>
      </c>
      <c r="K5666" t="s">
        <v>14</v>
      </c>
      <c r="L5666" t="s">
        <v>20</v>
      </c>
      <c r="M5666" t="s">
        <v>11313</v>
      </c>
      <c r="N5666" t="s">
        <v>14</v>
      </c>
    </row>
    <row r="5667" x14ac:dyDescent="0.25">
      <c r="A5667" t="n">
        <v>25</v>
      </c>
      <c r="B5667" t="s">
        <v>14</v>
      </c>
      <c r="C5667" t="s">
        <v>51</v>
      </c>
      <c r="D5667" s="2" t="s">
        <f>=HYPERLINK("https://main.knesset.gov.il/APPS/legislation/main/bills/2200290", "הצעת חוק סמכות ואחריות הורית (מזונות), התשפ""ג-2023")</f>
        <v>11445</v>
      </c>
      <c r="E5667" t="s">
        <v>11445</v>
      </c>
      <c r="F5667" t="s">
        <v>11446</v>
      </c>
      <c r="G5667" t="s">
        <v>14</v>
      </c>
      <c r="H5667">
             </c>
      <c r="I5667" t="s">
        <v>14</v>
      </c>
      <c r="J5667" t="s">
        <v>242</v>
      </c>
      <c r="K5667" t="s">
        <v>14</v>
      </c>
      <c r="L5667" t="s">
        <v>20</v>
      </c>
      <c r="M5667" t="s">
        <v>11313</v>
      </c>
      <c r="N5667" t="s">
        <v>14</v>
      </c>
    </row>
    <row r="5668" x14ac:dyDescent="0.25">
      <c r="A5668" t="n">
        <v>25</v>
      </c>
      <c r="B5668" t="s">
        <v>14</v>
      </c>
      <c r="C5668" t="s">
        <v>51</v>
      </c>
      <c r="D5668" s="2" t="s">
        <f>=HYPERLINK("https://main.knesset.gov.il/APPS/legislation/main/bills/2200002", "הצעת חוק שכר מינימום (תיקון - עוולה נזיקית וקובלנה), התשפ""ג-2023")</f>
        <v>10600</v>
      </c>
      <c r="E5668" t="s">
        <v>10600</v>
      </c>
      <c r="F5668" t="s">
        <v>11447</v>
      </c>
      <c r="G5668" t="s">
        <v>14</v>
      </c>
      <c r="H5668">
             </c>
      <c r="I5668" t="s">
        <v>14</v>
      </c>
      <c r="J5668" t="s">
        <v>242</v>
      </c>
      <c r="K5668" t="s">
        <v>14</v>
      </c>
      <c r="L5668" t="s">
        <v>20</v>
      </c>
      <c r="M5668" t="s">
        <v>11313</v>
      </c>
      <c r="N5668" t="s">
        <v>14</v>
      </c>
    </row>
    <row r="5669" x14ac:dyDescent="0.25">
      <c r="A5669" t="n">
        <v>25</v>
      </c>
      <c r="B5669" t="s">
        <v>14</v>
      </c>
      <c r="C5669" t="s">
        <v>51</v>
      </c>
      <c r="D5669" s="2" t="s">
        <f>=HYPERLINK("https://main.knesset.gov.il/APPS/legislation/main/bills/2200241", "הצעת חוק הגנת הצרכן (תיקון - תאריך ייצור ומועד תפוגה בגודל גופן קריא), התשפ""ג-2023")</f>
        <v>11448</v>
      </c>
      <c r="E5669" t="s">
        <v>11448</v>
      </c>
      <c r="F5669" t="s">
        <v>11449</v>
      </c>
      <c r="G5669" t="s">
        <v>14</v>
      </c>
      <c r="H5669">
             </c>
      <c r="I5669" t="s">
        <v>14</v>
      </c>
      <c r="J5669" t="s">
        <v>242</v>
      </c>
      <c r="K5669" t="s">
        <v>14</v>
      </c>
      <c r="L5669" t="s">
        <v>20</v>
      </c>
      <c r="M5669" t="s">
        <v>11313</v>
      </c>
      <c r="N5669" t="s">
        <v>14</v>
      </c>
    </row>
    <row r="5670" x14ac:dyDescent="0.25">
      <c r="A5670" t="n">
        <v>25</v>
      </c>
      <c r="B5670" t="s">
        <v>14</v>
      </c>
      <c r="C5670" t="s">
        <v>51</v>
      </c>
      <c r="D5670" s="2" t="s">
        <f>=HYPERLINK("https://main.knesset.gov.il/APPS/legislation/main/bills/2200011", "הצעת חוק הביטוח הלאומי (תיקון - תשלום גמלה בעד תקופה שקדמה להגשת התביעה), התשפ""ג-2023")</f>
        <v>8271</v>
      </c>
      <c r="E5670" t="s">
        <v>8271</v>
      </c>
      <c r="F5670" t="s">
        <v>11450</v>
      </c>
      <c r="G5670" t="s">
        <v>14</v>
      </c>
      <c r="H5670">
             </c>
      <c r="I5670" t="s">
        <v>14</v>
      </c>
      <c r="J5670" t="s">
        <v>242</v>
      </c>
      <c r="K5670" t="s">
        <v>14</v>
      </c>
      <c r="L5670" t="s">
        <v>20</v>
      </c>
      <c r="M5670" t="s">
        <v>11313</v>
      </c>
      <c r="N5670" t="s">
        <v>14</v>
      </c>
    </row>
    <row r="5671" x14ac:dyDescent="0.25">
      <c r="A5671" t="n">
        <v>25</v>
      </c>
      <c r="B5671" t="s">
        <v>14</v>
      </c>
      <c r="C5671" t="s">
        <v>51</v>
      </c>
      <c r="D5671" s="2" t="s">
        <f>=HYPERLINK("https://main.knesset.gov.il/APPS/legislation/main/bills/2200010", "הצעת חוק הצבת מכשירי החייאה במקומות ציבוריים (תיקון - בדיקות תקינות שנתיות ותיעודן), התשפ""ג-2023")</f>
        <v>11451</v>
      </c>
      <c r="E5671" t="s">
        <v>11451</v>
      </c>
      <c r="F5671" t="s">
        <v>11452</v>
      </c>
      <c r="G5671" t="s">
        <v>14</v>
      </c>
      <c r="H5671">
             </c>
      <c r="I5671" t="s">
        <v>14</v>
      </c>
      <c r="J5671" t="s">
        <v>242</v>
      </c>
      <c r="K5671" t="s">
        <v>14</v>
      </c>
      <c r="L5671" t="s">
        <v>20</v>
      </c>
      <c r="M5671" t="s">
        <v>11313</v>
      </c>
      <c r="N5671" t="s">
        <v>14</v>
      </c>
    </row>
    <row r="5672" x14ac:dyDescent="0.25">
      <c r="A5672" t="n">
        <v>25</v>
      </c>
      <c r="B5672" t="s">
        <v>14</v>
      </c>
      <c r="C5672" t="s">
        <v>51</v>
      </c>
      <c r="D5672" s="2" t="s">
        <f>=HYPERLINK("https://main.knesset.gov.il/APPS/legislation/main/bills/2200019", "הצעת חוק הביטוח הלאומי (תיקון - הרחבת הזכאות למענק פטירה), התשפ""ג-2023")</f>
        <v>11124</v>
      </c>
      <c r="E5672" t="s">
        <v>11124</v>
      </c>
      <c r="F5672" t="s">
        <v>11453</v>
      </c>
      <c r="G5672" t="s">
        <v>14</v>
      </c>
      <c r="H5672">
             </c>
      <c r="I5672" t="s">
        <v>14</v>
      </c>
      <c r="J5672" t="s">
        <v>242</v>
      </c>
      <c r="K5672" t="s">
        <v>14</v>
      </c>
      <c r="L5672" t="s">
        <v>20</v>
      </c>
      <c r="M5672" t="s">
        <v>11313</v>
      </c>
      <c r="N5672" t="s">
        <v>14</v>
      </c>
    </row>
    <row r="5673" x14ac:dyDescent="0.25">
      <c r="A5673" t="n">
        <v>25</v>
      </c>
      <c r="B5673" t="s">
        <v>14</v>
      </c>
      <c r="C5673" t="s">
        <v>51</v>
      </c>
      <c r="D5673" s="2" t="s">
        <f>=HYPERLINK("https://main.knesset.gov.il/APPS/legislation/main/bills/2200281", "הצעת חוק העונשין (תיקון - החמרת ענישה על תקיפת קטין או חסר ישע), התשפ""ג-2023")</f>
        <v>11454</v>
      </c>
      <c r="E5673" t="s">
        <v>11454</v>
      </c>
      <c r="F5673" t="s">
        <v>11455</v>
      </c>
      <c r="G5673" t="s">
        <v>14</v>
      </c>
      <c r="H5673">
             </c>
      <c r="I5673" t="s">
        <v>14</v>
      </c>
      <c r="J5673" t="s">
        <v>242</v>
      </c>
      <c r="K5673" t="s">
        <v>14</v>
      </c>
      <c r="L5673" t="s">
        <v>20</v>
      </c>
      <c r="M5673" t="s">
        <v>11313</v>
      </c>
      <c r="N5673" t="s">
        <v>14</v>
      </c>
    </row>
    <row r="5674" x14ac:dyDescent="0.25">
      <c r="A5674" t="n">
        <v>25</v>
      </c>
      <c r="B5674" t="s">
        <v>14</v>
      </c>
      <c r="C5674" t="s">
        <v>51</v>
      </c>
      <c r="D5674" s="2" t="s">
        <f>=HYPERLINK("https://main.knesset.gov.il/APPS/legislation/main/bills/2200286", "הצעת חוק השכירות והשאילה (תיקון - הגבלה על העלאת דמי השכירות), התשפ""ג-2023")</f>
        <v>11456</v>
      </c>
      <c r="E5674" t="s">
        <v>11456</v>
      </c>
      <c r="F5674" t="s">
        <v>11457</v>
      </c>
      <c r="G5674" t="s">
        <v>14</v>
      </c>
      <c r="H5674">
             </c>
      <c r="I5674" t="s">
        <v>14</v>
      </c>
      <c r="J5674" t="s">
        <v>242</v>
      </c>
      <c r="K5674" t="s">
        <v>14</v>
      </c>
      <c r="L5674" t="s">
        <v>20</v>
      </c>
      <c r="M5674" t="s">
        <v>11313</v>
      </c>
      <c r="N5674" t="s">
        <v>14</v>
      </c>
    </row>
    <row r="5675" x14ac:dyDescent="0.25">
      <c r="A5675" t="n">
        <v>25</v>
      </c>
      <c r="B5675" t="s">
        <v>14</v>
      </c>
      <c r="C5675" t="s">
        <v>51</v>
      </c>
      <c r="D5675" s="2" t="s">
        <f>=HYPERLINK("https://main.knesset.gov.il/APPS/legislation/main/bills/2200018", "הצעת חוק שוויון זכויות לאנשים עם מוגבלות (תיקון - הכשרה מתאימה לממונה תעסוקה), התשפ""ג-2023")</f>
        <v>11458</v>
      </c>
      <c r="E5675" t="s">
        <v>11458</v>
      </c>
      <c r="F5675" t="s">
        <v>11459</v>
      </c>
      <c r="G5675" t="s">
        <v>14</v>
      </c>
      <c r="H5675">
             </c>
      <c r="I5675" t="s">
        <v>14</v>
      </c>
      <c r="J5675" t="s">
        <v>242</v>
      </c>
      <c r="K5675" t="s">
        <v>14</v>
      </c>
      <c r="L5675" t="s">
        <v>20</v>
      </c>
      <c r="M5675" t="s">
        <v>11313</v>
      </c>
      <c r="N5675" t="s">
        <v>14</v>
      </c>
    </row>
    <row r="5676" x14ac:dyDescent="0.25">
      <c r="A5676" t="n">
        <v>25</v>
      </c>
      <c r="B5676" t="s">
        <v>14</v>
      </c>
      <c r="C5676" t="s">
        <v>51</v>
      </c>
      <c r="D5676" s="2" t="s">
        <f>=HYPERLINK("https://main.knesset.gov.il/APPS/legislation/main/bills/2199977", "הצעת חוק הביטוח הלאומי (תיקון - ביטוח זכויות בהליכי חדלות פירעון לעובד עצמאי שעיקר הכנסתו ממקור אחד), התשפ""ג-2023")</f>
        <v>11460</v>
      </c>
      <c r="E5676" t="s">
        <v>11460</v>
      </c>
      <c r="F5676" t="s">
        <v>11461</v>
      </c>
      <c r="G5676" t="s">
        <v>14</v>
      </c>
      <c r="H5676">
             </c>
      <c r="I5676" t="s">
        <v>14</v>
      </c>
      <c r="J5676" t="s">
        <v>242</v>
      </c>
      <c r="K5676" t="s">
        <v>14</v>
      </c>
      <c r="L5676" t="s">
        <v>20</v>
      </c>
      <c r="M5676" t="s">
        <v>11313</v>
      </c>
      <c r="N5676" t="s">
        <v>14</v>
      </c>
    </row>
    <row r="5677" x14ac:dyDescent="0.25">
      <c r="A5677" t="n">
        <v>25</v>
      </c>
      <c r="B5677" t="s">
        <v>14</v>
      </c>
      <c r="C5677" t="s">
        <v>51</v>
      </c>
      <c r="D5677" s="2" t="s">
        <f>=HYPERLINK("https://main.knesset.gov.il/APPS/legislation/main/bills/2199964", "הצעת חוק חובת מיגון לנכים, קשישים, דיירי הדיור הציבורי ולמתגוררים ביישובי קו העימות בעוטף עזה, התשפ""ג-2023")</f>
        <v>11462</v>
      </c>
      <c r="E5677" t="s">
        <v>11462</v>
      </c>
      <c r="F5677" t="s">
        <v>11463</v>
      </c>
      <c r="G5677" t="s">
        <v>14</v>
      </c>
      <c r="H5677">
             </c>
      <c r="I5677" t="s">
        <v>14</v>
      </c>
      <c r="J5677" t="s">
        <v>242</v>
      </c>
      <c r="K5677" t="s">
        <v>14</v>
      </c>
      <c r="L5677" t="s">
        <v>20</v>
      </c>
      <c r="M5677" t="s">
        <v>11313</v>
      </c>
      <c r="N5677" t="s">
        <v>14</v>
      </c>
    </row>
    <row r="5678" x14ac:dyDescent="0.25">
      <c r="A5678" t="n">
        <v>25</v>
      </c>
      <c r="B5678" t="s">
        <v>14</v>
      </c>
      <c r="C5678" t="s">
        <v>51</v>
      </c>
      <c r="D5678" s="2" t="s">
        <f>=HYPERLINK("https://main.knesset.gov.il/APPS/legislation/main/bills/2200228", "הצעת חוק תגמול נושאי משרה בחברות ציבוריות, התשפ""ג-2023")</f>
        <v>11464</v>
      </c>
      <c r="E5678" t="s">
        <v>11464</v>
      </c>
      <c r="F5678" t="s">
        <v>11465</v>
      </c>
      <c r="G5678" t="s">
        <v>14</v>
      </c>
      <c r="H5678">
             </c>
      <c r="I5678" t="s">
        <v>14</v>
      </c>
      <c r="J5678" t="s">
        <v>242</v>
      </c>
      <c r="K5678" t="s">
        <v>14</v>
      </c>
      <c r="L5678" t="s">
        <v>20</v>
      </c>
      <c r="M5678" t="s">
        <v>11313</v>
      </c>
      <c r="N5678" t="s">
        <v>14</v>
      </c>
    </row>
    <row r="5679" x14ac:dyDescent="0.25">
      <c r="A5679" t="n">
        <v>25</v>
      </c>
      <c r="B5679" t="s">
        <v>14</v>
      </c>
      <c r="C5679" t="s">
        <v>51</v>
      </c>
      <c r="D5679" s="2" t="s">
        <f>=HYPERLINK("https://main.knesset.gov.il/APPS/legislation/main/bills/2199965", "הצעת חוק דמי נסיעה לסטודנטים בתחבורה ציבורית (תיקוני חקיקה), התשפ""ג-2023")</f>
        <v>11466</v>
      </c>
      <c r="E5679" t="s">
        <v>11466</v>
      </c>
      <c r="F5679" t="s">
        <v>11467</v>
      </c>
      <c r="G5679" t="s">
        <v>14</v>
      </c>
      <c r="H5679">
             </c>
      <c r="I5679" t="s">
        <v>14</v>
      </c>
      <c r="J5679" t="s">
        <v>242</v>
      </c>
      <c r="K5679" t="s">
        <v>14</v>
      </c>
      <c r="L5679" t="s">
        <v>20</v>
      </c>
      <c r="M5679" t="s">
        <v>11313</v>
      </c>
      <c r="N5679" t="s">
        <v>14</v>
      </c>
    </row>
    <row r="5680" x14ac:dyDescent="0.25">
      <c r="A5680" t="n">
        <v>25</v>
      </c>
      <c r="B5680" t="s">
        <v>14</v>
      </c>
      <c r="C5680" t="s">
        <v>51</v>
      </c>
      <c r="D5680" s="2" t="s">
        <f>=HYPERLINK("https://main.knesset.gov.il/APPS/legislation/main/bills/2199961", "הצעת חוק לתיקון פקודת התעבורה (הסדר ארצי אחיד לעניין גרירת רכב), התשפ""ג-2023")</f>
        <v>11468</v>
      </c>
      <c r="E5680" t="s">
        <v>11468</v>
      </c>
      <c r="F5680" t="s">
        <v>11469</v>
      </c>
      <c r="G5680" t="s">
        <v>14</v>
      </c>
      <c r="H5680">
             </c>
      <c r="I5680" t="s">
        <v>14</v>
      </c>
      <c r="J5680" t="s">
        <v>242</v>
      </c>
      <c r="K5680" t="s">
        <v>14</v>
      </c>
      <c r="L5680" t="s">
        <v>20</v>
      </c>
      <c r="M5680" t="s">
        <v>11313</v>
      </c>
      <c r="N5680" t="s">
        <v>14</v>
      </c>
    </row>
    <row r="5681" x14ac:dyDescent="0.25">
      <c r="A5681" t="n">
        <v>25</v>
      </c>
      <c r="B5681" t="s">
        <v>14</v>
      </c>
      <c r="C5681" t="s">
        <v>51</v>
      </c>
      <c r="D5681" s="2" t="s">
        <f>=HYPERLINK("https://main.knesset.gov.il/APPS/legislation/main/bills/2200191", "הצעת חוק המים (תיקון - הנחות לאוכלוסיות זכאיות), התשפ""ג-2023")</f>
        <v>11470</v>
      </c>
      <c r="E5681" t="s">
        <v>11470</v>
      </c>
      <c r="F5681" t="s">
        <v>11471</v>
      </c>
      <c r="G5681" t="s">
        <v>14</v>
      </c>
      <c r="H5681">
             </c>
      <c r="I5681" t="s">
        <v>14</v>
      </c>
      <c r="J5681" t="s">
        <v>242</v>
      </c>
      <c r="K5681" t="s">
        <v>14</v>
      </c>
      <c r="L5681" t="s">
        <v>20</v>
      </c>
      <c r="M5681" t="s">
        <v>11313</v>
      </c>
      <c r="N5681" t="s">
        <v>14</v>
      </c>
    </row>
    <row r="5682" x14ac:dyDescent="0.25">
      <c r="A5682" t="n">
        <v>25</v>
      </c>
      <c r="B5682" t="s">
        <v>14</v>
      </c>
      <c r="C5682" t="s">
        <v>51</v>
      </c>
      <c r="D5682" s="2" t="s">
        <f>=HYPERLINK("https://main.knesset.gov.il/APPS/legislation/main/bills/2199951", "הצעת חוק הגנת הצרכן (תיקון - חובת גילוי הוזלה במחיר בעסקה מתמשכת), התשפ""ג-2023")</f>
        <v>11472</v>
      </c>
      <c r="E5682" t="s">
        <v>11472</v>
      </c>
      <c r="F5682" t="s">
        <v>11473</v>
      </c>
      <c r="G5682" t="s">
        <v>14</v>
      </c>
      <c r="H5682">
             </c>
      <c r="I5682" t="s">
        <v>14</v>
      </c>
      <c r="J5682" t="s">
        <v>242</v>
      </c>
      <c r="K5682" t="s">
        <v>14</v>
      </c>
      <c r="L5682" t="s">
        <v>20</v>
      </c>
      <c r="M5682" t="s">
        <v>11313</v>
      </c>
      <c r="N5682" t="s">
        <v>14</v>
      </c>
    </row>
    <row r="5683" x14ac:dyDescent="0.25">
      <c r="A5683" t="n">
        <v>25</v>
      </c>
      <c r="B5683" t="s">
        <v>14</v>
      </c>
      <c r="C5683" t="s">
        <v>51</v>
      </c>
      <c r="D5683" s="2" t="s">
        <f>=HYPERLINK("https://main.knesset.gov.il/APPS/legislation/main/bills/2200025", "הצעת חוק חניה לנכים (תיקון - תג נכה אישי), התשפ""ג-2023")</f>
        <v>10300</v>
      </c>
      <c r="E5683" t="s">
        <v>10300</v>
      </c>
      <c r="F5683" t="s">
        <v>11474</v>
      </c>
      <c r="G5683" t="s">
        <v>14</v>
      </c>
      <c r="H5683">
             </c>
      <c r="I5683" t="s">
        <v>14</v>
      </c>
      <c r="J5683" t="s">
        <v>242</v>
      </c>
      <c r="K5683" t="s">
        <v>14</v>
      </c>
      <c r="L5683" t="s">
        <v>20</v>
      </c>
      <c r="M5683" t="s">
        <v>11313</v>
      </c>
      <c r="N5683" t="s">
        <v>14</v>
      </c>
    </row>
    <row r="5684" x14ac:dyDescent="0.25">
      <c r="A5684" t="n">
        <v>25</v>
      </c>
      <c r="B5684" t="s">
        <v>14</v>
      </c>
      <c r="C5684" t="s">
        <v>51</v>
      </c>
      <c r="D5684" s="2" t="s">
        <f>=HYPERLINK("https://main.knesset.gov.il/APPS/legislation/main/bills/2200024", "הצעת חוק חוזה העבודה (הסדרי עבודה מרחוק), התשפ""ג-2023")</f>
        <v>11475</v>
      </c>
      <c r="E5684" t="s">
        <v>11475</v>
      </c>
      <c r="F5684" t="s">
        <v>11476</v>
      </c>
      <c r="G5684" t="s">
        <v>14</v>
      </c>
      <c r="H5684">
             </c>
      <c r="I5684" t="s">
        <v>14</v>
      </c>
      <c r="J5684" t="s">
        <v>242</v>
      </c>
      <c r="K5684" t="s">
        <v>14</v>
      </c>
      <c r="L5684" t="s">
        <v>20</v>
      </c>
      <c r="M5684" t="s">
        <v>11313</v>
      </c>
      <c r="N5684" t="s">
        <v>14</v>
      </c>
    </row>
    <row r="5685" x14ac:dyDescent="0.25">
      <c r="A5685" t="n">
        <v>25</v>
      </c>
      <c r="B5685" t="s">
        <v>14</v>
      </c>
      <c r="C5685" t="s">
        <v>51</v>
      </c>
      <c r="D5685" s="2" t="s">
        <f>=HYPERLINK("https://main.knesset.gov.il/APPS/legislation/main/bills/2200021", "הצעת חוק דמי מחלה (תיקון - קרן ימי מחלה), התשפ""ג-2023")</f>
        <v>11477</v>
      </c>
      <c r="E5685" t="s">
        <v>11477</v>
      </c>
      <c r="F5685" t="s">
        <v>11478</v>
      </c>
      <c r="G5685" t="s">
        <v>14</v>
      </c>
      <c r="H5685">
             </c>
      <c r="I5685" t="s">
        <v>14</v>
      </c>
      <c r="J5685" t="s">
        <v>242</v>
      </c>
      <c r="K5685" t="s">
        <v>14</v>
      </c>
      <c r="L5685" t="s">
        <v>20</v>
      </c>
      <c r="M5685" t="s">
        <v>11313</v>
      </c>
      <c r="N5685" t="s">
        <v>14</v>
      </c>
    </row>
    <row r="5686" x14ac:dyDescent="0.25">
      <c r="A5686" t="n">
        <v>25</v>
      </c>
      <c r="B5686" t="s">
        <v>14</v>
      </c>
      <c r="C5686" t="s">
        <v>51</v>
      </c>
      <c r="D5686" s="2" t="s">
        <f>=HYPERLINK("https://main.knesset.gov.il/APPS/legislation/main/bills/2199926", "הצעת חוק הפעלת תחבורה ציבורית בשבת, התשפ""ג-2023")</f>
        <v>2181</v>
      </c>
      <c r="E5686" t="s">
        <v>2181</v>
      </c>
      <c r="F5686" t="s">
        <v>11479</v>
      </c>
      <c r="G5686" t="s">
        <v>14</v>
      </c>
      <c r="H5686">
             </c>
      <c r="I5686" t="s">
        <v>14</v>
      </c>
      <c r="J5686" t="s">
        <v>242</v>
      </c>
      <c r="K5686" t="s">
        <v>14</v>
      </c>
      <c r="L5686" t="s">
        <v>20</v>
      </c>
      <c r="M5686" t="s">
        <v>11313</v>
      </c>
      <c r="N5686" t="s">
        <v>14</v>
      </c>
    </row>
    <row r="5687" x14ac:dyDescent="0.25">
      <c r="A5687" t="n">
        <v>25</v>
      </c>
      <c r="B5687" t="s">
        <v>14</v>
      </c>
      <c r="C5687" t="s">
        <v>51</v>
      </c>
      <c r="D5687" s="2" t="s">
        <f>=HYPERLINK("https://main.knesset.gov.il/APPS/legislation/main/bills/2199924", "הצעת חוק לתיקון פקודת הסטטיסטיקה (סטטיסטיקה לפי מגדר), התשפ""ג-2023")</f>
        <v>11480</v>
      </c>
      <c r="E5687" t="s">
        <v>11480</v>
      </c>
      <c r="F5687" t="s">
        <v>11481</v>
      </c>
      <c r="G5687" t="s">
        <v>14</v>
      </c>
      <c r="H5687">
             </c>
      <c r="I5687" t="s">
        <v>14</v>
      </c>
      <c r="J5687" t="s">
        <v>242</v>
      </c>
      <c r="K5687" t="s">
        <v>14</v>
      </c>
      <c r="L5687" t="s">
        <v>20</v>
      </c>
      <c r="M5687" t="s">
        <v>11313</v>
      </c>
      <c r="N5687" t="s">
        <v>14</v>
      </c>
    </row>
    <row r="5688" x14ac:dyDescent="0.25">
      <c r="A5688" t="n">
        <v>25</v>
      </c>
      <c r="B5688" t="s">
        <v>14</v>
      </c>
      <c r="C5688" t="s">
        <v>51</v>
      </c>
      <c r="D5688" s="2" t="s">
        <f>=HYPERLINK("https://main.knesset.gov.il/APPS/legislation/main/bills/2200008", "הצעת חוק שוויון זכויות לאנשים עם מוגבלות (תיקון - בירור תלונות ופיקוח על שמירת זכויות של אנשים עם מוגבלות במסגרות מגורים), התשפ""ג-2023")</f>
        <v>11482</v>
      </c>
      <c r="E5688" t="s">
        <v>11482</v>
      </c>
      <c r="F5688" t="s">
        <v>11483</v>
      </c>
      <c r="G5688" t="s">
        <v>14</v>
      </c>
      <c r="H5688">
             </c>
      <c r="I5688" t="s">
        <v>14</v>
      </c>
      <c r="J5688" t="s">
        <v>242</v>
      </c>
      <c r="K5688" t="s">
        <v>14</v>
      </c>
      <c r="L5688" t="s">
        <v>20</v>
      </c>
      <c r="M5688" t="s">
        <v>11313</v>
      </c>
      <c r="N5688" t="s">
        <v>14</v>
      </c>
    </row>
    <row r="5689" x14ac:dyDescent="0.25">
      <c r="A5689" t="n">
        <v>25</v>
      </c>
      <c r="B5689" t="s">
        <v>14</v>
      </c>
      <c r="C5689" t="s">
        <v>51</v>
      </c>
      <c r="D5689" s="2" t="s">
        <f>=HYPERLINK("https://main.knesset.gov.il/APPS/legislation/main/bills/2200222", "הצעת חוק למניעת אלימות במשפחה (תיקון - דיון במעמד צד אחד באלימות נפשית), התשפ""ג-2023")</f>
        <v>11484</v>
      </c>
      <c r="E5689" t="s">
        <v>11484</v>
      </c>
      <c r="F5689" t="s">
        <v>11485</v>
      </c>
      <c r="G5689" t="s">
        <v>14</v>
      </c>
      <c r="H5689">
             </c>
      <c r="I5689" t="s">
        <v>14</v>
      </c>
      <c r="J5689" t="s">
        <v>242</v>
      </c>
      <c r="K5689" t="s">
        <v>14</v>
      </c>
      <c r="L5689" t="s">
        <v>20</v>
      </c>
      <c r="M5689" t="s">
        <v>11313</v>
      </c>
      <c r="N5689" t="s">
        <v>14</v>
      </c>
    </row>
    <row r="5690" x14ac:dyDescent="0.25">
      <c r="A5690" t="n">
        <v>25</v>
      </c>
      <c r="B5690" t="s">
        <v>14</v>
      </c>
      <c r="C5690" t="s">
        <v>51</v>
      </c>
      <c r="D5690" s="2" t="s">
        <f>=HYPERLINK("https://main.knesset.gov.il/APPS/legislation/main/bills/2199954", "הצעת חוק הקמת מאגר מידע דיגיטלי בנושא הכשרות מקצועיות, התשפ""ג-2023")</f>
        <v>11486</v>
      </c>
      <c r="E5690" t="s">
        <v>11486</v>
      </c>
      <c r="F5690" t="s">
        <v>11487</v>
      </c>
      <c r="G5690" t="s">
        <v>14</v>
      </c>
      <c r="H5690">
             </c>
      <c r="I5690" t="s">
        <v>14</v>
      </c>
      <c r="J5690" t="s">
        <v>242</v>
      </c>
      <c r="K5690" t="s">
        <v>14</v>
      </c>
      <c r="L5690" t="s">
        <v>20</v>
      </c>
      <c r="M5690" t="s">
        <v>11313</v>
      </c>
      <c r="N5690" t="s">
        <v>14</v>
      </c>
    </row>
    <row r="5691" x14ac:dyDescent="0.25">
      <c r="A5691" t="n">
        <v>25</v>
      </c>
      <c r="B5691" t="s">
        <v>14</v>
      </c>
      <c r="C5691" t="s">
        <v>51</v>
      </c>
      <c r="D5691" s="2" t="s">
        <f>=HYPERLINK("https://main.knesset.gov.il/APPS/legislation/main/bills/2199918", "הצעת חוק הגנת הצרכן (תיקון - חובת סימון נפח האריזה וקביעת הנפח בשימוש), התשפ""ג-2023")</f>
        <v>11488</v>
      </c>
      <c r="E5691" t="s">
        <v>11488</v>
      </c>
      <c r="F5691" t="s">
        <v>11489</v>
      </c>
      <c r="G5691" t="s">
        <v>14</v>
      </c>
      <c r="H5691">
             </c>
      <c r="I5691" t="s">
        <v>14</v>
      </c>
      <c r="J5691" t="s">
        <v>242</v>
      </c>
      <c r="K5691" t="s">
        <v>14</v>
      </c>
      <c r="L5691" t="s">
        <v>20</v>
      </c>
      <c r="M5691" t="s">
        <v>11313</v>
      </c>
      <c r="N5691" t="s">
        <v>14</v>
      </c>
    </row>
    <row r="5692" x14ac:dyDescent="0.25">
      <c r="A5692" t="n">
        <v>25</v>
      </c>
      <c r="B5692" t="s">
        <v>14</v>
      </c>
      <c r="C5692" t="s">
        <v>51</v>
      </c>
      <c r="D5692" s="2" t="s">
        <f>=HYPERLINK("https://main.knesset.gov.il/APPS/legislation/main/bills/2199084", "הצעת חוק הכשרות לאנשי מקצוע בתחום הבריאות בנושא מגדר ונטייה מינית, התשפ""ג-2023")</f>
        <v>11490</v>
      </c>
      <c r="E5692" t="s">
        <v>11490</v>
      </c>
      <c r="F5692" t="s">
        <v>11491</v>
      </c>
      <c r="G5692" t="s">
        <v>14</v>
      </c>
      <c r="H5692">
             </c>
      <c r="I5692" t="s">
        <v>14</v>
      </c>
      <c r="J5692" t="s">
        <v>242</v>
      </c>
      <c r="K5692" t="s">
        <v>14</v>
      </c>
      <c r="L5692" t="s">
        <v>20</v>
      </c>
      <c r="M5692" t="s">
        <v>11313</v>
      </c>
      <c r="N5692" t="s">
        <v>14</v>
      </c>
    </row>
    <row r="5693" x14ac:dyDescent="0.25">
      <c r="A5693" t="n">
        <v>25</v>
      </c>
      <c r="B5693" t="s">
        <v>14</v>
      </c>
      <c r="C5693" t="s">
        <v>51</v>
      </c>
      <c r="D5693" s="2" t="s">
        <f>=HYPERLINK("https://main.knesset.gov.il/APPS/legislation/main/bills/2199875", "הצעת חוק זכויות החולה (תיקון - הזכות למינוי מתורגמן רפואי), התשפ""ג-2023")</f>
        <v>10224</v>
      </c>
      <c r="E5693" t="s">
        <v>10224</v>
      </c>
      <c r="F5693" t="s">
        <v>11492</v>
      </c>
      <c r="G5693" t="s">
        <v>14</v>
      </c>
      <c r="H5693">
             </c>
      <c r="I5693" t="s">
        <v>14</v>
      </c>
      <c r="J5693" t="s">
        <v>242</v>
      </c>
      <c r="K5693" t="s">
        <v>14</v>
      </c>
      <c r="L5693" t="s">
        <v>20</v>
      </c>
      <c r="M5693" t="s">
        <v>11313</v>
      </c>
      <c r="N5693" t="s">
        <v>14</v>
      </c>
    </row>
    <row r="5694" x14ac:dyDescent="0.25">
      <c r="A5694" t="n">
        <v>25</v>
      </c>
      <c r="B5694" t="s">
        <v>14</v>
      </c>
      <c r="C5694" t="s">
        <v>51</v>
      </c>
      <c r="D5694" s="2" t="s">
        <f>=HYPERLINK("https://main.knesset.gov.il/APPS/legislation/main/bills/2199947", "הצעת חוק המרכז לגביית קנסות, אגרות והוצאות (תיקון - גביית חובות עבור רשות המים הארצית), התשפ""ג-2023")</f>
        <v>11493</v>
      </c>
      <c r="E5694" t="s">
        <v>11493</v>
      </c>
      <c r="F5694" t="s">
        <v>11494</v>
      </c>
      <c r="G5694" t="s">
        <v>14</v>
      </c>
      <c r="H5694">
             </c>
      <c r="I5694" t="s">
        <v>14</v>
      </c>
      <c r="J5694" t="s">
        <v>242</v>
      </c>
      <c r="K5694" t="s">
        <v>14</v>
      </c>
      <c r="L5694" t="s">
        <v>20</v>
      </c>
      <c r="M5694" t="s">
        <v>11313</v>
      </c>
      <c r="N5694" t="s">
        <v>14</v>
      </c>
    </row>
    <row r="5695" x14ac:dyDescent="0.25">
      <c r="A5695" t="n">
        <v>25</v>
      </c>
      <c r="B5695" t="s">
        <v>14</v>
      </c>
      <c r="C5695" t="s">
        <v>51</v>
      </c>
      <c r="D5695" s="2" t="s">
        <f>=HYPERLINK("https://main.knesset.gov.il/APPS/legislation/main/bills/2199922", "הצעת חוק לתיקון פקודת התעבורה (פטור מתשלום דמי חניה לרכב של כונן רפואת חירום עם ציוד), התשפ""ג-2023")</f>
        <v>11495</v>
      </c>
      <c r="E5695" t="s">
        <v>11495</v>
      </c>
      <c r="F5695" t="s">
        <v>11496</v>
      </c>
      <c r="G5695" t="s">
        <v>14</v>
      </c>
      <c r="H5695">
             </c>
      <c r="I5695" t="s">
        <v>14</v>
      </c>
      <c r="J5695" t="s">
        <v>242</v>
      </c>
      <c r="K5695" t="s">
        <v>14</v>
      </c>
      <c r="L5695" t="s">
        <v>20</v>
      </c>
      <c r="M5695" t="s">
        <v>11313</v>
      </c>
      <c r="N5695" t="s">
        <v>14</v>
      </c>
    </row>
    <row r="5696" x14ac:dyDescent="0.25">
      <c r="A5696" t="n">
        <v>25</v>
      </c>
      <c r="B5696" t="s">
        <v>14</v>
      </c>
      <c r="C5696" t="s">
        <v>51</v>
      </c>
      <c r="D5696" s="2" t="s">
        <f>=HYPERLINK("https://main.knesset.gov.il/APPS/legislation/main/bills/2199917", "הצעת חוק אימוץ ילדים (תיקון - אימוץ על ידי הורה יחיד), התשפ״ג-2023")</f>
        <v>11497</v>
      </c>
      <c r="E5696" t="s">
        <v>11497</v>
      </c>
      <c r="F5696" t="s">
        <v>11498</v>
      </c>
      <c r="G5696" t="s">
        <v>14</v>
      </c>
      <c r="H5696">
             </c>
      <c r="I5696" t="s">
        <v>14</v>
      </c>
      <c r="J5696" t="s">
        <v>202</v>
      </c>
      <c r="K5696" t="s">
        <v>14</v>
      </c>
      <c r="L5696" t="s">
        <v>20</v>
      </c>
      <c r="M5696" t="s">
        <v>11313</v>
      </c>
      <c r="N5696" t="s">
        <v>14</v>
      </c>
    </row>
    <row r="5697" x14ac:dyDescent="0.25">
      <c r="A5697" t="n">
        <v>25</v>
      </c>
      <c r="B5697" t="s">
        <v>14</v>
      </c>
      <c r="C5697" t="s">
        <v>51</v>
      </c>
      <c r="D5697" s="2" t="s">
        <f>=HYPERLINK("https://main.knesset.gov.il/APPS/legislation/main/bills/2199959", "הצעת חוק הגנת הצרכן (תיקון - הארכת תקופת האחריות), התשפ""ג-2023")</f>
        <v>11499</v>
      </c>
      <c r="E5697" t="s">
        <v>11499</v>
      </c>
      <c r="F5697" t="s">
        <v>11500</v>
      </c>
      <c r="G5697" t="s">
        <v>14</v>
      </c>
      <c r="H5697">
             </c>
      <c r="I5697" t="s">
        <v>14</v>
      </c>
      <c r="J5697" t="s">
        <v>242</v>
      </c>
      <c r="K5697" t="s">
        <v>14</v>
      </c>
      <c r="L5697" t="s">
        <v>20</v>
      </c>
      <c r="M5697" t="s">
        <v>11313</v>
      </c>
      <c r="N5697" t="s">
        <v>14</v>
      </c>
    </row>
    <row r="5698" x14ac:dyDescent="0.25">
      <c r="A5698" t="n">
        <v>25</v>
      </c>
      <c r="B5698" t="s">
        <v>14</v>
      </c>
      <c r="C5698" t="s">
        <v>51</v>
      </c>
      <c r="D5698" s="2" t="s">
        <f>=HYPERLINK("https://main.knesset.gov.il/APPS/legislation/main/bills/2199811", "הצעת חוק העונשין (תיקון - מרמה והפרת אמונים), התשפ""ג-2023")</f>
        <v>11501</v>
      </c>
      <c r="E5698" t="s">
        <v>11501</v>
      </c>
      <c r="F5698" t="s">
        <v>11502</v>
      </c>
      <c r="G5698" t="s">
        <v>14</v>
      </c>
      <c r="H5698">
             </c>
      <c r="I5698" t="s">
        <v>14</v>
      </c>
      <c r="J5698" t="s">
        <v>242</v>
      </c>
      <c r="K5698" t="s">
        <v>14</v>
      </c>
      <c r="L5698" t="s">
        <v>20</v>
      </c>
      <c r="M5698" t="s">
        <v>11313</v>
      </c>
      <c r="N5698" t="s">
        <v>14</v>
      </c>
    </row>
    <row r="5699" x14ac:dyDescent="0.25">
      <c r="A5699" t="n">
        <v>25</v>
      </c>
      <c r="B5699" t="s">
        <v>14</v>
      </c>
      <c r="C5699" t="s">
        <v>51</v>
      </c>
      <c r="D5699" s="2" t="s">
        <f>=HYPERLINK("https://main.knesset.gov.il/APPS/legislation/main/bills/2199730", "הצעת חוק התמודדות עם תופעת נטילת דמי חסות, התשפ""ג-2023")</f>
        <v>9972</v>
      </c>
      <c r="E5699" t="s">
        <v>9972</v>
      </c>
      <c r="F5699" t="s">
        <v>11503</v>
      </c>
      <c r="G5699" t="s">
        <v>14</v>
      </c>
      <c r="H5699">
             </c>
      <c r="I5699" t="s">
        <v>14</v>
      </c>
      <c r="J5699" t="s">
        <v>242</v>
      </c>
      <c r="K5699" t="s">
        <v>14</v>
      </c>
      <c r="L5699" t="s">
        <v>20</v>
      </c>
      <c r="M5699" t="s">
        <v>11313</v>
      </c>
      <c r="N5699" t="s">
        <v>14</v>
      </c>
    </row>
    <row r="5700" x14ac:dyDescent="0.25">
      <c r="A5700" t="n">
        <v>25</v>
      </c>
      <c r="B5700" t="s">
        <v>14</v>
      </c>
      <c r="C5700" t="s">
        <v>51</v>
      </c>
      <c r="D5700" s="2" t="s">
        <f>=HYPERLINK("https://main.knesset.gov.il/APPS/legislation/main/bills/2199645", "הצעת חוק זכויות החולה (תיקון - הסדר חניה למאושפזים בבית חולים ולמבקריהם), התשפ""ג-2023")</f>
        <v>11504</v>
      </c>
      <c r="E5700" t="s">
        <v>11504</v>
      </c>
      <c r="F5700" t="s">
        <v>11505</v>
      </c>
      <c r="G5700" t="s">
        <v>14</v>
      </c>
      <c r="H5700">
             </c>
      <c r="I5700" t="s">
        <v>14</v>
      </c>
      <c r="J5700" t="s">
        <v>242</v>
      </c>
      <c r="K5700" t="s">
        <v>14</v>
      </c>
      <c r="L5700" t="s">
        <v>20</v>
      </c>
      <c r="M5700" t="s">
        <v>11313</v>
      </c>
      <c r="N5700" t="s">
        <v>14</v>
      </c>
    </row>
    <row r="5701" x14ac:dyDescent="0.25">
      <c r="A5701" t="n">
        <v>25</v>
      </c>
      <c r="B5701" t="s">
        <v>14</v>
      </c>
      <c r="C5701" t="s">
        <v>51</v>
      </c>
      <c r="D5701" s="2" t="s">
        <f>=HYPERLINK("https://main.knesset.gov.il/APPS/legislation/main/bills/2199776", "הצעת חוק המועצה להשכלה גבוהה (תיקון - ביטול דרישת מבחני כניסה וציון פסיכומטרי), התשפ""ג-2023")</f>
        <v>10875</v>
      </c>
      <c r="E5701" t="s">
        <v>10875</v>
      </c>
      <c r="F5701" t="s">
        <v>11506</v>
      </c>
      <c r="G5701" t="s">
        <v>14</v>
      </c>
      <c r="H5701">
             </c>
      <c r="I5701" t="s">
        <v>14</v>
      </c>
      <c r="J5701" t="s">
        <v>242</v>
      </c>
      <c r="K5701" t="s">
        <v>14</v>
      </c>
      <c r="L5701" t="s">
        <v>20</v>
      </c>
      <c r="M5701" t="s">
        <v>11313</v>
      </c>
      <c r="N5701" t="s">
        <v>14</v>
      </c>
    </row>
    <row r="5702" x14ac:dyDescent="0.25">
      <c r="A5702" t="n">
        <v>25</v>
      </c>
      <c r="B5702" t="s">
        <v>14</v>
      </c>
      <c r="C5702" t="s">
        <v>51</v>
      </c>
      <c r="D5702" s="2" t="s">
        <f>=HYPERLINK("https://main.knesset.gov.il/APPS/legislation/main/bills/2199388", "הצעת חוק התקנת מצלמות לשם הגנה על פעוטות במעונות יום לפעוטות (תיקון - זכות ההורים לצפות בצילומים), התשפ""ג-2023")</f>
        <v>11507</v>
      </c>
      <c r="E5702" t="s">
        <v>11507</v>
      </c>
      <c r="F5702" t="s">
        <v>11508</v>
      </c>
      <c r="G5702" t="s">
        <v>14</v>
      </c>
      <c r="H5702">
             </c>
      <c r="I5702" t="s">
        <v>14</v>
      </c>
      <c r="J5702" t="s">
        <v>242</v>
      </c>
      <c r="K5702" t="s">
        <v>14</v>
      </c>
      <c r="L5702" t="s">
        <v>20</v>
      </c>
      <c r="M5702" t="s">
        <v>11313</v>
      </c>
      <c r="N5702" t="s">
        <v>14</v>
      </c>
    </row>
    <row r="5703" x14ac:dyDescent="0.25">
      <c r="A5703" t="n">
        <v>25</v>
      </c>
      <c r="B5703" t="s">
        <v>14</v>
      </c>
      <c r="C5703" t="s">
        <v>51</v>
      </c>
      <c r="D5703" s="2" t="s">
        <f>=HYPERLINK("https://main.knesset.gov.il/APPS/legislation/main/bills/2198955", "הצעת חוק לתיקון פקודת העיריות (חובות וזכויות חברי מועצה), התשפ''ג-2023")</f>
        <v>11509</v>
      </c>
      <c r="E5703" t="s">
        <v>11509</v>
      </c>
      <c r="F5703" t="s">
        <v>11510</v>
      </c>
      <c r="G5703" t="s">
        <v>14</v>
      </c>
      <c r="H5703">
             </c>
      <c r="I5703" t="s">
        <v>14</v>
      </c>
      <c r="J5703" t="s">
        <v>242</v>
      </c>
      <c r="K5703" t="s">
        <v>14</v>
      </c>
      <c r="L5703" t="s">
        <v>20</v>
      </c>
      <c r="M5703" t="s">
        <v>11313</v>
      </c>
      <c r="N5703" t="s">
        <v>14</v>
      </c>
    </row>
    <row r="5704" x14ac:dyDescent="0.25">
      <c r="A5704" t="n">
        <v>25</v>
      </c>
      <c r="B5704" t="s">
        <v>14</v>
      </c>
      <c r="C5704" t="s">
        <v>51</v>
      </c>
      <c r="D5704" s="2" t="s">
        <f>=HYPERLINK("https://main.knesset.gov.il/APPS/legislation/main/bills/2199859", "הצעת חוק חסינות חברי הכנסת, זכויותיהם וחובותיהם (תיקון - חיפוש בחומר מחשב וסמכות יושב ראש הכנסת), התשפ""ג-2023")</f>
        <v>11511</v>
      </c>
      <c r="E5704" t="s">
        <v>11511</v>
      </c>
      <c r="F5704" t="s">
        <v>11512</v>
      </c>
      <c r="G5704" t="s">
        <v>14</v>
      </c>
      <c r="H5704">
             </c>
      <c r="I5704" t="s">
        <v>14</v>
      </c>
      <c r="J5704" t="s">
        <v>242</v>
      </c>
      <c r="K5704" t="s">
        <v>14</v>
      </c>
      <c r="L5704" t="s">
        <v>20</v>
      </c>
      <c r="M5704" t="s">
        <v>11313</v>
      </c>
      <c r="N5704" t="s">
        <v>14</v>
      </c>
    </row>
    <row r="5705" x14ac:dyDescent="0.25">
      <c r="A5705" t="n">
        <v>25</v>
      </c>
      <c r="B5705" t="s">
        <v>14</v>
      </c>
      <c r="C5705" t="s">
        <v>51</v>
      </c>
      <c r="D5705" s="2" t="s">
        <f>=HYPERLINK("https://main.knesset.gov.il/APPS/legislation/main/bills/2200007", "הצעת חוק ההוצאה לפועל (תיקון - הגבלת עיקול מיטלטליו של קשיש), התשפ""ג-2023")</f>
        <v>11188</v>
      </c>
      <c r="E5705" t="s">
        <v>11188</v>
      </c>
      <c r="F5705" t="s">
        <v>11513</v>
      </c>
      <c r="G5705" t="s">
        <v>14</v>
      </c>
      <c r="H5705">
             </c>
      <c r="I5705" t="s">
        <v>14</v>
      </c>
      <c r="J5705" t="s">
        <v>242</v>
      </c>
      <c r="K5705" t="s">
        <v>14</v>
      </c>
      <c r="L5705" t="s">
        <v>20</v>
      </c>
      <c r="M5705" t="s">
        <v>11313</v>
      </c>
      <c r="N5705" t="s">
        <v>14</v>
      </c>
    </row>
    <row r="5706" x14ac:dyDescent="0.25">
      <c r="A5706" t="n">
        <v>25</v>
      </c>
      <c r="B5706" t="s">
        <v>14</v>
      </c>
      <c r="C5706" t="s">
        <v>51</v>
      </c>
      <c r="D5706" s="2" t="s">
        <f>=HYPERLINK("https://main.knesset.gov.il/APPS/legislation/main/bills/2200038", "הצעת חוק התכנון והבנייה (תיקון - גני ילדים ומעונות יום), התשפ""ג-2023")</f>
        <v>11514</v>
      </c>
      <c r="E5706" t="s">
        <v>11514</v>
      </c>
      <c r="F5706" t="s">
        <v>11515</v>
      </c>
      <c r="G5706" t="s">
        <v>14</v>
      </c>
      <c r="H5706">
             </c>
      <c r="I5706" t="s">
        <v>14</v>
      </c>
      <c r="J5706" t="s">
        <v>242</v>
      </c>
      <c r="K5706" t="s">
        <v>14</v>
      </c>
      <c r="L5706" t="s">
        <v>20</v>
      </c>
      <c r="M5706" t="s">
        <v>11313</v>
      </c>
      <c r="N5706" t="s">
        <v>14</v>
      </c>
    </row>
    <row r="5707" x14ac:dyDescent="0.25">
      <c r="A5707" t="n">
        <v>25</v>
      </c>
      <c r="B5707" t="s">
        <v>14</v>
      </c>
      <c r="C5707" t="s">
        <v>51</v>
      </c>
      <c r="D5707" s="2" t="s">
        <f>=HYPERLINK("https://main.knesset.gov.il/APPS/legislation/main/bills/2199870", "הצעת חוק קליטת חיילים משוחררים (תיקון - הוקרת שירות הלוחם והלוחמת), התשפ""ג-2023")</f>
        <v>8861</v>
      </c>
      <c r="E5707" t="s">
        <v>8861</v>
      </c>
      <c r="F5707" t="s">
        <v>11516</v>
      </c>
      <c r="G5707" t="s">
        <v>14</v>
      </c>
      <c r="H5707">
             </c>
      <c r="I5707" t="s">
        <v>14</v>
      </c>
      <c r="J5707" t="s">
        <v>242</v>
      </c>
      <c r="K5707" t="s">
        <v>14</v>
      </c>
      <c r="L5707" t="s">
        <v>20</v>
      </c>
      <c r="M5707" t="s">
        <v>11313</v>
      </c>
      <c r="N5707" t="s">
        <v>14</v>
      </c>
    </row>
    <row r="5708" x14ac:dyDescent="0.25">
      <c r="A5708" t="n">
        <v>25</v>
      </c>
      <c r="B5708" t="s">
        <v>14</v>
      </c>
      <c r="C5708" t="s">
        <v>51</v>
      </c>
      <c r="D5708" s="2" t="s">
        <f>=HYPERLINK("https://main.knesset.gov.il/APPS/legislation/main/bills/2199123", "הצעת חוק קליטת חיילים משוחררים (תיקון - הוקרת שירות הלוחם והלוחמת), התשפ""ג-2023")</f>
        <v>8861</v>
      </c>
      <c r="E5708" t="s">
        <v>8861</v>
      </c>
      <c r="F5708" t="s">
        <v>11517</v>
      </c>
      <c r="G5708" t="s">
        <v>14</v>
      </c>
      <c r="H5708">
             </c>
      <c r="I5708" t="s">
        <v>14</v>
      </c>
      <c r="J5708" t="s">
        <v>242</v>
      </c>
      <c r="K5708" t="s">
        <v>14</v>
      </c>
      <c r="L5708" t="s">
        <v>20</v>
      </c>
      <c r="M5708" t="s">
        <v>11313</v>
      </c>
      <c r="N5708" t="s">
        <v>14</v>
      </c>
    </row>
    <row r="5709" x14ac:dyDescent="0.25">
      <c r="A5709" t="n">
        <v>25</v>
      </c>
      <c r="B5709" t="s">
        <v>14</v>
      </c>
      <c r="C5709" t="s">
        <v>51</v>
      </c>
      <c r="D5709" s="2" t="s">
        <f>=HYPERLINK("https://main.knesset.gov.il/APPS/legislation/main/bills/2200017", "הצעת חוק האזרחים הוותיקים (תיקון - הנחה בארנונה), התשפ""ג-2023")</f>
        <v>9678</v>
      </c>
      <c r="E5709" t="s">
        <v>9678</v>
      </c>
      <c r="F5709" t="s">
        <v>11518</v>
      </c>
      <c r="G5709" t="s">
        <v>14</v>
      </c>
      <c r="H5709">
             </c>
      <c r="I5709" t="s">
        <v>14</v>
      </c>
      <c r="J5709" t="s">
        <v>242</v>
      </c>
      <c r="K5709" t="s">
        <v>14</v>
      </c>
      <c r="L5709" t="s">
        <v>20</v>
      </c>
      <c r="M5709" t="s">
        <v>11313</v>
      </c>
      <c r="N5709" t="s">
        <v>14</v>
      </c>
    </row>
    <row r="5710" x14ac:dyDescent="0.25">
      <c r="A5710" t="n">
        <v>25</v>
      </c>
      <c r="B5710" t="s">
        <v>14</v>
      </c>
      <c r="C5710" t="s">
        <v>51</v>
      </c>
      <c r="D5710" s="2" t="s">
        <f>=HYPERLINK("https://main.knesset.gov.il/APPS/legislation/main/bills/2199848", "הצעת חוק-יסוד: הכנסת (תיקון - ביטול הדרישה לוויתור על אזרחות זרה)")</f>
        <v>11519</v>
      </c>
      <c r="E5710" t="s">
        <v>11519</v>
      </c>
      <c r="F5710" t="s">
        <v>11520</v>
      </c>
      <c r="G5710" t="s">
        <v>14</v>
      </c>
      <c r="H5710">
             </c>
      <c r="I5710" t="s">
        <v>14</v>
      </c>
      <c r="J5710" t="s">
        <v>242</v>
      </c>
      <c r="K5710" t="s">
        <v>14</v>
      </c>
      <c r="L5710" t="s">
        <v>20</v>
      </c>
      <c r="M5710" t="s">
        <v>11313</v>
      </c>
      <c r="N5710" t="s">
        <v>14</v>
      </c>
    </row>
    <row r="5711" x14ac:dyDescent="0.25">
      <c r="A5711" t="n">
        <v>25</v>
      </c>
      <c r="B5711" t="s">
        <v>14</v>
      </c>
      <c r="C5711" t="s">
        <v>51</v>
      </c>
      <c r="D5711" s="2" t="s">
        <f>=HYPERLINK("https://main.knesset.gov.il/APPS/legislation/main/bills/2199979", "הצעת חוק הביטוח הלאומי (תיקון - נכה שהגיע לגיל פרישה), התשפ""ג-2023")</f>
        <v>9615</v>
      </c>
      <c r="E5711" t="s">
        <v>9615</v>
      </c>
      <c r="F5711" t="s">
        <v>11521</v>
      </c>
      <c r="G5711" t="s">
        <v>14</v>
      </c>
      <c r="H5711">
             </c>
      <c r="I5711" t="s">
        <v>14</v>
      </c>
      <c r="J5711" t="s">
        <v>242</v>
      </c>
      <c r="K5711" t="s">
        <v>14</v>
      </c>
      <c r="L5711" t="s">
        <v>20</v>
      </c>
      <c r="M5711" t="s">
        <v>11313</v>
      </c>
      <c r="N5711" t="s">
        <v>14</v>
      </c>
    </row>
    <row r="5712" x14ac:dyDescent="0.25">
      <c r="A5712" t="n">
        <v>25</v>
      </c>
      <c r="B5712" t="s">
        <v>14</v>
      </c>
      <c r="C5712" t="s">
        <v>51</v>
      </c>
      <c r="D5712" s="2" t="s">
        <f>=HYPERLINK("https://main.knesset.gov.il/APPS/legislation/main/bills/2200000", "הצעת חוק חופש המידע (תיקון - מידע על נגישות), התשפ""ג-2023")</f>
        <v>11522</v>
      </c>
      <c r="E5712" t="s">
        <v>11522</v>
      </c>
      <c r="F5712" t="s">
        <v>11523</v>
      </c>
      <c r="G5712" t="s">
        <v>14</v>
      </c>
      <c r="H5712">
             </c>
      <c r="I5712" t="s">
        <v>14</v>
      </c>
      <c r="J5712" t="s">
        <v>242</v>
      </c>
      <c r="K5712" t="s">
        <v>14</v>
      </c>
      <c r="L5712" t="s">
        <v>20</v>
      </c>
      <c r="M5712" t="s">
        <v>11313</v>
      </c>
      <c r="N5712" t="s">
        <v>14</v>
      </c>
    </row>
    <row r="5713" x14ac:dyDescent="0.25">
      <c r="A5713" t="n">
        <v>25</v>
      </c>
      <c r="B5713" t="s">
        <v>14</v>
      </c>
      <c r="C5713" t="s">
        <v>51</v>
      </c>
      <c r="D5713" s="2" t="s">
        <f>=HYPERLINK("https://main.knesset.gov.il/APPS/legislation/main/bills/2199277", "הצעת חוק הביטוח הלאומי (תיקון - העלאת דמי האבטלה למי שטרם מלאו לו 28 שנים ויש עמו ילד), התשפ""ג-2023 ")</f>
        <v>11524</v>
      </c>
      <c r="E5713" t="s">
        <v>11524</v>
      </c>
      <c r="F5713" t="s">
        <v>11525</v>
      </c>
      <c r="G5713" t="s">
        <v>14</v>
      </c>
      <c r="H5713">
             </c>
      <c r="I5713" t="s">
        <v>14</v>
      </c>
      <c r="J5713" t="s">
        <v>242</v>
      </c>
      <c r="K5713" t="s">
        <v>14</v>
      </c>
      <c r="L5713" t="s">
        <v>20</v>
      </c>
      <c r="M5713" t="s">
        <v>11313</v>
      </c>
      <c r="N5713" t="s">
        <v>14</v>
      </c>
    </row>
    <row r="5714" x14ac:dyDescent="0.25">
      <c r="A5714" t="n">
        <v>25</v>
      </c>
      <c r="B5714" t="s">
        <v>14</v>
      </c>
      <c r="C5714" t="s">
        <v>51</v>
      </c>
      <c r="D5714" s="2" t="s">
        <f>=HYPERLINK("https://main.knesset.gov.il/APPS/legislation/main/bills/2198930", "הצעת חוק החלת הריבונות הישראלית על בקעת הירדן רבתי, התשפ""ג-2023")</f>
        <v>8566</v>
      </c>
      <c r="E5714" t="s">
        <v>8566</v>
      </c>
      <c r="F5714" t="s">
        <v>11526</v>
      </c>
      <c r="G5714" t="s">
        <v>14</v>
      </c>
      <c r="H5714">
             </c>
      <c r="I5714" t="s">
        <v>14</v>
      </c>
      <c r="J5714" t="s">
        <v>242</v>
      </c>
      <c r="K5714" t="s">
        <v>14</v>
      </c>
      <c r="L5714" t="s">
        <v>20</v>
      </c>
      <c r="M5714" t="s">
        <v>11313</v>
      </c>
      <c r="N5714" t="s">
        <v>14</v>
      </c>
    </row>
    <row r="5715" x14ac:dyDescent="0.25">
      <c r="A5715" t="n">
        <v>25</v>
      </c>
      <c r="B5715" t="s">
        <v>14</v>
      </c>
      <c r="C5715" t="s">
        <v>51</v>
      </c>
      <c r="D5715" s="2" t="s">
        <f>=HYPERLINK("https://main.knesset.gov.il/APPS/legislation/main/bills/2199952", "הצעת חוק הגנת הצרכן (תיקון - חובת פרסום שם יצרן ודגם מוצר), התשפ""ג-2023")</f>
        <v>10103</v>
      </c>
      <c r="E5715" t="s">
        <v>10103</v>
      </c>
      <c r="F5715" t="s">
        <v>11527</v>
      </c>
      <c r="G5715" t="s">
        <v>14</v>
      </c>
      <c r="H5715">
             </c>
      <c r="I5715" t="s">
        <v>14</v>
      </c>
      <c r="J5715" t="s">
        <v>242</v>
      </c>
      <c r="K5715" t="s">
        <v>14</v>
      </c>
      <c r="L5715" t="s">
        <v>20</v>
      </c>
      <c r="M5715" t="s">
        <v>11313</v>
      </c>
      <c r="N5715" t="s">
        <v>14</v>
      </c>
    </row>
    <row r="5716" x14ac:dyDescent="0.25">
      <c r="A5716" t="n">
        <v>25</v>
      </c>
      <c r="B5716" t="s">
        <v>14</v>
      </c>
      <c r="C5716" t="s">
        <v>51</v>
      </c>
      <c r="D5716" s="2" t="s">
        <f>=HYPERLINK("https://main.knesset.gov.il/APPS/legislation/main/bills/2199259", "הצעת חוק גיל פרישה (תיקון - ביטול גיל פרישת חובה), התשפ""ג-2023")</f>
        <v>10750</v>
      </c>
      <c r="E5716" t="s">
        <v>10750</v>
      </c>
      <c r="F5716" t="s">
        <v>11528</v>
      </c>
      <c r="G5716" t="s">
        <v>14</v>
      </c>
      <c r="H5716">
             </c>
      <c r="I5716" t="s">
        <v>14</v>
      </c>
      <c r="J5716" t="s">
        <v>242</v>
      </c>
      <c r="K5716" t="s">
        <v>14</v>
      </c>
      <c r="L5716" t="s">
        <v>20</v>
      </c>
      <c r="M5716" t="s">
        <v>11313</v>
      </c>
      <c r="N5716" t="s">
        <v>14</v>
      </c>
    </row>
    <row r="5717" x14ac:dyDescent="0.25">
      <c r="A5717" t="n">
        <v>25</v>
      </c>
      <c r="B5717" t="s">
        <v>14</v>
      </c>
      <c r="C5717" t="s">
        <v>51</v>
      </c>
      <c r="D5717" s="2" t="s">
        <f>=HYPERLINK("https://main.knesset.gov.il/APPS/legislation/main/bills/2199995", "הצעת חוק ביטוח בריאות ממלכתי (תיקון - ביטול הגבלת זכותו של תושב גלמוד ששהה מחוץ לישראל), התשפ""ג-2023")</f>
        <v>11529</v>
      </c>
      <c r="E5717" t="s">
        <v>11529</v>
      </c>
      <c r="F5717" t="s">
        <v>11530</v>
      </c>
      <c r="G5717" t="s">
        <v>14</v>
      </c>
      <c r="H5717">
             </c>
      <c r="I5717" t="s">
        <v>14</v>
      </c>
      <c r="J5717" t="s">
        <v>242</v>
      </c>
      <c r="K5717" t="s">
        <v>14</v>
      </c>
      <c r="L5717" t="s">
        <v>20</v>
      </c>
      <c r="M5717" t="s">
        <v>11313</v>
      </c>
      <c r="N5717" t="s">
        <v>14</v>
      </c>
    </row>
    <row r="5718" x14ac:dyDescent="0.25">
      <c r="A5718" t="n">
        <v>25</v>
      </c>
      <c r="B5718" t="s">
        <v>14</v>
      </c>
      <c r="C5718" t="s">
        <v>51</v>
      </c>
      <c r="D5718" s="2" t="s">
        <f>=HYPERLINK("https://main.knesset.gov.il/APPS/legislation/main/bills/2199994", "הצעת חוק מגן דוד אדום (תיקון - פריסת ניידות טיפול נמרץ ברחבי המדינה), התשפ""ג-2023 ")</f>
        <v>8321</v>
      </c>
      <c r="E5718" t="s">
        <v>8321</v>
      </c>
      <c r="F5718" t="s">
        <v>11531</v>
      </c>
      <c r="G5718" t="s">
        <v>14</v>
      </c>
      <c r="H5718">
             </c>
      <c r="I5718" t="s">
        <v>14</v>
      </c>
      <c r="J5718" t="s">
        <v>242</v>
      </c>
      <c r="K5718" t="s">
        <v>14</v>
      </c>
      <c r="L5718" t="s">
        <v>20</v>
      </c>
      <c r="M5718" t="s">
        <v>11313</v>
      </c>
      <c r="N5718" t="s">
        <v>14</v>
      </c>
    </row>
    <row r="5719" x14ac:dyDescent="0.25">
      <c r="A5719" t="n">
        <v>25</v>
      </c>
      <c r="B5719" t="s">
        <v>14</v>
      </c>
      <c r="C5719" t="s">
        <v>51</v>
      </c>
      <c r="D5719" s="2" t="s">
        <f>=HYPERLINK("https://main.knesset.gov.il/APPS/legislation/main/bills/2199613", "הצעת חוק סיוע בקידום תעסוקתי למשפחות של עובדים מעוטי הכנסה, התשפ""ג-2023")</f>
        <v>11532</v>
      </c>
      <c r="E5719" t="s">
        <v>11532</v>
      </c>
      <c r="F5719" t="s">
        <v>11533</v>
      </c>
      <c r="G5719" t="s">
        <v>14</v>
      </c>
      <c r="H5719">
             </c>
      <c r="I5719" t="s">
        <v>14</v>
      </c>
      <c r="J5719" t="s">
        <v>242</v>
      </c>
      <c r="K5719" t="s">
        <v>14</v>
      </c>
      <c r="L5719" t="s">
        <v>20</v>
      </c>
      <c r="M5719" t="s">
        <v>11313</v>
      </c>
      <c r="N5719" t="s">
        <v>14</v>
      </c>
    </row>
    <row r="5720" x14ac:dyDescent="0.25">
      <c r="A5720" t="n">
        <v>25</v>
      </c>
      <c r="B5720" t="s">
        <v>14</v>
      </c>
      <c r="C5720" t="s">
        <v>51</v>
      </c>
      <c r="D5720" s="2" t="s">
        <f>=HYPERLINK("https://main.knesset.gov.il/APPS/legislation/main/bills/2199993", "הצעת חוק הפנסיה (מועד תחילת הביטוח הפנסיוני), התשפ""ג-2023")</f>
        <v>10621</v>
      </c>
      <c r="E5720" t="s">
        <v>10621</v>
      </c>
      <c r="F5720" t="s">
        <v>11534</v>
      </c>
      <c r="G5720" t="s">
        <v>14</v>
      </c>
      <c r="H5720">
             </c>
      <c r="I5720" t="s">
        <v>14</v>
      </c>
      <c r="J5720" t="s">
        <v>242</v>
      </c>
      <c r="K5720" t="s">
        <v>14</v>
      </c>
      <c r="L5720" t="s">
        <v>20</v>
      </c>
      <c r="M5720" t="s">
        <v>11313</v>
      </c>
      <c r="N5720" t="s">
        <v>14</v>
      </c>
    </row>
    <row r="5721" x14ac:dyDescent="0.25">
      <c r="A5721" t="n">
        <v>25</v>
      </c>
      <c r="B5721" t="s">
        <v>14</v>
      </c>
      <c r="C5721" t="s">
        <v>51</v>
      </c>
      <c r="D5721" s="2" t="s">
        <f>=HYPERLINK("https://main.knesset.gov.il/APPS/legislation/main/bills/2196543", "הצעת חוק ביטוח בריאות ממלכתי (תיקון - מימון הסעה לבית חולים), התשפ""ג-2023")</f>
        <v>9855</v>
      </c>
      <c r="E5721" t="s">
        <v>9855</v>
      </c>
      <c r="F5721" t="s">
        <v>11535</v>
      </c>
      <c r="G5721" t="s">
        <v>14</v>
      </c>
      <c r="H5721">
             </c>
      <c r="I5721" t="s">
        <v>14</v>
      </c>
      <c r="J5721" t="s">
        <v>242</v>
      </c>
      <c r="K5721" t="s">
        <v>14</v>
      </c>
      <c r="L5721" t="s">
        <v>20</v>
      </c>
      <c r="M5721" t="s">
        <v>11313</v>
      </c>
      <c r="N5721" t="s">
        <v>14</v>
      </c>
    </row>
    <row r="5722" x14ac:dyDescent="0.25">
      <c r="A5722" t="n">
        <v>25</v>
      </c>
      <c r="B5722" t="s">
        <v>14</v>
      </c>
      <c r="C5722" t="s">
        <v>51</v>
      </c>
      <c r="D5722" s="2" t="s">
        <f>=HYPERLINK("https://main.knesset.gov.il/APPS/legislation/main/bills/2199989", "הצעת חוק השוואת תנאי שכר לקבוצות שאסור להפלותן (תיקוני חקיקה), התשפ""ג-2023")</f>
        <v>10252</v>
      </c>
      <c r="E5722" t="s">
        <v>10252</v>
      </c>
      <c r="F5722" t="s">
        <v>11536</v>
      </c>
      <c r="G5722" t="s">
        <v>14</v>
      </c>
      <c r="H5722">
             </c>
      <c r="I5722" t="s">
        <v>14</v>
      </c>
      <c r="J5722" t="s">
        <v>242</v>
      </c>
      <c r="K5722" t="s">
        <v>14</v>
      </c>
      <c r="L5722" t="s">
        <v>20</v>
      </c>
      <c r="M5722" t="s">
        <v>11313</v>
      </c>
      <c r="N5722" t="s">
        <v>14</v>
      </c>
    </row>
    <row r="5723" x14ac:dyDescent="0.25">
      <c r="A5723" t="n">
        <v>25</v>
      </c>
      <c r="B5723" t="s">
        <v>14</v>
      </c>
      <c r="C5723" t="s">
        <v>51</v>
      </c>
      <c r="D5723" s="2" t="s">
        <f>=HYPERLINK("https://main.knesset.gov.il/APPS/legislation/main/bills/2199833", "הצעת חוק סינון אתרים פוגעניים במקומות ציבוריים, התשפ""ג-2023")</f>
        <v>11537</v>
      </c>
      <c r="E5723" t="s">
        <v>11537</v>
      </c>
      <c r="F5723" t="s">
        <v>11538</v>
      </c>
      <c r="G5723" t="s">
        <v>14</v>
      </c>
      <c r="H5723">
             </c>
      <c r="I5723" t="s">
        <v>14</v>
      </c>
      <c r="J5723" t="s">
        <v>242</v>
      </c>
      <c r="K5723" t="s">
        <v>14</v>
      </c>
      <c r="L5723" t="s">
        <v>20</v>
      </c>
      <c r="M5723" t="s">
        <v>11313</v>
      </c>
      <c r="N5723" t="s">
        <v>14</v>
      </c>
    </row>
    <row r="5724" x14ac:dyDescent="0.25">
      <c r="A5724" t="n">
        <v>25</v>
      </c>
      <c r="B5724" t="s">
        <v>14</v>
      </c>
      <c r="C5724" t="s">
        <v>51</v>
      </c>
      <c r="D5724" s="2" t="s">
        <f>=HYPERLINK("https://main.knesset.gov.il/APPS/legislation/main/bills/2199988", "הצעת חוק הצמדת תשלומים לחיילים בודדים למדד המחירים לצרכן, התשפ""ג-2023")</f>
        <v>11539</v>
      </c>
      <c r="E5724" t="s">
        <v>11539</v>
      </c>
      <c r="F5724" t="s">
        <v>11540</v>
      </c>
      <c r="G5724" t="s">
        <v>14</v>
      </c>
      <c r="H5724">
             </c>
      <c r="I5724" t="s">
        <v>14</v>
      </c>
      <c r="J5724" t="s">
        <v>242</v>
      </c>
      <c r="K5724" t="s">
        <v>14</v>
      </c>
      <c r="L5724" t="s">
        <v>20</v>
      </c>
      <c r="M5724" t="s">
        <v>11313</v>
      </c>
      <c r="N5724" t="s">
        <v>14</v>
      </c>
    </row>
    <row r="5725" x14ac:dyDescent="0.25">
      <c r="A5725" t="n">
        <v>25</v>
      </c>
      <c r="B5725" t="s">
        <v>14</v>
      </c>
      <c r="C5725" t="s">
        <v>51</v>
      </c>
      <c r="D5725" s="2" t="s">
        <f>=HYPERLINK("https://main.knesset.gov.il/APPS/legislation/main/bills/2199940", "הצעת חוק למניעת כפייה מינית, התשפ""ג-2023")</f>
        <v>11541</v>
      </c>
      <c r="E5725" t="s">
        <v>11541</v>
      </c>
      <c r="F5725" t="s">
        <v>11542</v>
      </c>
      <c r="G5725" t="s">
        <v>14</v>
      </c>
      <c r="H5725">
             </c>
      <c r="I5725" t="s">
        <v>14</v>
      </c>
      <c r="J5725" t="s">
        <v>242</v>
      </c>
      <c r="K5725" t="s">
        <v>14</v>
      </c>
      <c r="L5725" t="s">
        <v>20</v>
      </c>
      <c r="M5725" t="s">
        <v>11313</v>
      </c>
      <c r="N5725" t="s">
        <v>14</v>
      </c>
    </row>
    <row r="5726" x14ac:dyDescent="0.25">
      <c r="A5726" t="n">
        <v>25</v>
      </c>
      <c r="B5726" t="s">
        <v>14</v>
      </c>
      <c r="C5726" t="s">
        <v>51</v>
      </c>
      <c r="D5726" s="2" t="s">
        <f>=HYPERLINK("https://main.knesset.gov.il/APPS/legislation/main/bills/2200012", "הצעת חוק דמי מחלה (תיקון - יתרה שלילית של ימי מחלה), התשפ""ג-2023")</f>
        <v>10614</v>
      </c>
      <c r="E5726" t="s">
        <v>10614</v>
      </c>
      <c r="F5726" t="s">
        <v>11543</v>
      </c>
      <c r="G5726" t="s">
        <v>14</v>
      </c>
      <c r="H5726">
             </c>
      <c r="I5726" t="s">
        <v>14</v>
      </c>
      <c r="J5726" t="s">
        <v>242</v>
      </c>
      <c r="K5726" t="s">
        <v>14</v>
      </c>
      <c r="L5726" t="s">
        <v>20</v>
      </c>
      <c r="M5726" t="s">
        <v>11313</v>
      </c>
      <c r="N5726" t="s">
        <v>14</v>
      </c>
    </row>
    <row r="5727" x14ac:dyDescent="0.25">
      <c r="A5727" t="n">
        <v>25</v>
      </c>
      <c r="B5727" t="s">
        <v>14</v>
      </c>
      <c r="C5727" t="s">
        <v>51</v>
      </c>
      <c r="D5727" s="2" t="s">
        <f>=HYPERLINK("https://main.knesset.gov.il/APPS/legislation/main/bills/2199881", "הצעת חוק-יסוד: השפיטה (תיקון - מינוי שופטים לבית המשפט העליון וקציבת כהונתם)")</f>
        <v>11544</v>
      </c>
      <c r="E5727" t="s">
        <v>11544</v>
      </c>
      <c r="F5727" t="s">
        <v>11545</v>
      </c>
      <c r="G5727" t="s">
        <v>14</v>
      </c>
      <c r="H5727">
             </c>
      <c r="I5727" t="s">
        <v>14</v>
      </c>
      <c r="J5727" t="s">
        <v>242</v>
      </c>
      <c r="K5727" t="s">
        <v>14</v>
      </c>
      <c r="L5727" t="s">
        <v>20</v>
      </c>
      <c r="M5727" t="s">
        <v>11313</v>
      </c>
      <c r="N5727" t="s">
        <v>14</v>
      </c>
    </row>
    <row r="5728" x14ac:dyDescent="0.25">
      <c r="A5728" t="n">
        <v>25</v>
      </c>
      <c r="B5728" t="s">
        <v>14</v>
      </c>
      <c r="C5728" t="s">
        <v>51</v>
      </c>
      <c r="D5728" s="2" t="s">
        <f>=HYPERLINK("https://main.knesset.gov.il/APPS/legislation/main/bills/2199935", "הצעת חוק למניעת התעמרות בעבודה, התשפ""ג-2023")</f>
        <v>11546</v>
      </c>
      <c r="E5728" t="s">
        <v>11546</v>
      </c>
      <c r="F5728" t="s">
        <v>11547</v>
      </c>
      <c r="G5728" t="s">
        <v>14</v>
      </c>
      <c r="H5728">
             </c>
      <c r="I5728" t="s">
        <v>14</v>
      </c>
      <c r="J5728" t="s">
        <v>242</v>
      </c>
      <c r="K5728" t="s">
        <v>14</v>
      </c>
      <c r="L5728" t="s">
        <v>20</v>
      </c>
      <c r="M5728" t="s">
        <v>11313</v>
      </c>
      <c r="N5728" t="s">
        <v>14</v>
      </c>
    </row>
    <row r="5729" x14ac:dyDescent="0.25">
      <c r="A5729" t="n">
        <v>25</v>
      </c>
      <c r="B5729" t="s">
        <v>14</v>
      </c>
      <c r="C5729" t="s">
        <v>51</v>
      </c>
      <c r="D5729" s="2" t="s">
        <f>=HYPERLINK("https://main.knesset.gov.il/APPS/legislation/main/bills/2200273", "הצעת חוק זכויות נפגעי עבירה (תיקון - החלת זכויות בדין האזרחי), התשפ""ג-2023")</f>
        <v>11548</v>
      </c>
      <c r="E5729" t="s">
        <v>11548</v>
      </c>
      <c r="F5729" t="s">
        <v>11549</v>
      </c>
      <c r="G5729" t="s">
        <v>14</v>
      </c>
      <c r="H5729">
             </c>
      <c r="I5729" t="s">
        <v>14</v>
      </c>
      <c r="J5729" t="s">
        <v>242</v>
      </c>
      <c r="K5729" t="s">
        <v>14</v>
      </c>
      <c r="L5729" t="s">
        <v>20</v>
      </c>
      <c r="M5729" t="s">
        <v>11313</v>
      </c>
      <c r="N5729" t="s">
        <v>14</v>
      </c>
    </row>
    <row r="5730" x14ac:dyDescent="0.25">
      <c r="A5730" t="n">
        <v>25</v>
      </c>
      <c r="B5730" t="s">
        <v>14</v>
      </c>
      <c r="C5730" t="s">
        <v>51</v>
      </c>
      <c r="D5730" s="2" t="s">
        <f>=HYPERLINK("https://main.knesset.gov.il/APPS/legislation/main/bills/2200014", "הצעת חוק דמי מחלה (תיקון - הצהרת מחלה), התשפ""ג-2023")</f>
        <v>11135</v>
      </c>
      <c r="E5730" t="s">
        <v>11135</v>
      </c>
      <c r="F5730" t="s">
        <v>11550</v>
      </c>
      <c r="G5730" t="s">
        <v>14</v>
      </c>
      <c r="H5730">
             </c>
      <c r="I5730" t="s">
        <v>14</v>
      </c>
      <c r="J5730" t="s">
        <v>242</v>
      </c>
      <c r="K5730" t="s">
        <v>14</v>
      </c>
      <c r="L5730" t="s">
        <v>20</v>
      </c>
      <c r="M5730" t="s">
        <v>11313</v>
      </c>
      <c r="N5730" t="s">
        <v>14</v>
      </c>
    </row>
    <row r="5731" x14ac:dyDescent="0.25">
      <c r="A5731" t="n">
        <v>25</v>
      </c>
      <c r="B5731" t="s">
        <v>14</v>
      </c>
      <c r="C5731" t="s">
        <v>51</v>
      </c>
      <c r="D5731" s="2" t="s">
        <f>=HYPERLINK("https://main.knesset.gov.il/APPS/legislation/main/bills/2199741", "הצעת חוק להגברת האכיפה של דיני העבודה (תיקון - הפרות בטיחות בעבודה בתחום הבנייה), התשפ""ג-2023")</f>
        <v>9629</v>
      </c>
      <c r="E5731" t="s">
        <v>9629</v>
      </c>
      <c r="F5731" t="s">
        <v>11551</v>
      </c>
      <c r="G5731" t="s">
        <v>14</v>
      </c>
      <c r="H5731">
             </c>
      <c r="I5731" t="s">
        <v>14</v>
      </c>
      <c r="J5731" t="s">
        <v>242</v>
      </c>
      <c r="K5731" t="s">
        <v>14</v>
      </c>
      <c r="L5731" t="s">
        <v>20</v>
      </c>
      <c r="M5731" t="s">
        <v>11313</v>
      </c>
      <c r="N5731" t="s">
        <v>14</v>
      </c>
    </row>
    <row r="5732" x14ac:dyDescent="0.25">
      <c r="A5732" t="n">
        <v>25</v>
      </c>
      <c r="B5732" t="s">
        <v>14</v>
      </c>
      <c r="C5732" t="s">
        <v>51</v>
      </c>
      <c r="D5732" s="2" t="s">
        <f>=HYPERLINK("https://main.knesset.gov.il/APPS/legislation/main/bills/2196266", "הצעת חוק הביטוח הלאומי (תיקון - הכפלת קצבת הילדים בחודשי החגים), התשפ""ג-2023")</f>
        <v>11552</v>
      </c>
      <c r="E5732" t="s">
        <v>11552</v>
      </c>
      <c r="F5732" t="s">
        <v>11553</v>
      </c>
      <c r="G5732" t="s">
        <v>14</v>
      </c>
      <c r="H5732">
             </c>
      <c r="I5732" t="s">
        <v>14</v>
      </c>
      <c r="J5732" t="s">
        <v>242</v>
      </c>
      <c r="K5732" t="s">
        <v>14</v>
      </c>
      <c r="L5732" t="s">
        <v>20</v>
      </c>
      <c r="M5732" t="s">
        <v>11313</v>
      </c>
      <c r="N5732" t="s">
        <v>14</v>
      </c>
    </row>
    <row r="5733" x14ac:dyDescent="0.25">
      <c r="A5733" t="n">
        <v>25</v>
      </c>
      <c r="B5733" t="s">
        <v>14</v>
      </c>
      <c r="C5733" t="s">
        <v>51</v>
      </c>
      <c r="D5733" s="2" t="s">
        <f>=HYPERLINK("https://main.knesset.gov.il/APPS/legislation/main/bills/2199928", "הצעת חוק ארוחת בוקר במוסדות חינוך, התשפ""ג-2023")</f>
        <v>11554</v>
      </c>
      <c r="E5733" t="s">
        <v>11554</v>
      </c>
      <c r="F5733" t="s">
        <v>11555</v>
      </c>
      <c r="G5733" t="s">
        <v>14</v>
      </c>
      <c r="H5733">
             </c>
      <c r="I5733" t="s">
        <v>14</v>
      </c>
      <c r="J5733" t="s">
        <v>242</v>
      </c>
      <c r="K5733" t="s">
        <v>14</v>
      </c>
      <c r="L5733" t="s">
        <v>20</v>
      </c>
      <c r="M5733" t="s">
        <v>11313</v>
      </c>
      <c r="N5733" t="s">
        <v>14</v>
      </c>
    </row>
    <row r="5734" x14ac:dyDescent="0.25">
      <c r="A5734" t="n">
        <v>25</v>
      </c>
      <c r="B5734" t="s">
        <v>14</v>
      </c>
      <c r="C5734" t="s">
        <v>51</v>
      </c>
      <c r="D5734" s="2" t="s">
        <f>=HYPERLINK("https://main.knesset.gov.il/APPS/legislation/main/bills/2199931", "הצעת חוק הגנת הצרכן (תיקון - איסור הפליית מחירים בשל מגדר), התשפ""ג-2023 ")</f>
        <v>9732</v>
      </c>
      <c r="E5734" t="s">
        <v>9732</v>
      </c>
      <c r="F5734" t="s">
        <v>11556</v>
      </c>
      <c r="G5734" t="s">
        <v>14</v>
      </c>
      <c r="H5734">
             </c>
      <c r="I5734" t="s">
        <v>14</v>
      </c>
      <c r="J5734" t="s">
        <v>242</v>
      </c>
      <c r="K5734" t="s">
        <v>14</v>
      </c>
      <c r="L5734" t="s">
        <v>20</v>
      </c>
      <c r="M5734" t="s">
        <v>11313</v>
      </c>
      <c r="N5734" t="s">
        <v>14</v>
      </c>
    </row>
    <row r="5735" x14ac:dyDescent="0.25">
      <c r="A5735" t="n">
        <v>25</v>
      </c>
      <c r="B5735" t="s">
        <v>14</v>
      </c>
      <c r="C5735" t="s">
        <v>51</v>
      </c>
      <c r="D5735" s="2" t="s">
        <f>=HYPERLINK("https://main.knesset.gov.il/APPS/legislation/main/bills/2199982", "הצעת חוק הודעה לעובד ולמועמד לעבודה (תנאי עבודה והליכי מיון וקבלה לעבודה) (תיקון - הגברת השקיפות בעניין הפרשות לפנסיה), התשפ""ג-2023")</f>
        <v>11557</v>
      </c>
      <c r="E5735" t="s">
        <v>11557</v>
      </c>
      <c r="F5735" t="s">
        <v>11558</v>
      </c>
      <c r="G5735" t="s">
        <v>14</v>
      </c>
      <c r="H5735">
             </c>
      <c r="I5735" t="s">
        <v>14</v>
      </c>
      <c r="J5735" t="s">
        <v>242</v>
      </c>
      <c r="K5735" t="s">
        <v>14</v>
      </c>
      <c r="L5735" t="s">
        <v>20</v>
      </c>
      <c r="M5735" t="s">
        <v>11313</v>
      </c>
      <c r="N5735" t="s">
        <v>14</v>
      </c>
    </row>
    <row r="5736" x14ac:dyDescent="0.25">
      <c r="A5736" t="n">
        <v>25</v>
      </c>
      <c r="B5736" t="s">
        <v>14</v>
      </c>
      <c r="C5736" t="s">
        <v>51</v>
      </c>
      <c r="D5736" s="2" t="s">
        <f>=HYPERLINK("https://main.knesset.gov.il/APPS/legislation/main/bills/2199801", "הצעת חוק להסדרת הפיקוח על כלבים (תיקון - כלבי הפקר), התשפ""ג-2023")</f>
        <v>8871</v>
      </c>
      <c r="E5736" t="s">
        <v>8871</v>
      </c>
      <c r="F5736" t="s">
        <v>11559</v>
      </c>
      <c r="G5736" t="s">
        <v>14</v>
      </c>
      <c r="H5736">
             </c>
      <c r="I5736" t="s">
        <v>14</v>
      </c>
      <c r="J5736" t="s">
        <v>202</v>
      </c>
      <c r="K5736" t="s">
        <v>14</v>
      </c>
      <c r="L5736" t="s">
        <v>20</v>
      </c>
      <c r="M5736" t="s">
        <v>11313</v>
      </c>
      <c r="N5736" t="s">
        <v>14</v>
      </c>
    </row>
    <row r="5737" x14ac:dyDescent="0.25">
      <c r="A5737" t="n">
        <v>25</v>
      </c>
      <c r="B5737" t="s">
        <v>14</v>
      </c>
      <c r="C5737" t="s">
        <v>51</v>
      </c>
      <c r="D5737" s="2" t="s">
        <f>=HYPERLINK("https://main.knesset.gov.il/APPS/legislation/main/bills/2200119", "הצעת חוק הבנקאות (שירות ללקוח) (תיקון - ריבית על יתרת זכות), התשפ""ג-2023")</f>
        <v>2536</v>
      </c>
      <c r="E5737" t="s">
        <v>2536</v>
      </c>
      <c r="F5737" t="s">
        <v>11560</v>
      </c>
      <c r="G5737" t="s">
        <v>14</v>
      </c>
      <c r="H5737">
             </c>
      <c r="I5737" t="s">
        <v>14</v>
      </c>
      <c r="J5737" t="s">
        <v>242</v>
      </c>
      <c r="K5737" t="s">
        <v>14</v>
      </c>
      <c r="L5737" t="s">
        <v>20</v>
      </c>
      <c r="M5737" t="s">
        <v>11313</v>
      </c>
      <c r="N5737" t="s">
        <v>14</v>
      </c>
    </row>
    <row r="5738" x14ac:dyDescent="0.25">
      <c r="A5738" t="n">
        <v>25</v>
      </c>
      <c r="B5738" t="s">
        <v>14</v>
      </c>
      <c r="C5738" t="s">
        <v>51</v>
      </c>
      <c r="D5738" s="2" t="s">
        <f>=HYPERLINK("https://main.knesset.gov.il/APPS/legislation/main/bills/2199150", "הצעת חוק הביטוח הלאומי (תיקון - גמלת סיעוד למבוטח הנמצא במוסד סיעודי), התשפ""ג-2023")</f>
        <v>11184</v>
      </c>
      <c r="E5738" t="s">
        <v>11184</v>
      </c>
      <c r="F5738" t="s">
        <v>11561</v>
      </c>
      <c r="G5738" t="s">
        <v>14</v>
      </c>
      <c r="H5738">
             </c>
      <c r="I5738" t="s">
        <v>14</v>
      </c>
      <c r="J5738" t="s">
        <v>242</v>
      </c>
      <c r="K5738" t="s">
        <v>14</v>
      </c>
      <c r="L5738" t="s">
        <v>20</v>
      </c>
      <c r="M5738" t="s">
        <v>11313</v>
      </c>
      <c r="N5738" t="s">
        <v>14</v>
      </c>
    </row>
    <row r="5739" x14ac:dyDescent="0.25">
      <c r="A5739" t="n">
        <v>25</v>
      </c>
      <c r="B5739" t="s">
        <v>14</v>
      </c>
      <c r="C5739" t="s">
        <v>51</v>
      </c>
      <c r="D5739" s="2" t="s">
        <f>=HYPERLINK("https://main.knesset.gov.il/APPS/legislation/main/bills/2199431", "הצעת חוק הפסיכולוגים (תיקון - פסיכולוג שהורשע בעבירת מין), התשפ""ג-2023")</f>
        <v>11562</v>
      </c>
      <c r="E5739" t="s">
        <v>11562</v>
      </c>
      <c r="F5739" t="s">
        <v>11563</v>
      </c>
      <c r="G5739" t="s">
        <v>14</v>
      </c>
      <c r="H5739">
             </c>
      <c r="I5739" t="s">
        <v>14</v>
      </c>
      <c r="J5739" t="s">
        <v>242</v>
      </c>
      <c r="K5739" t="s">
        <v>14</v>
      </c>
      <c r="L5739" t="s">
        <v>20</v>
      </c>
      <c r="M5739" t="s">
        <v>11313</v>
      </c>
      <c r="N5739" t="s">
        <v>14</v>
      </c>
    </row>
    <row r="5740" x14ac:dyDescent="0.25">
      <c r="A5740" t="n">
        <v>25</v>
      </c>
      <c r="B5740" t="s">
        <v>14</v>
      </c>
      <c r="C5740" t="s">
        <v>51</v>
      </c>
      <c r="D5740" s="2" t="s">
        <f>=HYPERLINK("https://main.knesset.gov.il/APPS/legislation/main/bills/2199912", "הצעת חוק איסור הפליה במוצרים, בשירותים ובכניסה למקומות בידור ולמקומות ציבוריים (תיקון - איסור הפרדה), התשפ""ג-2023")</f>
        <v>9004</v>
      </c>
      <c r="E5740" t="s">
        <v>9004</v>
      </c>
      <c r="F5740" t="s">
        <v>11564</v>
      </c>
      <c r="G5740" t="s">
        <v>14</v>
      </c>
      <c r="H5740">
             </c>
      <c r="I5740" t="s">
        <v>14</v>
      </c>
      <c r="J5740" t="s">
        <v>242</v>
      </c>
      <c r="K5740" t="s">
        <v>14</v>
      </c>
      <c r="L5740" t="s">
        <v>20</v>
      </c>
      <c r="M5740" t="s">
        <v>11313</v>
      </c>
      <c r="N5740" t="s">
        <v>14</v>
      </c>
    </row>
    <row r="5741" x14ac:dyDescent="0.25">
      <c r="A5741" t="n">
        <v>25</v>
      </c>
      <c r="B5741" t="s">
        <v>14</v>
      </c>
      <c r="C5741" t="s">
        <v>51</v>
      </c>
      <c r="D5741" s="2" t="s">
        <f>=HYPERLINK("https://main.knesset.gov.il/APPS/legislation/main/bills/2199908", "הצעת חוק בתי המשפט (תיקון - מחלקות לעבירות מין), התשפ""ג-2023")</f>
        <v>8935</v>
      </c>
      <c r="E5741" t="s">
        <v>8935</v>
      </c>
      <c r="F5741" t="s">
        <v>11565</v>
      </c>
      <c r="G5741" t="s">
        <v>14</v>
      </c>
      <c r="H5741">
             </c>
      <c r="I5741" t="s">
        <v>14</v>
      </c>
      <c r="J5741" t="s">
        <v>202</v>
      </c>
      <c r="K5741" t="s">
        <v>14</v>
      </c>
      <c r="L5741" t="s">
        <v>20</v>
      </c>
      <c r="M5741" t="s">
        <v>11313</v>
      </c>
      <c r="N5741" t="s">
        <v>14</v>
      </c>
    </row>
    <row r="5742" x14ac:dyDescent="0.25">
      <c r="A5742" t="n">
        <v>25</v>
      </c>
      <c r="B5742" t="s">
        <v>14</v>
      </c>
      <c r="C5742" t="s">
        <v>51</v>
      </c>
      <c r="D5742" s="2" t="s">
        <f>=HYPERLINK("https://main.knesset.gov.il/APPS/legislation/main/bills/2199882", "הצעת חוק הרשתות החברתיות, התשפ""ג-2023")</f>
        <v>11566</v>
      </c>
      <c r="E5742" t="s">
        <v>11566</v>
      </c>
      <c r="F5742" t="s">
        <v>11567</v>
      </c>
      <c r="G5742" t="s">
        <v>14</v>
      </c>
      <c r="H5742">
             </c>
      <c r="I5742" t="s">
        <v>14</v>
      </c>
      <c r="J5742" t="s">
        <v>242</v>
      </c>
      <c r="K5742" t="s">
        <v>14</v>
      </c>
      <c r="L5742" t="s">
        <v>20</v>
      </c>
      <c r="M5742" t="s">
        <v>11313</v>
      </c>
      <c r="N5742" t="s">
        <v>14</v>
      </c>
    </row>
    <row r="5743" x14ac:dyDescent="0.25">
      <c r="A5743" t="n">
        <v>25</v>
      </c>
      <c r="B5743" t="s">
        <v>14</v>
      </c>
      <c r="C5743" t="s">
        <v>51</v>
      </c>
      <c r="D5743" s="2" t="s">
        <f>=HYPERLINK("https://main.knesset.gov.il/APPS/legislation/main/bills/2199822", "הצעת חוק בחינת חלופות מדיניות לא-צבאיות (תיקוני חקיקה), התשפ""ג-2023")</f>
        <v>11568</v>
      </c>
      <c r="E5743" t="s">
        <v>11568</v>
      </c>
      <c r="F5743" t="s">
        <v>11569</v>
      </c>
      <c r="G5743" t="s">
        <v>14</v>
      </c>
      <c r="H5743">
             </c>
      <c r="I5743" t="s">
        <v>14</v>
      </c>
      <c r="J5743" t="s">
        <v>202</v>
      </c>
      <c r="K5743" t="s">
        <v>14</v>
      </c>
      <c r="L5743" t="s">
        <v>20</v>
      </c>
      <c r="M5743" t="s">
        <v>11313</v>
      </c>
      <c r="N5743" t="s">
        <v>14</v>
      </c>
    </row>
    <row r="5744" x14ac:dyDescent="0.25">
      <c r="A5744" t="n">
        <v>25</v>
      </c>
      <c r="B5744" t="s">
        <v>14</v>
      </c>
      <c r="C5744" t="s">
        <v>51</v>
      </c>
      <c r="D5744" s="2" t="s">
        <f>=HYPERLINK("https://main.knesset.gov.il/APPS/legislation/main/bills/2199466", "הצעת חוק לשיפור השירות במגזר הציבורי, התשפ""ג-2023")</f>
        <v>11570</v>
      </c>
      <c r="E5744" t="s">
        <v>11570</v>
      </c>
      <c r="F5744" t="s">
        <v>11571</v>
      </c>
      <c r="G5744" t="s">
        <v>14</v>
      </c>
      <c r="H5744">
             </c>
      <c r="I5744" t="s">
        <v>14</v>
      </c>
      <c r="J5744" t="s">
        <v>242</v>
      </c>
      <c r="K5744" t="s">
        <v>14</v>
      </c>
      <c r="L5744" t="s">
        <v>20</v>
      </c>
      <c r="M5744" t="s">
        <v>11313</v>
      </c>
      <c r="N5744" t="s">
        <v>14</v>
      </c>
    </row>
    <row r="5745" x14ac:dyDescent="0.25">
      <c r="A5745" t="n">
        <v>25</v>
      </c>
      <c r="B5745" t="s">
        <v>14</v>
      </c>
      <c r="C5745" t="s">
        <v>51</v>
      </c>
      <c r="D5745" s="2" t="s">
        <f>=HYPERLINK("https://main.knesset.gov.il/APPS/legislation/main/bills/2199461", "הצעת חוק משפחות חיילים שנספו במערכה (תגמולים ושיקום) (תיקון - תשלום לבן זוגו של שכול שנפטר), התשפ""ג-2023")</f>
        <v>11572</v>
      </c>
      <c r="E5745" t="s">
        <v>11572</v>
      </c>
      <c r="F5745" t="s">
        <v>11573</v>
      </c>
      <c r="G5745" t="s">
        <v>14</v>
      </c>
      <c r="H5745">
             </c>
      <c r="I5745" t="s">
        <v>14</v>
      </c>
      <c r="J5745" t="s">
        <v>242</v>
      </c>
      <c r="K5745" t="s">
        <v>14</v>
      </c>
      <c r="L5745" t="s">
        <v>20</v>
      </c>
      <c r="M5745" t="s">
        <v>11313</v>
      </c>
      <c r="N5745" t="s">
        <v>14</v>
      </c>
    </row>
    <row r="5746" x14ac:dyDescent="0.25">
      <c r="A5746" t="n">
        <v>25</v>
      </c>
      <c r="B5746" t="s">
        <v>14</v>
      </c>
      <c r="C5746" t="s">
        <v>51</v>
      </c>
      <c r="D5746" s="2" t="s">
        <f>=HYPERLINK("https://main.knesset.gov.il/APPS/legislation/main/bills/2199406", "הצעת חוק גיל פרישה (תיקון - שינוי גיל הפרישה לעובדים בענף הבניין), התשפ""ג-2023")</f>
        <v>11574</v>
      </c>
      <c r="E5746" t="s">
        <v>11574</v>
      </c>
      <c r="F5746" t="s">
        <v>11575</v>
      </c>
      <c r="G5746" t="s">
        <v>14</v>
      </c>
      <c r="H5746">
             </c>
      <c r="I5746" t="s">
        <v>14</v>
      </c>
      <c r="J5746" t="s">
        <v>242</v>
      </c>
      <c r="K5746" t="s">
        <v>14</v>
      </c>
      <c r="L5746" t="s">
        <v>20</v>
      </c>
      <c r="M5746" t="s">
        <v>11313</v>
      </c>
      <c r="N5746" t="s">
        <v>14</v>
      </c>
    </row>
    <row r="5747" x14ac:dyDescent="0.25">
      <c r="A5747" t="n">
        <v>25</v>
      </c>
      <c r="B5747" t="s">
        <v>14</v>
      </c>
      <c r="C5747" t="s">
        <v>51</v>
      </c>
      <c r="D5747" s="2" t="s">
        <f>=HYPERLINK("https://main.knesset.gov.il/APPS/legislation/main/bills/2199399", "הצעת חוק שוויון ההזדמנויות בעבודה (תיקון - ייצוג הולם לאוכלוסייה הערבית), התשפ""ג-2023")</f>
        <v>11576</v>
      </c>
      <c r="E5747" t="s">
        <v>11576</v>
      </c>
      <c r="F5747" t="s">
        <v>11577</v>
      </c>
      <c r="G5747" t="s">
        <v>14</v>
      </c>
      <c r="H5747">
             </c>
      <c r="I5747" t="s">
        <v>14</v>
      </c>
      <c r="J5747" t="s">
        <v>242</v>
      </c>
      <c r="K5747" t="s">
        <v>14</v>
      </c>
      <c r="L5747" t="s">
        <v>20</v>
      </c>
      <c r="M5747" t="s">
        <v>11313</v>
      </c>
      <c r="N5747" t="s">
        <v>14</v>
      </c>
    </row>
    <row r="5748" x14ac:dyDescent="0.25">
      <c r="A5748" t="n">
        <v>25</v>
      </c>
      <c r="B5748" t="s">
        <v>14</v>
      </c>
      <c r="C5748" t="s">
        <v>51</v>
      </c>
      <c r="D5748" s="2" t="s">
        <f>=HYPERLINK("https://main.knesset.gov.il/APPS/legislation/main/bills/2198680", "הצעת חוק הביטוח הלאומי (תיקון - חישוב דמי לידה לפי שנה שקדמה ליום הקובע), התשפ""ג-2023")</f>
        <v>11578</v>
      </c>
      <c r="E5748" t="s">
        <v>11578</v>
      </c>
      <c r="F5748" t="s">
        <v>11579</v>
      </c>
      <c r="G5748" t="s">
        <v>14</v>
      </c>
      <c r="H5748">
             </c>
      <c r="I5748" t="s">
        <v>14</v>
      </c>
      <c r="J5748" t="s">
        <v>242</v>
      </c>
      <c r="K5748" t="s">
        <v>14</v>
      </c>
      <c r="L5748" t="s">
        <v>20</v>
      </c>
      <c r="M5748" t="s">
        <v>11313</v>
      </c>
      <c r="N5748" t="s">
        <v>14</v>
      </c>
    </row>
    <row r="5749" x14ac:dyDescent="0.25">
      <c r="A5749" t="n">
        <v>25</v>
      </c>
      <c r="B5749" t="s">
        <v>14</v>
      </c>
      <c r="C5749" t="s">
        <v>51</v>
      </c>
      <c r="D5749" s="2" t="s">
        <f>=HYPERLINK("https://main.knesset.gov.il/APPS/legislation/main/bills/2199454", "הצעת חוק מס ערך מוסף (תיקון - פטור ממס במכירת תרופות מצילות חיים שאינן כלולות בסל הבריאות), התשפ""ג-2023")</f>
        <v>9696</v>
      </c>
      <c r="E5749" t="s">
        <v>9696</v>
      </c>
      <c r="F5749" t="s">
        <v>11580</v>
      </c>
      <c r="G5749" t="s">
        <v>14</v>
      </c>
      <c r="H5749">
             </c>
      <c r="I5749" t="s">
        <v>14</v>
      </c>
      <c r="J5749" t="s">
        <v>242</v>
      </c>
      <c r="K5749" t="s">
        <v>14</v>
      </c>
      <c r="L5749" t="s">
        <v>20</v>
      </c>
      <c r="M5749" t="s">
        <v>11313</v>
      </c>
      <c r="N5749" t="s">
        <v>14</v>
      </c>
    </row>
    <row r="5750" x14ac:dyDescent="0.25">
      <c r="A5750" t="n">
        <v>25</v>
      </c>
      <c r="B5750" t="s">
        <v>14</v>
      </c>
      <c r="C5750" t="s">
        <v>51</v>
      </c>
      <c r="D5750" s="2" t="s">
        <f>=HYPERLINK("https://main.knesset.gov.il/APPS/legislation/main/bills/2198065", "הצעת חוק-יסוד: הדגל, הסמל והמנון המדינה")</f>
        <v>11581</v>
      </c>
      <c r="E5750" t="s">
        <v>11581</v>
      </c>
      <c r="F5750" t="s">
        <v>11582</v>
      </c>
      <c r="G5750" t="s">
        <v>14</v>
      </c>
      <c r="H5750">
             </c>
      <c r="I5750" t="s">
        <v>14</v>
      </c>
      <c r="J5750" t="s">
        <v>242</v>
      </c>
      <c r="K5750" t="s">
        <v>14</v>
      </c>
      <c r="L5750" t="s">
        <v>20</v>
      </c>
      <c r="M5750" t="s">
        <v>11313</v>
      </c>
      <c r="N5750" t="s">
        <v>14</v>
      </c>
    </row>
    <row r="5751" x14ac:dyDescent="0.25">
      <c r="A5751" t="n">
        <v>25</v>
      </c>
      <c r="B5751" t="s">
        <v>14</v>
      </c>
      <c r="C5751" t="s">
        <v>51</v>
      </c>
      <c r="D5751" s="2" t="s">
        <f>=HYPERLINK("https://main.knesset.gov.il/APPS/legislation/main/bills/2199561", "הצעת חוק לתיקון פקודת מס הכנסה (ניכוי סכומים שהוצאו לצורך טיפול בילד), התשפ""ג-2023")</f>
        <v>8198</v>
      </c>
      <c r="E5751" t="s">
        <v>8198</v>
      </c>
      <c r="F5751" t="s">
        <v>11583</v>
      </c>
      <c r="G5751" t="s">
        <v>14</v>
      </c>
      <c r="H5751">
             </c>
      <c r="I5751" t="s">
        <v>14</v>
      </c>
      <c r="J5751" t="s">
        <v>242</v>
      </c>
      <c r="K5751" t="s">
        <v>14</v>
      </c>
      <c r="L5751" t="s">
        <v>20</v>
      </c>
      <c r="M5751" t="s">
        <v>11313</v>
      </c>
      <c r="N5751" t="s">
        <v>14</v>
      </c>
    </row>
    <row r="5752" x14ac:dyDescent="0.25">
      <c r="A5752" t="n">
        <v>25</v>
      </c>
      <c r="B5752" t="s">
        <v>14</v>
      </c>
      <c r="C5752" t="s">
        <v>51</v>
      </c>
      <c r="D5752" s="2" t="s">
        <f>=HYPERLINK("https://main.knesset.gov.il/APPS/legislation/main/bills/2199549", "הצעת חוק הרשויות המקומיות (ריבית והפרשי הצמדה על תשלומי חובה) (תיקון - הפחתת אחוז הריבית ברשויות המקומיות), התשפ""ג-2023")</f>
        <v>10190</v>
      </c>
      <c r="E5752" t="s">
        <v>10190</v>
      </c>
      <c r="F5752" t="s">
        <v>11584</v>
      </c>
      <c r="G5752" t="s">
        <v>14</v>
      </c>
      <c r="H5752">
             </c>
      <c r="I5752" t="s">
        <v>14</v>
      </c>
      <c r="J5752" t="s">
        <v>242</v>
      </c>
      <c r="K5752" t="s">
        <v>14</v>
      </c>
      <c r="L5752" t="s">
        <v>20</v>
      </c>
      <c r="M5752" t="s">
        <v>11313</v>
      </c>
      <c r="N5752" t="s">
        <v>14</v>
      </c>
    </row>
    <row r="5753" x14ac:dyDescent="0.25">
      <c r="A5753" t="n">
        <v>25</v>
      </c>
      <c r="B5753" t="s">
        <v>14</v>
      </c>
      <c r="C5753" t="s">
        <v>51</v>
      </c>
      <c r="D5753" s="2" t="s">
        <f>=HYPERLINK("https://main.knesset.gov.il/APPS/legislation/main/bills/2199345", "הצעת חוק צער בעלי חיים (הגנה על בעלי חיים) (תיקון - איסור משלוחים חיים לשחיטה), התשפ""ג-2023")</f>
        <v>11585</v>
      </c>
      <c r="E5753" t="s">
        <v>11585</v>
      </c>
      <c r="F5753" t="s">
        <v>11586</v>
      </c>
      <c r="G5753" t="s">
        <v>14</v>
      </c>
      <c r="H5753">
             </c>
      <c r="I5753" t="s">
        <v>14</v>
      </c>
      <c r="J5753" t="s">
        <v>242</v>
      </c>
      <c r="K5753" t="s">
        <v>14</v>
      </c>
      <c r="L5753" t="s">
        <v>20</v>
      </c>
      <c r="M5753" t="s">
        <v>11313</v>
      </c>
      <c r="N5753" t="s">
        <v>14</v>
      </c>
    </row>
    <row r="5754" x14ac:dyDescent="0.25">
      <c r="A5754" t="n">
        <v>25</v>
      </c>
      <c r="B5754" t="s">
        <v>14</v>
      </c>
      <c r="C5754" t="s">
        <v>51</v>
      </c>
      <c r="D5754" s="2" t="s">
        <f>=HYPERLINK("https://main.knesset.gov.il/APPS/legislation/main/bills/2197794", "הצעת חוק הביטוח הלאומי (תיקון - אי-שלילת זכאות לגמלת סיעוד מקשיש לאחר פטירת בן הזוג), התשפ""ג-2023")</f>
        <v>11587</v>
      </c>
      <c r="E5754" t="s">
        <v>11587</v>
      </c>
      <c r="F5754" t="s">
        <v>11588</v>
      </c>
      <c r="G5754" t="s">
        <v>14</v>
      </c>
      <c r="H5754">
             </c>
      <c r="I5754" t="s">
        <v>14</v>
      </c>
      <c r="J5754" t="s">
        <v>242</v>
      </c>
      <c r="K5754" t="s">
        <v>14</v>
      </c>
      <c r="L5754" t="s">
        <v>20</v>
      </c>
      <c r="M5754" t="s">
        <v>11313</v>
      </c>
      <c r="N5754" t="s">
        <v>14</v>
      </c>
    </row>
    <row r="5755" x14ac:dyDescent="0.25">
      <c r="A5755" t="n">
        <v>25</v>
      </c>
      <c r="B5755" t="s">
        <v>14</v>
      </c>
      <c r="C5755" t="s">
        <v>51</v>
      </c>
      <c r="D5755" s="2" t="s">
        <f>=HYPERLINK("https://main.knesset.gov.il/APPS/legislation/main/bills/2199545", "הצעת חוק לתיקון פקודת הרוקחים (הכשרת עוזרי רוקח), התשפ""ג-2023")</f>
        <v>10699</v>
      </c>
      <c r="E5755" t="s">
        <v>10699</v>
      </c>
      <c r="F5755" t="s">
        <v>11589</v>
      </c>
      <c r="G5755" t="s">
        <v>14</v>
      </c>
      <c r="H5755">
             </c>
      <c r="I5755" t="s">
        <v>14</v>
      </c>
      <c r="J5755" t="s">
        <v>242</v>
      </c>
      <c r="K5755" t="s">
        <v>14</v>
      </c>
      <c r="L5755" t="s">
        <v>20</v>
      </c>
      <c r="M5755" t="s">
        <v>11313</v>
      </c>
      <c r="N5755" t="s">
        <v>14</v>
      </c>
    </row>
    <row r="5756" x14ac:dyDescent="0.25">
      <c r="A5756" t="n">
        <v>25</v>
      </c>
      <c r="B5756" t="s">
        <v>14</v>
      </c>
      <c r="C5756" t="s">
        <v>51</v>
      </c>
      <c r="D5756" s="2" t="s">
        <f>=HYPERLINK("https://main.knesset.gov.il/APPS/legislation/main/bills/2199477", "הצעת חוק פיצוי עסקים קטנים בשל אירועי איבה מתמשכים או מצב חירום כלכלי, התשפ""ג-2023")</f>
        <v>11590</v>
      </c>
      <c r="E5756" t="s">
        <v>11590</v>
      </c>
      <c r="F5756" t="s">
        <v>11591</v>
      </c>
      <c r="G5756" t="s">
        <v>14</v>
      </c>
      <c r="H5756">
             </c>
      <c r="I5756" t="s">
        <v>14</v>
      </c>
      <c r="J5756" t="s">
        <v>242</v>
      </c>
      <c r="K5756" t="s">
        <v>14</v>
      </c>
      <c r="L5756" t="s">
        <v>20</v>
      </c>
      <c r="M5756" t="s">
        <v>11313</v>
      </c>
      <c r="N5756" t="s">
        <v>14</v>
      </c>
    </row>
    <row r="5757" x14ac:dyDescent="0.25">
      <c r="A5757" t="n">
        <v>25</v>
      </c>
      <c r="B5757" t="s">
        <v>14</v>
      </c>
      <c r="C5757" t="s">
        <v>51</v>
      </c>
      <c r="D5757" s="2" t="s">
        <f>=HYPERLINK("https://main.knesset.gov.il/APPS/legislation/main/bills/2199335", "הצעת חוק לתיקון פקודת מס הכנסה (ניכוי תשלומים לביטוח בריאות לעצמאים), התשפ""ג-2023 ")</f>
        <v>11592</v>
      </c>
      <c r="E5757" t="s">
        <v>11592</v>
      </c>
      <c r="F5757" t="s">
        <v>11593</v>
      </c>
      <c r="G5757" t="s">
        <v>14</v>
      </c>
      <c r="H5757">
             </c>
      <c r="I5757" t="s">
        <v>14</v>
      </c>
      <c r="J5757" t="s">
        <v>242</v>
      </c>
      <c r="K5757" t="s">
        <v>14</v>
      </c>
      <c r="L5757" t="s">
        <v>20</v>
      </c>
      <c r="M5757" t="s">
        <v>11313</v>
      </c>
      <c r="N5757" t="s">
        <v>14</v>
      </c>
    </row>
    <row r="5758" x14ac:dyDescent="0.25">
      <c r="A5758" t="n">
        <v>25</v>
      </c>
      <c r="B5758" t="s">
        <v>14</v>
      </c>
      <c r="C5758" t="s">
        <v>51</v>
      </c>
      <c r="D5758" s="2" t="s">
        <f>=HYPERLINK("https://main.knesset.gov.il/APPS/legislation/main/bills/2197793", "הצעת חוק הביטוח הלאומי (תיקון - בדיקת תלות בידי רופא מומחה למבוטח שמלאו לו 75 שנים), התשפ""ג-2023")</f>
        <v>11594</v>
      </c>
      <c r="E5758" t="s">
        <v>11594</v>
      </c>
      <c r="F5758" t="s">
        <v>11595</v>
      </c>
      <c r="G5758" t="s">
        <v>14</v>
      </c>
      <c r="H5758">
             </c>
      <c r="I5758" t="s">
        <v>14</v>
      </c>
      <c r="J5758" t="s">
        <v>242</v>
      </c>
      <c r="K5758" t="s">
        <v>14</v>
      </c>
      <c r="L5758" t="s">
        <v>20</v>
      </c>
      <c r="M5758" t="s">
        <v>11313</v>
      </c>
      <c r="N5758" t="s">
        <v>14</v>
      </c>
    </row>
    <row r="5759" x14ac:dyDescent="0.25">
      <c r="A5759" t="n">
        <v>25</v>
      </c>
      <c r="B5759" t="s">
        <v>14</v>
      </c>
      <c r="C5759" t="s">
        <v>51</v>
      </c>
      <c r="D5759" s="2" t="s">
        <f>=HYPERLINK("https://main.knesset.gov.il/APPS/legislation/main/bills/2198223", "הצעת חוק התוכנית הכלכלית (תיקוני חקיקה ליישום המדיניות הכלכלית לשנות התקציב 2021 ו-2022) (תיקון - דחיית יישום רפורמת הכשרות וביטול הוראת שעה), התשפ""ג-2023")</f>
        <v>11596</v>
      </c>
      <c r="E5759" t="s">
        <v>11596</v>
      </c>
      <c r="F5759" t="s">
        <v>11597</v>
      </c>
      <c r="G5759" t="s">
        <v>14</v>
      </c>
      <c r="H5759">
             </c>
      <c r="I5759" t="s">
        <v>14</v>
      </c>
      <c r="J5759" t="s">
        <v>242</v>
      </c>
      <c r="K5759" t="s">
        <v>14</v>
      </c>
      <c r="L5759" t="s">
        <v>20</v>
      </c>
      <c r="M5759" t="s">
        <v>11313</v>
      </c>
      <c r="N5759" t="s">
        <v>14</v>
      </c>
    </row>
    <row r="5760" x14ac:dyDescent="0.25">
      <c r="A5760" t="n">
        <v>25</v>
      </c>
      <c r="B5760" t="s">
        <v>14</v>
      </c>
      <c r="C5760" t="s">
        <v>51</v>
      </c>
      <c r="D5760" s="2" t="s">
        <f>=HYPERLINK("https://main.knesset.gov.il/APPS/legislation/main/bills/2200131", "הצעת חוק הגנת הצרכן (תיקון - סיכום פנייה), התשפ""ג-2023")</f>
        <v>11598</v>
      </c>
      <c r="E5760" t="s">
        <v>11598</v>
      </c>
      <c r="F5760" t="s">
        <v>11599</v>
      </c>
      <c r="G5760" t="s">
        <v>14</v>
      </c>
      <c r="H5760">
             </c>
      <c r="I5760" t="s">
        <v>14</v>
      </c>
      <c r="J5760" t="s">
        <v>242</v>
      </c>
      <c r="K5760" t="s">
        <v>14</v>
      </c>
      <c r="L5760" t="s">
        <v>20</v>
      </c>
      <c r="M5760" t="s">
        <v>11313</v>
      </c>
      <c r="N5760" t="s">
        <v>14</v>
      </c>
    </row>
    <row r="5761" x14ac:dyDescent="0.25">
      <c r="A5761" t="n">
        <v>25</v>
      </c>
      <c r="B5761" t="s">
        <v>14</v>
      </c>
      <c r="C5761" t="s">
        <v>51</v>
      </c>
      <c r="D5761" s="2" t="s">
        <f>=HYPERLINK("https://main.knesset.gov.il/APPS/legislation/main/bills/2199910", "הצעת חוק הגנת הצרכן (תיקון - סיכום פנייה), התשפ""ג-2023")</f>
        <v>11598</v>
      </c>
      <c r="E5761" t="s">
        <v>11598</v>
      </c>
      <c r="F5761" t="s">
        <v>11600</v>
      </c>
      <c r="G5761" t="s">
        <v>14</v>
      </c>
      <c r="H5761">
             </c>
      <c r="I5761" t="s">
        <v>14</v>
      </c>
      <c r="J5761" t="s">
        <v>242</v>
      </c>
      <c r="K5761" t="s">
        <v>14</v>
      </c>
      <c r="L5761" t="s">
        <v>20</v>
      </c>
      <c r="M5761" t="s">
        <v>11313</v>
      </c>
      <c r="N5761" t="s">
        <v>14</v>
      </c>
    </row>
    <row r="5762" x14ac:dyDescent="0.25">
      <c r="A5762" t="n">
        <v>25</v>
      </c>
      <c r="B5762" t="s">
        <v>14</v>
      </c>
      <c r="C5762" t="s">
        <v>51</v>
      </c>
      <c r="D5762" s="2" t="s">
        <f>=HYPERLINK("https://main.knesset.gov.il/APPS/legislation/main/bills/2198934", "הצעת חוק ביטוח בריאות ממלכתי (תיקון - החזר דמי נסיעות והסעות לטיפולי אונקולוגיה ודיאליזה), התשפ""ג-2023")</f>
        <v>11601</v>
      </c>
      <c r="E5762" t="s">
        <v>11601</v>
      </c>
      <c r="F5762" t="s">
        <v>11602</v>
      </c>
      <c r="G5762" t="s">
        <v>14</v>
      </c>
      <c r="H5762">
             </c>
      <c r="I5762" t="s">
        <v>14</v>
      </c>
      <c r="J5762" t="s">
        <v>242</v>
      </c>
      <c r="K5762" t="s">
        <v>14</v>
      </c>
      <c r="L5762" t="s">
        <v>20</v>
      </c>
      <c r="M5762" t="s">
        <v>11313</v>
      </c>
      <c r="N5762" t="s">
        <v>14</v>
      </c>
    </row>
    <row r="5763" x14ac:dyDescent="0.25">
      <c r="A5763" t="n">
        <v>25</v>
      </c>
      <c r="B5763" t="s">
        <v>14</v>
      </c>
      <c r="C5763" t="s">
        <v>51</v>
      </c>
      <c r="D5763" s="2" t="s">
        <f>=HYPERLINK("https://main.knesset.gov.il/APPS/legislation/main/bills/2198771", "הצעת חוק ביטוח בריאות ממלכתי (תיקון - החזר דמי נסיעות והסעות לטיפולי אונקולוגיה ודיאליזה), התשפ""ג-2023")</f>
        <v>11601</v>
      </c>
      <c r="E5763" t="s">
        <v>11601</v>
      </c>
      <c r="F5763" t="s">
        <v>11603</v>
      </c>
      <c r="G5763" t="s">
        <v>14</v>
      </c>
      <c r="H5763">
             </c>
      <c r="I5763" t="s">
        <v>14</v>
      </c>
      <c r="J5763" t="s">
        <v>242</v>
      </c>
      <c r="K5763" t="s">
        <v>14</v>
      </c>
      <c r="L5763" t="s">
        <v>20</v>
      </c>
      <c r="M5763" t="s">
        <v>11313</v>
      </c>
      <c r="N5763" t="s">
        <v>14</v>
      </c>
    </row>
    <row r="5764" x14ac:dyDescent="0.25">
      <c r="A5764" t="n">
        <v>25</v>
      </c>
      <c r="B5764" t="s">
        <v>14</v>
      </c>
      <c r="C5764" t="s">
        <v>51</v>
      </c>
      <c r="D5764" s="2" t="s">
        <f>=HYPERLINK("https://main.knesset.gov.il/APPS/legislation/main/bills/2198679", "הצעת חוק הבטחת הכנסה (תיקון - גמלה להורה עצמאי), התשפ""ג-2023")</f>
        <v>10957</v>
      </c>
      <c r="E5764" t="s">
        <v>10957</v>
      </c>
      <c r="F5764" t="s">
        <v>11604</v>
      </c>
      <c r="G5764" t="s">
        <v>14</v>
      </c>
      <c r="H5764">
             </c>
      <c r="I5764" t="s">
        <v>14</v>
      </c>
      <c r="J5764" t="s">
        <v>242</v>
      </c>
      <c r="K5764" t="s">
        <v>14</v>
      </c>
      <c r="L5764" t="s">
        <v>20</v>
      </c>
      <c r="M5764" t="s">
        <v>11313</v>
      </c>
      <c r="N5764" t="s">
        <v>14</v>
      </c>
    </row>
    <row r="5765" x14ac:dyDescent="0.25">
      <c r="A5765" t="n">
        <v>25</v>
      </c>
      <c r="B5765" t="s">
        <v>14</v>
      </c>
      <c r="C5765" t="s">
        <v>51</v>
      </c>
      <c r="D5765" s="2" t="s">
        <f>=HYPERLINK("https://main.knesset.gov.il/APPS/legislation/main/bills/2198640", "הצעת חוק התכנון והבנייה (תיקון מס' 116) (תיקון - ביטול החוק), התשפ""ג-2023")</f>
        <v>11605</v>
      </c>
      <c r="E5765" t="s">
        <v>11605</v>
      </c>
      <c r="F5765" t="s">
        <v>11606</v>
      </c>
      <c r="G5765" t="s">
        <v>14</v>
      </c>
      <c r="H5765">
             </c>
      <c r="I5765" t="s">
        <v>14</v>
      </c>
      <c r="J5765" t="s">
        <v>242</v>
      </c>
      <c r="K5765" t="s">
        <v>14</v>
      </c>
      <c r="L5765" t="s">
        <v>20</v>
      </c>
      <c r="M5765" t="s">
        <v>11313</v>
      </c>
      <c r="N5765" t="s">
        <v>14</v>
      </c>
    </row>
    <row r="5766" x14ac:dyDescent="0.25">
      <c r="A5766" t="n">
        <v>25</v>
      </c>
      <c r="B5766" t="s">
        <v>14</v>
      </c>
      <c r="C5766" t="s">
        <v>51</v>
      </c>
      <c r="D5766" s="2" t="s">
        <f>=HYPERLINK("https://main.knesset.gov.il/APPS/legislation/main/bills/2198629", "הצעת חוק הביטוח הלאומי (תיקון - גמלה בשל דיכאון לאחר לידה), התשפ""ג-2023")</f>
        <v>11607</v>
      </c>
      <c r="E5766" t="s">
        <v>11607</v>
      </c>
      <c r="F5766" t="s">
        <v>11608</v>
      </c>
      <c r="G5766" t="s">
        <v>14</v>
      </c>
      <c r="H5766">
             </c>
      <c r="I5766" t="s">
        <v>14</v>
      </c>
      <c r="J5766" t="s">
        <v>242</v>
      </c>
      <c r="K5766" t="s">
        <v>14</v>
      </c>
      <c r="L5766" t="s">
        <v>20</v>
      </c>
      <c r="M5766" t="s">
        <v>11313</v>
      </c>
      <c r="N5766" t="s">
        <v>14</v>
      </c>
    </row>
    <row r="5767" x14ac:dyDescent="0.25">
      <c r="A5767" t="n">
        <v>25</v>
      </c>
      <c r="B5767" t="s">
        <v>14</v>
      </c>
      <c r="C5767" t="s">
        <v>15</v>
      </c>
      <c r="D5767" s="2" t="s">
        <f>=HYPERLINK("https://main.knesset.gov.il/APPS/legislation/main/bills/2199293", "חוק להארכת תוקפן של תקנות שעת חירום (יהודה והשומרון – שיפוט בעבירות ועזרה משפטית), התשפ""ג-2023")</f>
        <v>11609</v>
      </c>
      <c r="E5767" t="s">
        <v>11609</v>
      </c>
      <c r="F5767" t="s">
        <v>14</v>
      </c>
      <c r="G5767" t="s">
        <v>11610</v>
      </c>
      <c r="H5767" t="n">
        <v>3014</v>
      </c>
      <c r="I5767" t="s">
        <v>14</v>
      </c>
      <c r="J5767" t="s">
        <v>18</v>
      </c>
      <c r="K5767" t="s">
        <v>39</v>
      </c>
      <c r="L5767" t="s">
        <v>20</v>
      </c>
      <c r="M5767" t="s">
        <v>11611</v>
      </c>
      <c r="N5767" t="s">
        <v>11612</v>
      </c>
    </row>
    <row r="5768" x14ac:dyDescent="0.25">
      <c r="A5768" t="n">
        <v>25</v>
      </c>
      <c r="B5768" t="s">
        <v>14</v>
      </c>
      <c r="C5768" t="s">
        <v>20</v>
      </c>
      <c r="D5768" s="2" t="s">
        <f>=HYPERLINK("https://main.knesset.gov.il/APPS/legislation/main/bills/2199174", "חוק-יסוד: הכנסת (תיקון מס' 52)")</f>
        <v>11613</v>
      </c>
      <c r="E5768" t="s">
        <v>11613</v>
      </c>
      <c r="F5768" t="s">
        <v>14</v>
      </c>
      <c r="G5768" t="s">
        <v>11614</v>
      </c>
      <c r="H5768" t="n">
        <v>3013</v>
      </c>
      <c r="I5768" t="s">
        <v>14</v>
      </c>
      <c r="J5768" t="s">
        <v>18</v>
      </c>
      <c r="K5768" t="s">
        <v>27</v>
      </c>
      <c r="L5768" t="s">
        <v>20</v>
      </c>
      <c r="M5768" t="s">
        <v>11615</v>
      </c>
      <c r="N5768" t="s">
        <v>11616</v>
      </c>
    </row>
    <row r="5769" x14ac:dyDescent="0.25">
      <c r="A5769" t="n">
        <v>25</v>
      </c>
      <c r="B5769" t="s">
        <v>14</v>
      </c>
      <c r="C5769" t="s">
        <v>51</v>
      </c>
      <c r="D5769" s="2" t="s">
        <f>=HYPERLINK("https://main.knesset.gov.il/APPS/legislation/main/bills/2199653", "הצעת חוק בתי המשפט (תיקון - הוועדה לבחירת שופטים), התשפ""ג-2023")</f>
        <v>11617</v>
      </c>
      <c r="E5769" t="s">
        <v>11617</v>
      </c>
      <c r="F5769" t="s">
        <v>11618</v>
      </c>
      <c r="G5769" t="s">
        <v>14</v>
      </c>
      <c r="H5769">
             </c>
      <c r="I5769" t="s">
        <v>14</v>
      </c>
      <c r="J5769" t="s">
        <v>242</v>
      </c>
      <c r="K5769" t="s">
        <v>14</v>
      </c>
      <c r="L5769" t="s">
        <v>20</v>
      </c>
      <c r="M5769" t="s">
        <v>11615</v>
      </c>
      <c r="N5769" t="s">
        <v>14</v>
      </c>
    </row>
    <row r="5770" x14ac:dyDescent="0.25">
      <c r="A5770" t="n">
        <v>25</v>
      </c>
      <c r="B5770" t="s">
        <v>14</v>
      </c>
      <c r="C5770" t="s">
        <v>51</v>
      </c>
      <c r="D5770" s="2" t="s">
        <f>=HYPERLINK("https://main.knesset.gov.il/APPS/legislation/main/bills/2199654", "הצעת חוק-יסוד: השפיטה (תיקון - רפורמה במשפט)")</f>
        <v>11619</v>
      </c>
      <c r="E5770" t="s">
        <v>11619</v>
      </c>
      <c r="F5770" t="s">
        <v>11620</v>
      </c>
      <c r="G5770" t="s">
        <v>14</v>
      </c>
      <c r="H5770">
             </c>
      <c r="I5770" t="s">
        <v>14</v>
      </c>
      <c r="J5770" t="s">
        <v>242</v>
      </c>
      <c r="K5770" t="s">
        <v>14</v>
      </c>
      <c r="L5770" t="s">
        <v>20</v>
      </c>
      <c r="M5770" t="s">
        <v>11615</v>
      </c>
      <c r="N5770" t="s">
        <v>14</v>
      </c>
    </row>
    <row r="5771" x14ac:dyDescent="0.25">
      <c r="A5771" t="n">
        <v>25</v>
      </c>
      <c r="B5771" t="s">
        <v>14</v>
      </c>
      <c r="C5771" t="s">
        <v>51</v>
      </c>
      <c r="D5771" s="2" t="s">
        <f>=HYPERLINK("https://main.knesset.gov.il/APPS/legislation/main/bills/2197607", "הצעת חוק הרשות הלאומית לאיחוד העם, התשפ""ג-2023")</f>
        <v>11621</v>
      </c>
      <c r="E5771" t="s">
        <v>11621</v>
      </c>
      <c r="F5771" t="s">
        <v>11622</v>
      </c>
      <c r="G5771" t="s">
        <v>14</v>
      </c>
      <c r="H5771">
             </c>
      <c r="I5771" t="s">
        <v>14</v>
      </c>
      <c r="J5771" t="s">
        <v>242</v>
      </c>
      <c r="K5771" t="s">
        <v>14</v>
      </c>
      <c r="L5771" t="s">
        <v>20</v>
      </c>
      <c r="M5771" t="s">
        <v>11615</v>
      </c>
      <c r="N5771" t="s">
        <v>14</v>
      </c>
    </row>
    <row r="5772" x14ac:dyDescent="0.25">
      <c r="A5772" t="n">
        <v>25</v>
      </c>
      <c r="B5772" t="s">
        <v>14</v>
      </c>
      <c r="C5772" t="s">
        <v>51</v>
      </c>
      <c r="D5772" s="2" t="s">
        <f>=HYPERLINK("https://main.knesset.gov.il/APPS/legislation/main/bills/2197376", "הצעת חוק שכר מינימום (תיקון - העלאת שכר המינימום ועדכונו לפי פריון העבודה), התשפ""ג-2023")</f>
        <v>11623</v>
      </c>
      <c r="E5772" t="s">
        <v>11623</v>
      </c>
      <c r="F5772" t="s">
        <v>11624</v>
      </c>
      <c r="G5772" t="s">
        <v>14</v>
      </c>
      <c r="H5772">
             </c>
      <c r="I5772" t="s">
        <v>14</v>
      </c>
      <c r="J5772" t="s">
        <v>242</v>
      </c>
      <c r="K5772" t="s">
        <v>14</v>
      </c>
      <c r="L5772" t="s">
        <v>20</v>
      </c>
      <c r="M5772" t="s">
        <v>11615</v>
      </c>
      <c r="N5772" t="s">
        <v>14</v>
      </c>
    </row>
    <row r="5773" x14ac:dyDescent="0.25">
      <c r="A5773" t="n">
        <v>25</v>
      </c>
      <c r="B5773" t="s">
        <v>14</v>
      </c>
      <c r="C5773" t="s">
        <v>51</v>
      </c>
      <c r="D5773" s="2" t="s">
        <f>=HYPERLINK("https://main.knesset.gov.il/APPS/legislation/main/bills/2198779", "הצעת חוק רשת ביטחון לעצמאים - הפקדות וזכויות סוציאליות (תיקוני חקיקה), התשפ""ג-2023")</f>
        <v>11625</v>
      </c>
      <c r="E5773" t="s">
        <v>11625</v>
      </c>
      <c r="F5773" t="s">
        <v>11626</v>
      </c>
      <c r="G5773" t="s">
        <v>14</v>
      </c>
      <c r="H5773">
             </c>
      <c r="I5773" t="s">
        <v>14</v>
      </c>
      <c r="J5773" t="s">
        <v>242</v>
      </c>
      <c r="K5773" t="s">
        <v>14</v>
      </c>
      <c r="L5773" t="s">
        <v>20</v>
      </c>
      <c r="M5773" t="s">
        <v>11615</v>
      </c>
      <c r="N5773" t="s">
        <v>14</v>
      </c>
    </row>
    <row r="5774" x14ac:dyDescent="0.25">
      <c r="A5774" t="n">
        <v>25</v>
      </c>
      <c r="B5774" t="s">
        <v>14</v>
      </c>
      <c r="C5774" t="s">
        <v>51</v>
      </c>
      <c r="D5774" s="2" t="s">
        <f>=HYPERLINK("https://main.knesset.gov.il/APPS/legislation/main/bills/2199470", "הצעת חוק שירות ביטחון (תיקון - שילוב תלמידי ישיבות), התשפ""ג-2023")</f>
        <v>11627</v>
      </c>
      <c r="E5774" t="s">
        <v>11627</v>
      </c>
      <c r="F5774" t="s">
        <v>11628</v>
      </c>
      <c r="G5774" t="s">
        <v>14</v>
      </c>
      <c r="H5774">
             </c>
      <c r="I5774" t="s">
        <v>14</v>
      </c>
      <c r="J5774" t="s">
        <v>242</v>
      </c>
      <c r="K5774" t="s">
        <v>14</v>
      </c>
      <c r="L5774" t="s">
        <v>20</v>
      </c>
      <c r="M5774" t="s">
        <v>11615</v>
      </c>
      <c r="N5774" t="s">
        <v>14</v>
      </c>
    </row>
    <row r="5775" x14ac:dyDescent="0.25">
      <c r="A5775" t="n">
        <v>25</v>
      </c>
      <c r="B5775" t="s">
        <v>14</v>
      </c>
      <c r="C5775" t="s">
        <v>51</v>
      </c>
      <c r="D5775" s="2" t="s">
        <f>=HYPERLINK("https://main.knesset.gov.il/APPS/legislation/main/bills/2198687", "הצעת חוק לתיקון פקודת מס הכנסה (דחיית מימוש נקודות זיכוי לחיילים משוחררים), התשפ""ג-2023")</f>
        <v>8749</v>
      </c>
      <c r="E5775" t="s">
        <v>8749</v>
      </c>
      <c r="F5775" t="s">
        <v>11629</v>
      </c>
      <c r="G5775" t="s">
        <v>14</v>
      </c>
      <c r="H5775">
             </c>
      <c r="I5775" t="s">
        <v>14</v>
      </c>
      <c r="J5775" t="s">
        <v>202</v>
      </c>
      <c r="K5775" t="s">
        <v>14</v>
      </c>
      <c r="L5775" t="s">
        <v>20</v>
      </c>
      <c r="M5775" t="s">
        <v>11615</v>
      </c>
      <c r="N5775" t="s">
        <v>14</v>
      </c>
    </row>
    <row r="5776" x14ac:dyDescent="0.25">
      <c r="A5776" t="n">
        <v>25</v>
      </c>
      <c r="B5776" t="s">
        <v>14</v>
      </c>
      <c r="C5776" t="s">
        <v>51</v>
      </c>
      <c r="D5776" s="2" t="s">
        <f>=HYPERLINK("https://main.knesset.gov.il/APPS/legislation/main/bills/2199551", "הצעת חוק לתיקון פקודת מס הכנסה (נקודות זיכוי למשפחות אומנה), התשפ""ג-2023")</f>
        <v>10412</v>
      </c>
      <c r="E5776" t="s">
        <v>10412</v>
      </c>
      <c r="F5776" t="s">
        <v>11630</v>
      </c>
      <c r="G5776" t="s">
        <v>14</v>
      </c>
      <c r="H5776">
             </c>
      <c r="I5776" t="s">
        <v>14</v>
      </c>
      <c r="J5776" t="s">
        <v>242</v>
      </c>
      <c r="K5776" t="s">
        <v>14</v>
      </c>
      <c r="L5776" t="s">
        <v>20</v>
      </c>
      <c r="M5776" t="s">
        <v>11615</v>
      </c>
      <c r="N5776" t="s">
        <v>14</v>
      </c>
    </row>
    <row r="5777" x14ac:dyDescent="0.25">
      <c r="A5777" t="n">
        <v>25</v>
      </c>
      <c r="B5777" t="s">
        <v>14</v>
      </c>
      <c r="C5777" t="s">
        <v>51</v>
      </c>
      <c r="D5777" s="2" t="s">
        <f>=HYPERLINK("https://main.knesset.gov.il/APPS/legislation/main/bills/2198811", "הצעת חוק לתיקון פקודת מס הכנסה (נקודות זיכוי למשפחות אומנה), התשפ""ג-2023")</f>
        <v>10412</v>
      </c>
      <c r="E5777" t="s">
        <v>10412</v>
      </c>
      <c r="F5777" t="s">
        <v>11631</v>
      </c>
      <c r="G5777" t="s">
        <v>14</v>
      </c>
      <c r="H5777">
             </c>
      <c r="I5777" t="s">
        <v>14</v>
      </c>
      <c r="J5777" t="s">
        <v>242</v>
      </c>
      <c r="K5777" t="s">
        <v>14</v>
      </c>
      <c r="L5777" t="s">
        <v>20</v>
      </c>
      <c r="M5777" t="s">
        <v>11615</v>
      </c>
      <c r="N5777" t="s">
        <v>14</v>
      </c>
    </row>
    <row r="5778" x14ac:dyDescent="0.25">
      <c r="A5778" t="n">
        <v>25</v>
      </c>
      <c r="B5778" t="s">
        <v>14</v>
      </c>
      <c r="C5778" t="s">
        <v>51</v>
      </c>
      <c r="D5778" s="2" t="s">
        <f>=HYPERLINK("https://main.knesset.gov.il/APPS/legislation/main/bills/2198900", "הצעת חוק לתיקון פקודת מס הכנסה (סמכות ועדת הכספים באישור מוסד ציבורי לעניין הטבות מס), התשפ""ג-2023")</f>
        <v>11632</v>
      </c>
      <c r="E5778" t="s">
        <v>11632</v>
      </c>
      <c r="F5778" t="s">
        <v>11633</v>
      </c>
      <c r="G5778" t="s">
        <v>14</v>
      </c>
      <c r="H5778">
             </c>
      <c r="I5778" t="s">
        <v>14</v>
      </c>
      <c r="J5778" t="s">
        <v>242</v>
      </c>
      <c r="K5778" t="s">
        <v>14</v>
      </c>
      <c r="L5778" t="s">
        <v>20</v>
      </c>
      <c r="M5778" t="s">
        <v>11615</v>
      </c>
      <c r="N5778" t="s">
        <v>14</v>
      </c>
    </row>
    <row r="5779" x14ac:dyDescent="0.25">
      <c r="A5779" t="n">
        <v>25</v>
      </c>
      <c r="B5779" t="s">
        <v>14</v>
      </c>
      <c r="C5779" t="s">
        <v>51</v>
      </c>
      <c r="D5779" s="2" t="s">
        <f>=HYPERLINK("https://main.knesset.gov.il/APPS/legislation/main/bills/2199356", "הצעת חוק מס להפחתת גודש התנועה באזור גוש דן (תיקון - ביטול החוק), התשפ""ג-2023")</f>
        <v>10422</v>
      </c>
      <c r="E5779" t="s">
        <v>10422</v>
      </c>
      <c r="F5779" t="s">
        <v>11634</v>
      </c>
      <c r="G5779" t="s">
        <v>14</v>
      </c>
      <c r="H5779">
             </c>
      <c r="I5779" t="s">
        <v>14</v>
      </c>
      <c r="J5779" t="s">
        <v>242</v>
      </c>
      <c r="K5779" t="s">
        <v>14</v>
      </c>
      <c r="L5779" t="s">
        <v>20</v>
      </c>
      <c r="M5779" t="s">
        <v>11615</v>
      </c>
      <c r="N5779" t="s">
        <v>14</v>
      </c>
    </row>
    <row r="5780" x14ac:dyDescent="0.25">
      <c r="A5780" t="n">
        <v>25</v>
      </c>
      <c r="B5780" t="s">
        <v>14</v>
      </c>
      <c r="C5780" t="s">
        <v>51</v>
      </c>
      <c r="D5780" s="2" t="s">
        <f>=HYPERLINK("https://main.knesset.gov.il/APPS/legislation/main/bills/2198912", "הצעת חוק הסדרים במשק המדינה (תיקוני חקיקה להשגת יעדי התקציב) (תיקון - חובת הענקת הנחה בארנונה לאדם בעל מוגבלות), התשפ""ג-2023")</f>
        <v>10426</v>
      </c>
      <c r="E5780" t="s">
        <v>10426</v>
      </c>
      <c r="F5780" t="s">
        <v>11635</v>
      </c>
      <c r="G5780" t="s">
        <v>14</v>
      </c>
      <c r="H5780">
             </c>
      <c r="I5780" t="s">
        <v>14</v>
      </c>
      <c r="J5780" t="s">
        <v>242</v>
      </c>
      <c r="K5780" t="s">
        <v>14</v>
      </c>
      <c r="L5780" t="s">
        <v>20</v>
      </c>
      <c r="M5780" t="s">
        <v>11615</v>
      </c>
      <c r="N5780" t="s">
        <v>14</v>
      </c>
    </row>
    <row r="5781" x14ac:dyDescent="0.25">
      <c r="A5781" t="n">
        <v>25</v>
      </c>
      <c r="B5781" t="s">
        <v>14</v>
      </c>
      <c r="C5781" t="s">
        <v>51</v>
      </c>
      <c r="D5781" s="2" t="s">
        <f>=HYPERLINK("https://main.knesset.gov.il/APPS/legislation/main/bills/2199514", "הצעת חוק שוויון זכויות לאנשים עם מוגבלות (תיקון - מידע בדבר עמידת מעסיקים פרטיים גדולים ביעד הייצוג ההולם), התשפ""ג-2023")</f>
        <v>8990</v>
      </c>
      <c r="E5781" t="s">
        <v>8990</v>
      </c>
      <c r="F5781" t="s">
        <v>11636</v>
      </c>
      <c r="G5781" t="s">
        <v>14</v>
      </c>
      <c r="H5781">
             </c>
      <c r="I5781" t="s">
        <v>14</v>
      </c>
      <c r="J5781" t="s">
        <v>242</v>
      </c>
      <c r="K5781" t="s">
        <v>14</v>
      </c>
      <c r="L5781" t="s">
        <v>20</v>
      </c>
      <c r="M5781" t="s">
        <v>11615</v>
      </c>
      <c r="N5781" t="s">
        <v>14</v>
      </c>
    </row>
    <row r="5782" x14ac:dyDescent="0.25">
      <c r="A5782" t="n">
        <v>25</v>
      </c>
      <c r="B5782" t="s">
        <v>14</v>
      </c>
      <c r="C5782" t="s">
        <v>51</v>
      </c>
      <c r="D5782" s="2" t="s">
        <f>=HYPERLINK("https://main.knesset.gov.il/APPS/legislation/main/bills/2199176", "הצעת חוק הביטוח הלאומי (תיקון - קצבת תלויים וקצבת אזרח ותיק), התשפ""ג-2023")</f>
        <v>9645</v>
      </c>
      <c r="E5782" t="s">
        <v>9645</v>
      </c>
      <c r="F5782" t="s">
        <v>11637</v>
      </c>
      <c r="G5782" t="s">
        <v>14</v>
      </c>
      <c r="H5782">
             </c>
      <c r="I5782" t="s">
        <v>14</v>
      </c>
      <c r="J5782" t="s">
        <v>242</v>
      </c>
      <c r="K5782" t="s">
        <v>14</v>
      </c>
      <c r="L5782" t="s">
        <v>20</v>
      </c>
      <c r="M5782" t="s">
        <v>11615</v>
      </c>
      <c r="N5782" t="s">
        <v>14</v>
      </c>
    </row>
    <row r="5783" x14ac:dyDescent="0.25">
      <c r="A5783" t="n">
        <v>25</v>
      </c>
      <c r="B5783" t="s">
        <v>14</v>
      </c>
      <c r="C5783" t="s">
        <v>51</v>
      </c>
      <c r="D5783" s="2" t="s">
        <f>=HYPERLINK("https://main.knesset.gov.il/APPS/legislation/main/bills/2198173", "הצעת חוק הביטוח הלאומי (תיקון - הגדלת קצבת הנכות), התשפ""ג-2023")</f>
        <v>11638</v>
      </c>
      <c r="E5783" t="s">
        <v>11638</v>
      </c>
      <c r="F5783" t="s">
        <v>11639</v>
      </c>
      <c r="G5783" t="s">
        <v>14</v>
      </c>
      <c r="H5783">
             </c>
      <c r="I5783" t="s">
        <v>14</v>
      </c>
      <c r="J5783" t="s">
        <v>242</v>
      </c>
      <c r="K5783" t="s">
        <v>14</v>
      </c>
      <c r="L5783" t="s">
        <v>20</v>
      </c>
      <c r="M5783" t="s">
        <v>11615</v>
      </c>
      <c r="N5783" t="s">
        <v>14</v>
      </c>
    </row>
    <row r="5784" x14ac:dyDescent="0.25">
      <c r="A5784" t="n">
        <v>25</v>
      </c>
      <c r="B5784" t="s">
        <v>14</v>
      </c>
      <c r="C5784" t="s">
        <v>51</v>
      </c>
      <c r="D5784" s="2" t="s">
        <f>=HYPERLINK("https://main.knesset.gov.il/APPS/legislation/main/bills/2198675", "הצעת חוק להגדלת שיעור ההשתתפות בכוח העבודה ולצמצום פערים חברתיים (מענק עבודה) (תיקון - פטור מהשבת מענקים להתמודדות עם השלכות נגיף הקורונה), התשפ""ג-2023")</f>
        <v>11640</v>
      </c>
      <c r="E5784" t="s">
        <v>11640</v>
      </c>
      <c r="F5784" t="s">
        <v>11641</v>
      </c>
      <c r="G5784" t="s">
        <v>14</v>
      </c>
      <c r="H5784">
             </c>
      <c r="I5784" t="s">
        <v>14</v>
      </c>
      <c r="J5784" t="s">
        <v>242</v>
      </c>
      <c r="K5784" t="s">
        <v>14</v>
      </c>
      <c r="L5784" t="s">
        <v>20</v>
      </c>
      <c r="M5784" t="s">
        <v>11615</v>
      </c>
      <c r="N5784" t="s">
        <v>14</v>
      </c>
    </row>
    <row r="5785" x14ac:dyDescent="0.25">
      <c r="A5785" t="n">
        <v>25</v>
      </c>
      <c r="B5785" t="s">
        <v>14</v>
      </c>
      <c r="C5785" t="s">
        <v>51</v>
      </c>
      <c r="D5785" s="2" t="s">
        <f>=HYPERLINK("https://main.knesset.gov.il/APPS/legislation/main/bills/2199539", "הצעת חוק לתיקון פקודת מס הכנסה (הכרה בניכוי הפקדות לביטוח סיעודי), התשפ""ג-2023")</f>
        <v>11642</v>
      </c>
      <c r="E5785" t="s">
        <v>11642</v>
      </c>
      <c r="F5785" t="s">
        <v>11643</v>
      </c>
      <c r="G5785" t="s">
        <v>14</v>
      </c>
      <c r="H5785">
             </c>
      <c r="I5785" t="s">
        <v>14</v>
      </c>
      <c r="J5785" t="s">
        <v>242</v>
      </c>
      <c r="K5785" t="s">
        <v>14</v>
      </c>
      <c r="L5785" t="s">
        <v>20</v>
      </c>
      <c r="M5785" t="s">
        <v>11615</v>
      </c>
      <c r="N5785" t="s">
        <v>14</v>
      </c>
    </row>
    <row r="5786" x14ac:dyDescent="0.25">
      <c r="A5786" t="n">
        <v>25</v>
      </c>
      <c r="B5786" t="s">
        <v>14</v>
      </c>
      <c r="C5786" t="s">
        <v>51</v>
      </c>
      <c r="D5786" s="2" t="s">
        <f>=HYPERLINK("https://main.knesset.gov.il/APPS/legislation/main/bills/2199204", "הצעת חוק ביטוח בריאות ממלכתי (תיקון - העברת תיק רפואי במעבר בין קופות), התשפ""ג-2023")</f>
        <v>10476</v>
      </c>
      <c r="E5786" t="s">
        <v>10476</v>
      </c>
      <c r="F5786" t="s">
        <v>11644</v>
      </c>
      <c r="G5786" t="s">
        <v>14</v>
      </c>
      <c r="H5786">
             </c>
      <c r="I5786" t="s">
        <v>14</v>
      </c>
      <c r="J5786" t="s">
        <v>242</v>
      </c>
      <c r="K5786" t="s">
        <v>14</v>
      </c>
      <c r="L5786" t="s">
        <v>20</v>
      </c>
      <c r="M5786" t="s">
        <v>11615</v>
      </c>
      <c r="N5786" t="s">
        <v>14</v>
      </c>
    </row>
    <row r="5787" x14ac:dyDescent="0.25">
      <c r="A5787" t="n">
        <v>25</v>
      </c>
      <c r="B5787" t="s">
        <v>14</v>
      </c>
      <c r="C5787" t="s">
        <v>51</v>
      </c>
      <c r="D5787" s="2" t="s">
        <f>=HYPERLINK("https://main.knesset.gov.il/APPS/legislation/main/bills/2198682", "הצעת חוק האזרחות והכניסה לישראל (הוראת שעה) (תיקון - היתר לגבי בני זוג), התשפ""ג-2023")</f>
        <v>11645</v>
      </c>
      <c r="E5787" t="s">
        <v>11645</v>
      </c>
      <c r="F5787" t="s">
        <v>11646</v>
      </c>
      <c r="G5787" t="s">
        <v>14</v>
      </c>
      <c r="H5787">
             </c>
      <c r="I5787" t="s">
        <v>14</v>
      </c>
      <c r="J5787" t="s">
        <v>242</v>
      </c>
      <c r="K5787" t="s">
        <v>14</v>
      </c>
      <c r="L5787" t="s">
        <v>20</v>
      </c>
      <c r="M5787" t="s">
        <v>11615</v>
      </c>
      <c r="N5787" t="s">
        <v>14</v>
      </c>
    </row>
    <row r="5788" x14ac:dyDescent="0.25">
      <c r="A5788" t="n">
        <v>25</v>
      </c>
      <c r="B5788" t="s">
        <v>14</v>
      </c>
      <c r="C5788" t="s">
        <v>51</v>
      </c>
      <c r="D5788" s="2" t="s">
        <f>=HYPERLINK("https://main.knesset.gov.il/APPS/legislation/main/bills/2198933", "הצעת חוק ביטוח בריאות ממלכתי (תיקון - הרחבת הסדרי הבחירה), התשפ""ג-2023")</f>
        <v>9519</v>
      </c>
      <c r="E5788" t="s">
        <v>9519</v>
      </c>
      <c r="F5788" t="s">
        <v>11647</v>
      </c>
      <c r="G5788" t="s">
        <v>14</v>
      </c>
      <c r="H5788">
             </c>
      <c r="I5788" t="s">
        <v>14</v>
      </c>
      <c r="J5788" t="s">
        <v>242</v>
      </c>
      <c r="K5788" t="s">
        <v>14</v>
      </c>
      <c r="L5788" t="s">
        <v>20</v>
      </c>
      <c r="M5788" t="s">
        <v>11615</v>
      </c>
      <c r="N5788" t="s">
        <v>14</v>
      </c>
    </row>
    <row r="5789" x14ac:dyDescent="0.25">
      <c r="A5789" t="n">
        <v>25</v>
      </c>
      <c r="B5789" t="s">
        <v>14</v>
      </c>
      <c r="C5789" t="s">
        <v>51</v>
      </c>
      <c r="D5789" s="2" t="s">
        <f>=HYPERLINK("https://main.knesset.gov.il/APPS/legislation/main/bills/2199184", "הצעת חוק הביטוח הלאומי (תיקון - ערעור על החלטת ועדה לעררים), התשפ""ג-2023")</f>
        <v>10009</v>
      </c>
      <c r="E5789" t="s">
        <v>10009</v>
      </c>
      <c r="F5789" t="s">
        <v>11648</v>
      </c>
      <c r="G5789" t="s">
        <v>14</v>
      </c>
      <c r="H5789">
             </c>
      <c r="I5789" t="s">
        <v>14</v>
      </c>
      <c r="J5789" t="s">
        <v>242</v>
      </c>
      <c r="K5789" t="s">
        <v>14</v>
      </c>
      <c r="L5789" t="s">
        <v>20</v>
      </c>
      <c r="M5789" t="s">
        <v>11615</v>
      </c>
      <c r="N5789" t="s">
        <v>14</v>
      </c>
    </row>
    <row r="5790" x14ac:dyDescent="0.25">
      <c r="A5790" t="n">
        <v>25</v>
      </c>
      <c r="B5790" t="s">
        <v>14</v>
      </c>
      <c r="C5790" t="s">
        <v>51</v>
      </c>
      <c r="D5790" s="2" t="s">
        <f>=HYPERLINK("https://main.knesset.gov.il/APPS/legislation/main/bills/2199003", "הצעת חוק הגנת הצרכן (תיקון - איסור גביית עמלה בהרשאה לחיוב חשבון בהוראת קבע), התשפ""ג-2023")</f>
        <v>11649</v>
      </c>
      <c r="E5790" t="s">
        <v>11649</v>
      </c>
      <c r="F5790" t="s">
        <v>11650</v>
      </c>
      <c r="G5790" t="s">
        <v>14</v>
      </c>
      <c r="H5790">
             </c>
      <c r="I5790" t="s">
        <v>14</v>
      </c>
      <c r="J5790" t="s">
        <v>242</v>
      </c>
      <c r="K5790" t="s">
        <v>14</v>
      </c>
      <c r="L5790" t="s">
        <v>20</v>
      </c>
      <c r="M5790" t="s">
        <v>11615</v>
      </c>
      <c r="N5790" t="s">
        <v>14</v>
      </c>
    </row>
    <row r="5791" x14ac:dyDescent="0.25">
      <c r="A5791" t="n">
        <v>25</v>
      </c>
      <c r="B5791" t="s">
        <v>14</v>
      </c>
      <c r="C5791" t="s">
        <v>51</v>
      </c>
      <c r="D5791" s="2" t="s">
        <f>=HYPERLINK("https://main.knesset.gov.il/APPS/legislation/main/bills/2199201", "הצעת חוק מעונות יום שיקומיים (תיקון - הקדמת גיל הזכאות), התשפ""ג-2023")</f>
        <v>9996</v>
      </c>
      <c r="E5791" t="s">
        <v>9996</v>
      </c>
      <c r="F5791" t="s">
        <v>11651</v>
      </c>
      <c r="G5791" t="s">
        <v>14</v>
      </c>
      <c r="H5791">
             </c>
      <c r="I5791" t="s">
        <v>14</v>
      </c>
      <c r="J5791" t="s">
        <v>242</v>
      </c>
      <c r="K5791" t="s">
        <v>14</v>
      </c>
      <c r="L5791" t="s">
        <v>20</v>
      </c>
      <c r="M5791" t="s">
        <v>11615</v>
      </c>
      <c r="N5791" t="s">
        <v>14</v>
      </c>
    </row>
    <row r="5792" x14ac:dyDescent="0.25">
      <c r="A5792" t="n">
        <v>25</v>
      </c>
      <c r="B5792" t="s">
        <v>14</v>
      </c>
      <c r="C5792" t="s">
        <v>51</v>
      </c>
      <c r="D5792" s="2" t="s">
        <f>=HYPERLINK("https://main.knesset.gov.il/APPS/legislation/main/bills/2198921", "הצעת חוק חופשה שנתית (תיקון - ימים שאינם נמנים בימי חופשה), התשפ""ג-2023 ")</f>
        <v>11652</v>
      </c>
      <c r="E5792" t="s">
        <v>11652</v>
      </c>
      <c r="F5792" t="s">
        <v>11653</v>
      </c>
      <c r="G5792" t="s">
        <v>14</v>
      </c>
      <c r="H5792">
             </c>
      <c r="I5792" t="s">
        <v>14</v>
      </c>
      <c r="J5792" t="s">
        <v>242</v>
      </c>
      <c r="K5792" t="s">
        <v>14</v>
      </c>
      <c r="L5792" t="s">
        <v>20</v>
      </c>
      <c r="M5792" t="s">
        <v>11615</v>
      </c>
      <c r="N5792" t="s">
        <v>14</v>
      </c>
    </row>
    <row r="5793" x14ac:dyDescent="0.25">
      <c r="A5793" t="n">
        <v>25</v>
      </c>
      <c r="B5793" t="s">
        <v>14</v>
      </c>
      <c r="C5793" t="s">
        <v>51</v>
      </c>
      <c r="D5793" s="2" t="s">
        <f>=HYPERLINK("https://main.knesset.gov.il/APPS/legislation/main/bills/2199479", "הצעת חוק ביטוח בריאות ממלכתי (תיקון - העברת שירותי הגמילה לאחריות קופות החולים וטיפול בהתמכרויות), התשפ""ג-2023")</f>
        <v>11654</v>
      </c>
      <c r="E5793" t="s">
        <v>11654</v>
      </c>
      <c r="F5793" t="s">
        <v>11655</v>
      </c>
      <c r="G5793" t="s">
        <v>14</v>
      </c>
      <c r="H5793">
             </c>
      <c r="I5793" t="s">
        <v>14</v>
      </c>
      <c r="J5793" t="s">
        <v>242</v>
      </c>
      <c r="K5793" t="s">
        <v>14</v>
      </c>
      <c r="L5793" t="s">
        <v>20</v>
      </c>
      <c r="M5793" t="s">
        <v>11615</v>
      </c>
      <c r="N5793" t="s">
        <v>14</v>
      </c>
    </row>
    <row r="5794" x14ac:dyDescent="0.25">
      <c r="A5794" t="n">
        <v>25</v>
      </c>
      <c r="B5794" t="s">
        <v>14</v>
      </c>
      <c r="C5794" t="s">
        <v>51</v>
      </c>
      <c r="D5794" s="2" t="s">
        <f>=HYPERLINK("https://main.knesset.gov.il/APPS/legislation/main/bills/2198731", "הצעת חוק הביטוח הלאומי (תיקון - תשלום תוספת לגמלת אזרח ותיק לנכה שהכנסתו נמוכה משכר המינימום), התשפ""ג-2023")</f>
        <v>9916</v>
      </c>
      <c r="E5794" t="s">
        <v>9916</v>
      </c>
      <c r="F5794" t="s">
        <v>11656</v>
      </c>
      <c r="G5794" t="s">
        <v>14</v>
      </c>
      <c r="H5794">
             </c>
      <c r="I5794" t="s">
        <v>14</v>
      </c>
      <c r="J5794" t="s">
        <v>242</v>
      </c>
      <c r="K5794" t="s">
        <v>14</v>
      </c>
      <c r="L5794" t="s">
        <v>20</v>
      </c>
      <c r="M5794" t="s">
        <v>11615</v>
      </c>
      <c r="N5794" t="s">
        <v>14</v>
      </c>
    </row>
    <row r="5795" x14ac:dyDescent="0.25">
      <c r="A5795" t="n">
        <v>25</v>
      </c>
      <c r="B5795" t="s">
        <v>14</v>
      </c>
      <c r="C5795" t="s">
        <v>51</v>
      </c>
      <c r="D5795" s="2" t="s">
        <f>=HYPERLINK("https://main.knesset.gov.il/APPS/legislation/main/bills/2199322", "הצעת חוק הביטוח הלאומי (תיקון - פטור מתשלום דמי ביטוח לאומי עד גיל 21), התשפ""ג-2023")</f>
        <v>9643</v>
      </c>
      <c r="E5795" t="s">
        <v>9643</v>
      </c>
      <c r="F5795" t="s">
        <v>11657</v>
      </c>
      <c r="G5795" t="s">
        <v>14</v>
      </c>
      <c r="H5795">
             </c>
      <c r="I5795" t="s">
        <v>14</v>
      </c>
      <c r="J5795" t="s">
        <v>242</v>
      </c>
      <c r="K5795" t="s">
        <v>14</v>
      </c>
      <c r="L5795" t="s">
        <v>20</v>
      </c>
      <c r="M5795" t="s">
        <v>11615</v>
      </c>
      <c r="N5795" t="s">
        <v>14</v>
      </c>
    </row>
    <row r="5796" x14ac:dyDescent="0.25">
      <c r="A5796" t="n">
        <v>25</v>
      </c>
      <c r="B5796" t="s">
        <v>14</v>
      </c>
      <c r="C5796" t="s">
        <v>51</v>
      </c>
      <c r="D5796" s="2" t="s">
        <f>=HYPERLINK("https://main.knesset.gov.il/APPS/legislation/main/bills/2198782", "הצעת חוק איסור הפליה ברישוי מחמת מצב בריאותי (תיקוני חקיקה), התשפ""ג-2023")</f>
        <v>11658</v>
      </c>
      <c r="E5796" t="s">
        <v>11658</v>
      </c>
      <c r="F5796" t="s">
        <v>11659</v>
      </c>
      <c r="G5796" t="s">
        <v>14</v>
      </c>
      <c r="H5796">
             </c>
      <c r="I5796" t="s">
        <v>14</v>
      </c>
      <c r="J5796" t="s">
        <v>242</v>
      </c>
      <c r="K5796" t="s">
        <v>14</v>
      </c>
      <c r="L5796" t="s">
        <v>20</v>
      </c>
      <c r="M5796" t="s">
        <v>11615</v>
      </c>
      <c r="N5796" t="s">
        <v>14</v>
      </c>
    </row>
    <row r="5797" x14ac:dyDescent="0.25">
      <c r="A5797" t="n">
        <v>25</v>
      </c>
      <c r="B5797" t="s">
        <v>14</v>
      </c>
      <c r="C5797" t="s">
        <v>51</v>
      </c>
      <c r="D5797" s="2" t="s">
        <f>=HYPERLINK("https://main.knesset.gov.il/APPS/legislation/main/bills/2199284", "הצעת חוק הביטוח הלאומי (תיקון - הארכת המועד להגשת תביעות ליקוי שמיעה), התשפ""ג-2023")</f>
        <v>8692</v>
      </c>
      <c r="E5797" t="s">
        <v>8692</v>
      </c>
      <c r="F5797" t="s">
        <v>11660</v>
      </c>
      <c r="G5797" t="s">
        <v>14</v>
      </c>
      <c r="H5797">
             </c>
      <c r="I5797" t="s">
        <v>14</v>
      </c>
      <c r="J5797" t="s">
        <v>242</v>
      </c>
      <c r="K5797" t="s">
        <v>14</v>
      </c>
      <c r="L5797" t="s">
        <v>20</v>
      </c>
      <c r="M5797" t="s">
        <v>11615</v>
      </c>
      <c r="N5797" t="s">
        <v>14</v>
      </c>
    </row>
    <row r="5798" x14ac:dyDescent="0.25">
      <c r="A5798" t="n">
        <v>25</v>
      </c>
      <c r="B5798" t="s">
        <v>14</v>
      </c>
      <c r="C5798" t="s">
        <v>51</v>
      </c>
      <c r="D5798" s="2" t="s">
        <f>=HYPERLINK("https://main.knesset.gov.il/APPS/legislation/main/bills/2199149", "הצעת חוק הטבות לניצולי שואה (תיקון - הגדלת מענק שנתי), התשפ""ג-2023")</f>
        <v>11661</v>
      </c>
      <c r="E5798" t="s">
        <v>11661</v>
      </c>
      <c r="F5798" t="s">
        <v>11662</v>
      </c>
      <c r="G5798" t="s">
        <v>14</v>
      </c>
      <c r="H5798">
             </c>
      <c r="I5798" t="s">
        <v>14</v>
      </c>
      <c r="J5798" t="s">
        <v>242</v>
      </c>
      <c r="K5798" t="s">
        <v>14</v>
      </c>
      <c r="L5798" t="s">
        <v>20</v>
      </c>
      <c r="M5798" t="s">
        <v>11615</v>
      </c>
      <c r="N5798" t="s">
        <v>14</v>
      </c>
    </row>
    <row r="5799" x14ac:dyDescent="0.25">
      <c r="A5799" t="n">
        <v>25</v>
      </c>
      <c r="B5799" t="s">
        <v>14</v>
      </c>
      <c r="C5799" t="s">
        <v>51</v>
      </c>
      <c r="D5799" s="2" t="s">
        <f>=HYPERLINK("https://main.knesset.gov.il/APPS/legislation/main/bills/2199694", "הצעת חוק הפיקוח על מעונות יום לפעוטות (תיקון - כשירותם של מחנכים-מטפלים), התשפ""ג-2023")</f>
        <v>9837</v>
      </c>
      <c r="E5799" t="s">
        <v>9837</v>
      </c>
      <c r="F5799" t="s">
        <v>11663</v>
      </c>
      <c r="G5799" t="s">
        <v>14</v>
      </c>
      <c r="H5799">
             </c>
      <c r="I5799" t="s">
        <v>14</v>
      </c>
      <c r="J5799" t="s">
        <v>242</v>
      </c>
      <c r="K5799" t="s">
        <v>14</v>
      </c>
      <c r="L5799" t="s">
        <v>20</v>
      </c>
      <c r="M5799" t="s">
        <v>11615</v>
      </c>
      <c r="N5799" t="s">
        <v>14</v>
      </c>
    </row>
    <row r="5800" x14ac:dyDescent="0.25">
      <c r="A5800" t="n">
        <v>25</v>
      </c>
      <c r="B5800" t="s">
        <v>14</v>
      </c>
      <c r="C5800" t="s">
        <v>51</v>
      </c>
      <c r="D5800" s="2" t="s">
        <f>=HYPERLINK("https://main.knesset.gov.il/APPS/legislation/main/bills/2198684", "הצעת חוק ההתייעלות הכלכלית (תיקוני חקיקה להשגת יעדי התקציב לשנות התקציב 2017 ו-2018) (תיקון - הקצאת סכום לרשויות המקומיות הסמוכות לנמל התעופה בן-גוריון), התשפ""ג-2023")</f>
        <v>10105</v>
      </c>
      <c r="E5800" t="s">
        <v>10105</v>
      </c>
      <c r="F5800" t="s">
        <v>11664</v>
      </c>
      <c r="G5800" t="s">
        <v>14</v>
      </c>
      <c r="H5800">
             </c>
      <c r="I5800" t="s">
        <v>14</v>
      </c>
      <c r="J5800" t="s">
        <v>242</v>
      </c>
      <c r="K5800" t="s">
        <v>14</v>
      </c>
      <c r="L5800" t="s">
        <v>20</v>
      </c>
      <c r="M5800" t="s">
        <v>11615</v>
      </c>
      <c r="N5800" t="s">
        <v>14</v>
      </c>
    </row>
    <row r="5801" x14ac:dyDescent="0.25">
      <c r="A5801" t="n">
        <v>25</v>
      </c>
      <c r="B5801" t="s">
        <v>14</v>
      </c>
      <c r="C5801" t="s">
        <v>51</v>
      </c>
      <c r="D5801" s="2" t="s">
        <f>=HYPERLINK("https://main.knesset.gov.il/APPS/legislation/main/bills/2198627", "הצעת חוק מס ערך מוסף (תיקון - פטור ממס במכירת תרופות מצילות חיים שאינן כלולות בסל הבריאות), התשפ""ג-2023")</f>
        <v>9696</v>
      </c>
      <c r="E5801" t="s">
        <v>9696</v>
      </c>
      <c r="F5801" t="s">
        <v>11665</v>
      </c>
      <c r="G5801" t="s">
        <v>14</v>
      </c>
      <c r="H5801">
             </c>
      <c r="I5801" t="s">
        <v>14</v>
      </c>
      <c r="J5801" t="s">
        <v>242</v>
      </c>
      <c r="K5801" t="s">
        <v>14</v>
      </c>
      <c r="L5801" t="s">
        <v>20</v>
      </c>
      <c r="M5801" t="s">
        <v>11615</v>
      </c>
      <c r="N5801" t="s">
        <v>14</v>
      </c>
    </row>
    <row r="5802" x14ac:dyDescent="0.25">
      <c r="A5802" t="n">
        <v>25</v>
      </c>
      <c r="B5802" t="s">
        <v>14</v>
      </c>
      <c r="C5802" t="s">
        <v>51</v>
      </c>
      <c r="D5802" s="2" t="s">
        <f>=HYPERLINK("https://main.knesset.gov.il/APPS/legislation/main/bills/2199020", "הצעת חוק דמי מחלה (היעדרות בשל מחלת ילד) (תיקון - היעדרות בעקבות תקיפה או התעללות בילד), התשפ""ג-2023")</f>
        <v>8399</v>
      </c>
      <c r="E5802" t="s">
        <v>8399</v>
      </c>
      <c r="F5802" t="s">
        <v>11666</v>
      </c>
      <c r="G5802" t="s">
        <v>14</v>
      </c>
      <c r="H5802">
             </c>
      <c r="I5802" t="s">
        <v>14</v>
      </c>
      <c r="J5802" t="s">
        <v>242</v>
      </c>
      <c r="K5802" t="s">
        <v>14</v>
      </c>
      <c r="L5802" t="s">
        <v>20</v>
      </c>
      <c r="M5802" t="s">
        <v>11615</v>
      </c>
      <c r="N5802" t="s">
        <v>14</v>
      </c>
    </row>
    <row r="5803" x14ac:dyDescent="0.25">
      <c r="A5803" t="n">
        <v>25</v>
      </c>
      <c r="B5803" t="s">
        <v>14</v>
      </c>
      <c r="C5803" t="s">
        <v>51</v>
      </c>
      <c r="D5803" s="2" t="s">
        <f>=HYPERLINK("https://main.knesset.gov.il/APPS/legislation/main/bills/2199148", "הצעת חוק משק החשמל (תיקון - הרחבת ההנחה בתשלומי חשמל), התשפ""ג-2023")</f>
        <v>11667</v>
      </c>
      <c r="E5803" t="s">
        <v>11667</v>
      </c>
      <c r="F5803" t="s">
        <v>11668</v>
      </c>
      <c r="G5803" t="s">
        <v>14</v>
      </c>
      <c r="H5803">
             </c>
      <c r="I5803" t="s">
        <v>14</v>
      </c>
      <c r="J5803" t="s">
        <v>242</v>
      </c>
      <c r="K5803" t="s">
        <v>14</v>
      </c>
      <c r="L5803" t="s">
        <v>20</v>
      </c>
      <c r="M5803" t="s">
        <v>11615</v>
      </c>
      <c r="N5803" t="s">
        <v>14</v>
      </c>
    </row>
    <row r="5804" x14ac:dyDescent="0.25">
      <c r="A5804" t="n">
        <v>25</v>
      </c>
      <c r="B5804" t="s">
        <v>14</v>
      </c>
      <c r="C5804" t="s">
        <v>51</v>
      </c>
      <c r="D5804" s="2" t="s">
        <f>=HYPERLINK("https://main.knesset.gov.il/APPS/legislation/main/bills/2199349", "הצעת חוק העונשין (תיקון - החמרת ענישה בעבירות אלימות), התשפ""ג-2023")</f>
        <v>9892</v>
      </c>
      <c r="E5804" t="s">
        <v>9892</v>
      </c>
      <c r="F5804" t="s">
        <v>11669</v>
      </c>
      <c r="G5804" t="s">
        <v>14</v>
      </c>
      <c r="H5804">
             </c>
      <c r="I5804" t="s">
        <v>14</v>
      </c>
      <c r="J5804" t="s">
        <v>242</v>
      </c>
      <c r="K5804" t="s">
        <v>14</v>
      </c>
      <c r="L5804" t="s">
        <v>20</v>
      </c>
      <c r="M5804" t="s">
        <v>11615</v>
      </c>
      <c r="N5804" t="s">
        <v>14</v>
      </c>
    </row>
    <row r="5805" x14ac:dyDescent="0.25">
      <c r="A5805" t="n">
        <v>25</v>
      </c>
      <c r="B5805" t="s">
        <v>14</v>
      </c>
      <c r="C5805" t="s">
        <v>51</v>
      </c>
      <c r="D5805" s="2" t="s">
        <f>=HYPERLINK("https://main.knesset.gov.il/APPS/legislation/main/bills/2197870", "הצעת חוק איסור שימוש ברכב ממשלתי לשר וסגן שר ביום המנוחה השבועי ובחג, התשפ""ג-2023")</f>
        <v>11670</v>
      </c>
      <c r="E5805" t="s">
        <v>11670</v>
      </c>
      <c r="F5805" t="s">
        <v>11671</v>
      </c>
      <c r="G5805" t="s">
        <v>14</v>
      </c>
      <c r="H5805">
             </c>
      <c r="I5805" t="s">
        <v>14</v>
      </c>
      <c r="J5805" t="s">
        <v>242</v>
      </c>
      <c r="K5805" t="s">
        <v>14</v>
      </c>
      <c r="L5805" t="s">
        <v>20</v>
      </c>
      <c r="M5805" t="s">
        <v>11615</v>
      </c>
      <c r="N5805" t="s">
        <v>14</v>
      </c>
    </row>
    <row r="5806" x14ac:dyDescent="0.25">
      <c r="A5806" t="n">
        <v>25</v>
      </c>
      <c r="B5806" t="s">
        <v>14</v>
      </c>
      <c r="C5806" t="s">
        <v>51</v>
      </c>
      <c r="D5806" s="2" t="s">
        <f>=HYPERLINK("https://main.knesset.gov.il/APPS/legislation/main/bills/2199617", "הצעת חוק זכויות החולה (תיקון - זכות מטופל לקבל רשומות רפואיות), התשפ""ג-2023")</f>
        <v>11672</v>
      </c>
      <c r="E5806" t="s">
        <v>11672</v>
      </c>
      <c r="F5806" t="s">
        <v>11673</v>
      </c>
      <c r="G5806" t="s">
        <v>14</v>
      </c>
      <c r="H5806">
             </c>
      <c r="I5806" t="s">
        <v>14</v>
      </c>
      <c r="J5806" t="s">
        <v>242</v>
      </c>
      <c r="K5806" t="s">
        <v>14</v>
      </c>
      <c r="L5806" t="s">
        <v>20</v>
      </c>
      <c r="M5806" t="s">
        <v>11615</v>
      </c>
      <c r="N5806" t="s">
        <v>14</v>
      </c>
    </row>
    <row r="5807" x14ac:dyDescent="0.25">
      <c r="A5807" t="n">
        <v>25</v>
      </c>
      <c r="B5807" t="s">
        <v>14</v>
      </c>
      <c r="C5807" t="s">
        <v>51</v>
      </c>
      <c r="D5807" s="2" t="s">
        <f>=HYPERLINK("https://main.knesset.gov.il/APPS/legislation/main/bills/2198324", "הצעת חוק לתיקון פקודת ביטוח רכב מנועי (חיוב שיווק פוליסה), התשפ""ג-2023")</f>
        <v>11674</v>
      </c>
      <c r="E5807" t="s">
        <v>11674</v>
      </c>
      <c r="F5807" t="s">
        <v>11675</v>
      </c>
      <c r="G5807" t="s">
        <v>14</v>
      </c>
      <c r="H5807">
             </c>
      <c r="I5807" t="s">
        <v>14</v>
      </c>
      <c r="J5807" t="s">
        <v>242</v>
      </c>
      <c r="K5807" t="s">
        <v>14</v>
      </c>
      <c r="L5807" t="s">
        <v>20</v>
      </c>
      <c r="M5807" t="s">
        <v>11615</v>
      </c>
      <c r="N5807" t="s">
        <v>14</v>
      </c>
    </row>
    <row r="5808" x14ac:dyDescent="0.25">
      <c r="A5808" t="n">
        <v>25</v>
      </c>
      <c r="B5808" t="s">
        <v>14</v>
      </c>
      <c r="C5808" t="s">
        <v>51</v>
      </c>
      <c r="D5808" s="2" t="s">
        <f>=HYPERLINK("https://main.knesset.gov.il/APPS/legislation/main/bills/2198956", "הצעת חוק העדה הדרוזית, התשפ""ג-2023")</f>
        <v>9418</v>
      </c>
      <c r="E5808" t="s">
        <v>9418</v>
      </c>
      <c r="F5808" t="s">
        <v>11676</v>
      </c>
      <c r="G5808" t="s">
        <v>14</v>
      </c>
      <c r="H5808">
             </c>
      <c r="I5808" t="s">
        <v>14</v>
      </c>
      <c r="J5808" t="s">
        <v>242</v>
      </c>
      <c r="K5808" t="s">
        <v>14</v>
      </c>
      <c r="L5808" t="s">
        <v>20</v>
      </c>
      <c r="M5808" t="s">
        <v>11615</v>
      </c>
      <c r="N5808" t="s">
        <v>14</v>
      </c>
    </row>
    <row r="5809" x14ac:dyDescent="0.25">
      <c r="A5809" t="n">
        <v>25</v>
      </c>
      <c r="B5809" t="s">
        <v>14</v>
      </c>
      <c r="C5809" t="s">
        <v>51</v>
      </c>
      <c r="D5809" s="2" t="s">
        <f>=HYPERLINK("https://main.knesset.gov.il/APPS/legislation/main/bills/2199207", "הצעת חוק שירות התעסוקה (תיקון - נגישות לתחבורה ציבורית), התשפ""ג-2023")</f>
        <v>11677</v>
      </c>
      <c r="E5809" t="s">
        <v>11677</v>
      </c>
      <c r="F5809" t="s">
        <v>11678</v>
      </c>
      <c r="G5809" t="s">
        <v>14</v>
      </c>
      <c r="H5809">
             </c>
      <c r="I5809" t="s">
        <v>14</v>
      </c>
      <c r="J5809" t="s">
        <v>242</v>
      </c>
      <c r="K5809" t="s">
        <v>14</v>
      </c>
      <c r="L5809" t="s">
        <v>20</v>
      </c>
      <c r="M5809" t="s">
        <v>11615</v>
      </c>
      <c r="N5809" t="s">
        <v>14</v>
      </c>
    </row>
    <row r="5810" x14ac:dyDescent="0.25">
      <c r="A5810" t="n">
        <v>25</v>
      </c>
      <c r="B5810" t="s">
        <v>14</v>
      </c>
      <c r="C5810" t="s">
        <v>51</v>
      </c>
      <c r="D5810" s="2" t="s">
        <f>=HYPERLINK("https://main.knesset.gov.il/APPS/legislation/main/bills/2199408", "הצעת חוק הביטוח הלאומי (תיקון - גמלת אבל), התשפ""ג-2023")</f>
        <v>8291</v>
      </c>
      <c r="E5810" t="s">
        <v>8291</v>
      </c>
      <c r="F5810" t="s">
        <v>11679</v>
      </c>
      <c r="G5810" t="s">
        <v>14</v>
      </c>
      <c r="H5810">
             </c>
      <c r="I5810" t="s">
        <v>14</v>
      </c>
      <c r="J5810" t="s">
        <v>242</v>
      </c>
      <c r="K5810" t="s">
        <v>14</v>
      </c>
      <c r="L5810" t="s">
        <v>20</v>
      </c>
      <c r="M5810" t="s">
        <v>11615</v>
      </c>
      <c r="N5810" t="s">
        <v>14</v>
      </c>
    </row>
    <row r="5811" x14ac:dyDescent="0.25">
      <c r="A5811" t="n">
        <v>25</v>
      </c>
      <c r="B5811" t="s">
        <v>14</v>
      </c>
      <c r="C5811" t="s">
        <v>51</v>
      </c>
      <c r="D5811" s="2" t="s">
        <f>=HYPERLINK("https://main.knesset.gov.il/APPS/legislation/main/bills/2199270", "הצעת חוק הביטוח הלאומי (תיקון - גמלה לשמירת היריון לאם שילדה פג), התשפ""ג-2023")</f>
        <v>11680</v>
      </c>
      <c r="E5811" t="s">
        <v>11680</v>
      </c>
      <c r="F5811" t="s">
        <v>11681</v>
      </c>
      <c r="G5811" t="s">
        <v>14</v>
      </c>
      <c r="H5811">
             </c>
      <c r="I5811" t="s">
        <v>14</v>
      </c>
      <c r="J5811" t="s">
        <v>242</v>
      </c>
      <c r="K5811" t="s">
        <v>14</v>
      </c>
      <c r="L5811" t="s">
        <v>20</v>
      </c>
      <c r="M5811" t="s">
        <v>11615</v>
      </c>
      <c r="N5811" t="s">
        <v>14</v>
      </c>
    </row>
    <row r="5812" x14ac:dyDescent="0.25">
      <c r="A5812" t="n">
        <v>25</v>
      </c>
      <c r="B5812" t="s">
        <v>14</v>
      </c>
      <c r="C5812" t="s">
        <v>51</v>
      </c>
      <c r="D5812" s="2" t="s">
        <f>=HYPERLINK("https://main.knesset.gov.il/APPS/legislation/main/bills/2199206", "הצעת חוק הגנת הצרכן (תיקון - צירוף הוראות שימוש בשפה העברית ובשפה הערבית למכשיר חשמלי), התשפ""ג-2023 ")</f>
        <v>11682</v>
      </c>
      <c r="E5812" t="s">
        <v>11682</v>
      </c>
      <c r="F5812" t="s">
        <v>11683</v>
      </c>
      <c r="G5812" t="s">
        <v>14</v>
      </c>
      <c r="H5812">
             </c>
      <c r="I5812" t="s">
        <v>14</v>
      </c>
      <c r="J5812" t="s">
        <v>242</v>
      </c>
      <c r="K5812" t="s">
        <v>14</v>
      </c>
      <c r="L5812" t="s">
        <v>20</v>
      </c>
      <c r="M5812" t="s">
        <v>11615</v>
      </c>
      <c r="N5812" t="s">
        <v>14</v>
      </c>
    </row>
    <row r="5813" x14ac:dyDescent="0.25">
      <c r="A5813" t="n">
        <v>25</v>
      </c>
      <c r="B5813" t="s">
        <v>14</v>
      </c>
      <c r="C5813" t="s">
        <v>51</v>
      </c>
      <c r="D5813" s="2" t="s">
        <f>=HYPERLINK("https://main.knesset.gov.il/APPS/legislation/main/bills/2198590", "הצעת חוק-יסוד: הכנסת (תיקון - מניעת השתתפות של תומכי חרם בישראל בבחירות)")</f>
        <v>11684</v>
      </c>
      <c r="E5813" t="s">
        <v>11684</v>
      </c>
      <c r="F5813" t="s">
        <v>11685</v>
      </c>
      <c r="G5813" t="s">
        <v>14</v>
      </c>
      <c r="H5813">
             </c>
      <c r="I5813" t="s">
        <v>14</v>
      </c>
      <c r="J5813" t="s">
        <v>242</v>
      </c>
      <c r="K5813" t="s">
        <v>14</v>
      </c>
      <c r="L5813" t="s">
        <v>20</v>
      </c>
      <c r="M5813" t="s">
        <v>11615</v>
      </c>
      <c r="N5813" t="s">
        <v>14</v>
      </c>
    </row>
    <row r="5814" x14ac:dyDescent="0.25">
      <c r="A5814" t="n">
        <v>25</v>
      </c>
      <c r="B5814" t="s">
        <v>14</v>
      </c>
      <c r="C5814" t="s">
        <v>51</v>
      </c>
      <c r="D5814" s="2" t="s">
        <f>=HYPERLINK("https://main.knesset.gov.il/APPS/legislation/main/bills/2199534", "הצעת חוק הגנת השכר (תיקון - פיצויי פיטורים בזמן אמת), התשפ""ג-2023")</f>
        <v>11686</v>
      </c>
      <c r="E5814" t="s">
        <v>11686</v>
      </c>
      <c r="F5814" t="s">
        <v>11687</v>
      </c>
      <c r="G5814" t="s">
        <v>14</v>
      </c>
      <c r="H5814">
             </c>
      <c r="I5814" t="s">
        <v>14</v>
      </c>
      <c r="J5814" t="s">
        <v>242</v>
      </c>
      <c r="K5814" t="s">
        <v>14</v>
      </c>
      <c r="L5814" t="s">
        <v>20</v>
      </c>
      <c r="M5814" t="s">
        <v>11615</v>
      </c>
      <c r="N5814" t="s">
        <v>14</v>
      </c>
    </row>
    <row r="5815" x14ac:dyDescent="0.25">
      <c r="A5815" t="n">
        <v>25</v>
      </c>
      <c r="B5815" t="s">
        <v>14</v>
      </c>
      <c r="C5815" t="s">
        <v>51</v>
      </c>
      <c r="D5815" s="2" t="s">
        <f>=HYPERLINK("https://main.knesset.gov.il/APPS/legislation/main/bills/2198654", "הצעת חוק המזונות (הבטחת תשלום) (תיקון - סכום שלא יובא בחשבון במבחן ההכנסה), התשפ""ג-2023")</f>
        <v>10532</v>
      </c>
      <c r="E5815" t="s">
        <v>10532</v>
      </c>
      <c r="F5815" t="s">
        <v>11688</v>
      </c>
      <c r="G5815" t="s">
        <v>14</v>
      </c>
      <c r="H5815">
             </c>
      <c r="I5815" t="s">
        <v>14</v>
      </c>
      <c r="J5815" t="s">
        <v>242</v>
      </c>
      <c r="K5815" t="s">
        <v>14</v>
      </c>
      <c r="L5815" t="s">
        <v>20</v>
      </c>
      <c r="M5815" t="s">
        <v>11615</v>
      </c>
      <c r="N5815" t="s">
        <v>14</v>
      </c>
    </row>
    <row r="5816" x14ac:dyDescent="0.25">
      <c r="A5816" t="n">
        <v>25</v>
      </c>
      <c r="B5816" t="s">
        <v>14</v>
      </c>
      <c r="C5816" t="s">
        <v>51</v>
      </c>
      <c r="D5816" s="2" t="s">
        <f>=HYPERLINK("https://main.knesset.gov.il/APPS/legislation/main/bills/2199648", "הצעת חוק דמי מחלה (היעדרות בשל מחלת ילד) (תיקון - הורה ליותר מילד אחד), התשפ""ג-2023")</f>
        <v>9515</v>
      </c>
      <c r="E5816" t="s">
        <v>9515</v>
      </c>
      <c r="F5816" t="s">
        <v>11689</v>
      </c>
      <c r="G5816" t="s">
        <v>14</v>
      </c>
      <c r="H5816">
             </c>
      <c r="I5816" t="s">
        <v>14</v>
      </c>
      <c r="J5816" t="s">
        <v>242</v>
      </c>
      <c r="K5816" t="s">
        <v>14</v>
      </c>
      <c r="L5816" t="s">
        <v>20</v>
      </c>
      <c r="M5816" t="s">
        <v>11615</v>
      </c>
      <c r="N5816" t="s">
        <v>14</v>
      </c>
    </row>
    <row r="5817" x14ac:dyDescent="0.25">
      <c r="A5817" t="n">
        <v>25</v>
      </c>
      <c r="B5817" t="s">
        <v>14</v>
      </c>
      <c r="C5817" t="s">
        <v>51</v>
      </c>
      <c r="D5817" s="2" t="s">
        <f>=HYPERLINK("https://main.knesset.gov.il/APPS/legislation/main/bills/2199216", "הצעת חוק לתיקון פקודת התעבורה (איסור עישון ברכב שנמצא בו קטין שטרם מלאו לו 15 שנים), התשפ""ג-2023")</f>
        <v>11690</v>
      </c>
      <c r="E5817" t="s">
        <v>11690</v>
      </c>
      <c r="F5817" t="s">
        <v>11691</v>
      </c>
      <c r="G5817" t="s">
        <v>14</v>
      </c>
      <c r="H5817">
             </c>
      <c r="I5817" t="s">
        <v>14</v>
      </c>
      <c r="J5817" t="s">
        <v>242</v>
      </c>
      <c r="K5817" t="s">
        <v>14</v>
      </c>
      <c r="L5817" t="s">
        <v>20</v>
      </c>
      <c r="M5817" t="s">
        <v>11615</v>
      </c>
      <c r="N5817" t="s">
        <v>14</v>
      </c>
    </row>
    <row r="5818" x14ac:dyDescent="0.25">
      <c r="A5818" t="n">
        <v>25</v>
      </c>
      <c r="B5818" t="s">
        <v>14</v>
      </c>
      <c r="C5818" t="s">
        <v>51</v>
      </c>
      <c r="D5818" s="2" t="s">
        <f>=HYPERLINK("https://main.knesset.gov.il/APPS/legislation/main/bills/2199579", "הצעת חוק הנכים (תגמולים ושיקום) (תיקון - הארכת תקופת הערעור על החלטת קצין התגמולים), התשפ""ג-2023")</f>
        <v>11692</v>
      </c>
      <c r="E5818" t="s">
        <v>11692</v>
      </c>
      <c r="F5818" t="s">
        <v>11693</v>
      </c>
      <c r="G5818" t="s">
        <v>14</v>
      </c>
      <c r="H5818">
             </c>
      <c r="I5818" t="s">
        <v>14</v>
      </c>
      <c r="J5818" t="s">
        <v>242</v>
      </c>
      <c r="K5818" t="s">
        <v>14</v>
      </c>
      <c r="L5818" t="s">
        <v>20</v>
      </c>
      <c r="M5818" t="s">
        <v>11615</v>
      </c>
      <c r="N5818" t="s">
        <v>14</v>
      </c>
    </row>
    <row r="5819" x14ac:dyDescent="0.25">
      <c r="A5819" t="n">
        <v>25</v>
      </c>
      <c r="B5819" t="s">
        <v>14</v>
      </c>
      <c r="C5819" t="s">
        <v>51</v>
      </c>
      <c r="D5819" s="2" t="s">
        <f>=HYPERLINK("https://main.knesset.gov.il/APPS/legislation/main/bills/2197935", "הצעת חוק שכר מינימום (תיקון - העלאת שכר המינימום), התשפ""ג-2023")</f>
        <v>10773</v>
      </c>
      <c r="E5819" t="s">
        <v>10773</v>
      </c>
      <c r="F5819" t="s">
        <v>11694</v>
      </c>
      <c r="G5819" t="s">
        <v>14</v>
      </c>
      <c r="H5819">
             </c>
      <c r="I5819" t="s">
        <v>14</v>
      </c>
      <c r="J5819" t="s">
        <v>242</v>
      </c>
      <c r="K5819" t="s">
        <v>14</v>
      </c>
      <c r="L5819" t="s">
        <v>20</v>
      </c>
      <c r="M5819" t="s">
        <v>11615</v>
      </c>
      <c r="N5819" t="s">
        <v>14</v>
      </c>
    </row>
    <row r="5820" x14ac:dyDescent="0.25">
      <c r="A5820" t="n">
        <v>25</v>
      </c>
      <c r="B5820" t="s">
        <v>14</v>
      </c>
      <c r="C5820" t="s">
        <v>51</v>
      </c>
      <c r="D5820" s="2" t="s">
        <f>=HYPERLINK("https://main.knesset.gov.il/APPS/legislation/main/bills/2196649", "הצעת חוק העונשין (תיקון - מרמה והפרת אמונים), התשפ""ג-2023")</f>
        <v>11501</v>
      </c>
      <c r="E5820" t="s">
        <v>11501</v>
      </c>
      <c r="F5820" t="s">
        <v>11695</v>
      </c>
      <c r="G5820" t="s">
        <v>14</v>
      </c>
      <c r="H5820">
             </c>
      <c r="I5820" t="s">
        <v>14</v>
      </c>
      <c r="J5820" t="s">
        <v>242</v>
      </c>
      <c r="K5820" t="s">
        <v>14</v>
      </c>
      <c r="L5820" t="s">
        <v>20</v>
      </c>
      <c r="M5820" t="s">
        <v>11615</v>
      </c>
      <c r="N5820" t="s">
        <v>14</v>
      </c>
    </row>
    <row r="5821" x14ac:dyDescent="0.25">
      <c r="A5821" t="n">
        <v>25</v>
      </c>
      <c r="B5821" t="s">
        <v>14</v>
      </c>
      <c r="C5821" t="s">
        <v>51</v>
      </c>
      <c r="D5821" s="2" t="s">
        <f>=HYPERLINK("https://main.knesset.gov.il/APPS/legislation/main/bills/2199275", "הצעת חוק לתיקון פקודת הרוקחים (חיוב רישום רכיבי תמרוקים ומוצרי ניקיון), התשפ""ג-2023")</f>
        <v>11696</v>
      </c>
      <c r="E5821" t="s">
        <v>11696</v>
      </c>
      <c r="F5821" t="s">
        <v>11697</v>
      </c>
      <c r="G5821" t="s">
        <v>14</v>
      </c>
      <c r="H5821">
             </c>
      <c r="I5821" t="s">
        <v>14</v>
      </c>
      <c r="J5821" t="s">
        <v>242</v>
      </c>
      <c r="K5821" t="s">
        <v>14</v>
      </c>
      <c r="L5821" t="s">
        <v>20</v>
      </c>
      <c r="M5821" t="s">
        <v>11615</v>
      </c>
      <c r="N5821" t="s">
        <v>14</v>
      </c>
    </row>
    <row r="5822" x14ac:dyDescent="0.25">
      <c r="A5822" t="n">
        <v>25</v>
      </c>
      <c r="B5822" t="s">
        <v>14</v>
      </c>
      <c r="C5822" t="s">
        <v>51</v>
      </c>
      <c r="D5822" s="2" t="s">
        <f>=HYPERLINK("https://main.knesset.gov.il/APPS/legislation/main/bills/2199360", "הצעת חוק הסדרת העיסוק במקצועות הבריאות (תיקון - הסדרת העיסוק בניתוח התנהגות), התשפ""ג-2023")</f>
        <v>9706</v>
      </c>
      <c r="E5822" t="s">
        <v>9706</v>
      </c>
      <c r="F5822" t="s">
        <v>11698</v>
      </c>
      <c r="G5822" t="s">
        <v>14</v>
      </c>
      <c r="H5822">
             </c>
      <c r="I5822" t="s">
        <v>14</v>
      </c>
      <c r="J5822" t="s">
        <v>242</v>
      </c>
      <c r="K5822" t="s">
        <v>14</v>
      </c>
      <c r="L5822" t="s">
        <v>20</v>
      </c>
      <c r="M5822" t="s">
        <v>11615</v>
      </c>
      <c r="N5822" t="s">
        <v>14</v>
      </c>
    </row>
    <row r="5823" x14ac:dyDescent="0.25">
      <c r="A5823" t="n">
        <v>25</v>
      </c>
      <c r="B5823" t="s">
        <v>14</v>
      </c>
      <c r="C5823" t="s">
        <v>51</v>
      </c>
      <c r="D5823" s="2" t="s">
        <f>=HYPERLINK("https://main.knesset.gov.il/APPS/legislation/main/bills/2199680", "הצעת חוק הסדרת העיסוק במקצועות הבריאות (תיקון - טיפול באמצעות אמנויות), התשפ""ג-2023")</f>
        <v>8716</v>
      </c>
      <c r="E5823" t="s">
        <v>8716</v>
      </c>
      <c r="F5823" t="s">
        <v>11699</v>
      </c>
      <c r="G5823" t="s">
        <v>14</v>
      </c>
      <c r="H5823">
             </c>
      <c r="I5823" t="s">
        <v>14</v>
      </c>
      <c r="J5823" t="s">
        <v>242</v>
      </c>
      <c r="K5823" t="s">
        <v>14</v>
      </c>
      <c r="L5823" t="s">
        <v>20</v>
      </c>
      <c r="M5823" t="s">
        <v>11615</v>
      </c>
      <c r="N5823" t="s">
        <v>14</v>
      </c>
    </row>
    <row r="5824" x14ac:dyDescent="0.25">
      <c r="A5824" t="n">
        <v>25</v>
      </c>
      <c r="B5824" t="s">
        <v>14</v>
      </c>
      <c r="C5824" t="s">
        <v>51</v>
      </c>
      <c r="D5824" s="2" t="s">
        <f>=HYPERLINK("https://main.knesset.gov.il/APPS/legislation/main/bills/2199280", "הצעת חוק הביטוח הלאומי (תיקון - ביטוח שאירים לאלמן), התשפ""ג- 2023 ")</f>
        <v>11700</v>
      </c>
      <c r="E5824" t="s">
        <v>11700</v>
      </c>
      <c r="F5824" t="s">
        <v>11701</v>
      </c>
      <c r="G5824" t="s">
        <v>14</v>
      </c>
      <c r="H5824">
             </c>
      <c r="I5824" t="s">
        <v>14</v>
      </c>
      <c r="J5824" t="s">
        <v>242</v>
      </c>
      <c r="K5824" t="s">
        <v>14</v>
      </c>
      <c r="L5824" t="s">
        <v>20</v>
      </c>
      <c r="M5824" t="s">
        <v>11615</v>
      </c>
      <c r="N5824" t="s">
        <v>14</v>
      </c>
    </row>
    <row r="5825" x14ac:dyDescent="0.25">
      <c r="A5825" t="n">
        <v>25</v>
      </c>
      <c r="B5825" t="s">
        <v>14</v>
      </c>
      <c r="C5825" t="s">
        <v>51</v>
      </c>
      <c r="D5825" s="2" t="s">
        <f>=HYPERLINK("https://main.knesset.gov.il/APPS/legislation/main/bills/2199126", "הצעת חוק הביטוח הלאומי (תיקון - ביטוח שאירים לאלמן), התשפ""ג-2023")</f>
        <v>8231</v>
      </c>
      <c r="E5825" t="s">
        <v>8231</v>
      </c>
      <c r="F5825" t="s">
        <v>11702</v>
      </c>
      <c r="G5825" t="s">
        <v>14</v>
      </c>
      <c r="H5825">
             </c>
      <c r="I5825" t="s">
        <v>14</v>
      </c>
      <c r="J5825" t="s">
        <v>242</v>
      </c>
      <c r="K5825" t="s">
        <v>14</v>
      </c>
      <c r="L5825" t="s">
        <v>20</v>
      </c>
      <c r="M5825" t="s">
        <v>11615</v>
      </c>
      <c r="N5825" t="s">
        <v>14</v>
      </c>
    </row>
    <row r="5826" x14ac:dyDescent="0.25">
      <c r="A5826" t="n">
        <v>25</v>
      </c>
      <c r="B5826" t="s">
        <v>14</v>
      </c>
      <c r="C5826" t="s">
        <v>51</v>
      </c>
      <c r="D5826" s="2" t="s">
        <f>=HYPERLINK("https://main.knesset.gov.il/APPS/legislation/main/bills/2198729", "הצעת חוק הביטוח הלאומי (תיקון - ביטוח שאירים לאלמן), התשפ""ג-2023")</f>
        <v>8231</v>
      </c>
      <c r="E5826" t="s">
        <v>8231</v>
      </c>
      <c r="F5826" t="s">
        <v>11703</v>
      </c>
      <c r="G5826" t="s">
        <v>14</v>
      </c>
      <c r="H5826">
             </c>
      <c r="I5826" t="s">
        <v>14</v>
      </c>
      <c r="J5826" t="s">
        <v>242</v>
      </c>
      <c r="K5826" t="s">
        <v>14</v>
      </c>
      <c r="L5826" t="s">
        <v>20</v>
      </c>
      <c r="M5826" t="s">
        <v>11615</v>
      </c>
      <c r="N5826" t="s">
        <v>14</v>
      </c>
    </row>
    <row r="5827" x14ac:dyDescent="0.25">
      <c r="A5827" t="n">
        <v>25</v>
      </c>
      <c r="B5827" t="s">
        <v>14</v>
      </c>
      <c r="C5827" t="s">
        <v>51</v>
      </c>
      <c r="D5827" s="2" t="s">
        <f>=HYPERLINK("https://main.knesset.gov.il/APPS/legislation/main/bills/2198935", "הצעת חוק הגנת הצרכן (תיקון - הנגשת הודעת תשלום לצרכנים שאינם דוברי עברית), התשפ""ג-2023")</f>
        <v>10675</v>
      </c>
      <c r="E5827" t="s">
        <v>10675</v>
      </c>
      <c r="F5827" t="s">
        <v>11704</v>
      </c>
      <c r="G5827" t="s">
        <v>14</v>
      </c>
      <c r="H5827">
             </c>
      <c r="I5827" t="s">
        <v>14</v>
      </c>
      <c r="J5827" t="s">
        <v>242</v>
      </c>
      <c r="K5827" t="s">
        <v>14</v>
      </c>
      <c r="L5827" t="s">
        <v>20</v>
      </c>
      <c r="M5827" t="s">
        <v>11615</v>
      </c>
      <c r="N5827" t="s">
        <v>14</v>
      </c>
    </row>
    <row r="5828" x14ac:dyDescent="0.25">
      <c r="A5828" t="n">
        <v>25</v>
      </c>
      <c r="B5828" t="s">
        <v>14</v>
      </c>
      <c r="C5828" t="s">
        <v>51</v>
      </c>
      <c r="D5828" s="2" t="s">
        <f>=HYPERLINK("https://main.knesset.gov.il/APPS/legislation/main/bills/2199037", "הצעת חוק הודעה לעובד ולמועמד לעבודה (תנאי עבודה והליכי מיון וקבלה לעבודה) (תיקון - הגברת השקיפות בעניין הפרשות לפנסיה), התשפ""ג-2023")</f>
        <v>11557</v>
      </c>
      <c r="E5828" t="s">
        <v>11557</v>
      </c>
      <c r="F5828" t="s">
        <v>11705</v>
      </c>
      <c r="G5828" t="s">
        <v>14</v>
      </c>
      <c r="H5828">
             </c>
      <c r="I5828" t="s">
        <v>14</v>
      </c>
      <c r="J5828" t="s">
        <v>242</v>
      </c>
      <c r="K5828" t="s">
        <v>14</v>
      </c>
      <c r="L5828" t="s">
        <v>20</v>
      </c>
      <c r="M5828" t="s">
        <v>11615</v>
      </c>
      <c r="N5828" t="s">
        <v>14</v>
      </c>
    </row>
    <row r="5829" x14ac:dyDescent="0.25">
      <c r="A5829" t="n">
        <v>25</v>
      </c>
      <c r="B5829" t="s">
        <v>14</v>
      </c>
      <c r="C5829" t="s">
        <v>51</v>
      </c>
      <c r="D5829" s="2" t="s">
        <f>=HYPERLINK("https://main.knesset.gov.il/APPS/legislation/main/bills/2199550", "הצעת חוק הסדרת הטיפול בחולי נפש (תיקוני חקיקה), התשפ""ג-2023")</f>
        <v>11706</v>
      </c>
      <c r="E5829" t="s">
        <v>11706</v>
      </c>
      <c r="F5829" t="s">
        <v>11707</v>
      </c>
      <c r="G5829" t="s">
        <v>14</v>
      </c>
      <c r="H5829">
             </c>
      <c r="I5829" t="s">
        <v>14</v>
      </c>
      <c r="J5829" t="s">
        <v>242</v>
      </c>
      <c r="K5829" t="s">
        <v>14</v>
      </c>
      <c r="L5829" t="s">
        <v>20</v>
      </c>
      <c r="M5829" t="s">
        <v>11615</v>
      </c>
      <c r="N5829" t="s">
        <v>14</v>
      </c>
    </row>
    <row r="5830" x14ac:dyDescent="0.25">
      <c r="A5830" t="n">
        <v>25</v>
      </c>
      <c r="B5830" t="s">
        <v>14</v>
      </c>
      <c r="C5830" t="s">
        <v>51</v>
      </c>
      <c r="D5830" s="2" t="s">
        <f>=HYPERLINK("https://main.knesset.gov.il/APPS/legislation/main/bills/2199048", "הצעת חוק שעות עבודה ומנוחה (תיקון - הפסקה בין יום עבודה למשנהו שלא עולה על 8 שעות), התשפ""ג-2023")</f>
        <v>11708</v>
      </c>
      <c r="E5830" t="s">
        <v>11708</v>
      </c>
      <c r="F5830" t="s">
        <v>11709</v>
      </c>
      <c r="G5830" t="s">
        <v>14</v>
      </c>
      <c r="H5830">
             </c>
      <c r="I5830" t="s">
        <v>14</v>
      </c>
      <c r="J5830" t="s">
        <v>242</v>
      </c>
      <c r="K5830" t="s">
        <v>14</v>
      </c>
      <c r="L5830" t="s">
        <v>20</v>
      </c>
      <c r="M5830" t="s">
        <v>11615</v>
      </c>
      <c r="N5830" t="s">
        <v>14</v>
      </c>
    </row>
    <row r="5831" x14ac:dyDescent="0.25">
      <c r="A5831" t="n">
        <v>25</v>
      </c>
      <c r="B5831" t="s">
        <v>14</v>
      </c>
      <c r="C5831" t="s">
        <v>51</v>
      </c>
      <c r="D5831" s="2" t="s">
        <f>=HYPERLINK("https://main.knesset.gov.il/APPS/legislation/main/bills/2199423", "הצעת חוק שכר מינימום (תיקון - שכר מינימום לעובד שטרם מלאו לו 18 שנים), התשפ""ג-2023")</f>
        <v>11710</v>
      </c>
      <c r="E5831" t="s">
        <v>11710</v>
      </c>
      <c r="F5831" t="s">
        <v>11711</v>
      </c>
      <c r="G5831" t="s">
        <v>14</v>
      </c>
      <c r="H5831">
             </c>
      <c r="I5831" t="s">
        <v>14</v>
      </c>
      <c r="J5831" t="s">
        <v>242</v>
      </c>
      <c r="K5831" t="s">
        <v>14</v>
      </c>
      <c r="L5831" t="s">
        <v>20</v>
      </c>
      <c r="M5831" t="s">
        <v>11615</v>
      </c>
      <c r="N5831" t="s">
        <v>14</v>
      </c>
    </row>
    <row r="5832" x14ac:dyDescent="0.25">
      <c r="A5832" t="n">
        <v>25</v>
      </c>
      <c r="B5832" t="s">
        <v>14</v>
      </c>
      <c r="C5832" t="s">
        <v>51</v>
      </c>
      <c r="D5832" s="2" t="s">
        <f>=HYPERLINK("https://main.knesset.gov.il/APPS/legislation/main/bills/2199481", "הצעת חוק הצבת מכשירי החייאה במקומות ציבוריים (תיקון - צעדים ליישום מיטבי של החוק), התשפ""ג-2023")</f>
        <v>10453</v>
      </c>
      <c r="E5832" t="s">
        <v>10453</v>
      </c>
      <c r="F5832" t="s">
        <v>11712</v>
      </c>
      <c r="G5832" t="s">
        <v>14</v>
      </c>
      <c r="H5832">
             </c>
      <c r="I5832" t="s">
        <v>14</v>
      </c>
      <c r="J5832" t="s">
        <v>242</v>
      </c>
      <c r="K5832" t="s">
        <v>14</v>
      </c>
      <c r="L5832" t="s">
        <v>20</v>
      </c>
      <c r="M5832" t="s">
        <v>11615</v>
      </c>
      <c r="N5832" t="s">
        <v>14</v>
      </c>
    </row>
    <row r="5833" x14ac:dyDescent="0.25">
      <c r="A5833" t="n">
        <v>25</v>
      </c>
      <c r="B5833" t="s">
        <v>14</v>
      </c>
      <c r="C5833" t="s">
        <v>51</v>
      </c>
      <c r="D5833" s="2" t="s">
        <f>=HYPERLINK("https://main.knesset.gov.il/APPS/legislation/main/bills/2199115", "הצעת חוק עבודת נשים (תיקון - איסור פיטורים בעת טיפולי פוריות), התשפ""ג-2023")</f>
        <v>11713</v>
      </c>
      <c r="E5833" t="s">
        <v>11713</v>
      </c>
      <c r="F5833" t="s">
        <v>11714</v>
      </c>
      <c r="G5833" t="s">
        <v>14</v>
      </c>
      <c r="H5833">
             </c>
      <c r="I5833" t="s">
        <v>14</v>
      </c>
      <c r="J5833" t="s">
        <v>242</v>
      </c>
      <c r="K5833" t="s">
        <v>14</v>
      </c>
      <c r="L5833" t="s">
        <v>20</v>
      </c>
      <c r="M5833" t="s">
        <v>11615</v>
      </c>
      <c r="N5833" t="s">
        <v>14</v>
      </c>
    </row>
    <row r="5834" x14ac:dyDescent="0.25">
      <c r="A5834" t="n">
        <v>25</v>
      </c>
      <c r="B5834" t="s">
        <v>14</v>
      </c>
      <c r="C5834" t="s">
        <v>51</v>
      </c>
      <c r="D5834" s="2" t="s">
        <f>=HYPERLINK("https://main.knesset.gov.il/APPS/legislation/main/bills/2199209", "הצעת חוק לימוד חובה (תיקון - חובת דיווח על היעדרות תלמיד), התשפ""ג-2023")</f>
        <v>4623</v>
      </c>
      <c r="E5834" t="s">
        <v>4623</v>
      </c>
      <c r="F5834" t="s">
        <v>11715</v>
      </c>
      <c r="G5834" t="s">
        <v>14</v>
      </c>
      <c r="H5834">
             </c>
      <c r="I5834" t="s">
        <v>14</v>
      </c>
      <c r="J5834" t="s">
        <v>242</v>
      </c>
      <c r="K5834" t="s">
        <v>14</v>
      </c>
      <c r="L5834" t="s">
        <v>20</v>
      </c>
      <c r="M5834" t="s">
        <v>11615</v>
      </c>
      <c r="N5834" t="s">
        <v>14</v>
      </c>
    </row>
    <row r="5835" x14ac:dyDescent="0.25">
      <c r="A5835" t="n">
        <v>25</v>
      </c>
      <c r="B5835" t="s">
        <v>14</v>
      </c>
      <c r="C5835" t="s">
        <v>51</v>
      </c>
      <c r="D5835" s="2" t="s">
        <f>=HYPERLINK("https://main.knesset.gov.il/APPS/legislation/main/bills/2198850", "הצעת חוק לתיקון פקודת התעבורה (ריבית פיגורים בשל אי-תשלום קנס על עבירת חניה), התשפ""ג-2023")</f>
        <v>11716</v>
      </c>
      <c r="E5835" t="s">
        <v>11716</v>
      </c>
      <c r="F5835" t="s">
        <v>11717</v>
      </c>
      <c r="G5835" t="s">
        <v>14</v>
      </c>
      <c r="H5835">
             </c>
      <c r="I5835" t="s">
        <v>14</v>
      </c>
      <c r="J5835" t="s">
        <v>242</v>
      </c>
      <c r="K5835" t="s">
        <v>14</v>
      </c>
      <c r="L5835" t="s">
        <v>20</v>
      </c>
      <c r="M5835" t="s">
        <v>11615</v>
      </c>
      <c r="N5835" t="s">
        <v>14</v>
      </c>
    </row>
    <row r="5836" x14ac:dyDescent="0.25">
      <c r="A5836" t="n">
        <v>25</v>
      </c>
      <c r="B5836" t="s">
        <v>14</v>
      </c>
      <c r="C5836" t="s">
        <v>51</v>
      </c>
      <c r="D5836" s="2" t="s">
        <f>=HYPERLINK("https://main.knesset.gov.il/APPS/legislation/main/bills/2199212", "הצעת חוק הגנת השכר (תיקון - איסור ניכוי חוב או קנס), התשפ""ג-2023")</f>
        <v>1888</v>
      </c>
      <c r="E5836" t="s">
        <v>1888</v>
      </c>
      <c r="F5836" t="s">
        <v>11718</v>
      </c>
      <c r="G5836" t="s">
        <v>14</v>
      </c>
      <c r="H5836">
             </c>
      <c r="I5836" t="s">
        <v>14</v>
      </c>
      <c r="J5836" t="s">
        <v>242</v>
      </c>
      <c r="K5836" t="s">
        <v>14</v>
      </c>
      <c r="L5836" t="s">
        <v>20</v>
      </c>
      <c r="M5836" t="s">
        <v>11615</v>
      </c>
      <c r="N5836" t="s">
        <v>14</v>
      </c>
    </row>
    <row r="5837" x14ac:dyDescent="0.25">
      <c r="A5837" t="n">
        <v>25</v>
      </c>
      <c r="B5837" t="s">
        <v>14</v>
      </c>
      <c r="C5837" t="s">
        <v>51</v>
      </c>
      <c r="D5837" s="2" t="s">
        <f>=HYPERLINK("https://main.knesset.gov.il/APPS/legislation/main/bills/2199223", "הצעת חוק איסור הפליה במוצרים, בשירותים ובכניסה למקומות בידור ולמקומות ציבוריים (תיקון - איסור הפליה בדיור), התשפ""ג-2023")</f>
        <v>9721</v>
      </c>
      <c r="E5837" t="s">
        <v>9721</v>
      </c>
      <c r="F5837" t="s">
        <v>11719</v>
      </c>
      <c r="G5837" t="s">
        <v>14</v>
      </c>
      <c r="H5837">
             </c>
      <c r="I5837" t="s">
        <v>14</v>
      </c>
      <c r="J5837" t="s">
        <v>242</v>
      </c>
      <c r="K5837" t="s">
        <v>14</v>
      </c>
      <c r="L5837" t="s">
        <v>20</v>
      </c>
      <c r="M5837" t="s">
        <v>11615</v>
      </c>
      <c r="N5837" t="s">
        <v>14</v>
      </c>
    </row>
    <row r="5838" x14ac:dyDescent="0.25">
      <c r="A5838" t="n">
        <v>25</v>
      </c>
      <c r="B5838" t="s">
        <v>14</v>
      </c>
      <c r="C5838" t="s">
        <v>51</v>
      </c>
      <c r="D5838" s="2" t="s">
        <f>=HYPERLINK("https://main.knesset.gov.il/APPS/legislation/main/bills/2198932", "הצעת חוק הבנקאות (שירות ללקוח) (תיקון - שינוי תקופת החזר של הלוואה לדיור), התשפ""ג-2023")</f>
        <v>11720</v>
      </c>
      <c r="E5838" t="s">
        <v>11720</v>
      </c>
      <c r="F5838" t="s">
        <v>11721</v>
      </c>
      <c r="G5838" t="s">
        <v>14</v>
      </c>
      <c r="H5838">
             </c>
      <c r="I5838" t="s">
        <v>14</v>
      </c>
      <c r="J5838" t="s">
        <v>242</v>
      </c>
      <c r="K5838" t="s">
        <v>14</v>
      </c>
      <c r="L5838" t="s">
        <v>20</v>
      </c>
      <c r="M5838" t="s">
        <v>11615</v>
      </c>
      <c r="N5838" t="s">
        <v>14</v>
      </c>
    </row>
    <row r="5839" x14ac:dyDescent="0.25">
      <c r="A5839" t="n">
        <v>25</v>
      </c>
      <c r="B5839" t="s">
        <v>14</v>
      </c>
      <c r="C5839" t="s">
        <v>51</v>
      </c>
      <c r="D5839" s="2" t="s">
        <f>=HYPERLINK("https://main.knesset.gov.il/APPS/legislation/main/bills/2199333", "הצעת חוק הגנת השכר (תיקון - תשלום שכר עבודה בעת הליכי מיון והשמה), התשפ""ג-2023")</f>
        <v>11722</v>
      </c>
      <c r="E5839" t="s">
        <v>11722</v>
      </c>
      <c r="F5839" t="s">
        <v>11723</v>
      </c>
      <c r="G5839" t="s">
        <v>14</v>
      </c>
      <c r="H5839">
             </c>
      <c r="I5839" t="s">
        <v>14</v>
      </c>
      <c r="J5839" t="s">
        <v>242</v>
      </c>
      <c r="K5839" t="s">
        <v>14</v>
      </c>
      <c r="L5839" t="s">
        <v>20</v>
      </c>
      <c r="M5839" t="s">
        <v>11615</v>
      </c>
      <c r="N5839" t="s">
        <v>14</v>
      </c>
    </row>
    <row r="5840" x14ac:dyDescent="0.25">
      <c r="A5840" t="n">
        <v>25</v>
      </c>
      <c r="B5840" t="s">
        <v>14</v>
      </c>
      <c r="C5840" t="s">
        <v>51</v>
      </c>
      <c r="D5840" s="2" t="s">
        <f>=HYPERLINK("https://main.knesset.gov.il/APPS/legislation/main/bills/2199422", "הצעת חוק פיקוח על מחירי מצרכים ושירותים (תיקון - קביעת ההפרש בין מחיר מצרך לצרכן ומחיר מצרך לקמעונאי כרווח מרבי), התשפ""ג-2023")</f>
        <v>11724</v>
      </c>
      <c r="E5840" t="s">
        <v>11724</v>
      </c>
      <c r="F5840" t="s">
        <v>11725</v>
      </c>
      <c r="G5840" t="s">
        <v>14</v>
      </c>
      <c r="H5840">
             </c>
      <c r="I5840" t="s">
        <v>14</v>
      </c>
      <c r="J5840" t="s">
        <v>242</v>
      </c>
      <c r="K5840" t="s">
        <v>14</v>
      </c>
      <c r="L5840" t="s">
        <v>20</v>
      </c>
      <c r="M5840" t="s">
        <v>11615</v>
      </c>
      <c r="N5840" t="s">
        <v>14</v>
      </c>
    </row>
    <row r="5841" x14ac:dyDescent="0.25">
      <c r="A5841" t="n">
        <v>25</v>
      </c>
      <c r="B5841" t="s">
        <v>14</v>
      </c>
      <c r="C5841" t="s">
        <v>51</v>
      </c>
      <c r="D5841" s="2" t="s">
        <f>=HYPERLINK("https://main.knesset.gov.il/APPS/legislation/main/bills/2199462", "הצעת חוק הביטוח הלאומי (תיקון - התפטרות הורה על מנת לטפל בילדו), התשפ""ג-2023")</f>
        <v>10381</v>
      </c>
      <c r="E5841" t="s">
        <v>10381</v>
      </c>
      <c r="F5841" t="s">
        <v>11726</v>
      </c>
      <c r="G5841" t="s">
        <v>14</v>
      </c>
      <c r="H5841">
             </c>
      <c r="I5841" t="s">
        <v>14</v>
      </c>
      <c r="J5841" t="s">
        <v>242</v>
      </c>
      <c r="K5841" t="s">
        <v>14</v>
      </c>
      <c r="L5841" t="s">
        <v>20</v>
      </c>
      <c r="M5841" t="s">
        <v>11615</v>
      </c>
      <c r="N5841" t="s">
        <v>14</v>
      </c>
    </row>
    <row r="5842" x14ac:dyDescent="0.25">
      <c r="A5842" t="n">
        <v>25</v>
      </c>
      <c r="B5842" t="s">
        <v>14</v>
      </c>
      <c r="C5842" t="s">
        <v>51</v>
      </c>
      <c r="D5842" s="2" t="s">
        <f>=HYPERLINK("https://main.knesset.gov.il/APPS/legislation/main/bills/2199211", "הצעת חוק האזרחים הוותיקים (תיקון - הטבות למקבלי פנסיה מזערית), התשפ""ג-2023")</f>
        <v>11727</v>
      </c>
      <c r="E5842" t="s">
        <v>11727</v>
      </c>
      <c r="F5842" t="s">
        <v>11728</v>
      </c>
      <c r="G5842" t="s">
        <v>14</v>
      </c>
      <c r="H5842">
             </c>
      <c r="I5842" t="s">
        <v>14</v>
      </c>
      <c r="J5842" t="s">
        <v>242</v>
      </c>
      <c r="K5842" t="s">
        <v>14</v>
      </c>
      <c r="L5842" t="s">
        <v>20</v>
      </c>
      <c r="M5842" t="s">
        <v>11615</v>
      </c>
      <c r="N5842" t="s">
        <v>14</v>
      </c>
    </row>
    <row r="5843" x14ac:dyDescent="0.25">
      <c r="A5843" t="n">
        <v>25</v>
      </c>
      <c r="B5843" t="s">
        <v>14</v>
      </c>
      <c r="C5843" t="s">
        <v>51</v>
      </c>
      <c r="D5843" s="2" t="s">
        <f>=HYPERLINK("https://main.knesset.gov.il/APPS/legislation/main/bills/2199646", "הצעת חוק הגנת הצרכן (תיקון - חובת הצגת מחיר מוצר בעת עריכת החשבון בקופה), התשפ""ג-2023")</f>
        <v>11729</v>
      </c>
      <c r="E5843" t="s">
        <v>11729</v>
      </c>
      <c r="F5843" t="s">
        <v>11730</v>
      </c>
      <c r="G5843" t="s">
        <v>14</v>
      </c>
      <c r="H5843">
             </c>
      <c r="I5843" t="s">
        <v>14</v>
      </c>
      <c r="J5843" t="s">
        <v>242</v>
      </c>
      <c r="K5843" t="s">
        <v>14</v>
      </c>
      <c r="L5843" t="s">
        <v>20</v>
      </c>
      <c r="M5843" t="s">
        <v>11615</v>
      </c>
      <c r="N5843" t="s">
        <v>14</v>
      </c>
    </row>
    <row r="5844" x14ac:dyDescent="0.25">
      <c r="A5844" t="n">
        <v>25</v>
      </c>
      <c r="B5844" t="s">
        <v>14</v>
      </c>
      <c r="C5844" t="s">
        <v>51</v>
      </c>
      <c r="D5844" s="2" t="s">
        <f>=HYPERLINK("https://main.knesset.gov.il/APPS/legislation/main/bills/2199205", "הצעת חוק הפנסיה (מועד תחילת הביטוח הפנסיוני), התשפ""ג-2023")</f>
        <v>10621</v>
      </c>
      <c r="E5844" t="s">
        <v>10621</v>
      </c>
      <c r="F5844" t="s">
        <v>11731</v>
      </c>
      <c r="G5844" t="s">
        <v>14</v>
      </c>
      <c r="H5844">
             </c>
      <c r="I5844" t="s">
        <v>14</v>
      </c>
      <c r="J5844" t="s">
        <v>242</v>
      </c>
      <c r="K5844" t="s">
        <v>14</v>
      </c>
      <c r="L5844" t="s">
        <v>20</v>
      </c>
      <c r="M5844" t="s">
        <v>11615</v>
      </c>
      <c r="N5844" t="s">
        <v>14</v>
      </c>
    </row>
    <row r="5845" x14ac:dyDescent="0.25">
      <c r="A5845" t="n">
        <v>25</v>
      </c>
      <c r="B5845" t="s">
        <v>14</v>
      </c>
      <c r="C5845" t="s">
        <v>51</v>
      </c>
      <c r="D5845" s="2" t="s">
        <f>=HYPERLINK("https://main.knesset.gov.il/APPS/legislation/main/bills/2199737", "הצעת חוק הגנת הפרטיות (תיקון - מניעת פרסום פרטיו של אדם שנהרג או נפגע ברבים בטרם נמסרה הודעה למשפחה), התשפ""ג-2023")</f>
        <v>11732</v>
      </c>
      <c r="E5845" t="s">
        <v>11732</v>
      </c>
      <c r="F5845" t="s">
        <v>11733</v>
      </c>
      <c r="G5845" t="s">
        <v>14</v>
      </c>
      <c r="H5845">
             </c>
      <c r="I5845" t="s">
        <v>14</v>
      </c>
      <c r="J5845" t="s">
        <v>202</v>
      </c>
      <c r="K5845" t="s">
        <v>14</v>
      </c>
      <c r="L5845" t="s">
        <v>20</v>
      </c>
      <c r="M5845" t="s">
        <v>11615</v>
      </c>
      <c r="N5845" t="s">
        <v>14</v>
      </c>
    </row>
    <row r="5846" x14ac:dyDescent="0.25">
      <c r="A5846" t="n">
        <v>25</v>
      </c>
      <c r="B5846" t="s">
        <v>14</v>
      </c>
      <c r="C5846" t="s">
        <v>51</v>
      </c>
      <c r="D5846" s="2" t="s">
        <f>=HYPERLINK("https://main.knesset.gov.il/APPS/legislation/main/bills/2196298", "הצעת חוק ביטוח בריאות ממלכתי (תיקון - הגבלת סכום ההשתתפות העצמית בתכשיר מרשם), התשפ""ג-2023")</f>
        <v>9898</v>
      </c>
      <c r="E5846" t="s">
        <v>9898</v>
      </c>
      <c r="F5846" t="s">
        <v>11734</v>
      </c>
      <c r="G5846" t="s">
        <v>14</v>
      </c>
      <c r="H5846">
             </c>
      <c r="I5846" t="s">
        <v>14</v>
      </c>
      <c r="J5846" t="s">
        <v>242</v>
      </c>
      <c r="K5846" t="s">
        <v>14</v>
      </c>
      <c r="L5846" t="s">
        <v>20</v>
      </c>
      <c r="M5846" t="s">
        <v>11615</v>
      </c>
      <c r="N5846" t="s">
        <v>14</v>
      </c>
    </row>
    <row r="5847" x14ac:dyDescent="0.25">
      <c r="A5847" t="n">
        <v>25</v>
      </c>
      <c r="B5847" t="s">
        <v>14</v>
      </c>
      <c r="C5847" t="s">
        <v>51</v>
      </c>
      <c r="D5847" s="2" t="s">
        <f>=HYPERLINK("https://main.knesset.gov.il/APPS/legislation/main/bills/2199008", "הצעת חוק הביטוח הלאומי (תיקון - העלאת קצבת הילדים), התשפ""ג-2023")</f>
        <v>11233</v>
      </c>
      <c r="E5847" t="s">
        <v>11233</v>
      </c>
      <c r="F5847" t="s">
        <v>11735</v>
      </c>
      <c r="G5847" t="s">
        <v>14</v>
      </c>
      <c r="H5847">
             </c>
      <c r="I5847" t="s">
        <v>14</v>
      </c>
      <c r="J5847" t="s">
        <v>242</v>
      </c>
      <c r="K5847" t="s">
        <v>14</v>
      </c>
      <c r="L5847" t="s">
        <v>20</v>
      </c>
      <c r="M5847" t="s">
        <v>11615</v>
      </c>
      <c r="N5847" t="s">
        <v>14</v>
      </c>
    </row>
    <row r="5848" x14ac:dyDescent="0.25">
      <c r="A5848" t="n">
        <v>25</v>
      </c>
      <c r="B5848" t="s">
        <v>14</v>
      </c>
      <c r="C5848" t="s">
        <v>51</v>
      </c>
      <c r="D5848" s="2" t="s">
        <f>=HYPERLINK("https://main.knesset.gov.il/APPS/legislation/main/bills/2198991", "הצעת חוק הביטוח הלאומי (תיקון - זכות טיעון לפני שלילת גמלה), התשפ""ג-2023")</f>
        <v>11736</v>
      </c>
      <c r="E5848" t="s">
        <v>11736</v>
      </c>
      <c r="F5848" t="s">
        <v>11737</v>
      </c>
      <c r="G5848" t="s">
        <v>14</v>
      </c>
      <c r="H5848">
             </c>
      <c r="I5848" t="s">
        <v>14</v>
      </c>
      <c r="J5848" t="s">
        <v>242</v>
      </c>
      <c r="K5848" t="s">
        <v>14</v>
      </c>
      <c r="L5848" t="s">
        <v>20</v>
      </c>
      <c r="M5848" t="s">
        <v>11615</v>
      </c>
      <c r="N5848" t="s">
        <v>14</v>
      </c>
    </row>
    <row r="5849" x14ac:dyDescent="0.25">
      <c r="A5849" t="n">
        <v>25</v>
      </c>
      <c r="B5849" t="s">
        <v>14</v>
      </c>
      <c r="C5849" t="s">
        <v>51</v>
      </c>
      <c r="D5849" s="2" t="s">
        <f>=HYPERLINK("https://main.knesset.gov.il/APPS/legislation/main/bills/2199122", "הצעת חוק הביטוח הלאומי (תיקון - דמי אבטלה לעצמאים), התשפ""ג-2023")</f>
        <v>9590</v>
      </c>
      <c r="E5849" t="s">
        <v>9590</v>
      </c>
      <c r="F5849" t="s">
        <v>11738</v>
      </c>
      <c r="G5849" t="s">
        <v>14</v>
      </c>
      <c r="H5849">
             </c>
      <c r="I5849" t="s">
        <v>14</v>
      </c>
      <c r="J5849" t="s">
        <v>242</v>
      </c>
      <c r="K5849" t="s">
        <v>14</v>
      </c>
      <c r="L5849" t="s">
        <v>20</v>
      </c>
      <c r="M5849" t="s">
        <v>11615</v>
      </c>
      <c r="N5849" t="s">
        <v>14</v>
      </c>
    </row>
    <row r="5850" x14ac:dyDescent="0.25">
      <c r="A5850" t="n">
        <v>25</v>
      </c>
      <c r="B5850" t="s">
        <v>14</v>
      </c>
      <c r="C5850" t="s">
        <v>51</v>
      </c>
      <c r="D5850" s="2" t="s">
        <f>=HYPERLINK("https://main.knesset.gov.il/APPS/legislation/main/bills/2199537", "הצעת חוק לימודי הכנה למבחנים פסיכומטריים לתלמידים, התשפ""ג-2023")</f>
        <v>9666</v>
      </c>
      <c r="E5850" t="s">
        <v>9666</v>
      </c>
      <c r="F5850" t="s">
        <v>11739</v>
      </c>
      <c r="G5850" t="s">
        <v>14</v>
      </c>
      <c r="H5850">
             </c>
      <c r="I5850" t="s">
        <v>14</v>
      </c>
      <c r="J5850" t="s">
        <v>242</v>
      </c>
      <c r="K5850" t="s">
        <v>14</v>
      </c>
      <c r="L5850" t="s">
        <v>20</v>
      </c>
      <c r="M5850" t="s">
        <v>11615</v>
      </c>
      <c r="N5850" t="s">
        <v>14</v>
      </c>
    </row>
    <row r="5851" x14ac:dyDescent="0.25">
      <c r="A5851" t="n">
        <v>25</v>
      </c>
      <c r="B5851" t="s">
        <v>14</v>
      </c>
      <c r="C5851" t="s">
        <v>51</v>
      </c>
      <c r="D5851" s="2" t="s">
        <f>=HYPERLINK("https://main.knesset.gov.il/APPS/legislation/main/bills/2199584", "הצעת חוק לתיקון פקודת התעבורה (הוראות לעניין סככות המתנה בתחנות אוטובוס), התשפ""ג-2023")</f>
        <v>8772</v>
      </c>
      <c r="E5851" t="s">
        <v>8772</v>
      </c>
      <c r="F5851" t="s">
        <v>11740</v>
      </c>
      <c r="G5851" t="s">
        <v>14</v>
      </c>
      <c r="H5851">
             </c>
      <c r="I5851" t="s">
        <v>14</v>
      </c>
      <c r="J5851" t="s">
        <v>242</v>
      </c>
      <c r="K5851" t="s">
        <v>14</v>
      </c>
      <c r="L5851" t="s">
        <v>20</v>
      </c>
      <c r="M5851" t="s">
        <v>11615</v>
      </c>
      <c r="N5851" t="s">
        <v>14</v>
      </c>
    </row>
    <row r="5852" x14ac:dyDescent="0.25">
      <c r="A5852" t="n">
        <v>25</v>
      </c>
      <c r="B5852" t="s">
        <v>14</v>
      </c>
      <c r="C5852" t="s">
        <v>51</v>
      </c>
      <c r="D5852" s="2" t="s">
        <f>=HYPERLINK("https://main.knesset.gov.il/APPS/legislation/main/bills/2198995", "הצעת חוק להארכת מועד לקבלת דברי דואר (הוראת שעה), התשפ""ג-2023")</f>
        <v>9766</v>
      </c>
      <c r="E5852" t="s">
        <v>9766</v>
      </c>
      <c r="F5852" t="s">
        <v>11741</v>
      </c>
      <c r="G5852" t="s">
        <v>14</v>
      </c>
      <c r="H5852">
             </c>
      <c r="I5852" t="s">
        <v>14</v>
      </c>
      <c r="J5852" t="s">
        <v>242</v>
      </c>
      <c r="K5852" t="s">
        <v>14</v>
      </c>
      <c r="L5852" t="s">
        <v>20</v>
      </c>
      <c r="M5852" t="s">
        <v>11615</v>
      </c>
      <c r="N5852" t="s">
        <v>14</v>
      </c>
    </row>
    <row r="5853" x14ac:dyDescent="0.25">
      <c r="A5853" t="n">
        <v>25</v>
      </c>
      <c r="B5853" t="s">
        <v>14</v>
      </c>
      <c r="C5853" t="s">
        <v>51</v>
      </c>
      <c r="D5853" s="2" t="s">
        <f>=HYPERLINK("https://main.knesset.gov.il/APPS/legislation/main/bills/2199432", "הצעת חוק הגנת הצרכן (תיקון - איסור גביית תשלום בכרטיסי חיוב בלבד), התשפ""ג-2023")</f>
        <v>7216</v>
      </c>
      <c r="E5853" t="s">
        <v>7216</v>
      </c>
      <c r="F5853" t="s">
        <v>11742</v>
      </c>
      <c r="G5853" t="s">
        <v>14</v>
      </c>
      <c r="H5853">
             </c>
      <c r="I5853" t="s">
        <v>14</v>
      </c>
      <c r="J5853" t="s">
        <v>242</v>
      </c>
      <c r="K5853" t="s">
        <v>14</v>
      </c>
      <c r="L5853" t="s">
        <v>20</v>
      </c>
      <c r="M5853" t="s">
        <v>11615</v>
      </c>
      <c r="N5853" t="s">
        <v>14</v>
      </c>
    </row>
    <row r="5854" x14ac:dyDescent="0.25">
      <c r="A5854" t="n">
        <v>25</v>
      </c>
      <c r="B5854" t="s">
        <v>14</v>
      </c>
      <c r="C5854" t="s">
        <v>51</v>
      </c>
      <c r="D5854" s="2" t="s">
        <f>=HYPERLINK("https://main.knesset.gov.il/APPS/legislation/main/bills/2199591", "הצעת חוק הרישום למוסדות להשכלה גבוהה, התשפ""ג-2023")</f>
        <v>11743</v>
      </c>
      <c r="E5854" t="s">
        <v>11743</v>
      </c>
      <c r="F5854" t="s">
        <v>11744</v>
      </c>
      <c r="G5854" t="s">
        <v>14</v>
      </c>
      <c r="H5854">
             </c>
      <c r="I5854" t="s">
        <v>14</v>
      </c>
      <c r="J5854" t="s">
        <v>242</v>
      </c>
      <c r="K5854" t="s">
        <v>14</v>
      </c>
      <c r="L5854" t="s">
        <v>20</v>
      </c>
      <c r="M5854" t="s">
        <v>11615</v>
      </c>
      <c r="N5854" t="s">
        <v>14</v>
      </c>
    </row>
    <row r="5855" x14ac:dyDescent="0.25">
      <c r="A5855" t="n">
        <v>25</v>
      </c>
      <c r="B5855" t="s">
        <v>14</v>
      </c>
      <c r="C5855" t="s">
        <v>51</v>
      </c>
      <c r="D5855" s="2" t="s">
        <f>=HYPERLINK("https://main.knesset.gov.il/APPS/legislation/main/bills/2199429", "הצעת חוק התכנון והבנייה (תיקון - איסור שימוש ברכב או ציוד מכני הנדסי), התשפ""ג-2023")</f>
        <v>11745</v>
      </c>
      <c r="E5855" t="s">
        <v>11745</v>
      </c>
      <c r="F5855" t="s">
        <v>11746</v>
      </c>
      <c r="G5855" t="s">
        <v>14</v>
      </c>
      <c r="H5855">
             </c>
      <c r="I5855" t="s">
        <v>14</v>
      </c>
      <c r="J5855" t="s">
        <v>242</v>
      </c>
      <c r="K5855" t="s">
        <v>14</v>
      </c>
      <c r="L5855" t="s">
        <v>20</v>
      </c>
      <c r="M5855" t="s">
        <v>11615</v>
      </c>
      <c r="N5855" t="s">
        <v>14</v>
      </c>
    </row>
    <row r="5856" x14ac:dyDescent="0.25">
      <c r="A5856" t="n">
        <v>25</v>
      </c>
      <c r="B5856" t="s">
        <v>14</v>
      </c>
      <c r="C5856" t="s">
        <v>51</v>
      </c>
      <c r="D5856" s="2" t="s">
        <f>=HYPERLINK("https://main.knesset.gov.il/APPS/legislation/main/bills/2199438", "הצעת חוק הגנת הצרכן (תיקון - הגבלות על מכירה מיוחדת), התשפ""ג-2023")</f>
        <v>10086</v>
      </c>
      <c r="E5856" t="s">
        <v>10086</v>
      </c>
      <c r="F5856" t="s">
        <v>11747</v>
      </c>
      <c r="G5856" t="s">
        <v>14</v>
      </c>
      <c r="H5856">
             </c>
      <c r="I5856" t="s">
        <v>14</v>
      </c>
      <c r="J5856" t="s">
        <v>242</v>
      </c>
      <c r="K5856" t="s">
        <v>14</v>
      </c>
      <c r="L5856" t="s">
        <v>20</v>
      </c>
      <c r="M5856" t="s">
        <v>11615</v>
      </c>
      <c r="N5856" t="s">
        <v>14</v>
      </c>
    </row>
    <row r="5857" x14ac:dyDescent="0.25">
      <c r="A5857" t="n">
        <v>25</v>
      </c>
      <c r="B5857" t="s">
        <v>14</v>
      </c>
      <c r="C5857" t="s">
        <v>51</v>
      </c>
      <c r="D5857" s="2" t="s">
        <f>=HYPERLINK("https://main.knesset.gov.il/APPS/legislation/main/bills/2199707", "הצעת חוק הגנת הצרכן (תיקון - השוואת תנאי צרכן ונותן שירות בעניין החזרת טובין), התשפ""ג-2023")</f>
        <v>11748</v>
      </c>
      <c r="E5857" t="s">
        <v>11748</v>
      </c>
      <c r="F5857" t="s">
        <v>11749</v>
      </c>
      <c r="G5857" t="s">
        <v>14</v>
      </c>
      <c r="H5857">
             </c>
      <c r="I5857" t="s">
        <v>14</v>
      </c>
      <c r="J5857" t="s">
        <v>242</v>
      </c>
      <c r="K5857" t="s">
        <v>14</v>
      </c>
      <c r="L5857" t="s">
        <v>20</v>
      </c>
      <c r="M5857" t="s">
        <v>11615</v>
      </c>
      <c r="N5857" t="s">
        <v>14</v>
      </c>
    </row>
    <row r="5858" x14ac:dyDescent="0.25">
      <c r="A5858" t="n">
        <v>25</v>
      </c>
      <c r="B5858" t="s">
        <v>14</v>
      </c>
      <c r="C5858" t="s">
        <v>51</v>
      </c>
      <c r="D5858" s="2" t="s">
        <f>=HYPERLINK("https://main.knesset.gov.il/APPS/legislation/main/bills/2199708", "הצעת חוק הגנת הצרכן (תיקון - שינוי פרטים בכרטיס טיסה או בכרטיס לשיט), התשפ""ג-2023")</f>
        <v>9858</v>
      </c>
      <c r="E5858" t="s">
        <v>9858</v>
      </c>
      <c r="F5858" t="s">
        <v>11750</v>
      </c>
      <c r="G5858" t="s">
        <v>14</v>
      </c>
      <c r="H5858">
             </c>
      <c r="I5858" t="s">
        <v>14</v>
      </c>
      <c r="J5858" t="s">
        <v>242</v>
      </c>
      <c r="K5858" t="s">
        <v>14</v>
      </c>
      <c r="L5858" t="s">
        <v>20</v>
      </c>
      <c r="M5858" t="s">
        <v>11615</v>
      </c>
      <c r="N5858" t="s">
        <v>14</v>
      </c>
    </row>
    <row r="5859" x14ac:dyDescent="0.25">
      <c r="A5859" t="n">
        <v>25</v>
      </c>
      <c r="B5859" t="s">
        <v>14</v>
      </c>
      <c r="C5859" t="s">
        <v>51</v>
      </c>
      <c r="D5859" s="2" t="s">
        <f>=HYPERLINK("https://main.knesset.gov.il/APPS/legislation/main/bills/2199000", "הצעת חוק הסדרת העיסוק במקצועות הבריאות (תיקון - הסדרת העיסוק בניתוח התנהגות), התשפ""ג-2023")</f>
        <v>9706</v>
      </c>
      <c r="E5859" t="s">
        <v>9706</v>
      </c>
      <c r="F5859" t="s">
        <v>11751</v>
      </c>
      <c r="G5859" t="s">
        <v>14</v>
      </c>
      <c r="H5859">
             </c>
      <c r="I5859" t="s">
        <v>14</v>
      </c>
      <c r="J5859" t="s">
        <v>242</v>
      </c>
      <c r="K5859" t="s">
        <v>14</v>
      </c>
      <c r="L5859" t="s">
        <v>20</v>
      </c>
      <c r="M5859" t="s">
        <v>11615</v>
      </c>
      <c r="N5859" t="s">
        <v>14</v>
      </c>
    </row>
    <row r="5860" x14ac:dyDescent="0.25">
      <c r="A5860" t="n">
        <v>25</v>
      </c>
      <c r="B5860" t="s">
        <v>14</v>
      </c>
      <c r="C5860" t="s">
        <v>51</v>
      </c>
      <c r="D5860" s="2" t="s">
        <f>=HYPERLINK("https://main.knesset.gov.il/APPS/legislation/main/bills/2199186", "הצעת חוק דמי מחלה (תיקון - איסור פיטורים בעת היעדרות בשל מחלת ילד), התשפ""ג-2023")</f>
        <v>11752</v>
      </c>
      <c r="E5860" t="s">
        <v>11752</v>
      </c>
      <c r="F5860" t="s">
        <v>11753</v>
      </c>
      <c r="G5860" t="s">
        <v>14</v>
      </c>
      <c r="H5860">
             </c>
      <c r="I5860" t="s">
        <v>14</v>
      </c>
      <c r="J5860" t="s">
        <v>242</v>
      </c>
      <c r="K5860" t="s">
        <v>14</v>
      </c>
      <c r="L5860" t="s">
        <v>20</v>
      </c>
      <c r="M5860" t="s">
        <v>11615</v>
      </c>
      <c r="N5860" t="s">
        <v>14</v>
      </c>
    </row>
    <row r="5861" x14ac:dyDescent="0.25">
      <c r="A5861" t="n">
        <v>25</v>
      </c>
      <c r="B5861" t="s">
        <v>14</v>
      </c>
      <c r="C5861" t="s">
        <v>51</v>
      </c>
      <c r="D5861" s="2" t="s">
        <f>=HYPERLINK("https://main.knesset.gov.il/APPS/legislation/main/bills/2196577", "הצעת חוק הסכמים קיבוציים (תיקון - סייג לגביית דמי חבר ודמי טיפול מקצועי-ארגוני בארגון עובדים), התשפ""ג-2023")</f>
        <v>10598</v>
      </c>
      <c r="E5861" t="s">
        <v>10598</v>
      </c>
      <c r="F5861" t="s">
        <v>11754</v>
      </c>
      <c r="G5861" t="s">
        <v>14</v>
      </c>
      <c r="H5861">
             </c>
      <c r="I5861" t="s">
        <v>14</v>
      </c>
      <c r="J5861" t="s">
        <v>242</v>
      </c>
      <c r="K5861" t="s">
        <v>14</v>
      </c>
      <c r="L5861" t="s">
        <v>20</v>
      </c>
      <c r="M5861" t="s">
        <v>11615</v>
      </c>
      <c r="N5861" t="s">
        <v>14</v>
      </c>
    </row>
    <row r="5862" x14ac:dyDescent="0.25">
      <c r="A5862" t="n">
        <v>25</v>
      </c>
      <c r="B5862" t="s">
        <v>14</v>
      </c>
      <c r="C5862" t="s">
        <v>51</v>
      </c>
      <c r="D5862" s="2" t="s">
        <f>=HYPERLINK("https://main.knesset.gov.il/APPS/legislation/main/bills/2198993", "הצעת חוק דמי מחלה (היעדרות בשל מחלת ילד) (תיקון - מחלת תינוק), התשפ""ג-2023")</f>
        <v>10027</v>
      </c>
      <c r="E5862" t="s">
        <v>10027</v>
      </c>
      <c r="F5862" t="s">
        <v>11755</v>
      </c>
      <c r="G5862" t="s">
        <v>14</v>
      </c>
      <c r="H5862">
             </c>
      <c r="I5862" t="s">
        <v>14</v>
      </c>
      <c r="J5862" t="s">
        <v>242</v>
      </c>
      <c r="K5862" t="s">
        <v>14</v>
      </c>
      <c r="L5862" t="s">
        <v>20</v>
      </c>
      <c r="M5862" t="s">
        <v>11615</v>
      </c>
      <c r="N5862" t="s">
        <v>14</v>
      </c>
    </row>
    <row r="5863" x14ac:dyDescent="0.25">
      <c r="A5863" t="n">
        <v>25</v>
      </c>
      <c r="B5863" t="s">
        <v>14</v>
      </c>
      <c r="C5863" t="s">
        <v>51</v>
      </c>
      <c r="D5863" s="2" t="s">
        <f>=HYPERLINK("https://main.knesset.gov.il/APPS/legislation/main/bills/2199647", "הצעת חוק הגנת הצרכן (תיקון - ביטול אפשרות להארכה אוטומטית של עסקה לתקופה קצובה), התשפ""ג-2023")</f>
        <v>11756</v>
      </c>
      <c r="E5863" t="s">
        <v>11756</v>
      </c>
      <c r="F5863" t="s">
        <v>11757</v>
      </c>
      <c r="G5863" t="s">
        <v>14</v>
      </c>
      <c r="H5863">
             </c>
      <c r="I5863" t="s">
        <v>14</v>
      </c>
      <c r="J5863" t="s">
        <v>242</v>
      </c>
      <c r="K5863" t="s">
        <v>14</v>
      </c>
      <c r="L5863" t="s">
        <v>20</v>
      </c>
      <c r="M5863" t="s">
        <v>11615</v>
      </c>
      <c r="N5863" t="s">
        <v>14</v>
      </c>
    </row>
    <row r="5864" x14ac:dyDescent="0.25">
      <c r="A5864" t="n">
        <v>25</v>
      </c>
      <c r="B5864" t="s">
        <v>14</v>
      </c>
      <c r="C5864" t="s">
        <v>51</v>
      </c>
      <c r="D5864" s="2" t="s">
        <f>=HYPERLINK("https://main.knesset.gov.il/APPS/legislation/main/bills/2199677", "הצעת חוק טיפול בחולי נפש (תיקון - תנאי אשפוז הולמים), התשפ""ג-2023")</f>
        <v>8269</v>
      </c>
      <c r="E5864" t="s">
        <v>8269</v>
      </c>
      <c r="F5864" t="s">
        <v>11758</v>
      </c>
      <c r="G5864" t="s">
        <v>14</v>
      </c>
      <c r="H5864">
             </c>
      <c r="I5864" t="s">
        <v>14</v>
      </c>
      <c r="J5864" t="s">
        <v>242</v>
      </c>
      <c r="K5864" t="s">
        <v>14</v>
      </c>
      <c r="L5864" t="s">
        <v>20</v>
      </c>
      <c r="M5864" t="s">
        <v>11615</v>
      </c>
      <c r="N5864" t="s">
        <v>14</v>
      </c>
    </row>
    <row r="5865" x14ac:dyDescent="0.25">
      <c r="A5865" t="n">
        <v>25</v>
      </c>
      <c r="B5865" t="s">
        <v>14</v>
      </c>
      <c r="C5865" t="s">
        <v>51</v>
      </c>
      <c r="D5865" s="2" t="s">
        <f>=HYPERLINK("https://main.knesset.gov.il/APPS/legislation/main/bills/2199227", "הצעת חוק ביטוח בריאות ממלכתי (תיקון - תנאים להחלפת תרופה, טיפול, מטפל, נותן שירותים או מוסד רפואי), התשפ""ג-2023")</f>
        <v>11759</v>
      </c>
      <c r="E5865" t="s">
        <v>11759</v>
      </c>
      <c r="F5865" t="s">
        <v>11760</v>
      </c>
      <c r="G5865" t="s">
        <v>14</v>
      </c>
      <c r="H5865">
             </c>
      <c r="I5865" t="s">
        <v>14</v>
      </c>
      <c r="J5865" t="s">
        <v>242</v>
      </c>
      <c r="K5865" t="s">
        <v>14</v>
      </c>
      <c r="L5865" t="s">
        <v>20</v>
      </c>
      <c r="M5865" t="s">
        <v>11615</v>
      </c>
      <c r="N5865" t="s">
        <v>14</v>
      </c>
    </row>
    <row r="5866" x14ac:dyDescent="0.25">
      <c r="A5866" t="n">
        <v>25</v>
      </c>
      <c r="B5866" t="s">
        <v>14</v>
      </c>
      <c r="C5866" t="s">
        <v>51</v>
      </c>
      <c r="D5866" s="2" t="s">
        <f>=HYPERLINK("https://main.knesset.gov.il/APPS/legislation/main/bills/2198792", "הצעת חוק טיפול בחולי נפש (תיקון - תנאי אשפוז הולמים), התשפ""ג-2023")</f>
        <v>8269</v>
      </c>
      <c r="E5866" t="s">
        <v>8269</v>
      </c>
      <c r="F5866" t="s">
        <v>11761</v>
      </c>
      <c r="G5866" t="s">
        <v>14</v>
      </c>
      <c r="H5866">
             </c>
      <c r="I5866" t="s">
        <v>14</v>
      </c>
      <c r="J5866" t="s">
        <v>242</v>
      </c>
      <c r="K5866" t="s">
        <v>14</v>
      </c>
      <c r="L5866" t="s">
        <v>20</v>
      </c>
      <c r="M5866" t="s">
        <v>11615</v>
      </c>
      <c r="N5866" t="s">
        <v>14</v>
      </c>
    </row>
    <row r="5867" x14ac:dyDescent="0.25">
      <c r="A5867" t="n">
        <v>25</v>
      </c>
      <c r="B5867" t="s">
        <v>14</v>
      </c>
      <c r="C5867" t="s">
        <v>51</v>
      </c>
      <c r="D5867" s="2" t="s">
        <f>=HYPERLINK("https://main.knesset.gov.il/APPS/legislation/main/bills/2198884", "הצעת חוק החקלאות, התשפ""ג-2023 ")</f>
        <v>11762</v>
      </c>
      <c r="E5867" t="s">
        <v>11762</v>
      </c>
      <c r="F5867" t="s">
        <v>11763</v>
      </c>
      <c r="G5867" t="s">
        <v>14</v>
      </c>
      <c r="H5867">
             </c>
      <c r="I5867" t="s">
        <v>14</v>
      </c>
      <c r="J5867" t="s">
        <v>242</v>
      </c>
      <c r="K5867" t="s">
        <v>14</v>
      </c>
      <c r="L5867" t="s">
        <v>20</v>
      </c>
      <c r="M5867" t="s">
        <v>11615</v>
      </c>
      <c r="N5867" t="s">
        <v>14</v>
      </c>
    </row>
    <row r="5868" x14ac:dyDescent="0.25">
      <c r="A5868" t="n">
        <v>25</v>
      </c>
      <c r="B5868" t="s">
        <v>14</v>
      </c>
      <c r="C5868" t="s">
        <v>51</v>
      </c>
      <c r="D5868" s="2" t="s">
        <f>=HYPERLINK("https://main.knesset.gov.il/APPS/legislation/main/bills/2196568", "הצעת חוק הביטוח הלאומי (תיקון - שיעור ההטבה לפי הסכם בדבר גמלת ניידות), התשפ""ג-2023")</f>
        <v>9851</v>
      </c>
      <c r="E5868" t="s">
        <v>9851</v>
      </c>
      <c r="F5868" t="s">
        <v>11764</v>
      </c>
      <c r="G5868" t="s">
        <v>14</v>
      </c>
      <c r="H5868">
             </c>
      <c r="I5868" t="s">
        <v>14</v>
      </c>
      <c r="J5868" t="s">
        <v>242</v>
      </c>
      <c r="K5868" t="s">
        <v>14</v>
      </c>
      <c r="L5868" t="s">
        <v>20</v>
      </c>
      <c r="M5868" t="s">
        <v>11615</v>
      </c>
      <c r="N5868" t="s">
        <v>14</v>
      </c>
    </row>
    <row r="5869" x14ac:dyDescent="0.25">
      <c r="A5869" t="n">
        <v>25</v>
      </c>
      <c r="B5869" t="s">
        <v>14</v>
      </c>
      <c r="C5869" t="s">
        <v>51</v>
      </c>
      <c r="D5869" s="2" t="s">
        <f>=HYPERLINK("https://main.knesset.gov.il/APPS/legislation/main/bills/2199341", "הצעת חוק לתיקון פקודת מס הכנסה (ניכוי בגין הוצאות טיפול בילדים), התשפ""ג-2023")</f>
        <v>11765</v>
      </c>
      <c r="E5869" t="s">
        <v>11765</v>
      </c>
      <c r="F5869" t="s">
        <v>11766</v>
      </c>
      <c r="G5869" t="s">
        <v>14</v>
      </c>
      <c r="H5869">
             </c>
      <c r="I5869" t="s">
        <v>14</v>
      </c>
      <c r="J5869" t="s">
        <v>242</v>
      </c>
      <c r="K5869" t="s">
        <v>14</v>
      </c>
      <c r="L5869" t="s">
        <v>20</v>
      </c>
      <c r="M5869" t="s">
        <v>11615</v>
      </c>
      <c r="N5869" t="s">
        <v>14</v>
      </c>
    </row>
    <row r="5870" x14ac:dyDescent="0.25">
      <c r="A5870" t="n">
        <v>25</v>
      </c>
      <c r="B5870" t="s">
        <v>14</v>
      </c>
      <c r="C5870" t="s">
        <v>51</v>
      </c>
      <c r="D5870" s="2" t="s">
        <f>=HYPERLINK("https://main.knesset.gov.il/APPS/legislation/main/bills/2199315", "הצעת חוק לתיקון פקודת התעבורה (תמרור סימון על פני הכביש - שימוש באמצעי מונע החלקה), התשפ""ג-2023")</f>
        <v>11767</v>
      </c>
      <c r="E5870" t="s">
        <v>11767</v>
      </c>
      <c r="F5870" t="s">
        <v>11768</v>
      </c>
      <c r="G5870" t="s">
        <v>14</v>
      </c>
      <c r="H5870">
             </c>
      <c r="I5870" t="s">
        <v>14</v>
      </c>
      <c r="J5870" t="s">
        <v>242</v>
      </c>
      <c r="K5870" t="s">
        <v>14</v>
      </c>
      <c r="L5870" t="s">
        <v>20</v>
      </c>
      <c r="M5870" t="s">
        <v>11615</v>
      </c>
      <c r="N5870" t="s">
        <v>14</v>
      </c>
    </row>
    <row r="5871" x14ac:dyDescent="0.25">
      <c r="A5871" t="n">
        <v>25</v>
      </c>
      <c r="B5871" t="s">
        <v>14</v>
      </c>
      <c r="C5871" t="s">
        <v>51</v>
      </c>
      <c r="D5871" s="2" t="s">
        <f>=HYPERLINK("https://main.knesset.gov.il/APPS/legislation/main/bills/2197791", "הצעת חוק שכר מינימום (תיקון - הצמדת שכר המינימום למדד המחירים לצרכן), התשפ""ג-2023")</f>
        <v>11769</v>
      </c>
      <c r="E5871" t="s">
        <v>11769</v>
      </c>
      <c r="F5871" t="s">
        <v>11770</v>
      </c>
      <c r="G5871" t="s">
        <v>14</v>
      </c>
      <c r="H5871">
             </c>
      <c r="I5871" t="s">
        <v>14</v>
      </c>
      <c r="J5871" t="s">
        <v>242</v>
      </c>
      <c r="K5871" t="s">
        <v>14</v>
      </c>
      <c r="L5871" t="s">
        <v>20</v>
      </c>
      <c r="M5871" t="s">
        <v>11615</v>
      </c>
      <c r="N5871" t="s">
        <v>14</v>
      </c>
    </row>
    <row r="5872" x14ac:dyDescent="0.25">
      <c r="A5872" t="n">
        <v>25</v>
      </c>
      <c r="B5872" t="s">
        <v>14</v>
      </c>
      <c r="C5872" t="s">
        <v>51</v>
      </c>
      <c r="D5872" s="2" t="s">
        <f>=HYPERLINK("https://main.knesset.gov.il/APPS/legislation/main/bills/2196212", "הצעת חוק דמי מחלה (היעדרות בשל מחלת ילד) (תיקון - בן זוג לומד), התשפ""ג-2023")</f>
        <v>11771</v>
      </c>
      <c r="E5872" t="s">
        <v>11771</v>
      </c>
      <c r="F5872" t="s">
        <v>11772</v>
      </c>
      <c r="G5872" t="s">
        <v>14</v>
      </c>
      <c r="H5872">
             </c>
      <c r="I5872" t="s">
        <v>14</v>
      </c>
      <c r="J5872" t="s">
        <v>242</v>
      </c>
      <c r="K5872" t="s">
        <v>14</v>
      </c>
      <c r="L5872" t="s">
        <v>20</v>
      </c>
      <c r="M5872" t="s">
        <v>11615</v>
      </c>
      <c r="N5872" t="s">
        <v>14</v>
      </c>
    </row>
    <row r="5873" x14ac:dyDescent="0.25">
      <c r="A5873" t="n">
        <v>25</v>
      </c>
      <c r="B5873" t="s">
        <v>14</v>
      </c>
      <c r="C5873" t="s">
        <v>51</v>
      </c>
      <c r="D5873" s="2" t="s">
        <f>=HYPERLINK("https://main.knesset.gov.il/APPS/legislation/main/bills/2199214", "הצעת חוק כביש אגרה (כביש ארצי לישראל) (תיקון - תנאי לגביית אגרה), התשפ""ג-2023")</f>
        <v>9245</v>
      </c>
      <c r="E5873" t="s">
        <v>9245</v>
      </c>
      <c r="F5873" t="s">
        <v>11773</v>
      </c>
      <c r="G5873" t="s">
        <v>14</v>
      </c>
      <c r="H5873">
             </c>
      <c r="I5873" t="s">
        <v>14</v>
      </c>
      <c r="J5873" t="s">
        <v>242</v>
      </c>
      <c r="K5873" t="s">
        <v>14</v>
      </c>
      <c r="L5873" t="s">
        <v>20</v>
      </c>
      <c r="M5873" t="s">
        <v>11615</v>
      </c>
      <c r="N5873" t="s">
        <v>14</v>
      </c>
    </row>
    <row r="5874" x14ac:dyDescent="0.25">
      <c r="A5874" t="n">
        <v>25</v>
      </c>
      <c r="B5874" t="s">
        <v>14</v>
      </c>
      <c r="C5874" t="s">
        <v>51</v>
      </c>
      <c r="D5874" s="2" t="s">
        <f>=HYPERLINK("https://main.knesset.gov.il/APPS/legislation/main/bills/2199612", "הצעת חוק הפיקוח על מעונות יום לפעוטות (תיקון - חובת החזקת ערכת עזרה ראשונה), התשפ""ג-2023")</f>
        <v>11774</v>
      </c>
      <c r="E5874" t="s">
        <v>11774</v>
      </c>
      <c r="F5874" t="s">
        <v>11775</v>
      </c>
      <c r="G5874" t="s">
        <v>14</v>
      </c>
      <c r="H5874">
             </c>
      <c r="I5874" t="s">
        <v>14</v>
      </c>
      <c r="J5874" t="s">
        <v>242</v>
      </c>
      <c r="K5874" t="s">
        <v>14</v>
      </c>
      <c r="L5874" t="s">
        <v>20</v>
      </c>
      <c r="M5874" t="s">
        <v>11615</v>
      </c>
      <c r="N5874" t="s">
        <v>14</v>
      </c>
    </row>
    <row r="5875" x14ac:dyDescent="0.25">
      <c r="A5875" t="n">
        <v>25</v>
      </c>
      <c r="B5875" t="s">
        <v>14</v>
      </c>
      <c r="C5875" t="s">
        <v>51</v>
      </c>
      <c r="D5875" s="2" t="s">
        <f>=HYPERLINK("https://main.knesset.gov.il/APPS/legislation/main/bills/2199469", "הצעת חוק לתיקון פקודת התעבורה (הסדרי תנועה בקרבת בית ספר), התשפ""ג-2023")</f>
        <v>11776</v>
      </c>
      <c r="E5875" t="s">
        <v>11776</v>
      </c>
      <c r="F5875" t="s">
        <v>11777</v>
      </c>
      <c r="G5875" t="s">
        <v>14</v>
      </c>
      <c r="H5875">
             </c>
      <c r="I5875" t="s">
        <v>14</v>
      </c>
      <c r="J5875" t="s">
        <v>242</v>
      </c>
      <c r="K5875" t="s">
        <v>14</v>
      </c>
      <c r="L5875" t="s">
        <v>20</v>
      </c>
      <c r="M5875" t="s">
        <v>11615</v>
      </c>
      <c r="N5875" t="s">
        <v>14</v>
      </c>
    </row>
    <row r="5876" x14ac:dyDescent="0.25">
      <c r="A5876" t="n">
        <v>25</v>
      </c>
      <c r="B5876" t="s">
        <v>14</v>
      </c>
      <c r="C5876" t="s">
        <v>51</v>
      </c>
      <c r="D5876" s="2" t="s">
        <f>=HYPERLINK("https://main.knesset.gov.il/APPS/legislation/main/bills/2198992", "הצעת חוק חניה לנכים (תיקון - החלטה בבקשה לתג נכה), התשפ""ג-2023")</f>
        <v>8678</v>
      </c>
      <c r="E5876" t="s">
        <v>8678</v>
      </c>
      <c r="F5876" t="s">
        <v>11778</v>
      </c>
      <c r="G5876" t="s">
        <v>14</v>
      </c>
      <c r="H5876">
             </c>
      <c r="I5876" t="s">
        <v>14</v>
      </c>
      <c r="J5876" t="s">
        <v>242</v>
      </c>
      <c r="K5876" t="s">
        <v>14</v>
      </c>
      <c r="L5876" t="s">
        <v>20</v>
      </c>
      <c r="M5876" t="s">
        <v>11615</v>
      </c>
      <c r="N5876" t="s">
        <v>14</v>
      </c>
    </row>
    <row r="5877" x14ac:dyDescent="0.25">
      <c r="A5877" t="n">
        <v>25</v>
      </c>
      <c r="B5877" t="s">
        <v>14</v>
      </c>
      <c r="C5877" t="s">
        <v>51</v>
      </c>
      <c r="D5877" s="2" t="s">
        <f>=HYPERLINK("https://main.knesset.gov.il/APPS/legislation/main/bills/2199475", "הצעת חוק שמירת הניקיון (תיקון - קרן לשמירת הניקיון), התשפ""ג-2023")</f>
        <v>11779</v>
      </c>
      <c r="E5877" t="s">
        <v>11779</v>
      </c>
      <c r="F5877" t="s">
        <v>11780</v>
      </c>
      <c r="G5877" t="s">
        <v>14</v>
      </c>
      <c r="H5877">
             </c>
      <c r="I5877" t="s">
        <v>14</v>
      </c>
      <c r="J5877" t="s">
        <v>242</v>
      </c>
      <c r="K5877" t="s">
        <v>14</v>
      </c>
      <c r="L5877" t="s">
        <v>20</v>
      </c>
      <c r="M5877" t="s">
        <v>11615</v>
      </c>
      <c r="N5877" t="s">
        <v>14</v>
      </c>
    </row>
    <row r="5878" x14ac:dyDescent="0.25">
      <c r="A5878" t="n">
        <v>25</v>
      </c>
      <c r="B5878" t="s">
        <v>14</v>
      </c>
      <c r="C5878" t="s">
        <v>51</v>
      </c>
      <c r="D5878" s="2" t="s">
        <f>=HYPERLINK("https://main.knesset.gov.il/APPS/legislation/main/bills/2199701", "הצעת חוק צער בעלי חיים (הגנה על בעלי חיים) (תיקון - איסור משלוחים חיים לשחיטה), התשפ""ג-2023")</f>
        <v>11585</v>
      </c>
      <c r="E5878" t="s">
        <v>11585</v>
      </c>
      <c r="F5878" t="s">
        <v>11781</v>
      </c>
      <c r="G5878" t="s">
        <v>14</v>
      </c>
      <c r="H5878">
             </c>
      <c r="I5878" t="s">
        <v>14</v>
      </c>
      <c r="J5878" t="s">
        <v>242</v>
      </c>
      <c r="K5878" t="s">
        <v>14</v>
      </c>
      <c r="L5878" t="s">
        <v>20</v>
      </c>
      <c r="M5878" t="s">
        <v>11615</v>
      </c>
      <c r="N5878" t="s">
        <v>14</v>
      </c>
    </row>
    <row r="5879" x14ac:dyDescent="0.25">
      <c r="A5879" t="n">
        <v>25</v>
      </c>
      <c r="B5879" t="s">
        <v>14</v>
      </c>
      <c r="C5879" t="s">
        <v>51</v>
      </c>
      <c r="D5879" s="2" t="s">
        <f>=HYPERLINK("https://main.knesset.gov.il/APPS/legislation/main/bills/2199192", "הצעת חוק הבלו על דלק (תיקון - הגבלת שיעור המס על הדלק), התשפ""ג-2023")</f>
        <v>9625</v>
      </c>
      <c r="E5879" t="s">
        <v>9625</v>
      </c>
      <c r="F5879" t="s">
        <v>11782</v>
      </c>
      <c r="G5879" t="s">
        <v>14</v>
      </c>
      <c r="H5879">
             </c>
      <c r="I5879" t="s">
        <v>14</v>
      </c>
      <c r="J5879" t="s">
        <v>242</v>
      </c>
      <c r="K5879" t="s">
        <v>14</v>
      </c>
      <c r="L5879" t="s">
        <v>20</v>
      </c>
      <c r="M5879" t="s">
        <v>11615</v>
      </c>
      <c r="N5879" t="s">
        <v>14</v>
      </c>
    </row>
    <row r="5880" x14ac:dyDescent="0.25">
      <c r="A5880" t="n">
        <v>25</v>
      </c>
      <c r="B5880" t="s">
        <v>14</v>
      </c>
      <c r="C5880" t="s">
        <v>51</v>
      </c>
      <c r="D5880" s="2" t="s">
        <f>=HYPERLINK("https://main.knesset.gov.il/APPS/legislation/main/bills/2198972", "הצעת חוק הסכמים קיבוציים (תיקון - אי-תחולה על עובד זר בענף החקלאות), התשפ""ג-2023")</f>
        <v>11783</v>
      </c>
      <c r="E5880" t="s">
        <v>11783</v>
      </c>
      <c r="F5880" t="s">
        <v>11784</v>
      </c>
      <c r="G5880" t="s">
        <v>14</v>
      </c>
      <c r="H5880">
             </c>
      <c r="I5880" t="s">
        <v>14</v>
      </c>
      <c r="J5880" t="s">
        <v>242</v>
      </c>
      <c r="K5880" t="s">
        <v>14</v>
      </c>
      <c r="L5880" t="s">
        <v>20</v>
      </c>
      <c r="M5880" t="s">
        <v>11615</v>
      </c>
      <c r="N5880" t="s">
        <v>14</v>
      </c>
    </row>
    <row r="5881" x14ac:dyDescent="0.25">
      <c r="A5881" t="n">
        <v>25</v>
      </c>
      <c r="B5881" t="s">
        <v>14</v>
      </c>
      <c r="C5881" t="s">
        <v>51</v>
      </c>
      <c r="D5881" s="2" t="s">
        <f>=HYPERLINK("https://main.knesset.gov.il/APPS/legislation/main/bills/2196352", "הצעת חוק שעות עבודה ומנוחה (תיקון - תשלום בעד שעות המנוחה השבועית), התשפ""ג-2023")</f>
        <v>11785</v>
      </c>
      <c r="E5881" t="s">
        <v>11785</v>
      </c>
      <c r="F5881" t="s">
        <v>11786</v>
      </c>
      <c r="G5881" t="s">
        <v>14</v>
      </c>
      <c r="H5881">
             </c>
      <c r="I5881" t="s">
        <v>14</v>
      </c>
      <c r="J5881" t="s">
        <v>242</v>
      </c>
      <c r="K5881" t="s">
        <v>14</v>
      </c>
      <c r="L5881" t="s">
        <v>20</v>
      </c>
      <c r="M5881" t="s">
        <v>11615</v>
      </c>
      <c r="N5881" t="s">
        <v>14</v>
      </c>
    </row>
    <row r="5882" x14ac:dyDescent="0.25">
      <c r="A5882" t="n">
        <v>25</v>
      </c>
      <c r="B5882" t="s">
        <v>14</v>
      </c>
      <c r="C5882" t="s">
        <v>51</v>
      </c>
      <c r="D5882" s="2" t="s">
        <f>=HYPERLINK("https://main.knesset.gov.il/APPS/legislation/main/bills/2199355", "הצעת חוק הגנת הצרכן (תיקון - מענה אנושי בשירות טלפוני לאזרח ותיק), התשפ""ג-2023")</f>
        <v>5541</v>
      </c>
      <c r="E5882" t="s">
        <v>5541</v>
      </c>
      <c r="F5882" t="s">
        <v>11787</v>
      </c>
      <c r="G5882" t="s">
        <v>14</v>
      </c>
      <c r="H5882">
             </c>
      <c r="I5882" t="s">
        <v>14</v>
      </c>
      <c r="J5882" t="s">
        <v>242</v>
      </c>
      <c r="K5882" t="s">
        <v>14</v>
      </c>
      <c r="L5882" t="s">
        <v>20</v>
      </c>
      <c r="M5882" t="s">
        <v>11615</v>
      </c>
      <c r="N5882" t="s">
        <v>14</v>
      </c>
    </row>
    <row r="5883" x14ac:dyDescent="0.25">
      <c r="A5883" t="n">
        <v>25</v>
      </c>
      <c r="B5883" t="s">
        <v>14</v>
      </c>
      <c r="C5883" t="s">
        <v>51</v>
      </c>
      <c r="D5883" s="2" t="s">
        <f>=HYPERLINK("https://main.knesset.gov.il/APPS/legislation/main/bills/2198989", "הצעת חוק המים (תיקון - הנחות לאוכלוסיות זכאיות), התשפ""ג-2023")</f>
        <v>11470</v>
      </c>
      <c r="E5883" t="s">
        <v>11470</v>
      </c>
      <c r="F5883" t="s">
        <v>11788</v>
      </c>
      <c r="G5883" t="s">
        <v>14</v>
      </c>
      <c r="H5883">
             </c>
      <c r="I5883" t="s">
        <v>14</v>
      </c>
      <c r="J5883" t="s">
        <v>242</v>
      </c>
      <c r="K5883" t="s">
        <v>14</v>
      </c>
      <c r="L5883" t="s">
        <v>20</v>
      </c>
      <c r="M5883" t="s">
        <v>11615</v>
      </c>
      <c r="N5883" t="s">
        <v>14</v>
      </c>
    </row>
    <row r="5884" x14ac:dyDescent="0.25">
      <c r="A5884" t="n">
        <v>25</v>
      </c>
      <c r="B5884" t="s">
        <v>14</v>
      </c>
      <c r="C5884" t="s">
        <v>51</v>
      </c>
      <c r="D5884" s="2" t="s">
        <f>=HYPERLINK("https://main.knesset.gov.il/APPS/legislation/main/bills/2199225", "הצעת חוק התגמולים לנפגעי פעולות שנאה, התשפ""ג-2023")</f>
        <v>1695</v>
      </c>
      <c r="E5884" t="s">
        <v>1695</v>
      </c>
      <c r="F5884" t="s">
        <v>11789</v>
      </c>
      <c r="G5884" t="s">
        <v>14</v>
      </c>
      <c r="H5884">
             </c>
      <c r="I5884" t="s">
        <v>14</v>
      </c>
      <c r="J5884" t="s">
        <v>242</v>
      </c>
      <c r="K5884" t="s">
        <v>14</v>
      </c>
      <c r="L5884" t="s">
        <v>20</v>
      </c>
      <c r="M5884" t="s">
        <v>11615</v>
      </c>
      <c r="N5884" t="s">
        <v>14</v>
      </c>
    </row>
    <row r="5885" x14ac:dyDescent="0.25">
      <c r="A5885" t="n">
        <v>25</v>
      </c>
      <c r="B5885" t="s">
        <v>14</v>
      </c>
      <c r="C5885" t="s">
        <v>51</v>
      </c>
      <c r="D5885" s="2" t="s">
        <f>=HYPERLINK("https://main.knesset.gov.il/APPS/legislation/main/bills/2196500", "הצעת חוק התאמת אופן ההעסקה של מטפלות במשפחתונים המפוקחים על ידי האגף למעונות יום ומשפחתונים במשרד הכלכלה והתעשייה, התשפ""ג-2023")</f>
        <v>11790</v>
      </c>
      <c r="E5885" t="s">
        <v>11790</v>
      </c>
      <c r="F5885" t="s">
        <v>11791</v>
      </c>
      <c r="G5885" t="s">
        <v>14</v>
      </c>
      <c r="H5885">
             </c>
      <c r="I5885" t="s">
        <v>14</v>
      </c>
      <c r="J5885" t="s">
        <v>242</v>
      </c>
      <c r="K5885" t="s">
        <v>14</v>
      </c>
      <c r="L5885" t="s">
        <v>20</v>
      </c>
      <c r="M5885" t="s">
        <v>11615</v>
      </c>
      <c r="N5885" t="s">
        <v>14</v>
      </c>
    </row>
    <row r="5886" x14ac:dyDescent="0.25">
      <c r="A5886" t="n">
        <v>25</v>
      </c>
      <c r="B5886" t="s">
        <v>14</v>
      </c>
      <c r="C5886" t="s">
        <v>51</v>
      </c>
      <c r="D5886" s="2" t="s">
        <f>=HYPERLINK("https://main.knesset.gov.il/APPS/legislation/main/bills/2198996", "הצעת חוק ביטוח בריאות ממלכתי (תיקון - מחלה נדירה), התשפ""ג-2023")</f>
        <v>9841</v>
      </c>
      <c r="E5886" t="s">
        <v>9841</v>
      </c>
      <c r="F5886" t="s">
        <v>11792</v>
      </c>
      <c r="G5886" t="s">
        <v>14</v>
      </c>
      <c r="H5886">
             </c>
      <c r="I5886" t="s">
        <v>14</v>
      </c>
      <c r="J5886" t="s">
        <v>242</v>
      </c>
      <c r="K5886" t="s">
        <v>14</v>
      </c>
      <c r="L5886" t="s">
        <v>20</v>
      </c>
      <c r="M5886" t="s">
        <v>11615</v>
      </c>
      <c r="N5886" t="s">
        <v>14</v>
      </c>
    </row>
    <row r="5887" x14ac:dyDescent="0.25">
      <c r="A5887" t="n">
        <v>25</v>
      </c>
      <c r="B5887" t="s">
        <v>14</v>
      </c>
      <c r="C5887" t="s">
        <v>51</v>
      </c>
      <c r="D5887" s="2" t="s">
        <f>=HYPERLINK("https://main.knesset.gov.il/APPS/legislation/main/bills/2198846", "הצעת חוק הביטוח הלאומי (תיקון - שמירה חקלאית כעבודה מועדפת), התשפ""ג-2023")</f>
        <v>8497</v>
      </c>
      <c r="E5887" t="s">
        <v>8497</v>
      </c>
      <c r="F5887" t="s">
        <v>11793</v>
      </c>
      <c r="G5887" t="s">
        <v>14</v>
      </c>
      <c r="H5887">
             </c>
      <c r="I5887" t="s">
        <v>14</v>
      </c>
      <c r="J5887" t="s">
        <v>242</v>
      </c>
      <c r="K5887" t="s">
        <v>14</v>
      </c>
      <c r="L5887" t="s">
        <v>20</v>
      </c>
      <c r="M5887" t="s">
        <v>11615</v>
      </c>
      <c r="N5887" t="s">
        <v>14</v>
      </c>
    </row>
    <row r="5888" x14ac:dyDescent="0.25">
      <c r="A5888" t="n">
        <v>25</v>
      </c>
      <c r="B5888" t="s">
        <v>14</v>
      </c>
      <c r="C5888" t="s">
        <v>51</v>
      </c>
      <c r="D5888" s="2" t="s">
        <f>=HYPERLINK("https://main.knesset.gov.il/APPS/legislation/main/bills/2198889", "הצעת חוק התאמת אופן ההעסקה של מטפלות במשפחתונים המפוקחים על ידי האגף למעונות יום ומשפחתונים במשרד הכלכלה והתעשייה, התשפ""ג-2023")</f>
        <v>11790</v>
      </c>
      <c r="E5888" t="s">
        <v>11790</v>
      </c>
      <c r="F5888" t="s">
        <v>11794</v>
      </c>
      <c r="G5888" t="s">
        <v>14</v>
      </c>
      <c r="H5888">
             </c>
      <c r="I5888" t="s">
        <v>14</v>
      </c>
      <c r="J5888" t="s">
        <v>242</v>
      </c>
      <c r="K5888" t="s">
        <v>14</v>
      </c>
      <c r="L5888" t="s">
        <v>20</v>
      </c>
      <c r="M5888" t="s">
        <v>11615</v>
      </c>
      <c r="N5888" t="s">
        <v>14</v>
      </c>
    </row>
    <row r="5889" x14ac:dyDescent="0.25">
      <c r="A5889" t="n">
        <v>25</v>
      </c>
      <c r="B5889" t="s">
        <v>14</v>
      </c>
      <c r="C5889" t="s">
        <v>51</v>
      </c>
      <c r="D5889" s="2" t="s">
        <f>=HYPERLINK("https://main.knesset.gov.il/APPS/legislation/main/bills/2199183", "הצעת חוק הגנת הצרכן (תיקון - איסור התניית עסקה באופן תשלום), התשפ""ג-2023")</f>
        <v>11795</v>
      </c>
      <c r="E5889" t="s">
        <v>11795</v>
      </c>
      <c r="F5889" t="s">
        <v>11796</v>
      </c>
      <c r="G5889" t="s">
        <v>14</v>
      </c>
      <c r="H5889">
             </c>
      <c r="I5889" t="s">
        <v>14</v>
      </c>
      <c r="J5889" t="s">
        <v>242</v>
      </c>
      <c r="K5889" t="s">
        <v>14</v>
      </c>
      <c r="L5889" t="s">
        <v>20</v>
      </c>
      <c r="M5889" t="s">
        <v>11615</v>
      </c>
      <c r="N5889" t="s">
        <v>14</v>
      </c>
    </row>
    <row r="5890" x14ac:dyDescent="0.25">
      <c r="A5890" t="n">
        <v>25</v>
      </c>
      <c r="B5890" t="s">
        <v>14</v>
      </c>
      <c r="C5890" t="s">
        <v>51</v>
      </c>
      <c r="D5890" s="2" t="s">
        <f>=HYPERLINK("https://main.knesset.gov.il/APPS/legislation/main/bills/2198697", "הצעת חוק העונשין (תיקון - סחר בבני אדם למטרות נישואין), התשפ""ג-2023")</f>
        <v>11797</v>
      </c>
      <c r="E5890" t="s">
        <v>11797</v>
      </c>
      <c r="F5890" t="s">
        <v>11798</v>
      </c>
      <c r="G5890" t="s">
        <v>14</v>
      </c>
      <c r="H5890">
             </c>
      <c r="I5890" t="s">
        <v>14</v>
      </c>
      <c r="J5890" t="s">
        <v>242</v>
      </c>
      <c r="K5890" t="s">
        <v>14</v>
      </c>
      <c r="L5890" t="s">
        <v>20</v>
      </c>
      <c r="M5890" t="s">
        <v>11615</v>
      </c>
      <c r="N5890" t="s">
        <v>14</v>
      </c>
    </row>
    <row r="5891" x14ac:dyDescent="0.25">
      <c r="A5891" t="n">
        <v>25</v>
      </c>
      <c r="B5891" t="s">
        <v>14</v>
      </c>
      <c r="C5891" t="s">
        <v>51</v>
      </c>
      <c r="D5891" s="2" t="s">
        <f>=HYPERLINK("https://main.knesset.gov.il/APPS/legislation/main/bills/2199703", "הצעת חוק הספורט (תיקון - ייצוג הולם לאוכלוסייה הערבית), התשפ""ג-2023")</f>
        <v>10231</v>
      </c>
      <c r="E5891" t="s">
        <v>10231</v>
      </c>
      <c r="F5891" t="s">
        <v>11799</v>
      </c>
      <c r="G5891" t="s">
        <v>14</v>
      </c>
      <c r="H5891">
             </c>
      <c r="I5891" t="s">
        <v>14</v>
      </c>
      <c r="J5891" t="s">
        <v>242</v>
      </c>
      <c r="K5891" t="s">
        <v>14</v>
      </c>
      <c r="L5891" t="s">
        <v>20</v>
      </c>
      <c r="M5891" t="s">
        <v>11615</v>
      </c>
      <c r="N5891" t="s">
        <v>14</v>
      </c>
    </row>
    <row r="5892" x14ac:dyDescent="0.25">
      <c r="A5892" t="n">
        <v>25</v>
      </c>
      <c r="B5892" t="s">
        <v>14</v>
      </c>
      <c r="C5892" t="s">
        <v>51</v>
      </c>
      <c r="D5892" s="2" t="s">
        <f>=HYPERLINK("https://main.knesset.gov.il/APPS/legislation/main/bills/2196570", "הצעת חוק יישוב סכסוכי עבודה (תיקון - איסור שביתה ללא הודעה מראש), התשפ""ג-2023")</f>
        <v>11800</v>
      </c>
      <c r="E5892" t="s">
        <v>11800</v>
      </c>
      <c r="F5892" t="s">
        <v>11801</v>
      </c>
      <c r="G5892" t="s">
        <v>14</v>
      </c>
      <c r="H5892">
             </c>
      <c r="I5892" t="s">
        <v>14</v>
      </c>
      <c r="J5892" t="s">
        <v>242</v>
      </c>
      <c r="K5892" t="s">
        <v>14</v>
      </c>
      <c r="L5892" t="s">
        <v>20</v>
      </c>
      <c r="M5892" t="s">
        <v>11615</v>
      </c>
      <c r="N5892" t="s">
        <v>14</v>
      </c>
    </row>
    <row r="5893" x14ac:dyDescent="0.25">
      <c r="A5893" t="n">
        <v>25</v>
      </c>
      <c r="B5893" t="s">
        <v>14</v>
      </c>
      <c r="C5893" t="s">
        <v>51</v>
      </c>
      <c r="D5893" s="2" t="s">
        <f>=HYPERLINK("https://main.knesset.gov.il/APPS/legislation/main/bills/2198922", "הצעת חוק הביטוח הלאומי (תיקון - תגמולים למתנדב בצוות חירום יישובי או שכונתי), התשפ""ג-2023")</f>
        <v>11802</v>
      </c>
      <c r="E5893" t="s">
        <v>11802</v>
      </c>
      <c r="F5893" t="s">
        <v>11803</v>
      </c>
      <c r="G5893" t="s">
        <v>14</v>
      </c>
      <c r="H5893">
             </c>
      <c r="I5893" t="s">
        <v>14</v>
      </c>
      <c r="J5893" t="s">
        <v>242</v>
      </c>
      <c r="K5893" t="s">
        <v>14</v>
      </c>
      <c r="L5893" t="s">
        <v>20</v>
      </c>
      <c r="M5893" t="s">
        <v>11615</v>
      </c>
      <c r="N5893" t="s">
        <v>14</v>
      </c>
    </row>
    <row r="5894" x14ac:dyDescent="0.25">
      <c r="A5894" t="n">
        <v>25</v>
      </c>
      <c r="B5894" t="s">
        <v>14</v>
      </c>
      <c r="C5894" t="s">
        <v>51</v>
      </c>
      <c r="D5894" s="2" t="s">
        <f>=HYPERLINK("https://main.knesset.gov.il/APPS/legislation/main/bills/2198681", "הצעת חוק איסור ניתוק משירותי חשמל, מים וגז (תיקוני חקיקה), התשפ""ג-2023")</f>
        <v>11804</v>
      </c>
      <c r="E5894" t="s">
        <v>11804</v>
      </c>
      <c r="F5894" t="s">
        <v>11805</v>
      </c>
      <c r="G5894" t="s">
        <v>14</v>
      </c>
      <c r="H5894">
             </c>
      <c r="I5894" t="s">
        <v>14</v>
      </c>
      <c r="J5894" t="s">
        <v>242</v>
      </c>
      <c r="K5894" t="s">
        <v>14</v>
      </c>
      <c r="L5894" t="s">
        <v>20</v>
      </c>
      <c r="M5894" t="s">
        <v>11615</v>
      </c>
      <c r="N5894" t="s">
        <v>14</v>
      </c>
    </row>
    <row r="5895" x14ac:dyDescent="0.25">
      <c r="A5895" t="n">
        <v>25</v>
      </c>
      <c r="B5895" t="s">
        <v>14</v>
      </c>
      <c r="C5895" t="s">
        <v>51</v>
      </c>
      <c r="D5895" s="2" t="s">
        <f>=HYPERLINK("https://main.knesset.gov.il/APPS/legislation/main/bills/2199544", "הצעת חוק השבות (תיקון - זכויות בני משפחה), התשפ""ג-2023")</f>
        <v>2986</v>
      </c>
      <c r="E5895" t="s">
        <v>2986</v>
      </c>
      <c r="F5895" t="s">
        <v>11806</v>
      </c>
      <c r="G5895" t="s">
        <v>14</v>
      </c>
      <c r="H5895">
             </c>
      <c r="I5895" t="s">
        <v>14</v>
      </c>
      <c r="J5895" t="s">
        <v>242</v>
      </c>
      <c r="K5895" t="s">
        <v>14</v>
      </c>
      <c r="L5895" t="s">
        <v>20</v>
      </c>
      <c r="M5895" t="s">
        <v>11615</v>
      </c>
      <c r="N5895" t="s">
        <v>14</v>
      </c>
    </row>
    <row r="5896" x14ac:dyDescent="0.25">
      <c r="A5896" t="n">
        <v>25</v>
      </c>
      <c r="B5896" t="s">
        <v>14</v>
      </c>
      <c r="C5896" t="s">
        <v>51</v>
      </c>
      <c r="D5896" s="2" t="s">
        <f>=HYPERLINK("https://main.knesset.gov.il/APPS/legislation/main/bills/2196594", "הצעת חוק ביטוח בריאות ממלכתי (תיקון - בחירה מבין נותני השירותים), התשפ""ג-2023")</f>
        <v>6584</v>
      </c>
      <c r="E5896" t="s">
        <v>6584</v>
      </c>
      <c r="F5896" t="s">
        <v>11807</v>
      </c>
      <c r="G5896" t="s">
        <v>14</v>
      </c>
      <c r="H5896">
             </c>
      <c r="I5896" t="s">
        <v>14</v>
      </c>
      <c r="J5896" t="s">
        <v>242</v>
      </c>
      <c r="K5896" t="s">
        <v>14</v>
      </c>
      <c r="L5896" t="s">
        <v>20</v>
      </c>
      <c r="M5896" t="s">
        <v>11615</v>
      </c>
      <c r="N5896" t="s">
        <v>14</v>
      </c>
    </row>
    <row r="5897" x14ac:dyDescent="0.25">
      <c r="A5897" t="n">
        <v>25</v>
      </c>
      <c r="B5897" t="s">
        <v>14</v>
      </c>
      <c r="C5897" t="s">
        <v>51</v>
      </c>
      <c r="D5897" s="2" t="s">
        <f>=HYPERLINK("https://main.knesset.gov.il/APPS/legislation/main/bills/2196150", "הצעת חוק שיקים ללא כיסוי (תיקון - קביעת סכום מינימום להגבלת חשבון בנק והגבלת לקוח), התשפ""ג-2023")</f>
        <v>9744</v>
      </c>
      <c r="E5897" t="s">
        <v>9744</v>
      </c>
      <c r="F5897" t="s">
        <v>11808</v>
      </c>
      <c r="G5897" t="s">
        <v>14</v>
      </c>
      <c r="H5897">
             </c>
      <c r="I5897" t="s">
        <v>14</v>
      </c>
      <c r="J5897" t="s">
        <v>242</v>
      </c>
      <c r="K5897" t="s">
        <v>14</v>
      </c>
      <c r="L5897" t="s">
        <v>20</v>
      </c>
      <c r="M5897" t="s">
        <v>11615</v>
      </c>
      <c r="N5897" t="s">
        <v>14</v>
      </c>
    </row>
    <row r="5898" x14ac:dyDescent="0.25">
      <c r="A5898" t="n">
        <v>25</v>
      </c>
      <c r="B5898" t="s">
        <v>14</v>
      </c>
      <c r="C5898" t="s">
        <v>51</v>
      </c>
      <c r="D5898" s="2" t="s">
        <f>=HYPERLINK("https://main.knesset.gov.il/APPS/legislation/main/bills/2199001", "הצעת חוק לתיקון פקודת התעבורה (הפחתת גובה קנס בשל תשלום מיידי), התשפ""ג-2023")</f>
        <v>11809</v>
      </c>
      <c r="E5898" t="s">
        <v>11809</v>
      </c>
      <c r="F5898" t="s">
        <v>11810</v>
      </c>
      <c r="G5898" t="s">
        <v>14</v>
      </c>
      <c r="H5898">
             </c>
      <c r="I5898" t="s">
        <v>14</v>
      </c>
      <c r="J5898" t="s">
        <v>242</v>
      </c>
      <c r="K5898" t="s">
        <v>14</v>
      </c>
      <c r="L5898" t="s">
        <v>20</v>
      </c>
      <c r="M5898" t="s">
        <v>11615</v>
      </c>
      <c r="N5898" t="s">
        <v>14</v>
      </c>
    </row>
    <row r="5899" x14ac:dyDescent="0.25">
      <c r="A5899" t="n">
        <v>25</v>
      </c>
      <c r="B5899" t="s">
        <v>14</v>
      </c>
      <c r="C5899" t="s">
        <v>51</v>
      </c>
      <c r="D5899" s="2" t="s">
        <f>=HYPERLINK("https://main.knesset.gov.il/APPS/legislation/main/bills/2197461", "הצעת חוק ביטוח בריאות ממלכתי (תיקון - פטור מתקופת המתנה לסטודנטים הלומדים בחו""ל), התשפ""ג-2023")</f>
        <v>9221</v>
      </c>
      <c r="E5899" t="s">
        <v>9221</v>
      </c>
      <c r="F5899" t="s">
        <v>11811</v>
      </c>
      <c r="G5899" t="s">
        <v>14</v>
      </c>
      <c r="H5899">
             </c>
      <c r="I5899" t="s">
        <v>14</v>
      </c>
      <c r="J5899" t="s">
        <v>242</v>
      </c>
      <c r="K5899" t="s">
        <v>14</v>
      </c>
      <c r="L5899" t="s">
        <v>20</v>
      </c>
      <c r="M5899" t="s">
        <v>11615</v>
      </c>
      <c r="N5899" t="s">
        <v>14</v>
      </c>
    </row>
    <row r="5900" x14ac:dyDescent="0.25">
      <c r="A5900" t="n">
        <v>25</v>
      </c>
      <c r="B5900" t="s">
        <v>14</v>
      </c>
      <c r="C5900" t="s">
        <v>51</v>
      </c>
      <c r="D5900" s="2" t="s">
        <f>=HYPERLINK("https://main.knesset.gov.il/APPS/legislation/main/bills/2196521", "הצעת חוק הביטוח הלאומי (תיקון - פטור מתשלום דמי ביטוח לתלמיד על יסודי), התשפ""ג-2023")</f>
        <v>8247</v>
      </c>
      <c r="E5900" t="s">
        <v>8247</v>
      </c>
      <c r="F5900" t="s">
        <v>11812</v>
      </c>
      <c r="G5900" t="s">
        <v>14</v>
      </c>
      <c r="H5900">
             </c>
      <c r="I5900" t="s">
        <v>14</v>
      </c>
      <c r="J5900" t="s">
        <v>242</v>
      </c>
      <c r="K5900" t="s">
        <v>14</v>
      </c>
      <c r="L5900" t="s">
        <v>20</v>
      </c>
      <c r="M5900" t="s">
        <v>11615</v>
      </c>
      <c r="N5900" t="s">
        <v>14</v>
      </c>
    </row>
    <row r="5901" x14ac:dyDescent="0.25">
      <c r="A5901" t="n">
        <v>25</v>
      </c>
      <c r="B5901" t="s">
        <v>14</v>
      </c>
      <c r="C5901" t="s">
        <v>51</v>
      </c>
      <c r="D5901" s="2" t="s">
        <f>=HYPERLINK("https://main.knesset.gov.il/APPS/legislation/main/bills/2197790", "הצעת חוק האזרחים הוותיקים (תיקון - פטור מתשלום בתחבורה ציבורית), התשפ""ג-2023")</f>
        <v>11813</v>
      </c>
      <c r="E5901" t="s">
        <v>11813</v>
      </c>
      <c r="F5901" t="s">
        <v>11814</v>
      </c>
      <c r="G5901" t="s">
        <v>14</v>
      </c>
      <c r="H5901">
             </c>
      <c r="I5901" t="s">
        <v>14</v>
      </c>
      <c r="J5901" t="s">
        <v>242</v>
      </c>
      <c r="K5901" t="s">
        <v>14</v>
      </c>
      <c r="L5901" t="s">
        <v>20</v>
      </c>
      <c r="M5901" t="s">
        <v>11615</v>
      </c>
      <c r="N5901" t="s">
        <v>14</v>
      </c>
    </row>
    <row r="5902" x14ac:dyDescent="0.25">
      <c r="A5902" t="n">
        <v>25</v>
      </c>
      <c r="B5902" t="s">
        <v>14</v>
      </c>
      <c r="C5902" t="s">
        <v>51</v>
      </c>
      <c r="D5902" s="2" t="s">
        <f>=HYPERLINK("https://main.knesset.gov.il/APPS/legislation/main/bills/2199478", "הצעת חוק חובת המכרזים (תיקון - עידוד עסקים להעסקת בני החברה הערבית והחרדית), התשפ""ג-2023")</f>
        <v>8358</v>
      </c>
      <c r="E5902" t="s">
        <v>8358</v>
      </c>
      <c r="F5902" t="s">
        <v>11815</v>
      </c>
      <c r="G5902" t="s">
        <v>14</v>
      </c>
      <c r="H5902">
             </c>
      <c r="I5902" t="s">
        <v>14</v>
      </c>
      <c r="J5902" t="s">
        <v>242</v>
      </c>
      <c r="K5902" t="s">
        <v>14</v>
      </c>
      <c r="L5902" t="s">
        <v>20</v>
      </c>
      <c r="M5902" t="s">
        <v>11615</v>
      </c>
      <c r="N5902" t="s">
        <v>14</v>
      </c>
    </row>
    <row r="5903" x14ac:dyDescent="0.25">
      <c r="A5903" t="n">
        <v>25</v>
      </c>
      <c r="B5903" t="s">
        <v>14</v>
      </c>
      <c r="C5903" t="s">
        <v>51</v>
      </c>
      <c r="D5903" s="2" t="s">
        <f>=HYPERLINK("https://main.knesset.gov.il/APPS/legislation/main/bills/2198628", "הצעת חוק תשלום פיצויים בשל נזקי אסון טבע, התשפ""ג-2023")</f>
        <v>11816</v>
      </c>
      <c r="E5903" t="s">
        <v>11816</v>
      </c>
      <c r="F5903" t="s">
        <v>11817</v>
      </c>
      <c r="G5903" t="s">
        <v>14</v>
      </c>
      <c r="H5903">
             </c>
      <c r="I5903" t="s">
        <v>14</v>
      </c>
      <c r="J5903" t="s">
        <v>242</v>
      </c>
      <c r="K5903" t="s">
        <v>14</v>
      </c>
      <c r="L5903" t="s">
        <v>20</v>
      </c>
      <c r="M5903" t="s">
        <v>11615</v>
      </c>
      <c r="N5903" t="s">
        <v>14</v>
      </c>
    </row>
    <row r="5904" x14ac:dyDescent="0.25">
      <c r="A5904" t="n">
        <v>25</v>
      </c>
      <c r="B5904" t="s">
        <v>14</v>
      </c>
      <c r="C5904" t="s">
        <v>51</v>
      </c>
      <c r="D5904" s="2" t="s">
        <f>=HYPERLINK("https://main.knesset.gov.il/APPS/legislation/main/bills/2199310", "הצעת חוק חסינות כוחות הביטחון באירועים מבצעיים, התשפ""ג-2023")</f>
        <v>11818</v>
      </c>
      <c r="E5904" t="s">
        <v>11818</v>
      </c>
      <c r="F5904" t="s">
        <v>11819</v>
      </c>
      <c r="G5904" t="s">
        <v>14</v>
      </c>
      <c r="H5904">
             </c>
      <c r="I5904" t="s">
        <v>14</v>
      </c>
      <c r="J5904" t="s">
        <v>242</v>
      </c>
      <c r="K5904" t="s">
        <v>14</v>
      </c>
      <c r="L5904" t="s">
        <v>20</v>
      </c>
      <c r="M5904" t="s">
        <v>11615</v>
      </c>
      <c r="N5904" t="s">
        <v>14</v>
      </c>
    </row>
    <row r="5905" x14ac:dyDescent="0.25">
      <c r="A5905" t="n">
        <v>25</v>
      </c>
      <c r="B5905" t="s">
        <v>14</v>
      </c>
      <c r="C5905" t="s">
        <v>51</v>
      </c>
      <c r="D5905" s="2" t="s">
        <f>=HYPERLINK("https://main.knesset.gov.il/APPS/legislation/main/bills/2198836", "הצעת חוק הכללת חוב עונשי בהפטר (תיקוני חקיקה), התשפ""ג-2023")</f>
        <v>11820</v>
      </c>
      <c r="E5905" t="s">
        <v>11820</v>
      </c>
      <c r="F5905" t="s">
        <v>11821</v>
      </c>
      <c r="G5905" t="s">
        <v>14</v>
      </c>
      <c r="H5905">
             </c>
      <c r="I5905" t="s">
        <v>14</v>
      </c>
      <c r="J5905" t="s">
        <v>242</v>
      </c>
      <c r="K5905" t="s">
        <v>14</v>
      </c>
      <c r="L5905" t="s">
        <v>20</v>
      </c>
      <c r="M5905" t="s">
        <v>11615</v>
      </c>
      <c r="N5905" t="s">
        <v>14</v>
      </c>
    </row>
    <row r="5906" x14ac:dyDescent="0.25">
      <c r="A5906" t="n">
        <v>25</v>
      </c>
      <c r="B5906" t="s">
        <v>14</v>
      </c>
      <c r="C5906" t="s">
        <v>51</v>
      </c>
      <c r="D5906" s="2" t="s">
        <f>=HYPERLINK("https://main.knesset.gov.il/APPS/legislation/main/bills/2198715", "הצעת חוק-יסוד: המיעוט הערבי")</f>
        <v>11822</v>
      </c>
      <c r="E5906" t="s">
        <v>11822</v>
      </c>
      <c r="F5906" t="s">
        <v>11823</v>
      </c>
      <c r="G5906" t="s">
        <v>14</v>
      </c>
      <c r="H5906">
             </c>
      <c r="I5906" t="s">
        <v>14</v>
      </c>
      <c r="J5906" t="s">
        <v>242</v>
      </c>
      <c r="K5906" t="s">
        <v>14</v>
      </c>
      <c r="L5906" t="s">
        <v>20</v>
      </c>
      <c r="M5906" t="s">
        <v>11615</v>
      </c>
      <c r="N5906" t="s">
        <v>14</v>
      </c>
    </row>
    <row r="5907" x14ac:dyDescent="0.25">
      <c r="A5907" t="n">
        <v>25</v>
      </c>
      <c r="B5907" t="s">
        <v>14</v>
      </c>
      <c r="C5907" t="s">
        <v>51</v>
      </c>
      <c r="D5907" s="2" t="s">
        <f>=HYPERLINK("https://main.knesset.gov.il/APPS/legislation/main/bills/2198165", "הצעת חוק לימודי פסיכומטרי, התשפ""ג-2023")</f>
        <v>11824</v>
      </c>
      <c r="E5907" t="s">
        <v>11824</v>
      </c>
      <c r="F5907" t="s">
        <v>11825</v>
      </c>
      <c r="G5907" t="s">
        <v>14</v>
      </c>
      <c r="H5907">
             </c>
      <c r="I5907" t="s">
        <v>14</v>
      </c>
      <c r="J5907" t="s">
        <v>242</v>
      </c>
      <c r="K5907" t="s">
        <v>14</v>
      </c>
      <c r="L5907" t="s">
        <v>20</v>
      </c>
      <c r="M5907" t="s">
        <v>11615</v>
      </c>
      <c r="N5907" t="s">
        <v>14</v>
      </c>
    </row>
    <row r="5908" x14ac:dyDescent="0.25">
      <c r="A5908" t="n">
        <v>25</v>
      </c>
      <c r="B5908" t="s">
        <v>14</v>
      </c>
      <c r="C5908" t="s">
        <v>51</v>
      </c>
      <c r="D5908" s="2" t="s">
        <f>=HYPERLINK("https://main.knesset.gov.il/APPS/legislation/main/bills/2196575", "הצעת חוק ביטוח בריאות ממלכתי (תיקון - העברת מידע בין קופות החולים בעת מעבר תושב), התשפ""ג-2023")</f>
        <v>6354</v>
      </c>
      <c r="E5908" t="s">
        <v>6354</v>
      </c>
      <c r="F5908" t="s">
        <v>11826</v>
      </c>
      <c r="G5908" t="s">
        <v>14</v>
      </c>
      <c r="H5908">
             </c>
      <c r="I5908" t="s">
        <v>14</v>
      </c>
      <c r="J5908" t="s">
        <v>242</v>
      </c>
      <c r="K5908" t="s">
        <v>14</v>
      </c>
      <c r="L5908" t="s">
        <v>20</v>
      </c>
      <c r="M5908" t="s">
        <v>11615</v>
      </c>
      <c r="N5908" t="s">
        <v>14</v>
      </c>
    </row>
    <row r="5909" x14ac:dyDescent="0.25">
      <c r="A5909" t="n">
        <v>25</v>
      </c>
      <c r="B5909" t="s">
        <v>14</v>
      </c>
      <c r="C5909" t="s">
        <v>51</v>
      </c>
      <c r="D5909" s="2" t="s">
        <f>=HYPERLINK("https://main.knesset.gov.il/APPS/legislation/main/bills/2196156", "הצעת חוק לתיקון פקודת הנזיקין (העברת נטל ההוכחה בתביעות בגין הליכים משפטיים שהתמשכו), התשפ""ג-2023")</f>
        <v>11827</v>
      </c>
      <c r="E5909" t="s">
        <v>11827</v>
      </c>
      <c r="F5909" t="s">
        <v>11828</v>
      </c>
      <c r="G5909" t="s">
        <v>14</v>
      </c>
      <c r="H5909">
             </c>
      <c r="I5909" t="s">
        <v>14</v>
      </c>
      <c r="J5909" t="s">
        <v>242</v>
      </c>
      <c r="K5909" t="s">
        <v>14</v>
      </c>
      <c r="L5909" t="s">
        <v>20</v>
      </c>
      <c r="M5909" t="s">
        <v>11615</v>
      </c>
      <c r="N5909" t="s">
        <v>14</v>
      </c>
    </row>
    <row r="5910" x14ac:dyDescent="0.25">
      <c r="A5910" t="n">
        <v>25</v>
      </c>
      <c r="B5910" t="s">
        <v>14</v>
      </c>
      <c r="C5910" t="s">
        <v>51</v>
      </c>
      <c r="D5910" s="2" t="s">
        <f>=HYPERLINK("https://main.knesset.gov.il/APPS/legislation/main/bills/2199386", "הצעת חוק מועצת הצמחים (ייצור ושיווק) (תיקון - ביטול מועצת הצמחים), התשפ""ג-2023")</f>
        <v>10129</v>
      </c>
      <c r="E5910" t="s">
        <v>10129</v>
      </c>
      <c r="F5910" t="s">
        <v>11829</v>
      </c>
      <c r="G5910" t="s">
        <v>14</v>
      </c>
      <c r="H5910">
             </c>
      <c r="I5910" t="s">
        <v>14</v>
      </c>
      <c r="J5910" t="s">
        <v>242</v>
      </c>
      <c r="K5910" t="s">
        <v>14</v>
      </c>
      <c r="L5910" t="s">
        <v>20</v>
      </c>
      <c r="M5910" t="s">
        <v>11615</v>
      </c>
      <c r="N5910" t="s">
        <v>14</v>
      </c>
    </row>
    <row r="5911" x14ac:dyDescent="0.25">
      <c r="A5911" t="n">
        <v>25</v>
      </c>
      <c r="B5911" t="s">
        <v>14</v>
      </c>
      <c r="C5911" t="s">
        <v>51</v>
      </c>
      <c r="D5911" s="2" t="s">
        <f>=HYPERLINK("https://main.knesset.gov.il/APPS/legislation/main/bills/2198512", "הצעת חוק הרשויות המקומיות (יועצת לקידום מעמד האישה) (תיקון - תפקיד וסמכויות), התשפ""ג-2023")</f>
        <v>11830</v>
      </c>
      <c r="E5911" t="s">
        <v>11830</v>
      </c>
      <c r="F5911" t="s">
        <v>11831</v>
      </c>
      <c r="G5911" t="s">
        <v>14</v>
      </c>
      <c r="H5911">
             </c>
      <c r="I5911" t="s">
        <v>14</v>
      </c>
      <c r="J5911" t="s">
        <v>242</v>
      </c>
      <c r="K5911" t="s">
        <v>14</v>
      </c>
      <c r="L5911" t="s">
        <v>20</v>
      </c>
      <c r="M5911" t="s">
        <v>11615</v>
      </c>
      <c r="N5911" t="s">
        <v>14</v>
      </c>
    </row>
    <row r="5912" x14ac:dyDescent="0.25">
      <c r="A5912" t="n">
        <v>25</v>
      </c>
      <c r="B5912" t="s">
        <v>14</v>
      </c>
      <c r="C5912" t="s">
        <v>51</v>
      </c>
      <c r="D5912" s="2" t="s">
        <f>=HYPERLINK("https://main.knesset.gov.il/APPS/legislation/main/bills/2199016", "הצעת חוק הנגשת שירותי קבלת קהל הניתנים בגופי שלטון לשפות נוספות, התשפ""ג-2023")</f>
        <v>9800</v>
      </c>
      <c r="E5912" t="s">
        <v>9800</v>
      </c>
      <c r="F5912" t="s">
        <v>11832</v>
      </c>
      <c r="G5912" t="s">
        <v>14</v>
      </c>
      <c r="H5912">
             </c>
      <c r="I5912" t="s">
        <v>14</v>
      </c>
      <c r="J5912" t="s">
        <v>242</v>
      </c>
      <c r="K5912" t="s">
        <v>14</v>
      </c>
      <c r="L5912" t="s">
        <v>20</v>
      </c>
      <c r="M5912" t="s">
        <v>11615</v>
      </c>
      <c r="N5912" t="s">
        <v>14</v>
      </c>
    </row>
    <row r="5913" x14ac:dyDescent="0.25">
      <c r="A5913" t="n">
        <v>25</v>
      </c>
      <c r="B5913" t="s">
        <v>14</v>
      </c>
      <c r="C5913" t="s">
        <v>51</v>
      </c>
      <c r="D5913" s="2" t="s">
        <f>=HYPERLINK("https://main.knesset.gov.il/APPS/legislation/main/bills/2199334", "הצעת חוק מס רכוש וקרן פיצויים (תיקון - הרחבת הגדרת נזק), התשפ""ג-2023")</f>
        <v>11833</v>
      </c>
      <c r="E5913" t="s">
        <v>11833</v>
      </c>
      <c r="F5913" t="s">
        <v>11834</v>
      </c>
      <c r="G5913" t="s">
        <v>14</v>
      </c>
      <c r="H5913">
             </c>
      <c r="I5913" t="s">
        <v>14</v>
      </c>
      <c r="J5913" t="s">
        <v>242</v>
      </c>
      <c r="K5913" t="s">
        <v>14</v>
      </c>
      <c r="L5913" t="s">
        <v>20</v>
      </c>
      <c r="M5913" t="s">
        <v>11615</v>
      </c>
      <c r="N5913" t="s">
        <v>14</v>
      </c>
    </row>
    <row r="5914" x14ac:dyDescent="0.25">
      <c r="A5914" t="n">
        <v>25</v>
      </c>
      <c r="B5914" t="s">
        <v>14</v>
      </c>
      <c r="C5914" t="s">
        <v>51</v>
      </c>
      <c r="D5914" s="2" t="s">
        <f>=HYPERLINK("https://main.knesset.gov.il/APPS/legislation/main/bills/2198689", "הצעת חוק לתיקון פקודת מס הכנסה (זיכוי בעד לימודי תואר ראשון), התשפ""ג-2023")</f>
        <v>10414</v>
      </c>
      <c r="E5914" t="s">
        <v>10414</v>
      </c>
      <c r="F5914" t="s">
        <v>11835</v>
      </c>
      <c r="G5914" t="s">
        <v>14</v>
      </c>
      <c r="H5914">
             </c>
      <c r="I5914" t="s">
        <v>14</v>
      </c>
      <c r="J5914" t="s">
        <v>242</v>
      </c>
      <c r="K5914" t="s">
        <v>14</v>
      </c>
      <c r="L5914" t="s">
        <v>20</v>
      </c>
      <c r="M5914" t="s">
        <v>11615</v>
      </c>
      <c r="N5914" t="s">
        <v>14</v>
      </c>
    </row>
    <row r="5915" x14ac:dyDescent="0.25">
      <c r="A5915" t="n">
        <v>25</v>
      </c>
      <c r="B5915" t="s">
        <v>14</v>
      </c>
      <c r="C5915" t="s">
        <v>51</v>
      </c>
      <c r="D5915" s="2" t="s">
        <f>=HYPERLINK("https://main.knesset.gov.il/APPS/legislation/main/bills/2199530", "הצעת חוק המים (תיקון - מתן הנחות בתעריפי מים לאוכלוסיות נזקקות), התשפ""ג-2023")</f>
        <v>11836</v>
      </c>
      <c r="E5915" t="s">
        <v>11836</v>
      </c>
      <c r="F5915" t="s">
        <v>11837</v>
      </c>
      <c r="G5915" t="s">
        <v>14</v>
      </c>
      <c r="H5915">
             </c>
      <c r="I5915" t="s">
        <v>14</v>
      </c>
      <c r="J5915" t="s">
        <v>242</v>
      </c>
      <c r="K5915" t="s">
        <v>14</v>
      </c>
      <c r="L5915" t="s">
        <v>20</v>
      </c>
      <c r="M5915" t="s">
        <v>11615</v>
      </c>
      <c r="N5915" t="s">
        <v>14</v>
      </c>
    </row>
    <row r="5916" x14ac:dyDescent="0.25">
      <c r="A5916" t="n">
        <v>25</v>
      </c>
      <c r="B5916" t="s">
        <v>14</v>
      </c>
      <c r="C5916" t="s">
        <v>51</v>
      </c>
      <c r="D5916" s="2" t="s">
        <f>=HYPERLINK("https://main.knesset.gov.il/APPS/legislation/main/bills/2199533", "הצעת חוק הפעלת תחבורה ציבורית ביום המנוחה השבועי, התשפ""ג-2023")</f>
        <v>11838</v>
      </c>
      <c r="E5916" t="s">
        <v>11838</v>
      </c>
      <c r="F5916" t="s">
        <v>11839</v>
      </c>
      <c r="G5916" t="s">
        <v>14</v>
      </c>
      <c r="H5916">
             </c>
      <c r="I5916" t="s">
        <v>14</v>
      </c>
      <c r="J5916" t="s">
        <v>202</v>
      </c>
      <c r="K5916" t="s">
        <v>14</v>
      </c>
      <c r="L5916" t="s">
        <v>20</v>
      </c>
      <c r="M5916" t="s">
        <v>11615</v>
      </c>
      <c r="N5916" t="s">
        <v>14</v>
      </c>
    </row>
    <row r="5917" x14ac:dyDescent="0.25">
      <c r="A5917" t="n">
        <v>25</v>
      </c>
      <c r="B5917" t="s">
        <v>14</v>
      </c>
      <c r="C5917" t="s">
        <v>20</v>
      </c>
      <c r="D5917" s="2" t="s">
        <f>=HYPERLINK("https://main.knesset.gov.il/APPS/legislation/main/bills/2201926", "הצעת חוק-יסוד: הממשלה (סמכות הממשלה והשרים לקבוע את עמדתם המשפטית בפעולתם השוטפת ובפני ערכאות שיפוטיות)")</f>
        <v>11840</v>
      </c>
      <c r="E5917" t="s">
        <v>11840</v>
      </c>
      <c r="F5917" t="s">
        <v>14</v>
      </c>
      <c r="G5917" t="s">
        <v>14</v>
      </c>
      <c r="H5917">
             </c>
      <c r="I5917" t="s">
        <v>14</v>
      </c>
      <c r="J5917" t="s">
        <v>152</v>
      </c>
      <c r="K5917" t="s">
        <v>27</v>
      </c>
      <c r="L5917" t="s">
        <v>20</v>
      </c>
      <c r="M5917" t="s">
        <v>11841</v>
      </c>
      <c r="N5917" t="s">
        <v>14</v>
      </c>
    </row>
    <row r="5918" x14ac:dyDescent="0.25">
      <c r="A5918" t="n">
        <v>25</v>
      </c>
      <c r="B5918" t="s">
        <v>14</v>
      </c>
      <c r="C5918" t="s">
        <v>51</v>
      </c>
      <c r="D5918" s="2" t="s">
        <f>=HYPERLINK("https://main.knesset.gov.il/APPS/legislation/main/bills/2199385", "הצעת חוק לביטול אזרחותו או תושבותו של פעיל טרור שמקבל תגמול עבור ביצוע מעשה הטרור (תיקוני חקיקה), התשפ""ג-2023")</f>
        <v>11842</v>
      </c>
      <c r="E5918" t="s">
        <v>11842</v>
      </c>
      <c r="F5918" t="s">
        <v>11843</v>
      </c>
      <c r="G5918" t="s">
        <v>14</v>
      </c>
      <c r="H5918">
             </c>
      <c r="I5918" t="s">
        <v>14</v>
      </c>
      <c r="J5918" t="s">
        <v>183</v>
      </c>
      <c r="K5918" t="s">
        <v>14</v>
      </c>
      <c r="L5918" t="s">
        <v>20</v>
      </c>
      <c r="M5918" t="s">
        <v>11844</v>
      </c>
      <c r="N5918" t="s">
        <v>14</v>
      </c>
    </row>
    <row r="5919" x14ac:dyDescent="0.25">
      <c r="A5919" t="n">
        <v>25</v>
      </c>
      <c r="B5919" t="s">
        <v>14</v>
      </c>
      <c r="C5919" t="s">
        <v>51</v>
      </c>
      <c r="D5919" s="2" t="s">
        <f>=HYPERLINK("https://main.knesset.gov.il/APPS/legislation/main/bills/2199296", "הצעת חוק לביטול אזרחותו או תושבותו של פעיל טרור שמקבל תגמול עבור ביצוע מעשה הטרור (תיקוני חקיקה), התשפ""ג-2023")</f>
        <v>11842</v>
      </c>
      <c r="E5919" t="s">
        <v>11842</v>
      </c>
      <c r="F5919" t="s">
        <v>11845</v>
      </c>
      <c r="G5919" t="s">
        <v>14</v>
      </c>
      <c r="H5919">
             </c>
      <c r="I5919" t="s">
        <v>14</v>
      </c>
      <c r="J5919" t="s">
        <v>183</v>
      </c>
      <c r="K5919" t="s">
        <v>14</v>
      </c>
      <c r="L5919" t="s">
        <v>20</v>
      </c>
      <c r="M5919" t="s">
        <v>11844</v>
      </c>
      <c r="N5919" t="s">
        <v>14</v>
      </c>
    </row>
    <row r="5920" x14ac:dyDescent="0.25">
      <c r="A5920" t="n">
        <v>25</v>
      </c>
      <c r="B5920" t="s">
        <v>14</v>
      </c>
      <c r="C5920" t="s">
        <v>51</v>
      </c>
      <c r="D5920" s="2" t="s">
        <f>=HYPERLINK("https://main.knesset.gov.il/APPS/legislation/main/bills/2199287", "הצעת חוק לביטול אזרחותו או תושבותו של פעיל טרור שמקבל תגמול עבור ביצוע מעשה הטרור (תיקוני חקיקה), התשפ""ג-2023")</f>
        <v>11842</v>
      </c>
      <c r="E5920" t="s">
        <v>11842</v>
      </c>
      <c r="F5920" t="s">
        <v>11846</v>
      </c>
      <c r="G5920" t="s">
        <v>14</v>
      </c>
      <c r="H5920">
             </c>
      <c r="I5920" t="s">
        <v>14</v>
      </c>
      <c r="J5920" t="s">
        <v>183</v>
      </c>
      <c r="K5920" t="s">
        <v>14</v>
      </c>
      <c r="L5920" t="s">
        <v>20</v>
      </c>
      <c r="M5920" t="s">
        <v>11844</v>
      </c>
      <c r="N5920" t="s">
        <v>14</v>
      </c>
    </row>
    <row r="5921" x14ac:dyDescent="0.25">
      <c r="A5921" t="n">
        <v>25</v>
      </c>
      <c r="B5921" t="s">
        <v>14</v>
      </c>
      <c r="C5921" t="s">
        <v>51</v>
      </c>
      <c r="D5921" s="2" t="s">
        <f>=HYPERLINK("https://main.knesset.gov.il/APPS/legislation/main/bills/2198982", "הצעת חוק לביטול אזרחותו או תושבותו של פעיל טרור שמקבל תגמול עבור ביצוע מעשה הטרור (תיקוני חקיקה), התשפ""ג-2023")</f>
        <v>11842</v>
      </c>
      <c r="E5921" t="s">
        <v>11842</v>
      </c>
      <c r="F5921" t="s">
        <v>11847</v>
      </c>
      <c r="G5921" t="s">
        <v>14</v>
      </c>
      <c r="H5921">
             </c>
      <c r="I5921" t="s">
        <v>14</v>
      </c>
      <c r="J5921" t="s">
        <v>183</v>
      </c>
      <c r="K5921" t="s">
        <v>14</v>
      </c>
      <c r="L5921" t="s">
        <v>20</v>
      </c>
      <c r="M5921" t="s">
        <v>11844</v>
      </c>
      <c r="N5921" t="s">
        <v>14</v>
      </c>
    </row>
    <row r="5922" x14ac:dyDescent="0.25">
      <c r="A5922" t="n">
        <v>25</v>
      </c>
      <c r="B5922" t="s">
        <v>14</v>
      </c>
      <c r="C5922" t="s">
        <v>51</v>
      </c>
      <c r="D5922" s="2" t="s">
        <f>=HYPERLINK("https://main.knesset.gov.il/APPS/legislation/main/bills/2197572", "הצעת חוק לביטול אזרחותו או תושבותו של פעיל טרור שמקבל תגמול עבור ביצוע מעשה הטרור (תיקוני חקיקה), התשפ""ג-2022")</f>
        <v>11848</v>
      </c>
      <c r="E5922" t="s">
        <v>11848</v>
      </c>
      <c r="F5922" t="s">
        <v>11849</v>
      </c>
      <c r="G5922" t="s">
        <v>14</v>
      </c>
      <c r="H5922">
             </c>
      <c r="I5922" t="s">
        <v>14</v>
      </c>
      <c r="J5922" t="s">
        <v>183</v>
      </c>
      <c r="K5922" t="s">
        <v>14</v>
      </c>
      <c r="L5922" t="s">
        <v>20</v>
      </c>
      <c r="M5922" t="s">
        <v>11844</v>
      </c>
      <c r="N5922" t="s">
        <v>14</v>
      </c>
    </row>
    <row r="5923" x14ac:dyDescent="0.25">
      <c r="A5923" t="n">
        <v>25</v>
      </c>
      <c r="B5923" t="s">
        <v>14</v>
      </c>
      <c r="C5923" t="s">
        <v>51</v>
      </c>
      <c r="D5923" s="2" t="s">
        <f>=HYPERLINK("https://main.knesset.gov.il/APPS/legislation/main/bills/2197196", "הצעת חוק לביטול אזרחותו או תושבותו של פעיל טרור שמקבל תגמול עבור ביצוע מעשה הטרור (תיקוני חקיקה), התשפ""ג-2022")</f>
        <v>11848</v>
      </c>
      <c r="E5923" t="s">
        <v>11848</v>
      </c>
      <c r="F5923" t="s">
        <v>11850</v>
      </c>
      <c r="G5923" t="s">
        <v>14</v>
      </c>
      <c r="H5923">
             </c>
      <c r="I5923" t="s">
        <v>14</v>
      </c>
      <c r="J5923" t="s">
        <v>183</v>
      </c>
      <c r="K5923" t="s">
        <v>14</v>
      </c>
      <c r="L5923" t="s">
        <v>20</v>
      </c>
      <c r="M5923" t="s">
        <v>11844</v>
      </c>
      <c r="N5923" t="s">
        <v>14</v>
      </c>
    </row>
    <row r="5924" x14ac:dyDescent="0.25">
      <c r="A5924" t="n">
        <v>25</v>
      </c>
      <c r="B5924" t="s">
        <v>14</v>
      </c>
      <c r="C5924" t="s">
        <v>51</v>
      </c>
      <c r="D5924" s="2" t="s">
        <f>=HYPERLINK("https://main.knesset.gov.il/APPS/legislation/main/bills/2199460", "הצעת חוק התמודדות עם תופעת נטילת דמי חסות, התשפ""ג-2023")</f>
        <v>9972</v>
      </c>
      <c r="E5924" t="s">
        <v>9972</v>
      </c>
      <c r="F5924" t="s">
        <v>11851</v>
      </c>
      <c r="G5924" t="s">
        <v>14</v>
      </c>
      <c r="H5924">
             </c>
      <c r="I5924" t="s">
        <v>14</v>
      </c>
      <c r="J5924" t="s">
        <v>242</v>
      </c>
      <c r="K5924" t="s">
        <v>14</v>
      </c>
      <c r="L5924" t="s">
        <v>20</v>
      </c>
      <c r="M5924" t="s">
        <v>11852</v>
      </c>
      <c r="N5924" t="s">
        <v>14</v>
      </c>
    </row>
    <row r="5925" x14ac:dyDescent="0.25">
      <c r="A5925" t="n">
        <v>25</v>
      </c>
      <c r="B5925" t="s">
        <v>14</v>
      </c>
      <c r="C5925" t="s">
        <v>51</v>
      </c>
      <c r="D5925" s="2" t="s">
        <f>=HYPERLINK("https://main.knesset.gov.il/APPS/legislation/main/bills/2198800", "הצעת חוק הביטוח הלאומי (תיקון - קצבת אזרח ותיק לנכה), התשפ""ג-2023")</f>
        <v>11853</v>
      </c>
      <c r="E5925" t="s">
        <v>11853</v>
      </c>
      <c r="F5925" t="s">
        <v>11854</v>
      </c>
      <c r="G5925" t="s">
        <v>14</v>
      </c>
      <c r="H5925">
             </c>
      <c r="I5925" t="s">
        <v>14</v>
      </c>
      <c r="J5925" t="s">
        <v>242</v>
      </c>
      <c r="K5925" t="s">
        <v>14</v>
      </c>
      <c r="L5925" t="s">
        <v>20</v>
      </c>
      <c r="M5925" t="s">
        <v>11852</v>
      </c>
      <c r="N5925" t="s">
        <v>14</v>
      </c>
    </row>
    <row r="5926" x14ac:dyDescent="0.25">
      <c r="A5926" t="n">
        <v>25</v>
      </c>
      <c r="B5926" t="s">
        <v>14</v>
      </c>
      <c r="C5926" t="s">
        <v>51</v>
      </c>
      <c r="D5926" s="2" t="s">
        <f>=HYPERLINK("https://main.knesset.gov.il/APPS/legislation/main/bills/2199402", "הצעת חוק לתיקון פקודת בתי הסוהר (תוכניות שיקום בערבית ומידע בשפה הערבית), התשפ""ג-2023")</f>
        <v>11855</v>
      </c>
      <c r="E5926" t="s">
        <v>11855</v>
      </c>
      <c r="F5926" t="s">
        <v>11856</v>
      </c>
      <c r="G5926" t="s">
        <v>14</v>
      </c>
      <c r="H5926">
             </c>
      <c r="I5926" t="s">
        <v>14</v>
      </c>
      <c r="J5926" t="s">
        <v>242</v>
      </c>
      <c r="K5926" t="s">
        <v>14</v>
      </c>
      <c r="L5926" t="s">
        <v>20</v>
      </c>
      <c r="M5926" t="s">
        <v>11852</v>
      </c>
      <c r="N5926" t="s">
        <v>14</v>
      </c>
    </row>
    <row r="5927" x14ac:dyDescent="0.25">
      <c r="A5927" t="n">
        <v>25</v>
      </c>
      <c r="B5927" t="s">
        <v>14</v>
      </c>
      <c r="C5927" t="s">
        <v>51</v>
      </c>
      <c r="D5927" s="2" t="s">
        <f>=HYPERLINK("https://main.knesset.gov.il/APPS/legislation/main/bills/2196317", "הצעת חוק השירות הצבאי או האזרחי, התשפ""ג-2023")</f>
        <v>11857</v>
      </c>
      <c r="E5927" t="s">
        <v>11857</v>
      </c>
      <c r="F5927" t="s">
        <v>11858</v>
      </c>
      <c r="G5927" t="s">
        <v>14</v>
      </c>
      <c r="H5927">
             </c>
      <c r="I5927" t="s">
        <v>14</v>
      </c>
      <c r="J5927" t="s">
        <v>242</v>
      </c>
      <c r="K5927" t="s">
        <v>14</v>
      </c>
      <c r="L5927" t="s">
        <v>20</v>
      </c>
      <c r="M5927" t="s">
        <v>11852</v>
      </c>
      <c r="N5927" t="s">
        <v>14</v>
      </c>
    </row>
    <row r="5928" x14ac:dyDescent="0.25">
      <c r="A5928" t="n">
        <v>25</v>
      </c>
      <c r="B5928" t="s">
        <v>14</v>
      </c>
      <c r="C5928" t="s">
        <v>51</v>
      </c>
      <c r="D5928" s="2" t="s">
        <f>=HYPERLINK("https://main.knesset.gov.il/APPS/legislation/main/bills/2196599", "הצעת חוק לתיקון פקודת בתי הסוהר (קביעת משך הביקור), התשפ""ג-2023")</f>
        <v>11859</v>
      </c>
      <c r="E5928" t="s">
        <v>11859</v>
      </c>
      <c r="F5928" t="s">
        <v>11860</v>
      </c>
      <c r="G5928" t="s">
        <v>14</v>
      </c>
      <c r="H5928">
             </c>
      <c r="I5928" t="s">
        <v>14</v>
      </c>
      <c r="J5928" t="s">
        <v>242</v>
      </c>
      <c r="K5928" t="s">
        <v>14</v>
      </c>
      <c r="L5928" t="s">
        <v>20</v>
      </c>
      <c r="M5928" t="s">
        <v>11852</v>
      </c>
      <c r="N5928" t="s">
        <v>14</v>
      </c>
    </row>
    <row r="5929" x14ac:dyDescent="0.25">
      <c r="A5929" t="n">
        <v>25</v>
      </c>
      <c r="B5929" t="s">
        <v>14</v>
      </c>
      <c r="C5929" t="s">
        <v>51</v>
      </c>
      <c r="D5929" s="2" t="s">
        <f>=HYPERLINK("https://main.knesset.gov.il/APPS/legislation/main/bills/2196560", "הצעת חוק אבטחה במוסדות חינוך, התשפ""ג-2023")</f>
        <v>10658</v>
      </c>
      <c r="E5929" t="s">
        <v>10658</v>
      </c>
      <c r="F5929" t="s">
        <v>11861</v>
      </c>
      <c r="G5929" t="s">
        <v>14</v>
      </c>
      <c r="H5929">
             </c>
      <c r="I5929" t="s">
        <v>14</v>
      </c>
      <c r="J5929" t="s">
        <v>242</v>
      </c>
      <c r="K5929" t="s">
        <v>14</v>
      </c>
      <c r="L5929" t="s">
        <v>20</v>
      </c>
      <c r="M5929" t="s">
        <v>11852</v>
      </c>
      <c r="N5929" t="s">
        <v>14</v>
      </c>
    </row>
    <row r="5930" x14ac:dyDescent="0.25">
      <c r="A5930" t="n">
        <v>25</v>
      </c>
      <c r="B5930" t="s">
        <v>14</v>
      </c>
      <c r="C5930" t="s">
        <v>51</v>
      </c>
      <c r="D5930" s="2" t="s">
        <f>=HYPERLINK("https://main.knesset.gov.il/APPS/legislation/main/bills/2198733", "הצעת חוק קליטת חיילים משוחררים (תיקון - מימון שכר לימוד מלא ללוחמים), התשפ""ג-2023")</f>
        <v>7734</v>
      </c>
      <c r="E5930" t="s">
        <v>7734</v>
      </c>
      <c r="F5930" t="s">
        <v>11862</v>
      </c>
      <c r="G5930" t="s">
        <v>14</v>
      </c>
      <c r="H5930">
             </c>
      <c r="I5930" t="s">
        <v>14</v>
      </c>
      <c r="J5930" t="s">
        <v>242</v>
      </c>
      <c r="K5930" t="s">
        <v>14</v>
      </c>
      <c r="L5930" t="s">
        <v>20</v>
      </c>
      <c r="M5930" t="s">
        <v>11852</v>
      </c>
      <c r="N5930" t="s">
        <v>14</v>
      </c>
    </row>
    <row r="5931" x14ac:dyDescent="0.25">
      <c r="A5931" t="n">
        <v>25</v>
      </c>
      <c r="B5931" t="s">
        <v>14</v>
      </c>
      <c r="C5931" t="s">
        <v>51</v>
      </c>
      <c r="D5931" s="2" t="s">
        <f>=HYPERLINK("https://main.knesset.gov.il/APPS/legislation/main/bills/2198686", "הצעת חוק שירותי תעופה (פיצוי וסיוע בשל ביטול טיסה או שינוי בתנאיה) (תיקון - הוראות שונות), התשפ""ג-2023")</f>
        <v>11863</v>
      </c>
      <c r="E5931" t="s">
        <v>11863</v>
      </c>
      <c r="F5931" t="s">
        <v>11864</v>
      </c>
      <c r="G5931" t="s">
        <v>14</v>
      </c>
      <c r="H5931">
             </c>
      <c r="I5931" t="s">
        <v>14</v>
      </c>
      <c r="J5931" t="s">
        <v>242</v>
      </c>
      <c r="K5931" t="s">
        <v>14</v>
      </c>
      <c r="L5931" t="s">
        <v>20</v>
      </c>
      <c r="M5931" t="s">
        <v>11852</v>
      </c>
      <c r="N5931" t="s">
        <v>14</v>
      </c>
    </row>
    <row r="5932" x14ac:dyDescent="0.25">
      <c r="A5932" t="n">
        <v>25</v>
      </c>
      <c r="B5932" t="s">
        <v>14</v>
      </c>
      <c r="C5932" t="s">
        <v>51</v>
      </c>
      <c r="D5932" s="2" t="s">
        <f>=HYPERLINK("https://main.knesset.gov.il/APPS/legislation/main/bills/2198849", "הצעת חוק משק החשמל (תיקון - גביית תשלומים), התשפ""ג-2023")</f>
        <v>10548</v>
      </c>
      <c r="E5932" t="s">
        <v>10548</v>
      </c>
      <c r="F5932" t="s">
        <v>11865</v>
      </c>
      <c r="G5932" t="s">
        <v>14</v>
      </c>
      <c r="H5932">
             </c>
      <c r="I5932" t="s">
        <v>14</v>
      </c>
      <c r="J5932" t="s">
        <v>242</v>
      </c>
      <c r="K5932" t="s">
        <v>14</v>
      </c>
      <c r="L5932" t="s">
        <v>20</v>
      </c>
      <c r="M5932" t="s">
        <v>11852</v>
      </c>
      <c r="N5932" t="s">
        <v>14</v>
      </c>
    </row>
    <row r="5933" x14ac:dyDescent="0.25">
      <c r="A5933" t="n">
        <v>25</v>
      </c>
      <c r="B5933" t="s">
        <v>14</v>
      </c>
      <c r="C5933" t="s">
        <v>51</v>
      </c>
      <c r="D5933" s="2" t="s">
        <f>=HYPERLINK("https://main.knesset.gov.il/APPS/legislation/main/bills/2198812", "הצעת חוק הפקדות וזכויות סוציאליות לעצמאים (תיקוני חקיקה), התשפ""ג-2023")</f>
        <v>10791</v>
      </c>
      <c r="E5933" t="s">
        <v>10791</v>
      </c>
      <c r="F5933" t="s">
        <v>11866</v>
      </c>
      <c r="G5933" t="s">
        <v>14</v>
      </c>
      <c r="H5933">
             </c>
      <c r="I5933" t="s">
        <v>14</v>
      </c>
      <c r="J5933" t="s">
        <v>242</v>
      </c>
      <c r="K5933" t="s">
        <v>14</v>
      </c>
      <c r="L5933" t="s">
        <v>20</v>
      </c>
      <c r="M5933" t="s">
        <v>11852</v>
      </c>
      <c r="N5933" t="s">
        <v>14</v>
      </c>
    </row>
    <row r="5934" x14ac:dyDescent="0.25">
      <c r="A5934" t="n">
        <v>25</v>
      </c>
      <c r="B5934" t="s">
        <v>14</v>
      </c>
      <c r="C5934" t="s">
        <v>51</v>
      </c>
      <c r="D5934" s="2" t="s">
        <f>=HYPERLINK("https://main.knesset.gov.il/APPS/legislation/main/bills/2198961", "הצעת חוק לתיקון פקודת מס הכנסה (ניכוי הוצאות בשל ארוחה עסקית לעצמאים), התשפ""ג-2023")</f>
        <v>10516</v>
      </c>
      <c r="E5934" t="s">
        <v>10516</v>
      </c>
      <c r="F5934" t="s">
        <v>11867</v>
      </c>
      <c r="G5934" t="s">
        <v>14</v>
      </c>
      <c r="H5934">
             </c>
      <c r="I5934" t="s">
        <v>14</v>
      </c>
      <c r="J5934" t="s">
        <v>242</v>
      </c>
      <c r="K5934" t="s">
        <v>14</v>
      </c>
      <c r="L5934" t="s">
        <v>20</v>
      </c>
      <c r="M5934" t="s">
        <v>11852</v>
      </c>
      <c r="N5934" t="s">
        <v>14</v>
      </c>
    </row>
    <row r="5935" x14ac:dyDescent="0.25">
      <c r="A5935" t="n">
        <v>25</v>
      </c>
      <c r="B5935" t="s">
        <v>14</v>
      </c>
      <c r="C5935" t="s">
        <v>51</v>
      </c>
      <c r="D5935" s="2" t="s">
        <f>=HYPERLINK("https://main.knesset.gov.il/APPS/legislation/main/bills/2198839", "הצעת חוק הגנת הצרכן (תיקון - איסור גביית עמלה בעסקה שבוצעה באמצעות האינטרנט), התשפ""ג-2023")</f>
        <v>11868</v>
      </c>
      <c r="E5935" t="s">
        <v>11868</v>
      </c>
      <c r="F5935" t="s">
        <v>11869</v>
      </c>
      <c r="G5935" t="s">
        <v>14</v>
      </c>
      <c r="H5935">
             </c>
      <c r="I5935" t="s">
        <v>14</v>
      </c>
      <c r="J5935" t="s">
        <v>242</v>
      </c>
      <c r="K5935" t="s">
        <v>14</v>
      </c>
      <c r="L5935" t="s">
        <v>20</v>
      </c>
      <c r="M5935" t="s">
        <v>11852</v>
      </c>
      <c r="N5935" t="s">
        <v>14</v>
      </c>
    </row>
    <row r="5936" x14ac:dyDescent="0.25">
      <c r="A5936" t="n">
        <v>25</v>
      </c>
      <c r="B5936" t="s">
        <v>14</v>
      </c>
      <c r="C5936" t="s">
        <v>51</v>
      </c>
      <c r="D5936" s="2" t="s">
        <f>=HYPERLINK("https://main.knesset.gov.il/APPS/legislation/main/bills/2198891", "הצעת חוק לתיקון פקודת מס הכנסה (הכרה בהוצאות אש""ל לעצמאים), התשפ""ג-2023")</f>
        <v>11870</v>
      </c>
      <c r="E5936" t="s">
        <v>11870</v>
      </c>
      <c r="F5936" t="s">
        <v>11871</v>
      </c>
      <c r="G5936" t="s">
        <v>14</v>
      </c>
      <c r="H5936">
             </c>
      <c r="I5936" t="s">
        <v>14</v>
      </c>
      <c r="J5936" t="s">
        <v>242</v>
      </c>
      <c r="K5936" t="s">
        <v>14</v>
      </c>
      <c r="L5936" t="s">
        <v>20</v>
      </c>
      <c r="M5936" t="s">
        <v>11852</v>
      </c>
      <c r="N5936" t="s">
        <v>14</v>
      </c>
    </row>
    <row r="5937" x14ac:dyDescent="0.25">
      <c r="A5937" t="n">
        <v>25</v>
      </c>
      <c r="B5937" t="s">
        <v>14</v>
      </c>
      <c r="C5937" t="s">
        <v>51</v>
      </c>
      <c r="D5937" s="2" t="s">
        <f>=HYPERLINK("https://main.knesset.gov.il/APPS/legislation/main/bills/2198764", "הצעת חוק שוויון זכויות לאנשים עם מוגבלות (תיקון - מידע בדבר עמידת מעסיקים פרטיים גדולים ביעד הייצוג ההולם), התשפ""ג-2023")</f>
        <v>8990</v>
      </c>
      <c r="E5937" t="s">
        <v>8990</v>
      </c>
      <c r="F5937" t="s">
        <v>11872</v>
      </c>
      <c r="G5937" t="s">
        <v>14</v>
      </c>
      <c r="H5937">
             </c>
      <c r="I5937" t="s">
        <v>14</v>
      </c>
      <c r="J5937" t="s">
        <v>242</v>
      </c>
      <c r="K5937" t="s">
        <v>14</v>
      </c>
      <c r="L5937" t="s">
        <v>20</v>
      </c>
      <c r="M5937" t="s">
        <v>11852</v>
      </c>
      <c r="N5937" t="s">
        <v>14</v>
      </c>
    </row>
    <row r="5938" x14ac:dyDescent="0.25">
      <c r="A5938" t="n">
        <v>25</v>
      </c>
      <c r="B5938" t="s">
        <v>14</v>
      </c>
      <c r="C5938" t="s">
        <v>51</v>
      </c>
      <c r="D5938" s="2" t="s">
        <f>=HYPERLINK("https://main.knesset.gov.il/APPS/legislation/main/bills/2199006", "הצעת חוק התכנון והבנייה (הוראות מיוחדות לעניין יישובי מיעוטים) (הוראת שעה), התשפ""ג-2023")</f>
        <v>11873</v>
      </c>
      <c r="E5938" t="s">
        <v>11873</v>
      </c>
      <c r="F5938" t="s">
        <v>11874</v>
      </c>
      <c r="G5938" t="s">
        <v>14</v>
      </c>
      <c r="H5938">
             </c>
      <c r="I5938" t="s">
        <v>14</v>
      </c>
      <c r="J5938" t="s">
        <v>242</v>
      </c>
      <c r="K5938" t="s">
        <v>14</v>
      </c>
      <c r="L5938" t="s">
        <v>20</v>
      </c>
      <c r="M5938" t="s">
        <v>11852</v>
      </c>
      <c r="N5938" t="s">
        <v>14</v>
      </c>
    </row>
    <row r="5939" x14ac:dyDescent="0.25">
      <c r="A5939" t="n">
        <v>25</v>
      </c>
      <c r="B5939" t="s">
        <v>14</v>
      </c>
      <c r="C5939" t="s">
        <v>51</v>
      </c>
      <c r="D5939" s="2" t="s">
        <f>=HYPERLINK("https://main.knesset.gov.il/APPS/legislation/main/bills/2198778", "הצעת חוק הכנסת (תיקון - ועדה לפיקוח על רשויות פיקוח פיננסיות), התשפ""ג-2023")</f>
        <v>11875</v>
      </c>
      <c r="E5939" t="s">
        <v>11875</v>
      </c>
      <c r="F5939" t="s">
        <v>11876</v>
      </c>
      <c r="G5939" t="s">
        <v>14</v>
      </c>
      <c r="H5939">
             </c>
      <c r="I5939" t="s">
        <v>14</v>
      </c>
      <c r="J5939" t="s">
        <v>242</v>
      </c>
      <c r="K5939" t="s">
        <v>14</v>
      </c>
      <c r="L5939" t="s">
        <v>20</v>
      </c>
      <c r="M5939" t="s">
        <v>11852</v>
      </c>
      <c r="N5939" t="s">
        <v>14</v>
      </c>
    </row>
    <row r="5940" x14ac:dyDescent="0.25">
      <c r="A5940" t="n">
        <v>25</v>
      </c>
      <c r="B5940" t="s">
        <v>14</v>
      </c>
      <c r="C5940" t="s">
        <v>51</v>
      </c>
      <c r="D5940" s="2" t="s">
        <f>=HYPERLINK("https://main.knesset.gov.il/APPS/legislation/main/bills/2199218", "הצעת חוק האזנת סתר (תיקון - האזנה בשל חשד להתעללות בילדים ובחסרי ישע), התשפ״ג-2023")</f>
        <v>11877</v>
      </c>
      <c r="E5940" t="s">
        <v>11877</v>
      </c>
      <c r="F5940" t="s">
        <v>11878</v>
      </c>
      <c r="G5940" t="s">
        <v>14</v>
      </c>
      <c r="H5940">
             </c>
      <c r="I5940" t="s">
        <v>14</v>
      </c>
      <c r="J5940" t="s">
        <v>242</v>
      </c>
      <c r="K5940" t="s">
        <v>14</v>
      </c>
      <c r="L5940" t="s">
        <v>20</v>
      </c>
      <c r="M5940" t="s">
        <v>11852</v>
      </c>
      <c r="N5940" t="s">
        <v>14</v>
      </c>
    </row>
    <row r="5941" x14ac:dyDescent="0.25">
      <c r="A5941" t="n">
        <v>25</v>
      </c>
      <c r="B5941" t="s">
        <v>14</v>
      </c>
      <c r="C5941" t="s">
        <v>51</v>
      </c>
      <c r="D5941" s="2" t="s">
        <f>=HYPERLINK("https://main.knesset.gov.il/APPS/legislation/main/bills/2198969", "הצעת חוק הרשויות המקומיות (בחירת ראש הרשות וסגניו וכהונתם) (תיקון - הליכים משפטיים נגד ראש רשות), התשפ""ג-2023")</f>
        <v>11879</v>
      </c>
      <c r="E5941" t="s">
        <v>11879</v>
      </c>
      <c r="F5941" t="s">
        <v>11880</v>
      </c>
      <c r="G5941" t="s">
        <v>14</v>
      </c>
      <c r="H5941">
             </c>
      <c r="I5941" t="s">
        <v>14</v>
      </c>
      <c r="J5941" t="s">
        <v>202</v>
      </c>
      <c r="K5941" t="s">
        <v>14</v>
      </c>
      <c r="L5941" t="s">
        <v>20</v>
      </c>
      <c r="M5941" t="s">
        <v>11852</v>
      </c>
      <c r="N5941" t="s">
        <v>14</v>
      </c>
    </row>
    <row r="5942" x14ac:dyDescent="0.25">
      <c r="A5942" t="n">
        <v>25</v>
      </c>
      <c r="B5942" t="s">
        <v>14</v>
      </c>
      <c r="C5942" t="s">
        <v>51</v>
      </c>
      <c r="D5942" s="2" t="s">
        <f>=HYPERLINK("https://main.knesset.gov.il/APPS/legislation/main/bills/2198908", "הצעת חוק מס ערך מוסף (תיקון - העברת מס בין עוסקים מורשים), התשפ""ג-2023")</f>
        <v>11881</v>
      </c>
      <c r="E5942" t="s">
        <v>11881</v>
      </c>
      <c r="F5942" t="s">
        <v>11882</v>
      </c>
      <c r="G5942" t="s">
        <v>14</v>
      </c>
      <c r="H5942">
             </c>
      <c r="I5942" t="s">
        <v>14</v>
      </c>
      <c r="J5942" t="s">
        <v>242</v>
      </c>
      <c r="K5942" t="s">
        <v>14</v>
      </c>
      <c r="L5942" t="s">
        <v>20</v>
      </c>
      <c r="M5942" t="s">
        <v>11852</v>
      </c>
      <c r="N5942" t="s">
        <v>14</v>
      </c>
    </row>
    <row r="5943" x14ac:dyDescent="0.25">
      <c r="A5943" t="n">
        <v>25</v>
      </c>
      <c r="B5943" t="s">
        <v>14</v>
      </c>
      <c r="C5943" t="s">
        <v>51</v>
      </c>
      <c r="D5943" s="2" t="s">
        <f>=HYPERLINK("https://main.knesset.gov.il/APPS/legislation/main/bills/2198694", "הצעת חוק לימוד חובה (תיקון - חינוך חינם לפעוטות ולילדים), התשפ""ג-2023")</f>
        <v>9482</v>
      </c>
      <c r="E5943" t="s">
        <v>9482</v>
      </c>
      <c r="F5943" t="s">
        <v>11883</v>
      </c>
      <c r="G5943" t="s">
        <v>14</v>
      </c>
      <c r="H5943">
             </c>
      <c r="I5943" t="s">
        <v>14</v>
      </c>
      <c r="J5943" t="s">
        <v>202</v>
      </c>
      <c r="K5943" t="s">
        <v>14</v>
      </c>
      <c r="L5943" t="s">
        <v>20</v>
      </c>
      <c r="M5943" t="s">
        <v>11852</v>
      </c>
      <c r="N5943" t="s">
        <v>14</v>
      </c>
    </row>
    <row r="5944" x14ac:dyDescent="0.25">
      <c r="A5944" t="n">
        <v>25</v>
      </c>
      <c r="B5944" t="s">
        <v>14</v>
      </c>
      <c r="C5944" t="s">
        <v>51</v>
      </c>
      <c r="D5944" s="2" t="s">
        <f>=HYPERLINK("https://main.knesset.gov.il/APPS/legislation/main/bills/2199281", "הצעת חוק החברות הממשלתיות (תיקון - ייצוג הולם בתאגידים שהוקמו בחוק ובחברות ממשלתיות), התשפ""ג-2023")</f>
        <v>11884</v>
      </c>
      <c r="E5944" t="s">
        <v>11884</v>
      </c>
      <c r="F5944" t="s">
        <v>11885</v>
      </c>
      <c r="G5944" t="s">
        <v>14</v>
      </c>
      <c r="H5944">
             </c>
      <c r="I5944" t="s">
        <v>14</v>
      </c>
      <c r="J5944" t="s">
        <v>242</v>
      </c>
      <c r="K5944" t="s">
        <v>14</v>
      </c>
      <c r="L5944" t="s">
        <v>20</v>
      </c>
      <c r="M5944" t="s">
        <v>11852</v>
      </c>
      <c r="N5944" t="s">
        <v>14</v>
      </c>
    </row>
    <row r="5945" x14ac:dyDescent="0.25">
      <c r="A5945" t="n">
        <v>25</v>
      </c>
      <c r="B5945" t="s">
        <v>14</v>
      </c>
      <c r="C5945" t="s">
        <v>51</v>
      </c>
      <c r="D5945" s="2" t="s">
        <f>=HYPERLINK("https://main.knesset.gov.il/APPS/legislation/main/bills/2199274", "הצעת חוק חוזה הביטוח (תיקון - מניעת כפל ביטוחים), התשפ""ג-2023")</f>
        <v>11886</v>
      </c>
      <c r="E5945" t="s">
        <v>11886</v>
      </c>
      <c r="F5945" t="s">
        <v>11887</v>
      </c>
      <c r="G5945" t="s">
        <v>14</v>
      </c>
      <c r="H5945">
             </c>
      <c r="I5945" t="s">
        <v>14</v>
      </c>
      <c r="J5945" t="s">
        <v>202</v>
      </c>
      <c r="K5945" t="s">
        <v>14</v>
      </c>
      <c r="L5945" t="s">
        <v>20</v>
      </c>
      <c r="M5945" t="s">
        <v>11852</v>
      </c>
      <c r="N5945" t="s">
        <v>14</v>
      </c>
    </row>
    <row r="5946" x14ac:dyDescent="0.25">
      <c r="A5946" t="n">
        <v>25</v>
      </c>
      <c r="B5946" t="s">
        <v>14</v>
      </c>
      <c r="C5946" t="s">
        <v>51</v>
      </c>
      <c r="D5946" s="2" t="s">
        <f>=HYPERLINK("https://main.knesset.gov.il/APPS/legislation/main/bills/2198784", "הצעת חוק צוותי התערבות במשבר, התשפ""ג-2023")</f>
        <v>11888</v>
      </c>
      <c r="E5946" t="s">
        <v>11888</v>
      </c>
      <c r="F5946" t="s">
        <v>11889</v>
      </c>
      <c r="G5946" t="s">
        <v>14</v>
      </c>
      <c r="H5946">
             </c>
      <c r="I5946" t="s">
        <v>14</v>
      </c>
      <c r="J5946" t="s">
        <v>242</v>
      </c>
      <c r="K5946" t="s">
        <v>14</v>
      </c>
      <c r="L5946" t="s">
        <v>20</v>
      </c>
      <c r="M5946" t="s">
        <v>11852</v>
      </c>
      <c r="N5946" t="s">
        <v>14</v>
      </c>
    </row>
    <row r="5947" x14ac:dyDescent="0.25">
      <c r="A5947" t="n">
        <v>25</v>
      </c>
      <c r="B5947" t="s">
        <v>14</v>
      </c>
      <c r="C5947" t="s">
        <v>51</v>
      </c>
      <c r="D5947" s="2" t="s">
        <f>=HYPERLINK("https://main.knesset.gov.il/APPS/legislation/main/bills/2198163", "הצעת חוק שכר מינימום (תיקון - העלאת שכר המינימום), התשפ""ג-2023")</f>
        <v>10773</v>
      </c>
      <c r="E5947" t="s">
        <v>10773</v>
      </c>
      <c r="F5947" t="s">
        <v>11890</v>
      </c>
      <c r="G5947" t="s">
        <v>14</v>
      </c>
      <c r="H5947">
             </c>
      <c r="I5947" t="s">
        <v>14</v>
      </c>
      <c r="J5947" t="s">
        <v>242</v>
      </c>
      <c r="K5947" t="s">
        <v>14</v>
      </c>
      <c r="L5947" t="s">
        <v>20</v>
      </c>
      <c r="M5947" t="s">
        <v>11852</v>
      </c>
      <c r="N5947" t="s">
        <v>14</v>
      </c>
    </row>
    <row r="5948" x14ac:dyDescent="0.25">
      <c r="A5948" t="n">
        <v>25</v>
      </c>
      <c r="B5948" t="s">
        <v>14</v>
      </c>
      <c r="C5948" t="s">
        <v>51</v>
      </c>
      <c r="D5948" s="2" t="s">
        <f>=HYPERLINK("https://main.knesset.gov.il/APPS/legislation/main/bills/2199350", "הצעת חוק לתיקון פקודת המסים (גבייה) (גבייה לפי חוק ההוצאה לפועל), התשפ""ג-2023")</f>
        <v>11891</v>
      </c>
      <c r="E5948" t="s">
        <v>11891</v>
      </c>
      <c r="F5948" t="s">
        <v>11892</v>
      </c>
      <c r="G5948" t="s">
        <v>14</v>
      </c>
      <c r="H5948">
             </c>
      <c r="I5948" t="s">
        <v>14</v>
      </c>
      <c r="J5948" t="s">
        <v>242</v>
      </c>
      <c r="K5948" t="s">
        <v>14</v>
      </c>
      <c r="L5948" t="s">
        <v>20</v>
      </c>
      <c r="M5948" t="s">
        <v>11852</v>
      </c>
      <c r="N5948" t="s">
        <v>14</v>
      </c>
    </row>
    <row r="5949" x14ac:dyDescent="0.25">
      <c r="A5949" t="n">
        <v>25</v>
      </c>
      <c r="B5949" t="s">
        <v>14</v>
      </c>
      <c r="C5949" t="s">
        <v>51</v>
      </c>
      <c r="D5949" s="2" t="s">
        <f>=HYPERLINK("https://main.knesset.gov.il/APPS/legislation/main/bills/2199427", "הצעת חוק ההוצאה לפועל (תיקון - הקפאת ריבית פיגורים בימי שביתה), התשפ""ג-2023")</f>
        <v>10395</v>
      </c>
      <c r="E5949" t="s">
        <v>10395</v>
      </c>
      <c r="F5949" t="s">
        <v>11893</v>
      </c>
      <c r="G5949" t="s">
        <v>14</v>
      </c>
      <c r="H5949">
             </c>
      <c r="I5949" t="s">
        <v>14</v>
      </c>
      <c r="J5949" t="s">
        <v>242</v>
      </c>
      <c r="K5949" t="s">
        <v>14</v>
      </c>
      <c r="L5949" t="s">
        <v>20</v>
      </c>
      <c r="M5949" t="s">
        <v>11852</v>
      </c>
      <c r="N5949" t="s">
        <v>14</v>
      </c>
    </row>
    <row r="5950" x14ac:dyDescent="0.25">
      <c r="A5950" t="n">
        <v>25</v>
      </c>
      <c r="B5950" t="s">
        <v>14</v>
      </c>
      <c r="C5950" t="s">
        <v>51</v>
      </c>
      <c r="D5950" s="2" t="s">
        <f>=HYPERLINK("https://main.knesset.gov.il/APPS/legislation/main/bills/2199450", "הצעת חוק התקנת מצלמות לשם פיקוח והגנה בחינוך המיוחד, התשפ""ג-2023")</f>
        <v>11894</v>
      </c>
      <c r="E5950" t="s">
        <v>11894</v>
      </c>
      <c r="F5950" t="s">
        <v>11895</v>
      </c>
      <c r="G5950" t="s">
        <v>14</v>
      </c>
      <c r="H5950">
             </c>
      <c r="I5950" t="s">
        <v>14</v>
      </c>
      <c r="J5950" t="s">
        <v>242</v>
      </c>
      <c r="K5950" t="s">
        <v>14</v>
      </c>
      <c r="L5950" t="s">
        <v>20</v>
      </c>
      <c r="M5950" t="s">
        <v>11852</v>
      </c>
      <c r="N5950" t="s">
        <v>14</v>
      </c>
    </row>
    <row r="5951" x14ac:dyDescent="0.25">
      <c r="A5951" t="n">
        <v>25</v>
      </c>
      <c r="B5951" t="s">
        <v>14</v>
      </c>
      <c r="C5951" t="s">
        <v>51</v>
      </c>
      <c r="D5951" s="2" t="s">
        <f>=HYPERLINK("https://main.knesset.gov.il/APPS/legislation/main/bills/2198947", "הצעת חוק שירות ביטחון (תיקון - שילוב תלמידי ישיבות), התשפ""ג-2023")</f>
        <v>11627</v>
      </c>
      <c r="E5951" t="s">
        <v>11627</v>
      </c>
      <c r="F5951" t="s">
        <v>11896</v>
      </c>
      <c r="G5951" t="s">
        <v>14</v>
      </c>
      <c r="H5951">
             </c>
      <c r="I5951" t="s">
        <v>14</v>
      </c>
      <c r="J5951" t="s">
        <v>242</v>
      </c>
      <c r="K5951" t="s">
        <v>14</v>
      </c>
      <c r="L5951" t="s">
        <v>20</v>
      </c>
      <c r="M5951" t="s">
        <v>11852</v>
      </c>
      <c r="N5951" t="s">
        <v>14</v>
      </c>
    </row>
    <row r="5952" x14ac:dyDescent="0.25">
      <c r="A5952" t="n">
        <v>25</v>
      </c>
      <c r="B5952" t="s">
        <v>14</v>
      </c>
      <c r="C5952" t="s">
        <v>51</v>
      </c>
      <c r="D5952" s="2" t="s">
        <f>=HYPERLINK("https://main.knesset.gov.il/APPS/legislation/main/bills/2198699", "הצעת חוק הגנת השכר (תיקון - פנקס שכר, תלוש שכר וגליון אלקטרוני), התשפ""ג-2023")</f>
        <v>9998</v>
      </c>
      <c r="E5952" t="s">
        <v>9998</v>
      </c>
      <c r="F5952" t="s">
        <v>11897</v>
      </c>
      <c r="G5952" t="s">
        <v>14</v>
      </c>
      <c r="H5952">
             </c>
      <c r="I5952" t="s">
        <v>14</v>
      </c>
      <c r="J5952" t="s">
        <v>242</v>
      </c>
      <c r="K5952" t="s">
        <v>14</v>
      </c>
      <c r="L5952" t="s">
        <v>20</v>
      </c>
      <c r="M5952" t="s">
        <v>11852</v>
      </c>
      <c r="N5952" t="s">
        <v>14</v>
      </c>
    </row>
    <row r="5953" x14ac:dyDescent="0.25">
      <c r="A5953" t="n">
        <v>25</v>
      </c>
      <c r="B5953" t="s">
        <v>14</v>
      </c>
      <c r="C5953" t="s">
        <v>51</v>
      </c>
      <c r="D5953" s="2" t="s">
        <f>=HYPERLINK("https://main.knesset.gov.il/APPS/legislation/main/bills/2199465", "הצעת חוק הבנקאות (שירות ללקוח) (תיקון - חובת הצבת מכשיר אוטומטי למשיכת והפקדת מזומנים ושיקים), התשפ""ג-2023")</f>
        <v>10127</v>
      </c>
      <c r="E5953" t="s">
        <v>10127</v>
      </c>
      <c r="F5953" t="s">
        <v>11898</v>
      </c>
      <c r="G5953" t="s">
        <v>14</v>
      </c>
      <c r="H5953">
             </c>
      <c r="I5953" t="s">
        <v>14</v>
      </c>
      <c r="J5953" t="s">
        <v>242</v>
      </c>
      <c r="K5953" t="s">
        <v>14</v>
      </c>
      <c r="L5953" t="s">
        <v>20</v>
      </c>
      <c r="M5953" t="s">
        <v>11852</v>
      </c>
      <c r="N5953" t="s">
        <v>14</v>
      </c>
    </row>
    <row r="5954" x14ac:dyDescent="0.25">
      <c r="A5954" t="n">
        <v>25</v>
      </c>
      <c r="B5954" t="s">
        <v>14</v>
      </c>
      <c r="C5954" t="s">
        <v>51</v>
      </c>
      <c r="D5954" s="2" t="s">
        <f>=HYPERLINK("https://main.knesset.gov.il/APPS/legislation/main/bills/2198647", "הצעת חוק רשות שדות התעופה (תיקון - פטור מתשלום אגרה לסטודנטים הלומדים באוניברסיטאות בירדן), התשפ""ג-2023")</f>
        <v>11899</v>
      </c>
      <c r="E5954" t="s">
        <v>11899</v>
      </c>
      <c r="F5954" t="s">
        <v>11900</v>
      </c>
      <c r="G5954" t="s">
        <v>14</v>
      </c>
      <c r="H5954">
             </c>
      <c r="I5954" t="s">
        <v>14</v>
      </c>
      <c r="J5954" t="s">
        <v>242</v>
      </c>
      <c r="K5954" t="s">
        <v>14</v>
      </c>
      <c r="L5954" t="s">
        <v>20</v>
      </c>
      <c r="M5954" t="s">
        <v>11852</v>
      </c>
      <c r="N5954" t="s">
        <v>14</v>
      </c>
    </row>
    <row r="5955" x14ac:dyDescent="0.25">
      <c r="A5955" t="n">
        <v>25</v>
      </c>
      <c r="B5955" t="s">
        <v>14</v>
      </c>
      <c r="C5955" t="s">
        <v>51</v>
      </c>
      <c r="D5955" s="2" t="s">
        <f>=HYPERLINK("https://main.knesset.gov.il/APPS/legislation/main/bills/2196416", "הצעת חוק מיסוי מקרקעין (שבח ורכישה) (תיקון - הרחבת הקלה לרוכשים דירה מקבלן), התשפ""ג-2023")</f>
        <v>11901</v>
      </c>
      <c r="E5955" t="s">
        <v>11901</v>
      </c>
      <c r="F5955" t="s">
        <v>11902</v>
      </c>
      <c r="G5955" t="s">
        <v>14</v>
      </c>
      <c r="H5955">
             </c>
      <c r="I5955" t="s">
        <v>14</v>
      </c>
      <c r="J5955" t="s">
        <v>242</v>
      </c>
      <c r="K5955" t="s">
        <v>14</v>
      </c>
      <c r="L5955" t="s">
        <v>20</v>
      </c>
      <c r="M5955" t="s">
        <v>11852</v>
      </c>
      <c r="N5955" t="s">
        <v>14</v>
      </c>
    </row>
    <row r="5956" x14ac:dyDescent="0.25">
      <c r="A5956" t="n">
        <v>25</v>
      </c>
      <c r="B5956" t="s">
        <v>14</v>
      </c>
      <c r="C5956" t="s">
        <v>51</v>
      </c>
      <c r="D5956" s="2" t="s">
        <f>=HYPERLINK("https://main.knesset.gov.il/APPS/legislation/main/bills/2196434", "הצעת חוק יסודות התקציב (תיקון - פיקוח אחיד על שימוש בתמיכה), התשפ""ג-2023")</f>
        <v>11903</v>
      </c>
      <c r="E5956" t="s">
        <v>11903</v>
      </c>
      <c r="F5956" t="s">
        <v>11904</v>
      </c>
      <c r="G5956" t="s">
        <v>14</v>
      </c>
      <c r="H5956">
             </c>
      <c r="I5956" t="s">
        <v>14</v>
      </c>
      <c r="J5956" t="s">
        <v>242</v>
      </c>
      <c r="K5956" t="s">
        <v>14</v>
      </c>
      <c r="L5956" t="s">
        <v>20</v>
      </c>
      <c r="M5956" t="s">
        <v>11852</v>
      </c>
      <c r="N5956" t="s">
        <v>14</v>
      </c>
    </row>
    <row r="5957" x14ac:dyDescent="0.25">
      <c r="A5957" t="n">
        <v>25</v>
      </c>
      <c r="B5957" t="s">
        <v>14</v>
      </c>
      <c r="C5957" t="s">
        <v>51</v>
      </c>
      <c r="D5957" s="2" t="s">
        <f>=HYPERLINK("https://main.knesset.gov.il/APPS/legislation/main/bills/2199486", "הצעת חוק העונשין (תיקון - תקיפת נהג אוטובוס ציבורי), התשפ""ג-2023")</f>
        <v>9685</v>
      </c>
      <c r="E5957" t="s">
        <v>9685</v>
      </c>
      <c r="F5957" t="s">
        <v>11905</v>
      </c>
      <c r="G5957" t="s">
        <v>14</v>
      </c>
      <c r="H5957">
             </c>
      <c r="I5957" t="s">
        <v>14</v>
      </c>
      <c r="J5957" t="s">
        <v>242</v>
      </c>
      <c r="K5957" t="s">
        <v>14</v>
      </c>
      <c r="L5957" t="s">
        <v>20</v>
      </c>
      <c r="M5957" t="s">
        <v>11852</v>
      </c>
      <c r="N5957" t="s">
        <v>14</v>
      </c>
    </row>
    <row r="5958" x14ac:dyDescent="0.25">
      <c r="A5958" t="n">
        <v>25</v>
      </c>
      <c r="B5958" t="s">
        <v>14</v>
      </c>
      <c r="C5958" t="s">
        <v>51</v>
      </c>
      <c r="D5958" s="2" t="s">
        <f>=HYPERLINK("https://main.knesset.gov.il/APPS/legislation/main/bills/2198690", "הצעת חוק לתיקון פקודת התעבורה (רישום סוג הדם ברישיון נהיגה), התשפ""ג-2023")</f>
        <v>11906</v>
      </c>
      <c r="E5958" t="s">
        <v>11906</v>
      </c>
      <c r="F5958" t="s">
        <v>11907</v>
      </c>
      <c r="G5958" t="s">
        <v>14</v>
      </c>
      <c r="H5958">
             </c>
      <c r="I5958" t="s">
        <v>14</v>
      </c>
      <c r="J5958" t="s">
        <v>242</v>
      </c>
      <c r="K5958" t="s">
        <v>14</v>
      </c>
      <c r="L5958" t="s">
        <v>20</v>
      </c>
      <c r="M5958" t="s">
        <v>11852</v>
      </c>
      <c r="N5958" t="s">
        <v>14</v>
      </c>
    </row>
    <row r="5959" x14ac:dyDescent="0.25">
      <c r="A5959" t="n">
        <v>25</v>
      </c>
      <c r="B5959" t="s">
        <v>14</v>
      </c>
      <c r="C5959" t="s">
        <v>51</v>
      </c>
      <c r="D5959" s="2" t="s">
        <f>=HYPERLINK("https://main.knesset.gov.il/APPS/legislation/main/bills/2198695", "הצעת חוק העונשין (תיקון - תקיפת נהגי אוטובוס בקווי תחבורה ציבורית), התשפ""ג-2023")</f>
        <v>9653</v>
      </c>
      <c r="E5959" t="s">
        <v>9653</v>
      </c>
      <c r="F5959" t="s">
        <v>11908</v>
      </c>
      <c r="G5959" t="s">
        <v>14</v>
      </c>
      <c r="H5959">
             </c>
      <c r="I5959" t="s">
        <v>14</v>
      </c>
      <c r="J5959" t="s">
        <v>242</v>
      </c>
      <c r="K5959" t="s">
        <v>14</v>
      </c>
      <c r="L5959" t="s">
        <v>20</v>
      </c>
      <c r="M5959" t="s">
        <v>11852</v>
      </c>
      <c r="N5959" t="s">
        <v>14</v>
      </c>
    </row>
    <row r="5960" x14ac:dyDescent="0.25">
      <c r="A5960" t="n">
        <v>25</v>
      </c>
      <c r="B5960" t="s">
        <v>14</v>
      </c>
      <c r="C5960" t="s">
        <v>51</v>
      </c>
      <c r="D5960" s="2" t="s">
        <f>=HYPERLINK("https://main.knesset.gov.il/APPS/legislation/main/bills/2198676", "הצעת חוק העונשין (תיקון - החמרת ענישה בגין ירי מנשק חם שלא כדין), התשפ""ג-2023")</f>
        <v>1440</v>
      </c>
      <c r="E5960" t="s">
        <v>1440</v>
      </c>
      <c r="F5960" t="s">
        <v>11909</v>
      </c>
      <c r="G5960" t="s">
        <v>14</v>
      </c>
      <c r="H5960">
             </c>
      <c r="I5960" t="s">
        <v>14</v>
      </c>
      <c r="J5960" t="s">
        <v>242</v>
      </c>
      <c r="K5960" t="s">
        <v>14</v>
      </c>
      <c r="L5960" t="s">
        <v>20</v>
      </c>
      <c r="M5960" t="s">
        <v>11852</v>
      </c>
      <c r="N5960" t="s">
        <v>14</v>
      </c>
    </row>
    <row r="5961" x14ac:dyDescent="0.25">
      <c r="A5961" t="n">
        <v>25</v>
      </c>
      <c r="B5961" t="s">
        <v>14</v>
      </c>
      <c r="C5961" t="s">
        <v>51</v>
      </c>
      <c r="D5961" s="2" t="s">
        <f>=HYPERLINK("https://main.knesset.gov.il/APPS/legislation/main/bills/2198668", "הצעת חוק-יסוד: הממשלה (תיקון - הפסקת כהונה של ראש הממשלה, שר או סגן שר מחמת הגשת כתב אישום)")</f>
        <v>11910</v>
      </c>
      <c r="E5961" t="s">
        <v>11910</v>
      </c>
      <c r="F5961" t="s">
        <v>11911</v>
      </c>
      <c r="G5961" t="s">
        <v>14</v>
      </c>
      <c r="H5961">
             </c>
      <c r="I5961" t="s">
        <v>14</v>
      </c>
      <c r="J5961" t="s">
        <v>242</v>
      </c>
      <c r="K5961" t="s">
        <v>14</v>
      </c>
      <c r="L5961" t="s">
        <v>20</v>
      </c>
      <c r="M5961" t="s">
        <v>11852</v>
      </c>
      <c r="N5961" t="s">
        <v>14</v>
      </c>
    </row>
    <row r="5962" x14ac:dyDescent="0.25">
      <c r="A5962" t="n">
        <v>25</v>
      </c>
      <c r="B5962" t="s">
        <v>14</v>
      </c>
      <c r="C5962" t="s">
        <v>51</v>
      </c>
      <c r="D5962" s="2" t="s">
        <f>=HYPERLINK("https://main.knesset.gov.il/APPS/legislation/main/bills/2198648", "הצעת חוק לתיקון פקודת התעבורה (הגבלת סכום אגרת רישיון רכב), התשפ""ג-2023")</f>
        <v>8670</v>
      </c>
      <c r="E5962" t="s">
        <v>8670</v>
      </c>
      <c r="F5962" t="s">
        <v>11912</v>
      </c>
      <c r="G5962" t="s">
        <v>14</v>
      </c>
      <c r="H5962">
             </c>
      <c r="I5962" t="s">
        <v>14</v>
      </c>
      <c r="J5962" t="s">
        <v>242</v>
      </c>
      <c r="K5962" t="s">
        <v>14</v>
      </c>
      <c r="L5962" t="s">
        <v>20</v>
      </c>
      <c r="M5962" t="s">
        <v>11852</v>
      </c>
      <c r="N5962" t="s">
        <v>14</v>
      </c>
    </row>
    <row r="5963" x14ac:dyDescent="0.25">
      <c r="A5963" t="n">
        <v>25</v>
      </c>
      <c r="B5963" t="s">
        <v>14</v>
      </c>
      <c r="C5963" t="s">
        <v>51</v>
      </c>
      <c r="D5963" s="2" t="s">
        <f>=HYPERLINK("https://main.knesset.gov.il/APPS/legislation/main/bills/2197826", "הצעת חוק התכנון והבנייה (תיקון - בדיקות נוכחות מזהמים בקרקע, באוויר ובמקורות מים), התשפ״ג-2023")</f>
        <v>11913</v>
      </c>
      <c r="E5963" t="s">
        <v>11913</v>
      </c>
      <c r="F5963" t="s">
        <v>11914</v>
      </c>
      <c r="G5963" t="s">
        <v>14</v>
      </c>
      <c r="H5963">
             </c>
      <c r="I5963" t="s">
        <v>14</v>
      </c>
      <c r="J5963" t="s">
        <v>242</v>
      </c>
      <c r="K5963" t="s">
        <v>14</v>
      </c>
      <c r="L5963" t="s">
        <v>20</v>
      </c>
      <c r="M5963" t="s">
        <v>11852</v>
      </c>
      <c r="N5963" t="s">
        <v>14</v>
      </c>
    </row>
    <row r="5964" x14ac:dyDescent="0.25">
      <c r="A5964" t="n">
        <v>25</v>
      </c>
      <c r="B5964" t="s">
        <v>14</v>
      </c>
      <c r="C5964" t="s">
        <v>51</v>
      </c>
      <c r="D5964" s="2" t="s">
        <f>=HYPERLINK("https://main.knesset.gov.il/APPS/legislation/main/bills/2196578", "הצעת חוק מס ערך מוסף (תיקון - פטור בעת קניית דירה ראשונה לזוגות צעירים), התשפ""ג-2023")</f>
        <v>11915</v>
      </c>
      <c r="E5964" t="s">
        <v>11915</v>
      </c>
      <c r="F5964" t="s">
        <v>11916</v>
      </c>
      <c r="G5964" t="s">
        <v>14</v>
      </c>
      <c r="H5964">
             </c>
      <c r="I5964" t="s">
        <v>14</v>
      </c>
      <c r="J5964" t="s">
        <v>242</v>
      </c>
      <c r="K5964" t="s">
        <v>14</v>
      </c>
      <c r="L5964" t="s">
        <v>20</v>
      </c>
      <c r="M5964" t="s">
        <v>11852</v>
      </c>
      <c r="N5964" t="s">
        <v>14</v>
      </c>
    </row>
    <row r="5965" x14ac:dyDescent="0.25">
      <c r="A5965" t="n">
        <v>25</v>
      </c>
      <c r="B5965" t="s">
        <v>14</v>
      </c>
      <c r="C5965" t="s">
        <v>51</v>
      </c>
      <c r="D5965" s="2" t="s">
        <f>=HYPERLINK("https://main.knesset.gov.il/APPS/legislation/main/bills/2198660", "הצעת חוק משכן הכנסת, רחבתו ומשמר הכנסת (תיקון - איסור העסקה קבלנית), התשפ""ג-2023")</f>
        <v>11917</v>
      </c>
      <c r="E5965" t="s">
        <v>11917</v>
      </c>
      <c r="F5965" t="s">
        <v>11918</v>
      </c>
      <c r="G5965" t="s">
        <v>14</v>
      </c>
      <c r="H5965">
             </c>
      <c r="I5965" t="s">
        <v>14</v>
      </c>
      <c r="J5965" t="s">
        <v>242</v>
      </c>
      <c r="K5965" t="s">
        <v>14</v>
      </c>
      <c r="L5965" t="s">
        <v>20</v>
      </c>
      <c r="M5965" t="s">
        <v>11852</v>
      </c>
      <c r="N5965" t="s">
        <v>14</v>
      </c>
    </row>
    <row r="5966" x14ac:dyDescent="0.25">
      <c r="A5966" t="n">
        <v>25</v>
      </c>
      <c r="B5966" t="s">
        <v>14</v>
      </c>
      <c r="C5966" t="s">
        <v>51</v>
      </c>
      <c r="D5966" s="2" t="s">
        <f>=HYPERLINK("https://main.knesset.gov.il/APPS/legislation/main/bills/2197784", "הצעת חוק טיפול בחולי נפש (תיקון - בחירת מקום אשפוז), התשפ""ג-2023")</f>
        <v>11275</v>
      </c>
      <c r="E5966" t="s">
        <v>11275</v>
      </c>
      <c r="F5966" t="s">
        <v>11919</v>
      </c>
      <c r="G5966" t="s">
        <v>14</v>
      </c>
      <c r="H5966">
             </c>
      <c r="I5966" t="s">
        <v>14</v>
      </c>
      <c r="J5966" t="s">
        <v>242</v>
      </c>
      <c r="K5966" t="s">
        <v>14</v>
      </c>
      <c r="L5966" t="s">
        <v>20</v>
      </c>
      <c r="M5966" t="s">
        <v>11852</v>
      </c>
      <c r="N5966" t="s">
        <v>14</v>
      </c>
    </row>
    <row r="5967" x14ac:dyDescent="0.25">
      <c r="A5967" t="n">
        <v>25</v>
      </c>
      <c r="B5967" t="s">
        <v>14</v>
      </c>
      <c r="C5967" t="s">
        <v>51</v>
      </c>
      <c r="D5967" s="2" t="s">
        <f>=HYPERLINK("https://main.knesset.gov.il/APPS/legislation/main/bills/2198789", "הצעת חוק טיפול בחולי נפש (תיקון - בחירת מקום אשפוז), התשפ""ג-2023")</f>
        <v>11275</v>
      </c>
      <c r="E5967" t="s">
        <v>11275</v>
      </c>
      <c r="F5967" t="s">
        <v>11920</v>
      </c>
      <c r="G5967" t="s">
        <v>14</v>
      </c>
      <c r="H5967">
             </c>
      <c r="I5967" t="s">
        <v>14</v>
      </c>
      <c r="J5967" t="s">
        <v>242</v>
      </c>
      <c r="K5967" t="s">
        <v>14</v>
      </c>
      <c r="L5967" t="s">
        <v>20</v>
      </c>
      <c r="M5967" t="s">
        <v>11852</v>
      </c>
      <c r="N5967" t="s">
        <v>14</v>
      </c>
    </row>
    <row r="5968" x14ac:dyDescent="0.25">
      <c r="A5968" t="n">
        <v>25</v>
      </c>
      <c r="B5968" t="s">
        <v>14</v>
      </c>
      <c r="C5968" t="s">
        <v>51</v>
      </c>
      <c r="D5968" s="2" t="s">
        <f>=HYPERLINK("https://main.knesset.gov.il/APPS/legislation/main/bills/2198630", "הצעת חוק המועצה להשכלה גבוהה (תיקון - קביעת שכר לימוד במוסדות מוכרים שהמדינה אינה משתתפת בתקציביהם), התשפ""ג-2023")</f>
        <v>11921</v>
      </c>
      <c r="E5968" t="s">
        <v>11921</v>
      </c>
      <c r="F5968" t="s">
        <v>11922</v>
      </c>
      <c r="G5968" t="s">
        <v>14</v>
      </c>
      <c r="H5968">
             </c>
      <c r="I5968" t="s">
        <v>14</v>
      </c>
      <c r="J5968" t="s">
        <v>242</v>
      </c>
      <c r="K5968" t="s">
        <v>14</v>
      </c>
      <c r="L5968" t="s">
        <v>20</v>
      </c>
      <c r="M5968" t="s">
        <v>11852</v>
      </c>
      <c r="N5968" t="s">
        <v>14</v>
      </c>
    </row>
    <row r="5969" x14ac:dyDescent="0.25">
      <c r="A5969" t="n">
        <v>25</v>
      </c>
      <c r="B5969" t="s">
        <v>14</v>
      </c>
      <c r="C5969" t="s">
        <v>51</v>
      </c>
      <c r="D5969" s="2" t="s">
        <f>=HYPERLINK("https://main.knesset.gov.il/APPS/legislation/main/bills/2197782", "הצעת חוק-יסוד: השוויון")</f>
        <v>11923</v>
      </c>
      <c r="E5969" t="s">
        <v>11923</v>
      </c>
      <c r="F5969" t="s">
        <v>11924</v>
      </c>
      <c r="G5969" t="s">
        <v>14</v>
      </c>
      <c r="H5969">
             </c>
      <c r="I5969" t="s">
        <v>14</v>
      </c>
      <c r="J5969" t="s">
        <v>242</v>
      </c>
      <c r="K5969" t="s">
        <v>14</v>
      </c>
      <c r="L5969" t="s">
        <v>20</v>
      </c>
      <c r="M5969" t="s">
        <v>11852</v>
      </c>
      <c r="N5969" t="s">
        <v>14</v>
      </c>
    </row>
    <row r="5970" x14ac:dyDescent="0.25">
      <c r="A5970" t="n">
        <v>25</v>
      </c>
      <c r="B5970" t="s">
        <v>14</v>
      </c>
      <c r="C5970" t="s">
        <v>51</v>
      </c>
      <c r="D5970" s="2" t="s">
        <f>=HYPERLINK("https://main.knesset.gov.il/APPS/legislation/main/bills/2196331", "הצעת חוק לתיקון פקודת מס הכנסה (חישוב שווי שימוש ברכב לשומרי שבת וחג), התשפ""ג-2023")</f>
        <v>11925</v>
      </c>
      <c r="E5970" t="s">
        <v>11925</v>
      </c>
      <c r="F5970" t="s">
        <v>11926</v>
      </c>
      <c r="G5970" t="s">
        <v>14</v>
      </c>
      <c r="H5970">
             </c>
      <c r="I5970" t="s">
        <v>14</v>
      </c>
      <c r="J5970" t="s">
        <v>242</v>
      </c>
      <c r="K5970" t="s">
        <v>14</v>
      </c>
      <c r="L5970" t="s">
        <v>20</v>
      </c>
      <c r="M5970" t="s">
        <v>11852</v>
      </c>
      <c r="N5970" t="s">
        <v>14</v>
      </c>
    </row>
    <row r="5971" x14ac:dyDescent="0.25">
      <c r="A5971" t="n">
        <v>25</v>
      </c>
      <c r="B5971" t="s">
        <v>14</v>
      </c>
      <c r="C5971" t="s">
        <v>51</v>
      </c>
      <c r="D5971" s="2" t="s">
        <f>=HYPERLINK("https://main.knesset.gov.il/APPS/legislation/main/bills/2199328", "הצעת חוק זכאות לאבחון לקויות למידה לילדים ממשפחות מעוטות יכולת, התשפ""ג-2023 ")</f>
        <v>11927</v>
      </c>
      <c r="E5971" t="s">
        <v>11927</v>
      </c>
      <c r="F5971" t="s">
        <v>11928</v>
      </c>
      <c r="G5971" t="s">
        <v>14</v>
      </c>
      <c r="H5971">
             </c>
      <c r="I5971" t="s">
        <v>14</v>
      </c>
      <c r="J5971" t="s">
        <v>242</v>
      </c>
      <c r="K5971" t="s">
        <v>14</v>
      </c>
      <c r="L5971" t="s">
        <v>20</v>
      </c>
      <c r="M5971" t="s">
        <v>11852</v>
      </c>
      <c r="N5971" t="s">
        <v>14</v>
      </c>
    </row>
    <row r="5972" x14ac:dyDescent="0.25">
      <c r="A5972" t="n">
        <v>25</v>
      </c>
      <c r="B5972" t="s">
        <v>14</v>
      </c>
      <c r="C5972" t="s">
        <v>51</v>
      </c>
      <c r="D5972" s="2" t="s">
        <f>=HYPERLINK("https://main.knesset.gov.il/APPS/legislation/main/bills/2199329", "הצעת חוק הארכת השעיה של עובד המדינה ופיטורים של עובד הוראה לשם הגנה על קטין או חסר ישע (תיקוני חקיקה), התשפ""ג-2023")</f>
        <v>11929</v>
      </c>
      <c r="E5972" t="s">
        <v>11929</v>
      </c>
      <c r="F5972" t="s">
        <v>11930</v>
      </c>
      <c r="G5972" t="s">
        <v>14</v>
      </c>
      <c r="H5972">
             </c>
      <c r="I5972" t="s">
        <v>14</v>
      </c>
      <c r="J5972" t="s">
        <v>242</v>
      </c>
      <c r="K5972" t="s">
        <v>14</v>
      </c>
      <c r="L5972" t="s">
        <v>20</v>
      </c>
      <c r="M5972" t="s">
        <v>11852</v>
      </c>
      <c r="N5972" t="s">
        <v>14</v>
      </c>
    </row>
    <row r="5973" x14ac:dyDescent="0.25">
      <c r="A5973" t="n">
        <v>25</v>
      </c>
      <c r="B5973" t="s">
        <v>14</v>
      </c>
      <c r="C5973" t="s">
        <v>51</v>
      </c>
      <c r="D5973" s="2" t="s">
        <f>=HYPERLINK("https://main.knesset.gov.il/APPS/legislation/main/bills/2199221", "הצעת חוק לתיקון פקודת מס הכנסה (פטור ממס לגמלאים על תשלומי הפנסיה), התשפ""ג-2023")</f>
        <v>11931</v>
      </c>
      <c r="E5973" t="s">
        <v>11931</v>
      </c>
      <c r="F5973" t="s">
        <v>11932</v>
      </c>
      <c r="G5973" t="s">
        <v>14</v>
      </c>
      <c r="H5973">
             </c>
      <c r="I5973" t="s">
        <v>14</v>
      </c>
      <c r="J5973" t="s">
        <v>242</v>
      </c>
      <c r="K5973" t="s">
        <v>14</v>
      </c>
      <c r="L5973" t="s">
        <v>20</v>
      </c>
      <c r="M5973" t="s">
        <v>11852</v>
      </c>
      <c r="N5973" t="s">
        <v>14</v>
      </c>
    </row>
    <row r="5974" x14ac:dyDescent="0.25">
      <c r="A5974" t="n">
        <v>25</v>
      </c>
      <c r="B5974" t="s">
        <v>14</v>
      </c>
      <c r="C5974" t="s">
        <v>51</v>
      </c>
      <c r="D5974" s="2" t="s">
        <f>=HYPERLINK("https://main.knesset.gov.il/APPS/legislation/main/bills/2199421", "הצעת חוק לתיקון פקודת התעבורה (הסמכת רשות מקומית לביצוע תפקידי רישוי), התשפ""ג-2023")</f>
        <v>11933</v>
      </c>
      <c r="E5974" t="s">
        <v>11933</v>
      </c>
      <c r="F5974" t="s">
        <v>11934</v>
      </c>
      <c r="G5974" t="s">
        <v>14</v>
      </c>
      <c r="H5974">
             </c>
      <c r="I5974" t="s">
        <v>14</v>
      </c>
      <c r="J5974" t="s">
        <v>242</v>
      </c>
      <c r="K5974" t="s">
        <v>14</v>
      </c>
      <c r="L5974" t="s">
        <v>20</v>
      </c>
      <c r="M5974" t="s">
        <v>11852</v>
      </c>
      <c r="N5974" t="s">
        <v>14</v>
      </c>
    </row>
    <row r="5975" x14ac:dyDescent="0.25">
      <c r="A5975" t="n">
        <v>25</v>
      </c>
      <c r="B5975" t="s">
        <v>14</v>
      </c>
      <c r="C5975" t="s">
        <v>51</v>
      </c>
      <c r="D5975" s="2" t="s">
        <f>=HYPERLINK("https://main.knesset.gov.il/APPS/legislation/main/bills/2198645", "הצעת חוק להקמת אוניברסיטה ערבית ביישוב ערבי, התשפ""ג-2023")</f>
        <v>11935</v>
      </c>
      <c r="E5975" t="s">
        <v>11935</v>
      </c>
      <c r="F5975" t="s">
        <v>11936</v>
      </c>
      <c r="G5975" t="s">
        <v>14</v>
      </c>
      <c r="H5975">
             </c>
      <c r="I5975" t="s">
        <v>14</v>
      </c>
      <c r="J5975" t="s">
        <v>242</v>
      </c>
      <c r="K5975" t="s">
        <v>14</v>
      </c>
      <c r="L5975" t="s">
        <v>20</v>
      </c>
      <c r="M5975" t="s">
        <v>11852</v>
      </c>
      <c r="N5975" t="s">
        <v>14</v>
      </c>
    </row>
    <row r="5976" x14ac:dyDescent="0.25">
      <c r="A5976" t="n">
        <v>25</v>
      </c>
      <c r="B5976" t="s">
        <v>14</v>
      </c>
      <c r="C5976" t="s">
        <v>51</v>
      </c>
      <c r="D5976" s="2" t="s">
        <f>=HYPERLINK("https://main.knesset.gov.il/APPS/legislation/main/bills/2197834", "הצעת חוק מס ערך מוסף (תיקון - פטור ממס ערך מוסף במכירת תרופות לחולים סופניים), התשפ""ג-2023")</f>
        <v>11937</v>
      </c>
      <c r="E5976" t="s">
        <v>11937</v>
      </c>
      <c r="F5976" t="s">
        <v>11938</v>
      </c>
      <c r="G5976" t="s">
        <v>14</v>
      </c>
      <c r="H5976">
             </c>
      <c r="I5976" t="s">
        <v>14</v>
      </c>
      <c r="J5976" t="s">
        <v>242</v>
      </c>
      <c r="K5976" t="s">
        <v>14</v>
      </c>
      <c r="L5976" t="s">
        <v>20</v>
      </c>
      <c r="M5976" t="s">
        <v>11852</v>
      </c>
      <c r="N5976" t="s">
        <v>14</v>
      </c>
    </row>
    <row r="5977" x14ac:dyDescent="0.25">
      <c r="A5977" t="n">
        <v>25</v>
      </c>
      <c r="B5977" t="s">
        <v>14</v>
      </c>
      <c r="C5977" t="s">
        <v>51</v>
      </c>
      <c r="D5977" s="2" t="s">
        <f>=HYPERLINK("https://main.knesset.gov.il/APPS/legislation/main/bills/2198928", "הצעת חוק שירות ביטחון (תיקון - חובת תשלום מס למי שאינו משרת שירות צבאי או שירות אזרחי), התשפ""ג-2023")</f>
        <v>11939</v>
      </c>
      <c r="E5977" t="s">
        <v>11939</v>
      </c>
      <c r="F5977" t="s">
        <v>11940</v>
      </c>
      <c r="G5977" t="s">
        <v>14</v>
      </c>
      <c r="H5977">
             </c>
      <c r="I5977" t="s">
        <v>14</v>
      </c>
      <c r="J5977" t="s">
        <v>242</v>
      </c>
      <c r="K5977" t="s">
        <v>14</v>
      </c>
      <c r="L5977" t="s">
        <v>20</v>
      </c>
      <c r="M5977" t="s">
        <v>11852</v>
      </c>
      <c r="N5977" t="s">
        <v>14</v>
      </c>
    </row>
    <row r="5978" x14ac:dyDescent="0.25">
      <c r="A5978" t="n">
        <v>25</v>
      </c>
      <c r="B5978" t="s">
        <v>14</v>
      </c>
      <c r="C5978" t="s">
        <v>51</v>
      </c>
      <c r="D5978" s="2" t="s">
        <f>=HYPERLINK("https://main.knesset.gov.il/APPS/legislation/main/bills/2196021", "הצעת חוק לתיקון פקודת המכס (ביטול חיוב בעד בדיקת טובין), התשפ""ג-2023")</f>
        <v>10047</v>
      </c>
      <c r="E5978" t="s">
        <v>10047</v>
      </c>
      <c r="F5978" t="s">
        <v>11941</v>
      </c>
      <c r="G5978" t="s">
        <v>14</v>
      </c>
      <c r="H5978">
             </c>
      <c r="I5978" t="s">
        <v>14</v>
      </c>
      <c r="J5978" t="s">
        <v>242</v>
      </c>
      <c r="K5978" t="s">
        <v>14</v>
      </c>
      <c r="L5978" t="s">
        <v>20</v>
      </c>
      <c r="M5978" t="s">
        <v>11852</v>
      </c>
      <c r="N5978" t="s">
        <v>14</v>
      </c>
    </row>
    <row r="5979" x14ac:dyDescent="0.25">
      <c r="A5979" t="n">
        <v>25</v>
      </c>
      <c r="B5979" t="s">
        <v>14</v>
      </c>
      <c r="C5979" t="s">
        <v>51</v>
      </c>
      <c r="D5979" s="2" t="s">
        <f>=HYPERLINK("https://main.knesset.gov.il/APPS/legislation/main/bills/2199452", "הצעת חוק לתיקון סדרי המינהל (החלטות והנמקות) (תיקון - קיצור זמן המענה בפניות ציבור), התשפ""ג-2023")</f>
        <v>10489</v>
      </c>
      <c r="E5979" t="s">
        <v>10489</v>
      </c>
      <c r="F5979" t="s">
        <v>11942</v>
      </c>
      <c r="G5979" t="s">
        <v>14</v>
      </c>
      <c r="H5979">
             </c>
      <c r="I5979" t="s">
        <v>14</v>
      </c>
      <c r="J5979" t="s">
        <v>242</v>
      </c>
      <c r="K5979" t="s">
        <v>14</v>
      </c>
      <c r="L5979" t="s">
        <v>20</v>
      </c>
      <c r="M5979" t="s">
        <v>11852</v>
      </c>
      <c r="N5979" t="s">
        <v>14</v>
      </c>
    </row>
    <row r="5980" x14ac:dyDescent="0.25">
      <c r="A5980" t="n">
        <v>25</v>
      </c>
      <c r="B5980" t="s">
        <v>14</v>
      </c>
      <c r="C5980" t="s">
        <v>51</v>
      </c>
      <c r="D5980" s="2" t="s">
        <f>=HYPERLINK("https://main.knesset.gov.il/APPS/legislation/main/bills/2198611", "הצעת חוק העונשין (תיקון - קביעת עונש מינימום לעבירות יידוי אבנים), התשפ""ג-2023")</f>
        <v>3984</v>
      </c>
      <c r="E5980" t="s">
        <v>3984</v>
      </c>
      <c r="F5980" t="s">
        <v>11943</v>
      </c>
      <c r="G5980" t="s">
        <v>14</v>
      </c>
      <c r="H5980">
             </c>
      <c r="I5980" t="s">
        <v>14</v>
      </c>
      <c r="J5980" t="s">
        <v>242</v>
      </c>
      <c r="K5980" t="s">
        <v>14</v>
      </c>
      <c r="L5980" t="s">
        <v>20</v>
      </c>
      <c r="M5980" t="s">
        <v>11852</v>
      </c>
      <c r="N5980" t="s">
        <v>14</v>
      </c>
    </row>
    <row r="5981" x14ac:dyDescent="0.25">
      <c r="A5981" t="n">
        <v>25</v>
      </c>
      <c r="B5981" t="s">
        <v>14</v>
      </c>
      <c r="C5981" t="s">
        <v>51</v>
      </c>
      <c r="D5981" s="2" t="s">
        <f>=HYPERLINK("https://main.knesset.gov.il/APPS/legislation/main/bills/2199400", "הצעת חוק חובת המכרזים (תיקון - עידוד עסקים להעסקת בני החברה הערבית והחרדית), התשפ""ג-2023")</f>
        <v>8358</v>
      </c>
      <c r="E5981" t="s">
        <v>8358</v>
      </c>
      <c r="F5981" t="s">
        <v>11944</v>
      </c>
      <c r="G5981" t="s">
        <v>14</v>
      </c>
      <c r="H5981">
             </c>
      <c r="I5981" t="s">
        <v>14</v>
      </c>
      <c r="J5981" t="s">
        <v>242</v>
      </c>
      <c r="K5981" t="s">
        <v>14</v>
      </c>
      <c r="L5981" t="s">
        <v>20</v>
      </c>
      <c r="M5981" t="s">
        <v>11852</v>
      </c>
      <c r="N5981" t="s">
        <v>14</v>
      </c>
    </row>
    <row r="5982" x14ac:dyDescent="0.25">
      <c r="A5982" t="n">
        <v>25</v>
      </c>
      <c r="B5982" t="s">
        <v>14</v>
      </c>
      <c r="C5982" t="s">
        <v>51</v>
      </c>
      <c r="D5982" s="2" t="s">
        <f>=HYPERLINK("https://main.knesset.gov.il/APPS/legislation/main/bills/2197792", "הצעת חוק שכירות הוגנת (רשם השכירויות), התשפ""ג-2023")</f>
        <v>11945</v>
      </c>
      <c r="E5982" t="s">
        <v>11945</v>
      </c>
      <c r="F5982" t="s">
        <v>11946</v>
      </c>
      <c r="G5982" t="s">
        <v>14</v>
      </c>
      <c r="H5982">
             </c>
      <c r="I5982" t="s">
        <v>14</v>
      </c>
      <c r="J5982" t="s">
        <v>242</v>
      </c>
      <c r="K5982" t="s">
        <v>14</v>
      </c>
      <c r="L5982" t="s">
        <v>20</v>
      </c>
      <c r="M5982" t="s">
        <v>11852</v>
      </c>
      <c r="N5982" t="s">
        <v>14</v>
      </c>
    </row>
    <row r="5983" x14ac:dyDescent="0.25">
      <c r="A5983" t="n">
        <v>25</v>
      </c>
      <c r="B5983" t="s">
        <v>14</v>
      </c>
      <c r="C5983" t="s">
        <v>51</v>
      </c>
      <c r="D5983" s="2" t="s">
        <f>=HYPERLINK("https://main.knesset.gov.il/APPS/legislation/main/bills/2198631", "הצעת חוק איסור הפליה במוצרים, בשירותים ובכניסה למקומות בידור ולמקומות ציבוריים (תיקון - חובת הודעה מוקדמת על אירוע סגור), התשפ""ג-2023")</f>
        <v>11947</v>
      </c>
      <c r="E5983" t="s">
        <v>11947</v>
      </c>
      <c r="F5983" t="s">
        <v>11948</v>
      </c>
      <c r="G5983" t="s">
        <v>14</v>
      </c>
      <c r="H5983">
             </c>
      <c r="I5983" t="s">
        <v>14</v>
      </c>
      <c r="J5983" t="s">
        <v>242</v>
      </c>
      <c r="K5983" t="s">
        <v>14</v>
      </c>
      <c r="L5983" t="s">
        <v>20</v>
      </c>
      <c r="M5983" t="s">
        <v>11852</v>
      </c>
      <c r="N5983" t="s">
        <v>14</v>
      </c>
    </row>
    <row r="5984" x14ac:dyDescent="0.25">
      <c r="A5984" t="n">
        <v>25</v>
      </c>
      <c r="B5984" t="s">
        <v>14</v>
      </c>
      <c r="C5984" t="s">
        <v>51</v>
      </c>
      <c r="D5984" s="2" t="s">
        <f>=HYPERLINK("https://main.knesset.gov.il/APPS/legislation/main/bills/2198148", "הצעת חוק כביש אגרה (כביש ארצי לישראל) (תיקון - פטור מאגרה בשל האטה ממהירות הנסיעה המותרת), התשפ""ג-2023")</f>
        <v>10895</v>
      </c>
      <c r="E5984" t="s">
        <v>10895</v>
      </c>
      <c r="F5984" t="s">
        <v>11949</v>
      </c>
      <c r="G5984" t="s">
        <v>14</v>
      </c>
      <c r="H5984">
             </c>
      <c r="I5984" t="s">
        <v>14</v>
      </c>
      <c r="J5984" t="s">
        <v>242</v>
      </c>
      <c r="K5984" t="s">
        <v>14</v>
      </c>
      <c r="L5984" t="s">
        <v>20</v>
      </c>
      <c r="M5984" t="s">
        <v>11852</v>
      </c>
      <c r="N5984" t="s">
        <v>14</v>
      </c>
    </row>
    <row r="5985" x14ac:dyDescent="0.25">
      <c r="A5985" t="n">
        <v>25</v>
      </c>
      <c r="B5985" t="s">
        <v>14</v>
      </c>
      <c r="C5985" t="s">
        <v>51</v>
      </c>
      <c r="D5985" s="2" t="s">
        <f>=HYPERLINK("https://main.knesset.gov.il/APPS/legislation/main/bills/2198248", "הצעת חוק משק החשמל (תיקון - תשלומי חשמל מופחתים לקשישים נכים), התשפ""ג-2023")</f>
        <v>11950</v>
      </c>
      <c r="E5985" t="s">
        <v>11950</v>
      </c>
      <c r="F5985" t="s">
        <v>11951</v>
      </c>
      <c r="G5985" t="s">
        <v>14</v>
      </c>
      <c r="H5985">
             </c>
      <c r="I5985" t="s">
        <v>14</v>
      </c>
      <c r="J5985" t="s">
        <v>242</v>
      </c>
      <c r="K5985" t="s">
        <v>14</v>
      </c>
      <c r="L5985" t="s">
        <v>20</v>
      </c>
      <c r="M5985" t="s">
        <v>11852</v>
      </c>
      <c r="N5985" t="s">
        <v>14</v>
      </c>
    </row>
    <row r="5986" x14ac:dyDescent="0.25">
      <c r="A5986" t="n">
        <v>25</v>
      </c>
      <c r="B5986" t="s">
        <v>14</v>
      </c>
      <c r="C5986" t="s">
        <v>51</v>
      </c>
      <c r="D5986" s="2" t="s">
        <f>=HYPERLINK("https://main.knesset.gov.il/APPS/legislation/main/bills/2199451", "הצעת חוק לתיקון פקודת התעבורה (מאסר מינימום למי שהפקיר אדם שנפגע בתאונה), התשפ""ג-2023")</f>
        <v>11952</v>
      </c>
      <c r="E5986" t="s">
        <v>11952</v>
      </c>
      <c r="F5986" t="s">
        <v>11953</v>
      </c>
      <c r="G5986" t="s">
        <v>14</v>
      </c>
      <c r="H5986">
             </c>
      <c r="I5986" t="s">
        <v>14</v>
      </c>
      <c r="J5986" t="s">
        <v>242</v>
      </c>
      <c r="K5986" t="s">
        <v>14</v>
      </c>
      <c r="L5986" t="s">
        <v>20</v>
      </c>
      <c r="M5986" t="s">
        <v>11852</v>
      </c>
      <c r="N5986" t="s">
        <v>14</v>
      </c>
    </row>
    <row r="5987" x14ac:dyDescent="0.25">
      <c r="A5987" t="n">
        <v>25</v>
      </c>
      <c r="B5987" t="s">
        <v>14</v>
      </c>
      <c r="C5987" t="s">
        <v>51</v>
      </c>
      <c r="D5987" s="2" t="s">
        <f>=HYPERLINK("https://main.knesset.gov.il/APPS/legislation/main/bills/2196034", "הצעת חוק האזרחות (תיקון - אזרחות לצאצא אזרח ישראלי המתגורר מחוץ לישראל), התשפ""ג-2023")</f>
        <v>11954</v>
      </c>
      <c r="E5987" t="s">
        <v>11954</v>
      </c>
      <c r="F5987" t="s">
        <v>11955</v>
      </c>
      <c r="G5987" t="s">
        <v>14</v>
      </c>
      <c r="H5987">
             </c>
      <c r="I5987" t="s">
        <v>14</v>
      </c>
      <c r="J5987" t="s">
        <v>242</v>
      </c>
      <c r="K5987" t="s">
        <v>14</v>
      </c>
      <c r="L5987" t="s">
        <v>20</v>
      </c>
      <c r="M5987" t="s">
        <v>11852</v>
      </c>
      <c r="N5987" t="s">
        <v>14</v>
      </c>
    </row>
    <row r="5988" x14ac:dyDescent="0.25">
      <c r="A5988" t="n">
        <v>25</v>
      </c>
      <c r="B5988" t="s">
        <v>14</v>
      </c>
      <c r="C5988" t="s">
        <v>51</v>
      </c>
      <c r="D5988" s="2" t="s">
        <f>=HYPERLINK("https://main.knesset.gov.il/APPS/legislation/main/bills/2199398", "הצעת חוק זכויות הסטודנט (תיקון - התאמות לאוכלוסייה הערבית - חגים), התשפ""ג-2023")</f>
        <v>6188</v>
      </c>
      <c r="E5988" t="s">
        <v>6188</v>
      </c>
      <c r="F5988" t="s">
        <v>11956</v>
      </c>
      <c r="G5988" t="s">
        <v>14</v>
      </c>
      <c r="H5988">
             </c>
      <c r="I5988" t="s">
        <v>14</v>
      </c>
      <c r="J5988" t="s">
        <v>242</v>
      </c>
      <c r="K5988" t="s">
        <v>14</v>
      </c>
      <c r="L5988" t="s">
        <v>20</v>
      </c>
      <c r="M5988" t="s">
        <v>11852</v>
      </c>
      <c r="N5988" t="s">
        <v>14</v>
      </c>
    </row>
    <row r="5989" x14ac:dyDescent="0.25">
      <c r="A5989" t="n">
        <v>25</v>
      </c>
      <c r="B5989" t="s">
        <v>14</v>
      </c>
      <c r="C5989" t="s">
        <v>51</v>
      </c>
      <c r="D5989" s="2" t="s">
        <f>=HYPERLINK("https://main.knesset.gov.il/APPS/legislation/main/bills/2199397", "הצעת חוק זכויות הסטודנט (תיקון - ייעוץ אקדמי בערבית), התשפ""ג-2023")</f>
        <v>11957</v>
      </c>
      <c r="E5989" t="s">
        <v>11957</v>
      </c>
      <c r="F5989" t="s">
        <v>11958</v>
      </c>
      <c r="G5989" t="s">
        <v>14</v>
      </c>
      <c r="H5989">
             </c>
      <c r="I5989" t="s">
        <v>14</v>
      </c>
      <c r="J5989" t="s">
        <v>242</v>
      </c>
      <c r="K5989" t="s">
        <v>14</v>
      </c>
      <c r="L5989" t="s">
        <v>20</v>
      </c>
      <c r="M5989" t="s">
        <v>11852</v>
      </c>
      <c r="N5989" t="s">
        <v>14</v>
      </c>
    </row>
    <row r="5990" x14ac:dyDescent="0.25">
      <c r="A5990" t="n">
        <v>25</v>
      </c>
      <c r="B5990" t="s">
        <v>14</v>
      </c>
      <c r="C5990" t="s">
        <v>51</v>
      </c>
      <c r="D5990" s="2" t="s">
        <f>=HYPERLINK("https://main.knesset.gov.il/APPS/legislation/main/bills/2198637", "הצעת חוק יום הזיכרון לנכבה, התשפ""ג-2023")</f>
        <v>11959</v>
      </c>
      <c r="E5990" t="s">
        <v>11959</v>
      </c>
      <c r="F5990" t="s">
        <v>11960</v>
      </c>
      <c r="G5990" t="s">
        <v>14</v>
      </c>
      <c r="H5990">
             </c>
      <c r="I5990" t="s">
        <v>14</v>
      </c>
      <c r="J5990" t="s">
        <v>242</v>
      </c>
      <c r="K5990" t="s">
        <v>14</v>
      </c>
      <c r="L5990" t="s">
        <v>20</v>
      </c>
      <c r="M5990" t="s">
        <v>11852</v>
      </c>
      <c r="N5990" t="s">
        <v>14</v>
      </c>
    </row>
    <row r="5991" x14ac:dyDescent="0.25">
      <c r="A5991" t="n">
        <v>25</v>
      </c>
      <c r="B5991" t="s">
        <v>14</v>
      </c>
      <c r="C5991" t="s">
        <v>51</v>
      </c>
      <c r="D5991" s="2" t="s">
        <f>=HYPERLINK("https://main.knesset.gov.il/APPS/legislation/main/bills/2199497", "הצעת חוק לתיקון פקודת התעבורה (קביעת קנס בגין גביית יתר של שכר הסעה במונית), התשפ""ג-2023")</f>
        <v>11042</v>
      </c>
      <c r="E5991" t="s">
        <v>11042</v>
      </c>
      <c r="F5991" t="s">
        <v>11961</v>
      </c>
      <c r="G5991" t="s">
        <v>14</v>
      </c>
      <c r="H5991">
             </c>
      <c r="I5991" t="s">
        <v>14</v>
      </c>
      <c r="J5991" t="s">
        <v>242</v>
      </c>
      <c r="K5991" t="s">
        <v>14</v>
      </c>
      <c r="L5991" t="s">
        <v>20</v>
      </c>
      <c r="M5991" t="s">
        <v>11852</v>
      </c>
      <c r="N5991" t="s">
        <v>14</v>
      </c>
    </row>
    <row r="5992" x14ac:dyDescent="0.25">
      <c r="A5992" t="n">
        <v>25</v>
      </c>
      <c r="B5992" t="s">
        <v>14</v>
      </c>
      <c r="C5992" t="s">
        <v>51</v>
      </c>
      <c r="D5992" s="2" t="s">
        <f>=HYPERLINK("https://main.knesset.gov.il/APPS/legislation/main/bills/2199409", "הצעת חוק לתיקון פקודת המסים (גבייה) (גבייה לפי חוק ההוצאה לפועל), התשפ""ג-2023")</f>
        <v>11891</v>
      </c>
      <c r="E5992" t="s">
        <v>11891</v>
      </c>
      <c r="F5992" t="s">
        <v>11962</v>
      </c>
      <c r="G5992" t="s">
        <v>14</v>
      </c>
      <c r="H5992">
             </c>
      <c r="I5992" t="s">
        <v>14</v>
      </c>
      <c r="J5992" t="s">
        <v>242</v>
      </c>
      <c r="K5992" t="s">
        <v>14</v>
      </c>
      <c r="L5992" t="s">
        <v>20</v>
      </c>
      <c r="M5992" t="s">
        <v>11852</v>
      </c>
      <c r="N5992" t="s">
        <v>14</v>
      </c>
    </row>
    <row r="5993" x14ac:dyDescent="0.25">
      <c r="A5993" t="n">
        <v>25</v>
      </c>
      <c r="B5993" t="s">
        <v>14</v>
      </c>
      <c r="C5993" t="s">
        <v>51</v>
      </c>
      <c r="D5993" s="2" t="s">
        <f>=HYPERLINK("https://main.knesset.gov.il/APPS/legislation/main/bills/2198698", "הצעת חוק הגנת השכר (תיקון - מתכונת אחידה לפנקס שכר ותלוש שכר), התשפ""ג-2023")</f>
        <v>11365</v>
      </c>
      <c r="E5993" t="s">
        <v>11365</v>
      </c>
      <c r="F5993" t="s">
        <v>11963</v>
      </c>
      <c r="G5993" t="s">
        <v>14</v>
      </c>
      <c r="H5993">
             </c>
      <c r="I5993" t="s">
        <v>14</v>
      </c>
      <c r="J5993" t="s">
        <v>242</v>
      </c>
      <c r="K5993" t="s">
        <v>14</v>
      </c>
      <c r="L5993" t="s">
        <v>20</v>
      </c>
      <c r="M5993" t="s">
        <v>11852</v>
      </c>
      <c r="N5993" t="s">
        <v>14</v>
      </c>
    </row>
    <row r="5994" x14ac:dyDescent="0.25">
      <c r="A5994" t="n">
        <v>25</v>
      </c>
      <c r="B5994" t="s">
        <v>14</v>
      </c>
      <c r="C5994" t="s">
        <v>51</v>
      </c>
      <c r="D5994" s="2" t="s">
        <f>=HYPERLINK("https://main.knesset.gov.il/APPS/legislation/main/bills/2198917", "הצעת חוק הרשויות המקומיות (בחירות) (תיקון - בחירה של בעל עסק בתחום רשות מקומית שעסקו רשום בה), התשפ""ג-2023")</f>
        <v>11964</v>
      </c>
      <c r="E5994" t="s">
        <v>11964</v>
      </c>
      <c r="F5994" t="s">
        <v>11965</v>
      </c>
      <c r="G5994" t="s">
        <v>14</v>
      </c>
      <c r="H5994">
             </c>
      <c r="I5994" t="s">
        <v>14</v>
      </c>
      <c r="J5994" t="s">
        <v>242</v>
      </c>
      <c r="K5994" t="s">
        <v>14</v>
      </c>
      <c r="L5994" t="s">
        <v>20</v>
      </c>
      <c r="M5994" t="s">
        <v>11852</v>
      </c>
      <c r="N5994" t="s">
        <v>14</v>
      </c>
    </row>
    <row r="5995" x14ac:dyDescent="0.25">
      <c r="A5995" t="n">
        <v>25</v>
      </c>
      <c r="B5995" t="s">
        <v>14</v>
      </c>
      <c r="C5995" t="s">
        <v>51</v>
      </c>
      <c r="D5995" s="2" t="s">
        <f>=HYPERLINK("https://main.knesset.gov.il/APPS/legislation/main/bills/2199458", "הצעת חוק הנוטריונים (תיקון - ביטול תעריף מינימום לשירות נוטריוני), התשפ""ג-2023")</f>
        <v>11966</v>
      </c>
      <c r="E5995" t="s">
        <v>11966</v>
      </c>
      <c r="F5995" t="s">
        <v>11967</v>
      </c>
      <c r="G5995" t="s">
        <v>14</v>
      </c>
      <c r="H5995">
             </c>
      <c r="I5995" t="s">
        <v>14</v>
      </c>
      <c r="J5995" t="s">
        <v>242</v>
      </c>
      <c r="K5995" t="s">
        <v>14</v>
      </c>
      <c r="L5995" t="s">
        <v>20</v>
      </c>
      <c r="M5995" t="s">
        <v>11852</v>
      </c>
      <c r="N5995" t="s">
        <v>14</v>
      </c>
    </row>
    <row r="5996" x14ac:dyDescent="0.25">
      <c r="A5996" t="n">
        <v>25</v>
      </c>
      <c r="B5996" t="s">
        <v>14</v>
      </c>
      <c r="C5996" t="s">
        <v>51</v>
      </c>
      <c r="D5996" s="2" t="s">
        <f>=HYPERLINK("https://main.knesset.gov.il/APPS/legislation/main/bills/2199463", "הצעת חוק חובת תשלום בשוברים, התשפ""ג-2023")</f>
        <v>11968</v>
      </c>
      <c r="E5996" t="s">
        <v>11968</v>
      </c>
      <c r="F5996" t="s">
        <v>11969</v>
      </c>
      <c r="G5996" t="s">
        <v>14</v>
      </c>
      <c r="H5996">
             </c>
      <c r="I5996" t="s">
        <v>14</v>
      </c>
      <c r="J5996" t="s">
        <v>242</v>
      </c>
      <c r="K5996" t="s">
        <v>14</v>
      </c>
      <c r="L5996" t="s">
        <v>20</v>
      </c>
      <c r="M5996" t="s">
        <v>11852</v>
      </c>
      <c r="N5996" t="s">
        <v>14</v>
      </c>
    </row>
    <row r="5997" x14ac:dyDescent="0.25">
      <c r="A5997" t="n">
        <v>25</v>
      </c>
      <c r="B5997" t="s">
        <v>14</v>
      </c>
      <c r="C5997" t="s">
        <v>51</v>
      </c>
      <c r="D5997" s="2" t="s">
        <f>=HYPERLINK("https://main.knesset.gov.il/APPS/legislation/main/bills/2199446", "הצעת חוק לתיקון פקודת התעבורה (חובת בדיקת תקינות כריות האוויר ברכב בעת מתן רישיון רכב, חידושו או העברתו), התשפ""ג-2023")</f>
        <v>11970</v>
      </c>
      <c r="E5997" t="s">
        <v>11970</v>
      </c>
      <c r="F5997" t="s">
        <v>11971</v>
      </c>
      <c r="G5997" t="s">
        <v>14</v>
      </c>
      <c r="H5997">
             </c>
      <c r="I5997" t="s">
        <v>14</v>
      </c>
      <c r="J5997" t="s">
        <v>242</v>
      </c>
      <c r="K5997" t="s">
        <v>14</v>
      </c>
      <c r="L5997" t="s">
        <v>20</v>
      </c>
      <c r="M5997" t="s">
        <v>11852</v>
      </c>
      <c r="N5997" t="s">
        <v>14</v>
      </c>
    </row>
    <row r="5998" x14ac:dyDescent="0.25">
      <c r="A5998" t="n">
        <v>25</v>
      </c>
      <c r="B5998" t="s">
        <v>14</v>
      </c>
      <c r="C5998" t="s">
        <v>51</v>
      </c>
      <c r="D5998" s="2" t="s">
        <f>=HYPERLINK("https://main.knesset.gov.il/APPS/legislation/main/bills/2199456", "הצעת חוק לתיקון פקודת התעבורה (הפחתת גובה קנס בשל תשלום מיידי), התשפ""ג-2023")</f>
        <v>11809</v>
      </c>
      <c r="E5998" t="s">
        <v>11809</v>
      </c>
      <c r="F5998" t="s">
        <v>11972</v>
      </c>
      <c r="G5998" t="s">
        <v>14</v>
      </c>
      <c r="H5998">
             </c>
      <c r="I5998" t="s">
        <v>14</v>
      </c>
      <c r="J5998" t="s">
        <v>242</v>
      </c>
      <c r="K5998" t="s">
        <v>14</v>
      </c>
      <c r="L5998" t="s">
        <v>20</v>
      </c>
      <c r="M5998" t="s">
        <v>11852</v>
      </c>
      <c r="N5998" t="s">
        <v>14</v>
      </c>
    </row>
    <row r="5999" x14ac:dyDescent="0.25">
      <c r="A5999" t="n">
        <v>25</v>
      </c>
      <c r="B5999" t="s">
        <v>14</v>
      </c>
      <c r="C5999" t="s">
        <v>51</v>
      </c>
      <c r="D5999" s="2" t="s">
        <f>=HYPERLINK("https://main.knesset.gov.il/APPS/legislation/main/bills/2199403", "הצעת חוק התכנון והבנייה (תיקון - ייצוג הולם לאוכלוסייה הערבית והחרדית במוסדות התכנון), התשפ""ג-2023")</f>
        <v>11973</v>
      </c>
      <c r="E5999" t="s">
        <v>11973</v>
      </c>
      <c r="F5999" t="s">
        <v>11974</v>
      </c>
      <c r="G5999" t="s">
        <v>14</v>
      </c>
      <c r="H5999">
             </c>
      <c r="I5999" t="s">
        <v>14</v>
      </c>
      <c r="J5999" t="s">
        <v>242</v>
      </c>
      <c r="K5999" t="s">
        <v>14</v>
      </c>
      <c r="L5999" t="s">
        <v>20</v>
      </c>
      <c r="M5999" t="s">
        <v>11852</v>
      </c>
      <c r="N5999" t="s">
        <v>14</v>
      </c>
    </row>
    <row r="6000" x14ac:dyDescent="0.25">
      <c r="A6000" t="n">
        <v>25</v>
      </c>
      <c r="B6000" t="s">
        <v>14</v>
      </c>
      <c r="C6000" t="s">
        <v>51</v>
      </c>
      <c r="D6000" s="2" t="s">
        <f>=HYPERLINK("https://main.knesset.gov.il/APPS/legislation/main/bills/2199047", "הצעת חוק משק החשמל (תיקון - תעריף מופחת לבתי חולים בפריפריה), התשפ""ג-2023")</f>
        <v>2075</v>
      </c>
      <c r="E6000" t="s">
        <v>2075</v>
      </c>
      <c r="F6000" t="s">
        <v>11975</v>
      </c>
      <c r="G6000" t="s">
        <v>14</v>
      </c>
      <c r="H6000">
             </c>
      <c r="I6000" t="s">
        <v>14</v>
      </c>
      <c r="J6000" t="s">
        <v>242</v>
      </c>
      <c r="K6000" t="s">
        <v>14</v>
      </c>
      <c r="L6000" t="s">
        <v>20</v>
      </c>
      <c r="M6000" t="s">
        <v>11852</v>
      </c>
      <c r="N6000" t="s">
        <v>14</v>
      </c>
    </row>
    <row r="6001" x14ac:dyDescent="0.25">
      <c r="A6001" t="n">
        <v>25</v>
      </c>
      <c r="B6001" t="s">
        <v>14</v>
      </c>
      <c r="C6001" t="s">
        <v>51</v>
      </c>
      <c r="D6001" s="2" t="s">
        <f>=HYPERLINK("https://main.knesset.gov.il/APPS/legislation/main/bills/2198171", "הצעת חוק הביטוח הלאומי (תיקון - קצבת אזרח ותיק לנכה), התשפ""ג-2023")</f>
        <v>11853</v>
      </c>
      <c r="E6001" t="s">
        <v>11853</v>
      </c>
      <c r="F6001" t="s">
        <v>11976</v>
      </c>
      <c r="G6001" t="s">
        <v>14</v>
      </c>
      <c r="H6001">
             </c>
      <c r="I6001" t="s">
        <v>14</v>
      </c>
      <c r="J6001" t="s">
        <v>242</v>
      </c>
      <c r="K6001" t="s">
        <v>14</v>
      </c>
      <c r="L6001" t="s">
        <v>20</v>
      </c>
      <c r="M6001" t="s">
        <v>11852</v>
      </c>
      <c r="N6001" t="s">
        <v>14</v>
      </c>
    </row>
    <row r="6002" x14ac:dyDescent="0.25">
      <c r="A6002" t="n">
        <v>25</v>
      </c>
      <c r="B6002" t="s">
        <v>14</v>
      </c>
      <c r="C6002" t="s">
        <v>51</v>
      </c>
      <c r="D6002" s="2" t="s">
        <f>=HYPERLINK("https://main.knesset.gov.il/APPS/legislation/main/bills/2199436", "הצעת חוק ההוצאה לפועל (תיקון - החרגת עיקול רכב), התשפ""ג-2023")</f>
        <v>9656</v>
      </c>
      <c r="E6002" t="s">
        <v>9656</v>
      </c>
      <c r="F6002" t="s">
        <v>11977</v>
      </c>
      <c r="G6002" t="s">
        <v>14</v>
      </c>
      <c r="H6002">
             </c>
      <c r="I6002" t="s">
        <v>14</v>
      </c>
      <c r="J6002" t="s">
        <v>202</v>
      </c>
      <c r="K6002" t="s">
        <v>14</v>
      </c>
      <c r="L6002" t="s">
        <v>20</v>
      </c>
      <c r="M6002" t="s">
        <v>11852</v>
      </c>
      <c r="N6002" t="s">
        <v>14</v>
      </c>
    </row>
    <row r="6003" x14ac:dyDescent="0.25">
      <c r="A6003" t="n">
        <v>25</v>
      </c>
      <c r="B6003" t="s">
        <v>14</v>
      </c>
      <c r="C6003" t="s">
        <v>51</v>
      </c>
      <c r="D6003" s="2" t="s">
        <f>=HYPERLINK("https://main.knesset.gov.il/APPS/legislation/main/bills/2199439", "הצעת חוק התכנון והבנייה (תיקון מס' 116) (תיקון - ביטול החוק), התשפ""ג-2023")</f>
        <v>11605</v>
      </c>
      <c r="E6003" t="s">
        <v>11605</v>
      </c>
      <c r="F6003" t="s">
        <v>11978</v>
      </c>
      <c r="G6003" t="s">
        <v>14</v>
      </c>
      <c r="H6003">
             </c>
      <c r="I6003" t="s">
        <v>14</v>
      </c>
      <c r="J6003" t="s">
        <v>242</v>
      </c>
      <c r="K6003" t="s">
        <v>14</v>
      </c>
      <c r="L6003" t="s">
        <v>20</v>
      </c>
      <c r="M6003" t="s">
        <v>11852</v>
      </c>
      <c r="N6003" t="s">
        <v>14</v>
      </c>
    </row>
    <row r="6004" x14ac:dyDescent="0.25">
      <c r="A6004" t="n">
        <v>25</v>
      </c>
      <c r="B6004" t="s">
        <v>14</v>
      </c>
      <c r="C6004" t="s">
        <v>51</v>
      </c>
      <c r="D6004" s="2" t="s">
        <f>=HYPERLINK("https://main.knesset.gov.il/APPS/legislation/main/bills/2199501", "הצעת חוק לתיקון פקודת התעבורה (חובת נשיאת לוחית זיהוי באופניים ממונעים ובקורקינט ממונע), התשפ""ג-2023")</f>
        <v>8113</v>
      </c>
      <c r="E6004" t="s">
        <v>8113</v>
      </c>
      <c r="F6004" t="s">
        <v>11979</v>
      </c>
      <c r="G6004" t="s">
        <v>14</v>
      </c>
      <c r="H6004">
             </c>
      <c r="I6004" t="s">
        <v>14</v>
      </c>
      <c r="J6004" t="s">
        <v>242</v>
      </c>
      <c r="K6004" t="s">
        <v>14</v>
      </c>
      <c r="L6004" t="s">
        <v>20</v>
      </c>
      <c r="M6004" t="s">
        <v>11852</v>
      </c>
      <c r="N6004" t="s">
        <v>14</v>
      </c>
    </row>
    <row r="6005" x14ac:dyDescent="0.25">
      <c r="A6005" t="n">
        <v>25</v>
      </c>
      <c r="B6005" t="s">
        <v>14</v>
      </c>
      <c r="C6005" t="s">
        <v>51</v>
      </c>
      <c r="D6005" s="2" t="s">
        <f>=HYPERLINK("https://main.knesset.gov.il/APPS/legislation/main/bills/2198098", "הצעת חוק תשלום קצבאות לחיילי מילואים ולבני משפחותיהם (תיקון - השוואת תנאי אלמנות חללי המילואים), התשפ""ג-2023")</f>
        <v>8941</v>
      </c>
      <c r="E6005" t="s">
        <v>8941</v>
      </c>
      <c r="F6005" t="s">
        <v>11980</v>
      </c>
      <c r="G6005" t="s">
        <v>14</v>
      </c>
      <c r="H6005">
             </c>
      <c r="I6005" t="s">
        <v>14</v>
      </c>
      <c r="J6005" t="s">
        <v>242</v>
      </c>
      <c r="K6005" t="s">
        <v>14</v>
      </c>
      <c r="L6005" t="s">
        <v>20</v>
      </c>
      <c r="M6005" t="s">
        <v>11852</v>
      </c>
      <c r="N6005" t="s">
        <v>14</v>
      </c>
    </row>
    <row r="6006" x14ac:dyDescent="0.25">
      <c r="A6006" t="n">
        <v>25</v>
      </c>
      <c r="B6006" t="s">
        <v>14</v>
      </c>
      <c r="C6006" t="s">
        <v>51</v>
      </c>
      <c r="D6006" s="2" t="s">
        <f>=HYPERLINK("https://main.knesset.gov.il/APPS/legislation/main/bills/2197830", "הצעת חוק הביטוח הלאומי (תיקון - השוואת קצבת נכות לשכר המינימום), התשפ""ג-2023")</f>
        <v>10764</v>
      </c>
      <c r="E6006" t="s">
        <v>10764</v>
      </c>
      <c r="F6006" t="s">
        <v>11981</v>
      </c>
      <c r="G6006" t="s">
        <v>14</v>
      </c>
      <c r="H6006">
             </c>
      <c r="I6006" t="s">
        <v>14</v>
      </c>
      <c r="J6006" t="s">
        <v>242</v>
      </c>
      <c r="K6006" t="s">
        <v>14</v>
      </c>
      <c r="L6006" t="s">
        <v>20</v>
      </c>
      <c r="M6006" t="s">
        <v>11852</v>
      </c>
      <c r="N6006" t="s">
        <v>14</v>
      </c>
    </row>
    <row r="6007" x14ac:dyDescent="0.25">
      <c r="A6007" t="n">
        <v>25</v>
      </c>
      <c r="B6007" t="s">
        <v>14</v>
      </c>
      <c r="C6007" t="s">
        <v>51</v>
      </c>
      <c r="D6007" s="2" t="s">
        <f>=HYPERLINK("https://main.knesset.gov.il/APPS/legislation/main/bills/2198724", "הצעת חוק הביטוח הלאומי (תיקון - השוואת קצבת נכות לשכר המינימום), התשפ""ג-2023")</f>
        <v>10764</v>
      </c>
      <c r="E6007" t="s">
        <v>10764</v>
      </c>
      <c r="F6007" t="s">
        <v>11982</v>
      </c>
      <c r="G6007" t="s">
        <v>14</v>
      </c>
      <c r="H6007">
             </c>
      <c r="I6007" t="s">
        <v>14</v>
      </c>
      <c r="J6007" t="s">
        <v>242</v>
      </c>
      <c r="K6007" t="s">
        <v>14</v>
      </c>
      <c r="L6007" t="s">
        <v>20</v>
      </c>
      <c r="M6007" t="s">
        <v>11852</v>
      </c>
      <c r="N6007" t="s">
        <v>14</v>
      </c>
    </row>
    <row r="6008" x14ac:dyDescent="0.25">
      <c r="A6008" t="n">
        <v>25</v>
      </c>
      <c r="B6008" t="s">
        <v>14</v>
      </c>
      <c r="C6008" t="s">
        <v>51</v>
      </c>
      <c r="D6008" s="2" t="s">
        <f>=HYPERLINK("https://main.knesset.gov.il/APPS/legislation/main/bills/2199038", "הצעת חוק ההוצאה לפועל (תיקון - קבלת קהל בשעות אחר הצהריים), התשפ""ג-2023")</f>
        <v>11983</v>
      </c>
      <c r="E6008" t="s">
        <v>11983</v>
      </c>
      <c r="F6008" t="s">
        <v>11984</v>
      </c>
      <c r="G6008" t="s">
        <v>14</v>
      </c>
      <c r="H6008">
             </c>
      <c r="I6008" t="s">
        <v>14</v>
      </c>
      <c r="J6008" t="s">
        <v>242</v>
      </c>
      <c r="K6008" t="s">
        <v>14</v>
      </c>
      <c r="L6008" t="s">
        <v>20</v>
      </c>
      <c r="M6008" t="s">
        <v>11852</v>
      </c>
      <c r="N6008" t="s">
        <v>14</v>
      </c>
    </row>
    <row r="6009" x14ac:dyDescent="0.25">
      <c r="A6009" t="n">
        <v>25</v>
      </c>
      <c r="B6009" t="s">
        <v>14</v>
      </c>
      <c r="C6009" t="s">
        <v>51</v>
      </c>
      <c r="D6009" s="2" t="s">
        <f>=HYPERLINK("https://main.knesset.gov.il/APPS/legislation/main/bills/2198713", "הצעת חוק הביטוח הלאומי (תיקון - עבודה בחינוך וסיוע להוראה או בטיפול בילדים כעבודה מועדפת), התשפ""ב-2023")</f>
        <v>11985</v>
      </c>
      <c r="E6009" t="s">
        <v>11985</v>
      </c>
      <c r="F6009" t="s">
        <v>11986</v>
      </c>
      <c r="G6009" t="s">
        <v>14</v>
      </c>
      <c r="H6009">
             </c>
      <c r="I6009" t="s">
        <v>14</v>
      </c>
      <c r="J6009" t="s">
        <v>242</v>
      </c>
      <c r="K6009" t="s">
        <v>14</v>
      </c>
      <c r="L6009" t="s">
        <v>20</v>
      </c>
      <c r="M6009" t="s">
        <v>11852</v>
      </c>
      <c r="N6009" t="s">
        <v>14</v>
      </c>
    </row>
    <row r="6010" x14ac:dyDescent="0.25">
      <c r="A6010" t="n">
        <v>25</v>
      </c>
      <c r="B6010" t="s">
        <v>14</v>
      </c>
      <c r="C6010" t="s">
        <v>51</v>
      </c>
      <c r="D6010" s="2" t="s">
        <f>=HYPERLINK("https://main.knesset.gov.il/APPS/legislation/main/bills/2198642", "הצעת חוק הביטוח הלאומי (תיקון - השוואת קצבת נכות לשכר המינימום), התשפ""ג-2023")</f>
        <v>10764</v>
      </c>
      <c r="E6010" t="s">
        <v>10764</v>
      </c>
      <c r="F6010" t="s">
        <v>11987</v>
      </c>
      <c r="G6010" t="s">
        <v>14</v>
      </c>
      <c r="H6010">
             </c>
      <c r="I6010" t="s">
        <v>14</v>
      </c>
      <c r="J6010" t="s">
        <v>242</v>
      </c>
      <c r="K6010" t="s">
        <v>14</v>
      </c>
      <c r="L6010" t="s">
        <v>20</v>
      </c>
      <c r="M6010" t="s">
        <v>11852</v>
      </c>
      <c r="N6010" t="s">
        <v>14</v>
      </c>
    </row>
    <row r="6011" x14ac:dyDescent="0.25">
      <c r="A6011" t="n">
        <v>25</v>
      </c>
      <c r="B6011" t="s">
        <v>14</v>
      </c>
      <c r="C6011" t="s">
        <v>51</v>
      </c>
      <c r="D6011" s="2" t="s">
        <f>=HYPERLINK("https://main.knesset.gov.il/APPS/legislation/main/bills/2199492", "הצעת חוק לתיקון פקודת התעבורה (ביטול מופע אור ירוק ברמזור פנייה ימינה בעת הופעת אור ירוק ברמזור להולכי רגל), התשפ""ג-2023")</f>
        <v>11197</v>
      </c>
      <c r="E6011" t="s">
        <v>11197</v>
      </c>
      <c r="F6011" t="s">
        <v>11988</v>
      </c>
      <c r="G6011" t="s">
        <v>14</v>
      </c>
      <c r="H6011">
             </c>
      <c r="I6011" t="s">
        <v>14</v>
      </c>
      <c r="J6011" t="s">
        <v>242</v>
      </c>
      <c r="K6011" t="s">
        <v>14</v>
      </c>
      <c r="L6011" t="s">
        <v>20</v>
      </c>
      <c r="M6011" t="s">
        <v>11852</v>
      </c>
      <c r="N6011" t="s">
        <v>14</v>
      </c>
    </row>
    <row r="6012" x14ac:dyDescent="0.25">
      <c r="A6012" t="n">
        <v>25</v>
      </c>
      <c r="B6012" t="s">
        <v>14</v>
      </c>
      <c r="C6012" t="s">
        <v>51</v>
      </c>
      <c r="D6012" s="2" t="s">
        <f>=HYPERLINK("https://main.knesset.gov.il/APPS/legislation/main/bills/2198688", "הצעת חוק הגבלת מימון מפעלים מזהמים (תיקוני חקיקה), התשפ""ג-2023")</f>
        <v>11989</v>
      </c>
      <c r="E6012" t="s">
        <v>11989</v>
      </c>
      <c r="F6012" t="s">
        <v>11990</v>
      </c>
      <c r="G6012" t="s">
        <v>14</v>
      </c>
      <c r="H6012">
             </c>
      <c r="I6012" t="s">
        <v>14</v>
      </c>
      <c r="J6012" t="s">
        <v>242</v>
      </c>
      <c r="K6012" t="s">
        <v>14</v>
      </c>
      <c r="L6012" t="s">
        <v>20</v>
      </c>
      <c r="M6012" t="s">
        <v>11852</v>
      </c>
      <c r="N6012" t="s">
        <v>14</v>
      </c>
    </row>
    <row r="6013" x14ac:dyDescent="0.25">
      <c r="A6013" t="n">
        <v>25</v>
      </c>
      <c r="B6013" t="s">
        <v>14</v>
      </c>
      <c r="C6013" t="s">
        <v>51</v>
      </c>
      <c r="D6013" s="2" t="s">
        <f>=HYPERLINK("https://main.knesset.gov.il/APPS/legislation/main/bills/2198693", "הצעת חוק להגבלת שכר טרחת כונסי נכסים (תיקוני חקיקה), התשפ""ג-2023")</f>
        <v>10287</v>
      </c>
      <c r="E6013" t="s">
        <v>10287</v>
      </c>
      <c r="F6013" t="s">
        <v>11991</v>
      </c>
      <c r="G6013" t="s">
        <v>14</v>
      </c>
      <c r="H6013">
             </c>
      <c r="I6013" t="s">
        <v>14</v>
      </c>
      <c r="J6013" t="s">
        <v>242</v>
      </c>
      <c r="K6013" t="s">
        <v>14</v>
      </c>
      <c r="L6013" t="s">
        <v>20</v>
      </c>
      <c r="M6013" t="s">
        <v>11852</v>
      </c>
      <c r="N6013" t="s">
        <v>14</v>
      </c>
    </row>
    <row r="6014" x14ac:dyDescent="0.25">
      <c r="A6014" t="n">
        <v>25</v>
      </c>
      <c r="B6014" t="s">
        <v>14</v>
      </c>
      <c r="C6014" t="s">
        <v>51</v>
      </c>
      <c r="D6014" s="2" t="s">
        <f>=HYPERLINK("https://main.knesset.gov.il/APPS/legislation/main/bills/2199401", "הצעת חוק להגבלת הריסה וענישה על בנייה בלתי חוקית במגזר הערבי (הוראת שעה), התשפ""ג-2023")</f>
        <v>11992</v>
      </c>
      <c r="E6014" t="s">
        <v>11992</v>
      </c>
      <c r="F6014" t="s">
        <v>11993</v>
      </c>
      <c r="G6014" t="s">
        <v>14</v>
      </c>
      <c r="H6014">
             </c>
      <c r="I6014" t="s">
        <v>14</v>
      </c>
      <c r="J6014" t="s">
        <v>202</v>
      </c>
      <c r="K6014" t="s">
        <v>14</v>
      </c>
      <c r="L6014" t="s">
        <v>20</v>
      </c>
      <c r="M6014" t="s">
        <v>11852</v>
      </c>
      <c r="N6014" t="s">
        <v>14</v>
      </c>
    </row>
    <row r="6015" x14ac:dyDescent="0.25">
      <c r="A6015" t="n">
        <v>25</v>
      </c>
      <c r="B6015" t="s">
        <v>14</v>
      </c>
      <c r="C6015" t="s">
        <v>51</v>
      </c>
      <c r="D6015" s="2" t="s">
        <f>=HYPERLINK("https://main.knesset.gov.il/APPS/legislation/main/bills/2198634", "הצעת חוק להגבלת הריסה וענישה על בנייה בלתי חוקית במגזר הערבי (הוראת שעה), התשפ""ג-2023")</f>
        <v>11992</v>
      </c>
      <c r="E6015" t="s">
        <v>11992</v>
      </c>
      <c r="F6015" t="s">
        <v>11994</v>
      </c>
      <c r="G6015" t="s">
        <v>14</v>
      </c>
      <c r="H6015">
             </c>
      <c r="I6015" t="s">
        <v>14</v>
      </c>
      <c r="J6015" t="s">
        <v>242</v>
      </c>
      <c r="K6015" t="s">
        <v>14</v>
      </c>
      <c r="L6015" t="s">
        <v>20</v>
      </c>
      <c r="M6015" t="s">
        <v>11852</v>
      </c>
      <c r="N6015" t="s">
        <v>14</v>
      </c>
    </row>
    <row r="6016" x14ac:dyDescent="0.25">
      <c r="A6016" t="n">
        <v>25</v>
      </c>
      <c r="B6016" t="s">
        <v>14</v>
      </c>
      <c r="C6016" t="s">
        <v>51</v>
      </c>
      <c r="D6016" s="2" t="s">
        <f>=HYPERLINK("https://main.knesset.gov.il/APPS/legislation/main/bills/2197829", "הצעת חוק איסוף ופינוי פסולת למיחזור (תיקון - מיחזור במוסדות חינוך), התשפ""ב-2023")</f>
        <v>11995</v>
      </c>
      <c r="E6016" t="s">
        <v>11995</v>
      </c>
      <c r="F6016" t="s">
        <v>11996</v>
      </c>
      <c r="G6016" t="s">
        <v>14</v>
      </c>
      <c r="H6016">
             </c>
      <c r="I6016" t="s">
        <v>14</v>
      </c>
      <c r="J6016" t="s">
        <v>242</v>
      </c>
      <c r="K6016" t="s">
        <v>14</v>
      </c>
      <c r="L6016" t="s">
        <v>20</v>
      </c>
      <c r="M6016" t="s">
        <v>11852</v>
      </c>
      <c r="N6016" t="s">
        <v>14</v>
      </c>
    </row>
    <row r="6017" x14ac:dyDescent="0.25">
      <c r="A6017" t="n">
        <v>25</v>
      </c>
      <c r="B6017" t="s">
        <v>14</v>
      </c>
      <c r="C6017" t="s">
        <v>51</v>
      </c>
      <c r="D6017" s="2" t="s">
        <f>=HYPERLINK("https://main.knesset.gov.il/APPS/legislation/main/bills/2198808", "הצעת חוק שכר נושאי משרה ברשויות השלטון, התשפ""ג-2023")</f>
        <v>10354</v>
      </c>
      <c r="E6017" t="s">
        <v>10354</v>
      </c>
      <c r="F6017" t="s">
        <v>11997</v>
      </c>
      <c r="G6017" t="s">
        <v>14</v>
      </c>
      <c r="H6017">
             </c>
      <c r="I6017" t="s">
        <v>14</v>
      </c>
      <c r="J6017" t="s">
        <v>202</v>
      </c>
      <c r="K6017" t="s">
        <v>14</v>
      </c>
      <c r="L6017" t="s">
        <v>20</v>
      </c>
      <c r="M6017" t="s">
        <v>11852</v>
      </c>
      <c r="N6017" t="s">
        <v>14</v>
      </c>
    </row>
    <row r="6018" x14ac:dyDescent="0.25">
      <c r="A6018" t="n">
        <v>25</v>
      </c>
      <c r="B6018" t="s">
        <v>14</v>
      </c>
      <c r="C6018" t="s">
        <v>51</v>
      </c>
      <c r="D6018" s="2" t="s">
        <f>=HYPERLINK("https://main.knesset.gov.il/APPS/legislation/main/bills/2198809", "הצעת חוק-יסוד: שכר נושאי משרה ברשויות השלטון (תיקוני חקיקה)")</f>
        <v>10356</v>
      </c>
      <c r="E6018" t="s">
        <v>10356</v>
      </c>
      <c r="F6018" t="s">
        <v>11998</v>
      </c>
      <c r="G6018" t="s">
        <v>14</v>
      </c>
      <c r="H6018">
             </c>
      <c r="I6018" t="s">
        <v>14</v>
      </c>
      <c r="J6018" t="s">
        <v>242</v>
      </c>
      <c r="K6018" t="s">
        <v>14</v>
      </c>
      <c r="L6018" t="s">
        <v>20</v>
      </c>
      <c r="M6018" t="s">
        <v>11852</v>
      </c>
      <c r="N6018" t="s">
        <v>14</v>
      </c>
    </row>
    <row r="6019" x14ac:dyDescent="0.25">
      <c r="A6019" t="n">
        <v>25</v>
      </c>
      <c r="B6019" t="s">
        <v>14</v>
      </c>
      <c r="C6019" t="s">
        <v>51</v>
      </c>
      <c r="D6019" s="2" t="s">
        <f>=HYPERLINK("https://main.knesset.gov.il/APPS/legislation/main/bills/2198797", "הצעת חוק מגן דוד אדום (תיקון - הענקת שירותי רפואה מרחוק), התשפ""ג-2023")</f>
        <v>10050</v>
      </c>
      <c r="E6019" t="s">
        <v>10050</v>
      </c>
      <c r="F6019" t="s">
        <v>11999</v>
      </c>
      <c r="G6019" t="s">
        <v>14</v>
      </c>
      <c r="H6019">
             </c>
      <c r="I6019" t="s">
        <v>14</v>
      </c>
      <c r="J6019" t="s">
        <v>242</v>
      </c>
      <c r="K6019" t="s">
        <v>14</v>
      </c>
      <c r="L6019" t="s">
        <v>20</v>
      </c>
      <c r="M6019" t="s">
        <v>11852</v>
      </c>
      <c r="N6019" t="s">
        <v>14</v>
      </c>
    </row>
    <row r="6020" x14ac:dyDescent="0.25">
      <c r="A6020" t="n">
        <v>25</v>
      </c>
      <c r="B6020" t="s">
        <v>14</v>
      </c>
      <c r="C6020" t="s">
        <v>51</v>
      </c>
      <c r="D6020" s="2" t="s">
        <f>=HYPERLINK("https://main.knesset.gov.il/APPS/legislation/main/bills/2199045", "הצעת חוק לתיקון פקודת התעבורה (איסור שימוש במצלמות ניידות לאכיפת עבירות חניה), התשפ""ג-2023")</f>
        <v>8202</v>
      </c>
      <c r="E6020" t="s">
        <v>8202</v>
      </c>
      <c r="F6020" t="s">
        <v>12000</v>
      </c>
      <c r="G6020" t="s">
        <v>14</v>
      </c>
      <c r="H6020">
             </c>
      <c r="I6020" t="s">
        <v>14</v>
      </c>
      <c r="J6020" t="s">
        <v>242</v>
      </c>
      <c r="K6020" t="s">
        <v>14</v>
      </c>
      <c r="L6020" t="s">
        <v>20</v>
      </c>
      <c r="M6020" t="s">
        <v>11852</v>
      </c>
      <c r="N6020" t="s">
        <v>14</v>
      </c>
    </row>
    <row r="6021" x14ac:dyDescent="0.25">
      <c r="A6021" t="n">
        <v>25</v>
      </c>
      <c r="B6021" t="s">
        <v>14</v>
      </c>
      <c r="C6021" t="s">
        <v>51</v>
      </c>
      <c r="D6021" s="2" t="s">
        <f>=HYPERLINK("https://main.knesset.gov.il/APPS/legislation/main/bills/2198725", "הצעת חוק מגן דוד אדום (תיקון - הענקת שירותי רפואה מרחוק), התשפ""ג-2023")</f>
        <v>10050</v>
      </c>
      <c r="E6021" t="s">
        <v>10050</v>
      </c>
      <c r="F6021" t="s">
        <v>12001</v>
      </c>
      <c r="G6021" t="s">
        <v>14</v>
      </c>
      <c r="H6021">
             </c>
      <c r="I6021" t="s">
        <v>14</v>
      </c>
      <c r="J6021" t="s">
        <v>242</v>
      </c>
      <c r="K6021" t="s">
        <v>14</v>
      </c>
      <c r="L6021" t="s">
        <v>20</v>
      </c>
      <c r="M6021" t="s">
        <v>11852</v>
      </c>
      <c r="N6021" t="s">
        <v>14</v>
      </c>
    </row>
    <row r="6022" x14ac:dyDescent="0.25">
      <c r="A6022" t="n">
        <v>25</v>
      </c>
      <c r="B6022" t="s">
        <v>14</v>
      </c>
      <c r="C6022" t="s">
        <v>51</v>
      </c>
      <c r="D6022" s="2" t="s">
        <f>=HYPERLINK("https://main.knesset.gov.il/APPS/legislation/main/bills/2198837", "הצעת חוק לתיקון פקודת התעבורה (איסור שימוש במצלמות ניידות לאכיפת עבירות חניה), התשפ""ג-2023")</f>
        <v>8202</v>
      </c>
      <c r="E6022" t="s">
        <v>8202</v>
      </c>
      <c r="F6022" t="s">
        <v>12002</v>
      </c>
      <c r="G6022" t="s">
        <v>14</v>
      </c>
      <c r="H6022">
             </c>
      <c r="I6022" t="s">
        <v>14</v>
      </c>
      <c r="J6022" t="s">
        <v>242</v>
      </c>
      <c r="K6022" t="s">
        <v>14</v>
      </c>
      <c r="L6022" t="s">
        <v>20</v>
      </c>
      <c r="M6022" t="s">
        <v>11852</v>
      </c>
      <c r="N6022" t="s">
        <v>14</v>
      </c>
    </row>
    <row r="6023" x14ac:dyDescent="0.25">
      <c r="A6023" t="n">
        <v>25</v>
      </c>
      <c r="B6023" t="s">
        <v>14</v>
      </c>
      <c r="C6023" t="s">
        <v>51</v>
      </c>
      <c r="D6023" s="2" t="s">
        <f>=HYPERLINK("https://main.knesset.gov.il/APPS/legislation/main/bills/2198902", "הצעת חוק רכבת תחתית (מטרו) (תיקון), התשפ""ג-2023")</f>
        <v>12003</v>
      </c>
      <c r="E6023" t="s">
        <v>12003</v>
      </c>
      <c r="F6023" t="s">
        <v>12004</v>
      </c>
      <c r="G6023" t="s">
        <v>14</v>
      </c>
      <c r="H6023">
             </c>
      <c r="I6023" t="s">
        <v>14</v>
      </c>
      <c r="J6023" t="s">
        <v>242</v>
      </c>
      <c r="K6023" t="s">
        <v>14</v>
      </c>
      <c r="L6023" t="s">
        <v>20</v>
      </c>
      <c r="M6023" t="s">
        <v>11852</v>
      </c>
      <c r="N6023" t="s">
        <v>14</v>
      </c>
    </row>
    <row r="6024" x14ac:dyDescent="0.25">
      <c r="A6024" t="n">
        <v>25</v>
      </c>
      <c r="B6024" t="s">
        <v>14</v>
      </c>
      <c r="C6024" t="s">
        <v>51</v>
      </c>
      <c r="D6024" s="2" t="s">
        <f>=HYPERLINK("https://main.knesset.gov.il/APPS/legislation/main/bills/2196250", "הצעת חוק התכנון והבנייה (תיקון - פיצול דירות) (הוראת שעה), התשפ""ג-2023")</f>
        <v>12005</v>
      </c>
      <c r="E6024" t="s">
        <v>12005</v>
      </c>
      <c r="F6024" t="s">
        <v>12006</v>
      </c>
      <c r="G6024" t="s">
        <v>14</v>
      </c>
      <c r="H6024">
             </c>
      <c r="I6024" t="s">
        <v>14</v>
      </c>
      <c r="J6024" t="s">
        <v>242</v>
      </c>
      <c r="K6024" t="s">
        <v>14</v>
      </c>
      <c r="L6024" t="s">
        <v>20</v>
      </c>
      <c r="M6024" t="s">
        <v>11852</v>
      </c>
      <c r="N6024" t="s">
        <v>14</v>
      </c>
    </row>
    <row r="6025" x14ac:dyDescent="0.25">
      <c r="A6025" t="n">
        <v>25</v>
      </c>
      <c r="B6025" t="s">
        <v>14</v>
      </c>
      <c r="C6025" t="s">
        <v>51</v>
      </c>
      <c r="D6025" s="2" t="s">
        <f>=HYPERLINK("https://main.knesset.gov.il/APPS/legislation/main/bills/2196602", "הצעת חוק לצמצום השימוש בשקיות נשיאה חד-פעמיות (תיקון - פטור מהיטל), התשפ""ג-2023")</f>
        <v>12007</v>
      </c>
      <c r="E6025" t="s">
        <v>12007</v>
      </c>
      <c r="F6025" t="s">
        <v>12008</v>
      </c>
      <c r="G6025" t="s">
        <v>14</v>
      </c>
      <c r="H6025">
             </c>
      <c r="I6025" t="s">
        <v>14</v>
      </c>
      <c r="J6025" t="s">
        <v>242</v>
      </c>
      <c r="K6025" t="s">
        <v>14</v>
      </c>
      <c r="L6025" t="s">
        <v>20</v>
      </c>
      <c r="M6025" t="s">
        <v>11852</v>
      </c>
      <c r="N6025" t="s">
        <v>14</v>
      </c>
    </row>
    <row r="6026" x14ac:dyDescent="0.25">
      <c r="A6026" t="n">
        <v>25</v>
      </c>
      <c r="B6026" t="s">
        <v>14</v>
      </c>
      <c r="C6026" t="s">
        <v>51</v>
      </c>
      <c r="D6026" s="2" t="s">
        <f>=HYPERLINK("https://main.knesset.gov.il/APPS/legislation/main/bills/2198931", "הצעת חוק-יסוד: הממשלה (תיקון - הצהרת האמונים של ראש הממשלה והשרים)")</f>
        <v>12009</v>
      </c>
      <c r="E6026" t="s">
        <v>12009</v>
      </c>
      <c r="F6026" t="s">
        <v>12010</v>
      </c>
      <c r="G6026" t="s">
        <v>14</v>
      </c>
      <c r="H6026">
             </c>
      <c r="I6026" t="s">
        <v>14</v>
      </c>
      <c r="J6026" t="s">
        <v>242</v>
      </c>
      <c r="K6026" t="s">
        <v>14</v>
      </c>
      <c r="L6026" t="s">
        <v>20</v>
      </c>
      <c r="M6026" t="s">
        <v>11852</v>
      </c>
      <c r="N6026" t="s">
        <v>14</v>
      </c>
    </row>
    <row r="6027" x14ac:dyDescent="0.25">
      <c r="A6027" t="n">
        <v>25</v>
      </c>
      <c r="B6027" t="s">
        <v>14</v>
      </c>
      <c r="C6027" t="s">
        <v>51</v>
      </c>
      <c r="D6027" s="2" t="s">
        <f>=HYPERLINK("https://main.knesset.gov.il/APPS/legislation/main/bills/2198942", "הצעת חוק לעידוד תעשייה עתירת ידע, התשפ""ג-2023")</f>
        <v>12011</v>
      </c>
      <c r="E6027" t="s">
        <v>12011</v>
      </c>
      <c r="F6027" t="s">
        <v>12012</v>
      </c>
      <c r="G6027" t="s">
        <v>14</v>
      </c>
      <c r="H6027">
             </c>
      <c r="I6027" t="s">
        <v>14</v>
      </c>
      <c r="J6027" t="s">
        <v>242</v>
      </c>
      <c r="K6027" t="s">
        <v>14</v>
      </c>
      <c r="L6027" t="s">
        <v>20</v>
      </c>
      <c r="M6027" t="s">
        <v>11852</v>
      </c>
      <c r="N6027" t="s">
        <v>14</v>
      </c>
    </row>
    <row r="6028" x14ac:dyDescent="0.25">
      <c r="A6028" t="n">
        <v>25</v>
      </c>
      <c r="B6028" t="s">
        <v>14</v>
      </c>
      <c r="C6028" t="s">
        <v>51</v>
      </c>
      <c r="D6028" s="2" t="s">
        <f>=HYPERLINK("https://main.knesset.gov.il/APPS/legislation/main/bills/2198962", "הצעת חוק לתיקון פקודת העיריות (פרסום מכרז באתר האינטרנט), התשפ""ג-2023")</f>
        <v>12013</v>
      </c>
      <c r="E6028" t="s">
        <v>12013</v>
      </c>
      <c r="F6028" t="s">
        <v>12014</v>
      </c>
      <c r="G6028" t="s">
        <v>14</v>
      </c>
      <c r="H6028">
             </c>
      <c r="I6028" t="s">
        <v>14</v>
      </c>
      <c r="J6028" t="s">
        <v>242</v>
      </c>
      <c r="K6028" t="s">
        <v>14</v>
      </c>
      <c r="L6028" t="s">
        <v>20</v>
      </c>
      <c r="M6028" t="s">
        <v>11852</v>
      </c>
      <c r="N6028" t="s">
        <v>14</v>
      </c>
    </row>
    <row r="6029" x14ac:dyDescent="0.25">
      <c r="A6029" t="n">
        <v>25</v>
      </c>
      <c r="B6029" t="s">
        <v>14</v>
      </c>
      <c r="C6029" t="s">
        <v>51</v>
      </c>
      <c r="D6029" s="2" t="s">
        <f>=HYPERLINK("https://main.knesset.gov.il/APPS/legislation/main/bills/2199404", "הצעת חוק רשות מקרקעי ישראל (תיקון - הקצאה שוויונית לאוכלוסייה הערבית), התשפ""ג-2023")</f>
        <v>12015</v>
      </c>
      <c r="E6029" t="s">
        <v>12015</v>
      </c>
      <c r="F6029" t="s">
        <v>12016</v>
      </c>
      <c r="G6029" t="s">
        <v>14</v>
      </c>
      <c r="H6029">
             </c>
      <c r="I6029" t="s">
        <v>14</v>
      </c>
      <c r="J6029" t="s">
        <v>242</v>
      </c>
      <c r="K6029" t="s">
        <v>14</v>
      </c>
      <c r="L6029" t="s">
        <v>20</v>
      </c>
      <c r="M6029" t="s">
        <v>11852</v>
      </c>
      <c r="N6029" t="s">
        <v>14</v>
      </c>
    </row>
    <row r="6030" x14ac:dyDescent="0.25">
      <c r="A6030" t="n">
        <v>25</v>
      </c>
      <c r="B6030" t="s">
        <v>14</v>
      </c>
      <c r="C6030" t="s">
        <v>51</v>
      </c>
      <c r="D6030" s="2" t="s">
        <f>=HYPERLINK("https://main.knesset.gov.il/APPS/legislation/main/bills/2198632", "הצעת חוק רשות מקרקעי ישראל (תיקון - הקצאה שוויונית לאוכלוסייה הערבית), התשפ""ג-2023")</f>
        <v>12015</v>
      </c>
      <c r="E6030" t="s">
        <v>12015</v>
      </c>
      <c r="F6030" t="s">
        <v>12017</v>
      </c>
      <c r="G6030" t="s">
        <v>14</v>
      </c>
      <c r="H6030">
             </c>
      <c r="I6030" t="s">
        <v>14</v>
      </c>
      <c r="J6030" t="s">
        <v>242</v>
      </c>
      <c r="K6030" t="s">
        <v>14</v>
      </c>
      <c r="L6030" t="s">
        <v>20</v>
      </c>
      <c r="M6030" t="s">
        <v>11852</v>
      </c>
      <c r="N6030" t="s">
        <v>14</v>
      </c>
    </row>
    <row r="6031" x14ac:dyDescent="0.25">
      <c r="A6031" t="n">
        <v>25</v>
      </c>
      <c r="B6031" t="s">
        <v>14</v>
      </c>
      <c r="C6031" t="s">
        <v>51</v>
      </c>
      <c r="D6031" s="2" t="s">
        <f>=HYPERLINK("https://main.knesset.gov.il/APPS/legislation/main/bills/2198149", "הצעת חוק הספורט (תיקון - מחיר מרבי לכרטיס לפעילות ספורט מאורגנת), התשפ""ג-2023")</f>
        <v>12018</v>
      </c>
      <c r="E6031" t="s">
        <v>12018</v>
      </c>
      <c r="F6031" t="s">
        <v>12019</v>
      </c>
      <c r="G6031" t="s">
        <v>14</v>
      </c>
      <c r="H6031">
             </c>
      <c r="I6031" t="s">
        <v>14</v>
      </c>
      <c r="J6031" t="s">
        <v>242</v>
      </c>
      <c r="K6031" t="s">
        <v>14</v>
      </c>
      <c r="L6031" t="s">
        <v>20</v>
      </c>
      <c r="M6031" t="s">
        <v>11852</v>
      </c>
      <c r="N6031" t="s">
        <v>14</v>
      </c>
    </row>
    <row r="6032" x14ac:dyDescent="0.25">
      <c r="A6032" t="n">
        <v>25</v>
      </c>
      <c r="B6032" t="s">
        <v>14</v>
      </c>
      <c r="C6032" t="s">
        <v>51</v>
      </c>
      <c r="D6032" s="2" t="s">
        <f>=HYPERLINK("https://main.knesset.gov.il/APPS/legislation/main/bills/2199083", "הצעת חוק הפרשנות (תיקון - הגדרת הפליה על רקע זהות מגדרית או נטייה מינית), התשפ""ג-2023")</f>
        <v>12020</v>
      </c>
      <c r="E6032" t="s">
        <v>12020</v>
      </c>
      <c r="F6032" t="s">
        <v>12021</v>
      </c>
      <c r="G6032" t="s">
        <v>14</v>
      </c>
      <c r="H6032">
             </c>
      <c r="I6032" t="s">
        <v>14</v>
      </c>
      <c r="J6032" t="s">
        <v>202</v>
      </c>
      <c r="K6032" t="s">
        <v>14</v>
      </c>
      <c r="L6032" t="s">
        <v>20</v>
      </c>
      <c r="M6032" t="s">
        <v>11852</v>
      </c>
      <c r="N6032" t="s">
        <v>14</v>
      </c>
    </row>
    <row r="6033" x14ac:dyDescent="0.25">
      <c r="A6033" t="n">
        <v>25</v>
      </c>
      <c r="B6033" t="s">
        <v>14</v>
      </c>
      <c r="C6033" t="s">
        <v>51</v>
      </c>
      <c r="D6033" s="2" t="s">
        <f>=HYPERLINK("https://main.knesset.gov.il/APPS/legislation/main/bills/2198920", "הצעת חוק האזרחות והכניסה לישראל (הוראת שעה) (תיקון - מניעת ריבוי נישואין), התשפ""ג-2023")</f>
        <v>12022</v>
      </c>
      <c r="E6033" t="s">
        <v>12022</v>
      </c>
      <c r="F6033" t="s">
        <v>12023</v>
      </c>
      <c r="G6033" t="s">
        <v>14</v>
      </c>
      <c r="H6033">
             </c>
      <c r="I6033" t="s">
        <v>14</v>
      </c>
      <c r="J6033" t="s">
        <v>242</v>
      </c>
      <c r="K6033" t="s">
        <v>14</v>
      </c>
      <c r="L6033" t="s">
        <v>20</v>
      </c>
      <c r="M6033" t="s">
        <v>11852</v>
      </c>
      <c r="N6033" t="s">
        <v>14</v>
      </c>
    </row>
    <row r="6034" x14ac:dyDescent="0.25">
      <c r="A6034" t="n">
        <v>25</v>
      </c>
      <c r="B6034" t="s">
        <v>14</v>
      </c>
      <c r="C6034" t="s">
        <v>51</v>
      </c>
      <c r="D6034" s="2" t="s">
        <f>=HYPERLINK("https://main.knesset.gov.il/APPS/legislation/main/bills/2198915", "הצעת חוק התאמת לוח חופשות הלימודים לשעות העבודה והמנוחה במשק (תיקוני חקיקה), התשפ""ג-2023")</f>
        <v>12024</v>
      </c>
      <c r="E6034" t="s">
        <v>12024</v>
      </c>
      <c r="F6034" t="s">
        <v>12025</v>
      </c>
      <c r="G6034" t="s">
        <v>14</v>
      </c>
      <c r="H6034">
             </c>
      <c r="I6034" t="s">
        <v>14</v>
      </c>
      <c r="J6034" t="s">
        <v>242</v>
      </c>
      <c r="K6034" t="s">
        <v>14</v>
      </c>
      <c r="L6034" t="s">
        <v>20</v>
      </c>
      <c r="M6034" t="s">
        <v>11852</v>
      </c>
      <c r="N6034" t="s">
        <v>14</v>
      </c>
    </row>
    <row r="6035" x14ac:dyDescent="0.25">
      <c r="A6035" t="n">
        <v>25</v>
      </c>
      <c r="B6035" t="s">
        <v>14</v>
      </c>
      <c r="C6035" t="s">
        <v>51</v>
      </c>
      <c r="D6035" s="2" t="s">
        <f>=HYPERLINK("https://main.knesset.gov.il/APPS/legislation/main/bills/2197786", "הצעת חוק איסור ניתוק שירותי חשמל ומים למוסדות חינוך (תיקוני חקיקה), התשפ""ג-2023")</f>
        <v>12026</v>
      </c>
      <c r="E6035" t="s">
        <v>12026</v>
      </c>
      <c r="F6035" t="s">
        <v>12027</v>
      </c>
      <c r="G6035" t="s">
        <v>14</v>
      </c>
      <c r="H6035">
             </c>
      <c r="I6035" t="s">
        <v>14</v>
      </c>
      <c r="J6035" t="s">
        <v>242</v>
      </c>
      <c r="K6035" t="s">
        <v>14</v>
      </c>
      <c r="L6035" t="s">
        <v>20</v>
      </c>
      <c r="M6035" t="s">
        <v>11852</v>
      </c>
      <c r="N6035" t="s">
        <v>14</v>
      </c>
    </row>
    <row r="6036" x14ac:dyDescent="0.25">
      <c r="A6036" t="n">
        <v>25</v>
      </c>
      <c r="B6036" t="s">
        <v>14</v>
      </c>
      <c r="C6036" t="s">
        <v>51</v>
      </c>
      <c r="D6036" s="2" t="s">
        <f>=HYPERLINK("https://main.knesset.gov.il/APPS/legislation/main/bills/2198810", "הצעת חוק הביטוח הלאומי (תיקון - טיפול בפעוטות במעונות יום כעבודה מועדפת), התשפ""ג-2023")</f>
        <v>10017</v>
      </c>
      <c r="E6036" t="s">
        <v>10017</v>
      </c>
      <c r="F6036" t="s">
        <v>12028</v>
      </c>
      <c r="G6036" t="s">
        <v>14</v>
      </c>
      <c r="H6036">
             </c>
      <c r="I6036" t="s">
        <v>14</v>
      </c>
      <c r="J6036" t="s">
        <v>242</v>
      </c>
      <c r="K6036" t="s">
        <v>14</v>
      </c>
      <c r="L6036" t="s">
        <v>20</v>
      </c>
      <c r="M6036" t="s">
        <v>11852</v>
      </c>
      <c r="N6036" t="s">
        <v>14</v>
      </c>
    </row>
    <row r="6037" x14ac:dyDescent="0.25">
      <c r="A6037" t="n">
        <v>25</v>
      </c>
      <c r="B6037" t="s">
        <v>14</v>
      </c>
      <c r="C6037" t="s">
        <v>51</v>
      </c>
      <c r="D6037" s="2" t="s">
        <f>=HYPERLINK("https://main.knesset.gov.il/APPS/legislation/main/bills/2196538", "הצעת חוק הגנת הצרכן (תיקון - תשלום על פי צריכה בעסקה מתמשכת), התשפ""ג-2023")</f>
        <v>10143</v>
      </c>
      <c r="E6037" t="s">
        <v>10143</v>
      </c>
      <c r="F6037" t="s">
        <v>12029</v>
      </c>
      <c r="G6037" t="s">
        <v>14</v>
      </c>
      <c r="H6037">
             </c>
      <c r="I6037" t="s">
        <v>14</v>
      </c>
      <c r="J6037" t="s">
        <v>242</v>
      </c>
      <c r="K6037" t="s">
        <v>14</v>
      </c>
      <c r="L6037" t="s">
        <v>20</v>
      </c>
      <c r="M6037" t="s">
        <v>11852</v>
      </c>
      <c r="N6037" t="s">
        <v>14</v>
      </c>
    </row>
    <row r="6038" x14ac:dyDescent="0.25">
      <c r="A6038" t="n">
        <v>25</v>
      </c>
      <c r="B6038" t="s">
        <v>14</v>
      </c>
      <c r="C6038" t="s">
        <v>51</v>
      </c>
      <c r="D6038" s="2" t="s">
        <f>=HYPERLINK("https://main.knesset.gov.il/APPS/legislation/main/bills/2198336", "הצעת חוק זכויות הסטודנט (תיקון - פרסום ושילוט בשפה ערבית), התשפ""ג-2023")</f>
        <v>12030</v>
      </c>
      <c r="E6038" t="s">
        <v>12030</v>
      </c>
      <c r="F6038" t="s">
        <v>12031</v>
      </c>
      <c r="G6038" t="s">
        <v>14</v>
      </c>
      <c r="H6038">
             </c>
      <c r="I6038" t="s">
        <v>14</v>
      </c>
      <c r="J6038" t="s">
        <v>242</v>
      </c>
      <c r="K6038" t="s">
        <v>14</v>
      </c>
      <c r="L6038" t="s">
        <v>20</v>
      </c>
      <c r="M6038" t="s">
        <v>11852</v>
      </c>
      <c r="N6038" t="s">
        <v>14</v>
      </c>
    </row>
    <row r="6039" x14ac:dyDescent="0.25">
      <c r="A6039" t="n">
        <v>25</v>
      </c>
      <c r="B6039" t="s">
        <v>14</v>
      </c>
      <c r="C6039" t="s">
        <v>51</v>
      </c>
      <c r="D6039" s="2" t="s">
        <f>=HYPERLINK("https://main.knesset.gov.il/APPS/legislation/main/bills/2196524", "הצעת חוק תאגידי מים וביוב (תיקון - ביטול סמכויות גבייה ואכיפה מיוחדות), התשפ""ג-2023")</f>
        <v>10122</v>
      </c>
      <c r="E6039" t="s">
        <v>10122</v>
      </c>
      <c r="F6039" t="s">
        <v>12032</v>
      </c>
      <c r="G6039" t="s">
        <v>14</v>
      </c>
      <c r="H6039">
             </c>
      <c r="I6039" t="s">
        <v>14</v>
      </c>
      <c r="J6039" t="s">
        <v>242</v>
      </c>
      <c r="K6039" t="s">
        <v>14</v>
      </c>
      <c r="L6039" t="s">
        <v>20</v>
      </c>
      <c r="M6039" t="s">
        <v>11852</v>
      </c>
      <c r="N6039" t="s">
        <v>14</v>
      </c>
    </row>
    <row r="6040" x14ac:dyDescent="0.25">
      <c r="A6040" t="n">
        <v>25</v>
      </c>
      <c r="B6040" t="s">
        <v>14</v>
      </c>
      <c r="C6040" t="s">
        <v>51</v>
      </c>
      <c r="D6040" s="2" t="s">
        <f>=HYPERLINK("https://main.knesset.gov.il/APPS/legislation/main/bills/2197778", "הצעת חוק הגנת הצרכן (תיקון - איסור פרסום כפוי במענה טלפוני), התשפ""ג-2023")</f>
        <v>12033</v>
      </c>
      <c r="E6040" t="s">
        <v>12033</v>
      </c>
      <c r="F6040" t="s">
        <v>12034</v>
      </c>
      <c r="G6040" t="s">
        <v>14</v>
      </c>
      <c r="H6040">
             </c>
      <c r="I6040" t="s">
        <v>14</v>
      </c>
      <c r="J6040" t="s">
        <v>242</v>
      </c>
      <c r="K6040" t="s">
        <v>14</v>
      </c>
      <c r="L6040" t="s">
        <v>20</v>
      </c>
      <c r="M6040" t="s">
        <v>11852</v>
      </c>
      <c r="N6040" t="s">
        <v>14</v>
      </c>
    </row>
    <row r="6041" x14ac:dyDescent="0.25">
      <c r="A6041" t="n">
        <v>25</v>
      </c>
      <c r="B6041" t="s">
        <v>14</v>
      </c>
      <c r="C6041" t="s">
        <v>51</v>
      </c>
      <c r="D6041" s="2" t="s">
        <f>=HYPERLINK("https://main.knesset.gov.il/APPS/legislation/main/bills/2198460", "הצעת חוק הביטוח הלאומי (תיקון - הוראות לעניין עקרת בית), התשפ""ג-2023")</f>
        <v>10281</v>
      </c>
      <c r="E6041" t="s">
        <v>10281</v>
      </c>
      <c r="F6041" t="s">
        <v>12035</v>
      </c>
      <c r="G6041" t="s">
        <v>14</v>
      </c>
      <c r="H6041">
             </c>
      <c r="I6041" t="s">
        <v>14</v>
      </c>
      <c r="J6041" t="s">
        <v>242</v>
      </c>
      <c r="K6041" t="s">
        <v>14</v>
      </c>
      <c r="L6041" t="s">
        <v>20</v>
      </c>
      <c r="M6041" t="s">
        <v>11852</v>
      </c>
      <c r="N6041" t="s">
        <v>14</v>
      </c>
    </row>
    <row r="6042" x14ac:dyDescent="0.25">
      <c r="A6042" t="n">
        <v>25</v>
      </c>
      <c r="B6042" t="s">
        <v>14</v>
      </c>
      <c r="C6042" t="s">
        <v>51</v>
      </c>
      <c r="D6042" s="2" t="s">
        <f>=HYPERLINK("https://main.knesset.gov.il/APPS/legislation/main/bills/2198347", "הצעת חוק הבטחת הכנסה (תיקון - ניכוי לעניין הורה עצמאי שלילדו טרם מלאו שנתיים), התשפ""ג-2023")</f>
        <v>12036</v>
      </c>
      <c r="E6042" t="s">
        <v>12036</v>
      </c>
      <c r="F6042" t="s">
        <v>12037</v>
      </c>
      <c r="G6042" t="s">
        <v>14</v>
      </c>
      <c r="H6042">
             </c>
      <c r="I6042" t="s">
        <v>14</v>
      </c>
      <c r="J6042" t="s">
        <v>242</v>
      </c>
      <c r="K6042" t="s">
        <v>14</v>
      </c>
      <c r="L6042" t="s">
        <v>20</v>
      </c>
      <c r="M6042" t="s">
        <v>11852</v>
      </c>
      <c r="N6042" t="s">
        <v>14</v>
      </c>
    </row>
    <row r="6043" x14ac:dyDescent="0.25">
      <c r="A6043" t="n">
        <v>25</v>
      </c>
      <c r="B6043" t="s">
        <v>14</v>
      </c>
      <c r="C6043" t="s">
        <v>51</v>
      </c>
      <c r="D6043" s="2" t="s">
        <f>=HYPERLINK("https://main.knesset.gov.il/APPS/legislation/main/bills/2198345", "הצעת חוק שירות ביטחון (תיקון - אי-הצבת חיילות בשירות בתי הסוהר), התשפ""ג-2023")</f>
        <v>12038</v>
      </c>
      <c r="E6043" t="s">
        <v>12038</v>
      </c>
      <c r="F6043" t="s">
        <v>12039</v>
      </c>
      <c r="G6043" t="s">
        <v>14</v>
      </c>
      <c r="H6043">
             </c>
      <c r="I6043" t="s">
        <v>14</v>
      </c>
      <c r="J6043" t="s">
        <v>242</v>
      </c>
      <c r="K6043" t="s">
        <v>14</v>
      </c>
      <c r="L6043" t="s">
        <v>20</v>
      </c>
      <c r="M6043" t="s">
        <v>11852</v>
      </c>
      <c r="N6043" t="s">
        <v>14</v>
      </c>
    </row>
    <row r="6044" x14ac:dyDescent="0.25">
      <c r="A6044" t="n">
        <v>25</v>
      </c>
      <c r="B6044" t="s">
        <v>14</v>
      </c>
      <c r="C6044" t="s">
        <v>51</v>
      </c>
      <c r="D6044" s="2" t="s">
        <f>=HYPERLINK("https://main.knesset.gov.il/APPS/legislation/main/bills/2195989", "הצעת חוק לתיקון פקודת התעבורה (ריבית פיגורים בגין אי תשלום קנס על עבירת חניה), התשפ""ג-2023")</f>
        <v>12040</v>
      </c>
      <c r="E6044" t="s">
        <v>12040</v>
      </c>
      <c r="F6044" t="s">
        <v>12041</v>
      </c>
      <c r="G6044" t="s">
        <v>14</v>
      </c>
      <c r="H6044">
             </c>
      <c r="I6044" t="s">
        <v>14</v>
      </c>
      <c r="J6044" t="s">
        <v>242</v>
      </c>
      <c r="K6044" t="s">
        <v>14</v>
      </c>
      <c r="L6044" t="s">
        <v>20</v>
      </c>
      <c r="M6044" t="s">
        <v>11852</v>
      </c>
      <c r="N6044" t="s">
        <v>14</v>
      </c>
    </row>
    <row r="6045" x14ac:dyDescent="0.25">
      <c r="A6045" t="n">
        <v>25</v>
      </c>
      <c r="B6045" t="s">
        <v>14</v>
      </c>
      <c r="C6045" t="s">
        <v>51</v>
      </c>
      <c r="D6045" s="2" t="s">
        <f>=HYPERLINK("https://main.knesset.gov.il/APPS/legislation/main/bills/2197480", "הצעת חוק הביטוח הלאומי (תיקון - קצבת נכות לעקרת בית), התשפ""ג-2023")</f>
        <v>12042</v>
      </c>
      <c r="E6045" t="s">
        <v>12042</v>
      </c>
      <c r="F6045" t="s">
        <v>12043</v>
      </c>
      <c r="G6045" t="s">
        <v>14</v>
      </c>
      <c r="H6045">
             </c>
      <c r="I6045" t="s">
        <v>14</v>
      </c>
      <c r="J6045" t="s">
        <v>242</v>
      </c>
      <c r="K6045" t="s">
        <v>14</v>
      </c>
      <c r="L6045" t="s">
        <v>20</v>
      </c>
      <c r="M6045" t="s">
        <v>11852</v>
      </c>
      <c r="N6045" t="s">
        <v>14</v>
      </c>
    </row>
    <row r="6046" x14ac:dyDescent="0.25">
      <c r="A6046" t="n">
        <v>25</v>
      </c>
      <c r="B6046" t="s">
        <v>14</v>
      </c>
      <c r="C6046" t="s">
        <v>51</v>
      </c>
      <c r="D6046" s="2" t="s">
        <f>=HYPERLINK("https://main.knesset.gov.il/APPS/legislation/main/bills/2197460", "הצעת חוק הפיקוח על מעונות (תיקון - הסדרת מעמד המטפלות במשפחתונים), התשפ""ג-2023")</f>
        <v>12044</v>
      </c>
      <c r="E6046" t="s">
        <v>12044</v>
      </c>
      <c r="F6046" t="s">
        <v>12045</v>
      </c>
      <c r="G6046" t="s">
        <v>14</v>
      </c>
      <c r="H6046">
             </c>
      <c r="I6046" t="s">
        <v>14</v>
      </c>
      <c r="J6046" t="s">
        <v>242</v>
      </c>
      <c r="K6046" t="s">
        <v>14</v>
      </c>
      <c r="L6046" t="s">
        <v>20</v>
      </c>
      <c r="M6046" t="s">
        <v>11852</v>
      </c>
      <c r="N6046" t="s">
        <v>14</v>
      </c>
    </row>
    <row r="6047" x14ac:dyDescent="0.25">
      <c r="A6047" t="n">
        <v>25</v>
      </c>
      <c r="B6047" t="s">
        <v>14</v>
      </c>
      <c r="C6047" t="s">
        <v>51</v>
      </c>
      <c r="D6047" s="2" t="s">
        <f>=HYPERLINK("https://main.knesset.gov.il/APPS/legislation/main/bills/2198172", "הצעת חוק הביטוח הלאומי (תיקון - קצבת נכות לעקרת בית), התשפ""ג-2023")</f>
        <v>12042</v>
      </c>
      <c r="E6047" t="s">
        <v>12042</v>
      </c>
      <c r="F6047" t="s">
        <v>12046</v>
      </c>
      <c r="G6047" t="s">
        <v>14</v>
      </c>
      <c r="H6047">
             </c>
      <c r="I6047" t="s">
        <v>14</v>
      </c>
      <c r="J6047" t="s">
        <v>242</v>
      </c>
      <c r="K6047" t="s">
        <v>14</v>
      </c>
      <c r="L6047" t="s">
        <v>20</v>
      </c>
      <c r="M6047" t="s">
        <v>11852</v>
      </c>
      <c r="N6047" t="s">
        <v>14</v>
      </c>
    </row>
    <row r="6048" x14ac:dyDescent="0.25">
      <c r="A6048" t="n">
        <v>25</v>
      </c>
      <c r="B6048" t="s">
        <v>14</v>
      </c>
      <c r="C6048" t="s">
        <v>51</v>
      </c>
      <c r="D6048" s="2" t="s">
        <f>=HYPERLINK("https://main.knesset.gov.il/APPS/legislation/main/bills/2197788", "הצעת חוק משק החשמל (תיקון - איסור ניתוק חשמל), התשפ""ג-2023")</f>
        <v>11269</v>
      </c>
      <c r="E6048" t="s">
        <v>11269</v>
      </c>
      <c r="F6048" t="s">
        <v>12047</v>
      </c>
      <c r="G6048" t="s">
        <v>14</v>
      </c>
      <c r="H6048">
             </c>
      <c r="I6048" t="s">
        <v>14</v>
      </c>
      <c r="J6048" t="s">
        <v>242</v>
      </c>
      <c r="K6048" t="s">
        <v>14</v>
      </c>
      <c r="L6048" t="s">
        <v>20</v>
      </c>
      <c r="M6048" t="s">
        <v>11852</v>
      </c>
      <c r="N6048" t="s">
        <v>14</v>
      </c>
    </row>
    <row r="6049" x14ac:dyDescent="0.25">
      <c r="A6049" t="n">
        <v>25</v>
      </c>
      <c r="B6049" t="s">
        <v>14</v>
      </c>
      <c r="C6049" t="s">
        <v>51</v>
      </c>
      <c r="D6049" s="2" t="s">
        <f>=HYPERLINK("https://main.knesset.gov.il/APPS/legislation/main/bills/2198813", "הצעת חוק הביטוח הלאומי (תיקון - הארכת המועד להגשת תביעה לגמלה והתקופה שבעדה תשולם), התשפ""ג-2023")</f>
        <v>8519</v>
      </c>
      <c r="E6049" t="s">
        <v>8519</v>
      </c>
      <c r="F6049" t="s">
        <v>12048</v>
      </c>
      <c r="G6049" t="s">
        <v>14</v>
      </c>
      <c r="H6049">
             </c>
      <c r="I6049" t="s">
        <v>14</v>
      </c>
      <c r="J6049" t="s">
        <v>242</v>
      </c>
      <c r="K6049" t="s">
        <v>14</v>
      </c>
      <c r="L6049" t="s">
        <v>20</v>
      </c>
      <c r="M6049" t="s">
        <v>11852</v>
      </c>
      <c r="N6049" t="s">
        <v>14</v>
      </c>
    </row>
    <row r="6050" x14ac:dyDescent="0.25">
      <c r="A6050" t="n">
        <v>25</v>
      </c>
      <c r="B6050" t="s">
        <v>14</v>
      </c>
      <c r="C6050" t="s">
        <v>51</v>
      </c>
      <c r="D6050" s="2" t="s">
        <f>=HYPERLINK("https://main.knesset.gov.il/APPS/legislation/main/bills/2195927", "הצעת חוק חובת תשלום בשוברים, התשפ""ג-2023")</f>
        <v>11968</v>
      </c>
      <c r="E6050" t="s">
        <v>11968</v>
      </c>
      <c r="F6050" t="s">
        <v>12049</v>
      </c>
      <c r="G6050" t="s">
        <v>14</v>
      </c>
      <c r="H6050">
             </c>
      <c r="I6050" t="s">
        <v>14</v>
      </c>
      <c r="J6050" t="s">
        <v>242</v>
      </c>
      <c r="K6050" t="s">
        <v>14</v>
      </c>
      <c r="L6050" t="s">
        <v>20</v>
      </c>
      <c r="M6050" t="s">
        <v>11852</v>
      </c>
      <c r="N6050" t="s">
        <v>14</v>
      </c>
    </row>
    <row r="6051" x14ac:dyDescent="0.25">
      <c r="A6051" t="n">
        <v>25</v>
      </c>
      <c r="B6051" t="s">
        <v>14</v>
      </c>
      <c r="C6051" t="s">
        <v>51</v>
      </c>
      <c r="D6051" s="2" t="s">
        <f>=HYPERLINK("https://main.knesset.gov.il/APPS/legislation/main/bills/2196044", "הצעת חוק הגנת הצרכן (תיקון - פריסת תשלומים בעסקה מתמשכת), התשפ""ג-2023")</f>
        <v>10871</v>
      </c>
      <c r="E6051" t="s">
        <v>10871</v>
      </c>
      <c r="F6051" t="s">
        <v>12050</v>
      </c>
      <c r="G6051" t="s">
        <v>14</v>
      </c>
      <c r="H6051">
             </c>
      <c r="I6051" t="s">
        <v>14</v>
      </c>
      <c r="J6051" t="s">
        <v>242</v>
      </c>
      <c r="K6051" t="s">
        <v>14</v>
      </c>
      <c r="L6051" t="s">
        <v>20</v>
      </c>
      <c r="M6051" t="s">
        <v>11852</v>
      </c>
      <c r="N6051" t="s">
        <v>14</v>
      </c>
    </row>
    <row r="6052" x14ac:dyDescent="0.25">
      <c r="A6052" t="n">
        <v>25</v>
      </c>
      <c r="B6052" t="s">
        <v>14</v>
      </c>
      <c r="C6052" t="s">
        <v>51</v>
      </c>
      <c r="D6052" s="2" t="s">
        <f>=HYPERLINK("https://main.knesset.gov.il/APPS/legislation/main/bills/2197454", "הצעת חוק הביטוח הלאומי (תיקון - דמי אבטלה בעד חופשה ללא תשלום), התשפ""ג-2023")</f>
        <v>12051</v>
      </c>
      <c r="E6052" t="s">
        <v>12051</v>
      </c>
      <c r="F6052" t="s">
        <v>12052</v>
      </c>
      <c r="G6052" t="s">
        <v>14</v>
      </c>
      <c r="H6052">
             </c>
      <c r="I6052" t="s">
        <v>14</v>
      </c>
      <c r="J6052" t="s">
        <v>242</v>
      </c>
      <c r="K6052" t="s">
        <v>14</v>
      </c>
      <c r="L6052" t="s">
        <v>20</v>
      </c>
      <c r="M6052" t="s">
        <v>11852</v>
      </c>
      <c r="N6052" t="s">
        <v>14</v>
      </c>
    </row>
    <row r="6053" x14ac:dyDescent="0.25">
      <c r="A6053" t="n">
        <v>25</v>
      </c>
      <c r="B6053" t="s">
        <v>14</v>
      </c>
      <c r="C6053" t="s">
        <v>51</v>
      </c>
      <c r="D6053" s="2" t="s">
        <f>=HYPERLINK("https://main.knesset.gov.il/APPS/legislation/main/bills/2197055", "הצעת חוק הבטחת פיצויים לתושבי מתחם פארק חורשות (אבו-כביר), התשפ""ג-2023")</f>
        <v>12053</v>
      </c>
      <c r="E6053" t="s">
        <v>12053</v>
      </c>
      <c r="F6053" t="s">
        <v>12054</v>
      </c>
      <c r="G6053" t="s">
        <v>14</v>
      </c>
      <c r="H6053">
             </c>
      <c r="I6053" t="s">
        <v>14</v>
      </c>
      <c r="J6053" t="s">
        <v>242</v>
      </c>
      <c r="K6053" t="s">
        <v>14</v>
      </c>
      <c r="L6053" t="s">
        <v>20</v>
      </c>
      <c r="M6053" t="s">
        <v>11852</v>
      </c>
      <c r="N6053" t="s">
        <v>14</v>
      </c>
    </row>
    <row r="6054" x14ac:dyDescent="0.25">
      <c r="A6054" t="n">
        <v>25</v>
      </c>
      <c r="B6054" t="s">
        <v>14</v>
      </c>
      <c r="C6054" t="s">
        <v>51</v>
      </c>
      <c r="D6054" s="2" t="s">
        <f>=HYPERLINK("https://main.knesset.gov.il/APPS/legislation/main/bills/2196532", "הצעת חוק הגנת הצרכן (תיקון - קביעת סכום מרבי לחיוב חשבון), התשפ""ג-2023")</f>
        <v>9759</v>
      </c>
      <c r="E6054" t="s">
        <v>9759</v>
      </c>
      <c r="F6054" t="s">
        <v>12055</v>
      </c>
      <c r="G6054" t="s">
        <v>14</v>
      </c>
      <c r="H6054">
             </c>
      <c r="I6054" t="s">
        <v>14</v>
      </c>
      <c r="J6054" t="s">
        <v>242</v>
      </c>
      <c r="K6054" t="s">
        <v>14</v>
      </c>
      <c r="L6054" t="s">
        <v>20</v>
      </c>
      <c r="M6054" t="s">
        <v>11852</v>
      </c>
      <c r="N6054" t="s">
        <v>14</v>
      </c>
    </row>
    <row r="6055" x14ac:dyDescent="0.25">
      <c r="A6055" t="n">
        <v>25</v>
      </c>
      <c r="B6055" t="s">
        <v>14</v>
      </c>
      <c r="C6055" t="s">
        <v>51</v>
      </c>
      <c r="D6055" s="2" t="s">
        <f>=HYPERLINK("https://main.knesset.gov.il/APPS/legislation/main/bills/2196083", "הצעת חוק תאגידי מים וביוב (תיקון - ועדת חריגים), התשפ""ג-2023")</f>
        <v>12056</v>
      </c>
      <c r="E6055" t="s">
        <v>12056</v>
      </c>
      <c r="F6055" t="s">
        <v>12057</v>
      </c>
      <c r="G6055" t="s">
        <v>14</v>
      </c>
      <c r="H6055">
             </c>
      <c r="I6055" t="s">
        <v>14</v>
      </c>
      <c r="J6055" t="s">
        <v>242</v>
      </c>
      <c r="K6055" t="s">
        <v>14</v>
      </c>
      <c r="L6055" t="s">
        <v>20</v>
      </c>
      <c r="M6055" t="s">
        <v>11852</v>
      </c>
      <c r="N6055" t="s">
        <v>14</v>
      </c>
    </row>
    <row r="6056" x14ac:dyDescent="0.25">
      <c r="A6056" t="n">
        <v>25</v>
      </c>
      <c r="B6056" t="s">
        <v>14</v>
      </c>
      <c r="C6056" t="s">
        <v>51</v>
      </c>
      <c r="D6056" s="2" t="s">
        <f>=HYPERLINK("https://main.knesset.gov.il/APPS/legislation/main/bills/2199108", "הצעת חוק זיכרון השואה והגבורה - יד ושם (תיקון - יהודים שהצילו יהודים), התשפ""ג-2023")</f>
        <v>12058</v>
      </c>
      <c r="E6056" t="s">
        <v>12058</v>
      </c>
      <c r="F6056" t="s">
        <v>12059</v>
      </c>
      <c r="G6056" t="s">
        <v>14</v>
      </c>
      <c r="H6056">
             </c>
      <c r="I6056" t="s">
        <v>14</v>
      </c>
      <c r="J6056" t="s">
        <v>242</v>
      </c>
      <c r="K6056" t="s">
        <v>14</v>
      </c>
      <c r="L6056" t="s">
        <v>20</v>
      </c>
      <c r="M6056" t="s">
        <v>11852</v>
      </c>
      <c r="N6056" t="s">
        <v>14</v>
      </c>
    </row>
    <row r="6057" x14ac:dyDescent="0.25">
      <c r="A6057" t="n">
        <v>25</v>
      </c>
      <c r="B6057" t="s">
        <v>14</v>
      </c>
      <c r="C6057" t="s">
        <v>51</v>
      </c>
      <c r="D6057" s="2" t="s">
        <f>=HYPERLINK("https://main.knesset.gov.il/APPS/legislation/main/bills/2198783", "הצעת חוק הביטוח הלאומי (תיקון - דמי פגיעה לעובד עצמאי), התשפ""ג-2023")</f>
        <v>10207</v>
      </c>
      <c r="E6057" t="s">
        <v>10207</v>
      </c>
      <c r="F6057" t="s">
        <v>12060</v>
      </c>
      <c r="G6057" t="s">
        <v>14</v>
      </c>
      <c r="H6057">
             </c>
      <c r="I6057" t="s">
        <v>14</v>
      </c>
      <c r="J6057" t="s">
        <v>242</v>
      </c>
      <c r="K6057" t="s">
        <v>14</v>
      </c>
      <c r="L6057" t="s">
        <v>20</v>
      </c>
      <c r="M6057" t="s">
        <v>11852</v>
      </c>
      <c r="N6057" t="s">
        <v>14</v>
      </c>
    </row>
    <row r="6058" x14ac:dyDescent="0.25">
      <c r="A6058" t="n">
        <v>25</v>
      </c>
      <c r="B6058" t="s">
        <v>14</v>
      </c>
      <c r="C6058" t="s">
        <v>51</v>
      </c>
      <c r="D6058" s="2" t="s">
        <f>=HYPERLINK("https://main.knesset.gov.il/APPS/legislation/main/bills/2198772", "הצעת חוק הביטוח הלאומי (תיקון - דמי פגיעה לעובד עצמאי), התשפ""ג-2023")</f>
        <v>10207</v>
      </c>
      <c r="E6058" t="s">
        <v>10207</v>
      </c>
      <c r="F6058" t="s">
        <v>12061</v>
      </c>
      <c r="G6058" t="s">
        <v>14</v>
      </c>
      <c r="H6058">
             </c>
      <c r="I6058" t="s">
        <v>14</v>
      </c>
      <c r="J6058" t="s">
        <v>242</v>
      </c>
      <c r="K6058" t="s">
        <v>14</v>
      </c>
      <c r="L6058" t="s">
        <v>20</v>
      </c>
      <c r="M6058" t="s">
        <v>11852</v>
      </c>
      <c r="N6058" t="s">
        <v>14</v>
      </c>
    </row>
    <row r="6059" x14ac:dyDescent="0.25">
      <c r="A6059" t="n">
        <v>25</v>
      </c>
      <c r="B6059" t="s">
        <v>14</v>
      </c>
      <c r="C6059" t="s">
        <v>51</v>
      </c>
      <c r="D6059" s="2" t="s">
        <f>=HYPERLINK("https://main.knesset.gov.il/APPS/legislation/main/bills/2199029", "הצעת חוק פיצוי למי שפונה ממבנה בשל סכנה לקריסתו או בשל קריסתו, התשפ""ג-2023")</f>
        <v>12062</v>
      </c>
      <c r="E6059" t="s">
        <v>12062</v>
      </c>
      <c r="F6059" t="s">
        <v>12063</v>
      </c>
      <c r="G6059" t="s">
        <v>14</v>
      </c>
      <c r="H6059">
             </c>
      <c r="I6059" t="s">
        <v>14</v>
      </c>
      <c r="J6059" t="s">
        <v>242</v>
      </c>
      <c r="K6059" t="s">
        <v>14</v>
      </c>
      <c r="L6059" t="s">
        <v>20</v>
      </c>
      <c r="M6059" t="s">
        <v>11852</v>
      </c>
      <c r="N6059" t="s">
        <v>14</v>
      </c>
    </row>
    <row r="6060" x14ac:dyDescent="0.25">
      <c r="A6060" t="n">
        <v>25</v>
      </c>
      <c r="B6060" t="s">
        <v>14</v>
      </c>
      <c r="C6060" t="s">
        <v>51</v>
      </c>
      <c r="D6060" s="2" t="s">
        <f>=HYPERLINK("https://main.knesset.gov.il/APPS/legislation/main/bills/2198888", "הצעת חוק לתיקון פקודת העדה הדתית (המרה) (גיור על ידי רב עיר), התשפ""ג-2023")</f>
        <v>9378</v>
      </c>
      <c r="E6060" t="s">
        <v>9378</v>
      </c>
      <c r="F6060" t="s">
        <v>12064</v>
      </c>
      <c r="G6060" t="s">
        <v>14</v>
      </c>
      <c r="H6060">
             </c>
      <c r="I6060" t="s">
        <v>14</v>
      </c>
      <c r="J6060" t="s">
        <v>242</v>
      </c>
      <c r="K6060" t="s">
        <v>14</v>
      </c>
      <c r="L6060" t="s">
        <v>20</v>
      </c>
      <c r="M6060" t="s">
        <v>11852</v>
      </c>
      <c r="N6060" t="s">
        <v>14</v>
      </c>
    </row>
    <row r="6061" x14ac:dyDescent="0.25">
      <c r="A6061" t="n">
        <v>25</v>
      </c>
      <c r="B6061" t="s">
        <v>14</v>
      </c>
      <c r="C6061" t="s">
        <v>51</v>
      </c>
      <c r="D6061" s="2" t="s">
        <f>=HYPERLINK("https://main.knesset.gov.il/APPS/legislation/main/bills/2198984", "הצעת חוק שירותי הדת היהודיים (תיקון - דין משמעתי לרבני ערים), התשפ""ג-2023")</f>
        <v>12065</v>
      </c>
      <c r="E6061" t="s">
        <v>12065</v>
      </c>
      <c r="F6061" t="s">
        <v>12066</v>
      </c>
      <c r="G6061" t="s">
        <v>14</v>
      </c>
      <c r="H6061">
             </c>
      <c r="I6061" t="s">
        <v>14</v>
      </c>
      <c r="J6061" t="s">
        <v>242</v>
      </c>
      <c r="K6061" t="s">
        <v>14</v>
      </c>
      <c r="L6061" t="s">
        <v>20</v>
      </c>
      <c r="M6061" t="s">
        <v>11852</v>
      </c>
      <c r="N6061" t="s">
        <v>14</v>
      </c>
    </row>
    <row r="6062" x14ac:dyDescent="0.25">
      <c r="A6062" t="n">
        <v>25</v>
      </c>
      <c r="B6062" t="s">
        <v>14</v>
      </c>
      <c r="C6062" t="s">
        <v>51</v>
      </c>
      <c r="D6062" s="2" t="s">
        <f>=HYPERLINK("https://main.knesset.gov.il/APPS/legislation/main/bills/2198960", "הצעת חוק-יסוד: הממשלה (תיקון - אי-כשירות של נאשם להרכיב את הממשלה) ")</f>
        <v>12067</v>
      </c>
      <c r="E6062" t="s">
        <v>12067</v>
      </c>
      <c r="F6062" t="s">
        <v>12068</v>
      </c>
      <c r="G6062" t="s">
        <v>14</v>
      </c>
      <c r="H6062">
             </c>
      <c r="I6062" t="s">
        <v>14</v>
      </c>
      <c r="J6062" t="s">
        <v>242</v>
      </c>
      <c r="K6062" t="s">
        <v>14</v>
      </c>
      <c r="L6062" t="s">
        <v>20</v>
      </c>
      <c r="M6062" t="s">
        <v>11852</v>
      </c>
      <c r="N6062" t="s">
        <v>14</v>
      </c>
    </row>
    <row r="6063" x14ac:dyDescent="0.25">
      <c r="A6063" t="n">
        <v>25</v>
      </c>
      <c r="B6063" t="s">
        <v>14</v>
      </c>
      <c r="C6063" t="s">
        <v>51</v>
      </c>
      <c r="D6063" s="2" t="s">
        <f>=HYPERLINK("https://main.knesset.gov.il/APPS/legislation/main/bills/2199095", "הצעת חוק החברות (תיקון - ייצוג הולם לבני שני המינים בדירקטוריונים של חברות ציבוריות), התשפ""ג-2023")</f>
        <v>8920</v>
      </c>
      <c r="E6063" t="s">
        <v>8920</v>
      </c>
      <c r="F6063" t="s">
        <v>12069</v>
      </c>
      <c r="G6063" t="s">
        <v>14</v>
      </c>
      <c r="H6063">
             </c>
      <c r="I6063" t="s">
        <v>14</v>
      </c>
      <c r="J6063" t="s">
        <v>242</v>
      </c>
      <c r="K6063" t="s">
        <v>14</v>
      </c>
      <c r="L6063" t="s">
        <v>20</v>
      </c>
      <c r="M6063" t="s">
        <v>11852</v>
      </c>
      <c r="N6063" t="s">
        <v>14</v>
      </c>
    </row>
    <row r="6064" x14ac:dyDescent="0.25">
      <c r="A6064" t="n">
        <v>25</v>
      </c>
      <c r="B6064" t="s">
        <v>14</v>
      </c>
      <c r="C6064" t="s">
        <v>51</v>
      </c>
      <c r="D6064" s="2" t="s">
        <f>=HYPERLINK("https://main.knesset.gov.il/APPS/legislation/main/bills/2198742", "הצעת חוק המועצה להשכלה גבוהה (תיקון - הגבלת שיתוף פעולה בין מוסד אקדמי לבין ארגון הפועל נגד מדינת ישראל), התשפ""ג-2023")</f>
        <v>11161</v>
      </c>
      <c r="E6064" t="s">
        <v>11161</v>
      </c>
      <c r="F6064" t="s">
        <v>12070</v>
      </c>
      <c r="G6064" t="s">
        <v>14</v>
      </c>
      <c r="H6064">
             </c>
      <c r="I6064" t="s">
        <v>14</v>
      </c>
      <c r="J6064" t="s">
        <v>242</v>
      </c>
      <c r="K6064" t="s">
        <v>14</v>
      </c>
      <c r="L6064" t="s">
        <v>20</v>
      </c>
      <c r="M6064" t="s">
        <v>11852</v>
      </c>
      <c r="N6064" t="s">
        <v>14</v>
      </c>
    </row>
    <row r="6065" x14ac:dyDescent="0.25">
      <c r="A6065" t="n">
        <v>25</v>
      </c>
      <c r="B6065" t="s">
        <v>14</v>
      </c>
      <c r="C6065" t="s">
        <v>51</v>
      </c>
      <c r="D6065" s="2" t="s">
        <f>=HYPERLINK("https://main.knesset.gov.il/APPS/legislation/main/bills/2199059", "הצעת חוק רישום נישואין אזרחיים בעיר אילת (תיקוני חקיקה), התשפ""ג-2023")</f>
        <v>12071</v>
      </c>
      <c r="E6065" t="s">
        <v>12071</v>
      </c>
      <c r="F6065" t="s">
        <v>12072</v>
      </c>
      <c r="G6065" t="s">
        <v>14</v>
      </c>
      <c r="H6065">
             </c>
      <c r="I6065" t="s">
        <v>14</v>
      </c>
      <c r="J6065" t="s">
        <v>242</v>
      </c>
      <c r="K6065" t="s">
        <v>14</v>
      </c>
      <c r="L6065" t="s">
        <v>20</v>
      </c>
      <c r="M6065" t="s">
        <v>11852</v>
      </c>
      <c r="N6065" t="s">
        <v>14</v>
      </c>
    </row>
    <row r="6066" x14ac:dyDescent="0.25">
      <c r="A6066" t="n">
        <v>25</v>
      </c>
      <c r="B6066" t="s">
        <v>14</v>
      </c>
      <c r="C6066" t="s">
        <v>51</v>
      </c>
      <c r="D6066" s="2" t="s">
        <f>=HYPERLINK("https://main.knesset.gov.il/APPS/legislation/main/bills/2196588", "הצעת חוק הממשלה (תיקון - דיווח שר בדבר אי-התקנת תקנות במועד), התשפ""ג-2023")</f>
        <v>12073</v>
      </c>
      <c r="E6066" t="s">
        <v>12073</v>
      </c>
      <c r="F6066" t="s">
        <v>12074</v>
      </c>
      <c r="G6066" t="s">
        <v>14</v>
      </c>
      <c r="H6066">
             </c>
      <c r="I6066" t="s">
        <v>14</v>
      </c>
      <c r="J6066" t="s">
        <v>242</v>
      </c>
      <c r="K6066" t="s">
        <v>14</v>
      </c>
      <c r="L6066" t="s">
        <v>20</v>
      </c>
      <c r="M6066" t="s">
        <v>11852</v>
      </c>
      <c r="N6066" t="s">
        <v>14</v>
      </c>
    </row>
    <row r="6067" x14ac:dyDescent="0.25">
      <c r="A6067" t="n">
        <v>25</v>
      </c>
      <c r="B6067" t="s">
        <v>14</v>
      </c>
      <c r="C6067" t="s">
        <v>51</v>
      </c>
      <c r="D6067" s="2" t="s">
        <f>=HYPERLINK("https://main.knesset.gov.il/APPS/legislation/main/bills/2196555", "הצעת חוק הדיינים (תיקון - נציגי הוועדה לבחירת דיינים), התשפ""ג-2023")</f>
        <v>12075</v>
      </c>
      <c r="E6067" t="s">
        <v>12075</v>
      </c>
      <c r="F6067" t="s">
        <v>12076</v>
      </c>
      <c r="G6067" t="s">
        <v>14</v>
      </c>
      <c r="H6067">
             </c>
      <c r="I6067" t="s">
        <v>14</v>
      </c>
      <c r="J6067" t="s">
        <v>242</v>
      </c>
      <c r="K6067" t="s">
        <v>14</v>
      </c>
      <c r="L6067" t="s">
        <v>20</v>
      </c>
      <c r="M6067" t="s">
        <v>11852</v>
      </c>
      <c r="N6067" t="s">
        <v>14</v>
      </c>
    </row>
    <row r="6068" x14ac:dyDescent="0.25">
      <c r="A6068" t="n">
        <v>25</v>
      </c>
      <c r="B6068" t="s">
        <v>14</v>
      </c>
      <c r="C6068" t="s">
        <v>51</v>
      </c>
      <c r="D6068" s="2" t="s">
        <f>=HYPERLINK("https://main.knesset.gov.il/APPS/legislation/main/bills/2198822", "הצעת חוק הביטוח הלאומי (תיקון - אבטחה במוסד רפואי כעבודה מועדפת), התשפ""ג-2023")</f>
        <v>10930</v>
      </c>
      <c r="E6068" t="s">
        <v>10930</v>
      </c>
      <c r="F6068" t="s">
        <v>12077</v>
      </c>
      <c r="G6068" t="s">
        <v>14</v>
      </c>
      <c r="H6068">
             </c>
      <c r="I6068" t="s">
        <v>14</v>
      </c>
      <c r="J6068" t="s">
        <v>242</v>
      </c>
      <c r="K6068" t="s">
        <v>14</v>
      </c>
      <c r="L6068" t="s">
        <v>20</v>
      </c>
      <c r="M6068" t="s">
        <v>11852</v>
      </c>
      <c r="N6068" t="s">
        <v>14</v>
      </c>
    </row>
    <row r="6069" x14ac:dyDescent="0.25">
      <c r="A6069" t="n">
        <v>25</v>
      </c>
      <c r="B6069" t="s">
        <v>14</v>
      </c>
      <c r="C6069" t="s">
        <v>51</v>
      </c>
      <c r="D6069" s="2" t="s">
        <f>=HYPERLINK("https://main.knesset.gov.il/APPS/legislation/main/bills/2198787", "הצעת חוק לימוד חובה (תיקון - חינוך חינם לגיל הרך), התשפ""ג-2023")</f>
        <v>9487</v>
      </c>
      <c r="E6069" t="s">
        <v>9487</v>
      </c>
      <c r="F6069" t="s">
        <v>12078</v>
      </c>
      <c r="G6069" t="s">
        <v>14</v>
      </c>
      <c r="H6069">
             </c>
      <c r="I6069" t="s">
        <v>14</v>
      </c>
      <c r="J6069" t="s">
        <v>242</v>
      </c>
      <c r="K6069" t="s">
        <v>14</v>
      </c>
      <c r="L6069" t="s">
        <v>20</v>
      </c>
      <c r="M6069" t="s">
        <v>11852</v>
      </c>
      <c r="N6069" t="s">
        <v>14</v>
      </c>
    </row>
    <row r="6070" x14ac:dyDescent="0.25">
      <c r="A6070" t="n">
        <v>25</v>
      </c>
      <c r="B6070" t="s">
        <v>14</v>
      </c>
      <c r="C6070" t="s">
        <v>51</v>
      </c>
      <c r="D6070" s="2" t="s">
        <f>=HYPERLINK("https://main.knesset.gov.il/APPS/legislation/main/bills/2199050", "הצעת חוק הממשלה (תיקון - ועדת שרים לענייני חקיקה), התשפ""ג-2023")</f>
        <v>11200</v>
      </c>
      <c r="E6070" t="s">
        <v>11200</v>
      </c>
      <c r="F6070" t="s">
        <v>12079</v>
      </c>
      <c r="G6070" t="s">
        <v>14</v>
      </c>
      <c r="H6070">
             </c>
      <c r="I6070" t="s">
        <v>14</v>
      </c>
      <c r="J6070" t="s">
        <v>242</v>
      </c>
      <c r="K6070" t="s">
        <v>14</v>
      </c>
      <c r="L6070" t="s">
        <v>20</v>
      </c>
      <c r="M6070" t="s">
        <v>11852</v>
      </c>
      <c r="N6070" t="s">
        <v>14</v>
      </c>
    </row>
    <row r="6071" x14ac:dyDescent="0.25">
      <c r="A6071" t="n">
        <v>25</v>
      </c>
      <c r="B6071" t="s">
        <v>14</v>
      </c>
      <c r="C6071" t="s">
        <v>51</v>
      </c>
      <c r="D6071" s="2" t="s">
        <f>=HYPERLINK("https://main.knesset.gov.il/APPS/legislation/main/bills/2198765", "הצעת חוק העונשין (תיקון - תקיפת עובד מערך בריאות), התשפ""ג-2023")</f>
        <v>8803</v>
      </c>
      <c r="E6071" t="s">
        <v>8803</v>
      </c>
      <c r="F6071" t="s">
        <v>12080</v>
      </c>
      <c r="G6071" t="s">
        <v>14</v>
      </c>
      <c r="H6071">
             </c>
      <c r="I6071" t="s">
        <v>14</v>
      </c>
      <c r="J6071" t="s">
        <v>242</v>
      </c>
      <c r="K6071" t="s">
        <v>14</v>
      </c>
      <c r="L6071" t="s">
        <v>20</v>
      </c>
      <c r="M6071" t="s">
        <v>11852</v>
      </c>
      <c r="N6071" t="s">
        <v>14</v>
      </c>
    </row>
    <row r="6072" x14ac:dyDescent="0.25">
      <c r="A6072" t="n">
        <v>25</v>
      </c>
      <c r="B6072" t="s">
        <v>14</v>
      </c>
      <c r="C6072" t="s">
        <v>51</v>
      </c>
      <c r="D6072" s="2" t="s">
        <f>=HYPERLINK("https://main.knesset.gov.il/APPS/legislation/main/bills/2199224", "הצעת חוק איסור טיפול המרה לקטין, התשפ""ג-2023")</f>
        <v>8956</v>
      </c>
      <c r="E6072" t="s">
        <v>8956</v>
      </c>
      <c r="F6072" t="s">
        <v>12081</v>
      </c>
      <c r="G6072" t="s">
        <v>14</v>
      </c>
      <c r="H6072">
             </c>
      <c r="I6072" t="s">
        <v>14</v>
      </c>
      <c r="J6072" t="s">
        <v>242</v>
      </c>
      <c r="K6072" t="s">
        <v>14</v>
      </c>
      <c r="L6072" t="s">
        <v>20</v>
      </c>
      <c r="M6072" t="s">
        <v>11852</v>
      </c>
      <c r="N6072" t="s">
        <v>14</v>
      </c>
    </row>
    <row r="6073" x14ac:dyDescent="0.25">
      <c r="A6073" t="n">
        <v>25</v>
      </c>
      <c r="B6073" t="s">
        <v>14</v>
      </c>
      <c r="C6073" t="s">
        <v>51</v>
      </c>
      <c r="D6073" s="2" t="s">
        <f>=HYPERLINK("https://main.knesset.gov.il/APPS/legislation/main/bills/2196548", "הצעת חוק אי-נקיטת הליכים לפני מועדי ישראל (תיקוני חקיקה), התשפ""ג-2023")</f>
        <v>12082</v>
      </c>
      <c r="E6073" t="s">
        <v>12082</v>
      </c>
      <c r="F6073" t="s">
        <v>12083</v>
      </c>
      <c r="G6073" t="s">
        <v>14</v>
      </c>
      <c r="H6073">
             </c>
      <c r="I6073" t="s">
        <v>14</v>
      </c>
      <c r="J6073" t="s">
        <v>242</v>
      </c>
      <c r="K6073" t="s">
        <v>14</v>
      </c>
      <c r="L6073" t="s">
        <v>20</v>
      </c>
      <c r="M6073" t="s">
        <v>11852</v>
      </c>
      <c r="N6073" t="s">
        <v>14</v>
      </c>
    </row>
    <row r="6074" x14ac:dyDescent="0.25">
      <c r="A6074" t="n">
        <v>25</v>
      </c>
      <c r="B6074" t="s">
        <v>14</v>
      </c>
      <c r="C6074" t="s">
        <v>51</v>
      </c>
      <c r="D6074" s="2" t="s">
        <f>=HYPERLINK("https://main.knesset.gov.il/APPS/legislation/main/bills/2199226", "הצעת חוק איסור הפליה במוצרים, בשירותים ובכניסה למקומות בידור ולמקומות ציבוריים (תיקון - איסור הפליה בדיור), התשפ""ג-2023")</f>
        <v>9721</v>
      </c>
      <c r="E6074" t="s">
        <v>9721</v>
      </c>
      <c r="F6074" t="s">
        <v>12084</v>
      </c>
      <c r="G6074" t="s">
        <v>14</v>
      </c>
      <c r="H6074">
             </c>
      <c r="I6074" t="s">
        <v>14</v>
      </c>
      <c r="J6074" t="s">
        <v>242</v>
      </c>
      <c r="K6074" t="s">
        <v>14</v>
      </c>
      <c r="L6074" t="s">
        <v>20</v>
      </c>
      <c r="M6074" t="s">
        <v>11852</v>
      </c>
      <c r="N6074" t="s">
        <v>14</v>
      </c>
    </row>
    <row r="6075" x14ac:dyDescent="0.25">
      <c r="A6075" t="n">
        <v>25</v>
      </c>
      <c r="B6075" t="s">
        <v>14</v>
      </c>
      <c r="C6075" t="s">
        <v>51</v>
      </c>
      <c r="D6075" s="2" t="s">
        <f>=HYPERLINK("https://main.knesset.gov.il/APPS/legislation/main/bills/2196486", "הצעת חוק תיעוד הדבקה של כתבי בית דין (תיקוני חקיקה), התשפ""ג-2023")</f>
        <v>12085</v>
      </c>
      <c r="E6075" t="s">
        <v>12085</v>
      </c>
      <c r="F6075" t="s">
        <v>12086</v>
      </c>
      <c r="G6075" t="s">
        <v>14</v>
      </c>
      <c r="H6075">
             </c>
      <c r="I6075" t="s">
        <v>14</v>
      </c>
      <c r="J6075" t="s">
        <v>242</v>
      </c>
      <c r="K6075" t="s">
        <v>14</v>
      </c>
      <c r="L6075" t="s">
        <v>20</v>
      </c>
      <c r="M6075" t="s">
        <v>11852</v>
      </c>
      <c r="N6075" t="s">
        <v>14</v>
      </c>
    </row>
    <row r="6076" x14ac:dyDescent="0.25">
      <c r="A6076" t="n">
        <v>25</v>
      </c>
      <c r="B6076" t="s">
        <v>14</v>
      </c>
      <c r="C6076" t="s">
        <v>51</v>
      </c>
      <c r="D6076" s="2" t="s">
        <f>=HYPERLINK("https://main.knesset.gov.il/APPS/legislation/main/bills/2199063", "הצעת חוק ידועים בציבור, התשפ""ג-2023")</f>
        <v>12087</v>
      </c>
      <c r="E6076" t="s">
        <v>12087</v>
      </c>
      <c r="F6076" t="s">
        <v>12088</v>
      </c>
      <c r="G6076" t="s">
        <v>14</v>
      </c>
      <c r="H6076">
             </c>
      <c r="I6076" t="s">
        <v>14</v>
      </c>
      <c r="J6076" t="s">
        <v>242</v>
      </c>
      <c r="K6076" t="s">
        <v>14</v>
      </c>
      <c r="L6076" t="s">
        <v>20</v>
      </c>
      <c r="M6076" t="s">
        <v>11852</v>
      </c>
      <c r="N6076" t="s">
        <v>14</v>
      </c>
    </row>
    <row r="6077" x14ac:dyDescent="0.25">
      <c r="A6077" t="n">
        <v>25</v>
      </c>
      <c r="B6077" t="s">
        <v>14</v>
      </c>
      <c r="C6077" t="s">
        <v>51</v>
      </c>
      <c r="D6077" s="2" t="s">
        <f>=HYPERLINK("https://main.knesset.gov.il/APPS/legislation/main/bills/2198909", "הצעת חוק איסור הונאה בכשרות (תיקון - הגדרת המינוח כשר לעניין הטעיה), התשפ""ג-2023")</f>
        <v>12089</v>
      </c>
      <c r="E6077" t="s">
        <v>12089</v>
      </c>
      <c r="F6077" t="s">
        <v>12090</v>
      </c>
      <c r="G6077" t="s">
        <v>14</v>
      </c>
      <c r="H6077">
             </c>
      <c r="I6077" t="s">
        <v>14</v>
      </c>
      <c r="J6077" t="s">
        <v>242</v>
      </c>
      <c r="K6077" t="s">
        <v>14</v>
      </c>
      <c r="L6077" t="s">
        <v>20</v>
      </c>
      <c r="M6077" t="s">
        <v>11852</v>
      </c>
      <c r="N6077" t="s">
        <v>14</v>
      </c>
    </row>
    <row r="6078" x14ac:dyDescent="0.25">
      <c r="A6078" t="n">
        <v>25</v>
      </c>
      <c r="B6078" t="s">
        <v>14</v>
      </c>
      <c r="C6078" t="s">
        <v>51</v>
      </c>
      <c r="D6078" s="2" t="s">
        <f>=HYPERLINK("https://main.knesset.gov.il/APPS/legislation/main/bills/2197837", "הצעת חוק איסור לשון הרע (תיקון - הגבלת סעד לאישי ציבור ותאגידים), התשפ""ג-2023")</f>
        <v>12091</v>
      </c>
      <c r="E6078" t="s">
        <v>12091</v>
      </c>
      <c r="F6078" t="s">
        <v>12092</v>
      </c>
      <c r="G6078" t="s">
        <v>14</v>
      </c>
      <c r="H6078">
             </c>
      <c r="I6078" t="s">
        <v>14</v>
      </c>
      <c r="J6078" t="s">
        <v>242</v>
      </c>
      <c r="K6078" t="s">
        <v>14</v>
      </c>
      <c r="L6078" t="s">
        <v>20</v>
      </c>
      <c r="M6078" t="s">
        <v>11852</v>
      </c>
      <c r="N6078" t="s">
        <v>14</v>
      </c>
    </row>
    <row r="6079" x14ac:dyDescent="0.25">
      <c r="A6079" t="n">
        <v>25</v>
      </c>
      <c r="B6079" t="s">
        <v>14</v>
      </c>
      <c r="C6079" t="s">
        <v>51</v>
      </c>
      <c r="D6079" s="2" t="s">
        <f>=HYPERLINK("https://main.knesset.gov.il/APPS/legislation/main/bills/2197836", "הצעת חוק הקמת המוסד העליון לשפת הסימנים הישראלית, התשפ""ג-2023")</f>
        <v>12093</v>
      </c>
      <c r="E6079" t="s">
        <v>12093</v>
      </c>
      <c r="F6079" t="s">
        <v>12094</v>
      </c>
      <c r="G6079" t="s">
        <v>14</v>
      </c>
      <c r="H6079">
             </c>
      <c r="I6079" t="s">
        <v>14</v>
      </c>
      <c r="J6079" t="s">
        <v>242</v>
      </c>
      <c r="K6079" t="s">
        <v>14</v>
      </c>
      <c r="L6079" t="s">
        <v>20</v>
      </c>
      <c r="M6079" t="s">
        <v>11852</v>
      </c>
      <c r="N6079" t="s">
        <v>14</v>
      </c>
    </row>
    <row r="6080" x14ac:dyDescent="0.25">
      <c r="A6080" t="n">
        <v>25</v>
      </c>
      <c r="B6080" t="s">
        <v>14</v>
      </c>
      <c r="C6080" t="s">
        <v>51</v>
      </c>
      <c r="D6080" s="2" t="s">
        <f>=HYPERLINK("https://main.knesset.gov.il/APPS/legislation/main/bills/2197783", "הצעת חוק-יסוד: הזכות לדיור")</f>
        <v>12095</v>
      </c>
      <c r="E6080" t="s">
        <v>12095</v>
      </c>
      <c r="F6080" t="s">
        <v>12096</v>
      </c>
      <c r="G6080" t="s">
        <v>14</v>
      </c>
      <c r="H6080">
             </c>
      <c r="I6080" t="s">
        <v>14</v>
      </c>
      <c r="J6080" t="s">
        <v>242</v>
      </c>
      <c r="K6080" t="s">
        <v>14</v>
      </c>
      <c r="L6080" t="s">
        <v>20</v>
      </c>
      <c r="M6080" t="s">
        <v>11852</v>
      </c>
      <c r="N6080" t="s">
        <v>14</v>
      </c>
    </row>
    <row r="6081" x14ac:dyDescent="0.25">
      <c r="A6081" t="n">
        <v>25</v>
      </c>
      <c r="B6081" t="s">
        <v>14</v>
      </c>
      <c r="C6081" t="s">
        <v>51</v>
      </c>
      <c r="D6081" s="2" t="s">
        <f>=HYPERLINK("https://main.knesset.gov.il/APPS/legislation/main/bills/2198916", "הצעת חוק שירות המדינה (מינויים) (תיקון - ניסיון ניהולי במגזר הפרטי), התשפ""ג-2023")</f>
        <v>12097</v>
      </c>
      <c r="E6081" t="s">
        <v>12097</v>
      </c>
      <c r="F6081" t="s">
        <v>12098</v>
      </c>
      <c r="G6081" t="s">
        <v>14</v>
      </c>
      <c r="H6081">
             </c>
      <c r="I6081" t="s">
        <v>14</v>
      </c>
      <c r="J6081" t="s">
        <v>242</v>
      </c>
      <c r="K6081" t="s">
        <v>14</v>
      </c>
      <c r="L6081" t="s">
        <v>20</v>
      </c>
      <c r="M6081" t="s">
        <v>11852</v>
      </c>
      <c r="N6081" t="s">
        <v>14</v>
      </c>
    </row>
    <row r="6082" x14ac:dyDescent="0.25">
      <c r="A6082" t="n">
        <v>25</v>
      </c>
      <c r="B6082" t="s">
        <v>14</v>
      </c>
      <c r="C6082" t="s">
        <v>51</v>
      </c>
      <c r="D6082" s="2" t="s">
        <f>=HYPERLINK("https://main.knesset.gov.il/APPS/legislation/main/bills/2196622", "הצעת חוק לימוד חובה (תיקון - הסעת תלמידים), התשפ""ג-2023")</f>
        <v>12099</v>
      </c>
      <c r="E6082" t="s">
        <v>12099</v>
      </c>
      <c r="F6082" t="s">
        <v>12100</v>
      </c>
      <c r="G6082" t="s">
        <v>14</v>
      </c>
      <c r="H6082">
             </c>
      <c r="I6082" t="s">
        <v>14</v>
      </c>
      <c r="J6082" t="s">
        <v>242</v>
      </c>
      <c r="K6082" t="s">
        <v>14</v>
      </c>
      <c r="L6082" t="s">
        <v>20</v>
      </c>
      <c r="M6082" t="s">
        <v>11852</v>
      </c>
      <c r="N6082" t="s">
        <v>14</v>
      </c>
    </row>
    <row r="6083" x14ac:dyDescent="0.25">
      <c r="A6083" t="n">
        <v>25</v>
      </c>
      <c r="B6083" t="s">
        <v>14</v>
      </c>
      <c r="C6083" t="s">
        <v>51</v>
      </c>
      <c r="D6083" s="2" t="s">
        <f>=HYPERLINK("https://main.knesset.gov.il/APPS/legislation/main/bills/2198886", "הצעת חוק הבחירות לכנסת (תיקון - אחוז החסימה), התשפ""ג-2023")</f>
        <v>12101</v>
      </c>
      <c r="E6083" t="s">
        <v>12101</v>
      </c>
      <c r="F6083" t="s">
        <v>12102</v>
      </c>
      <c r="G6083" t="s">
        <v>14</v>
      </c>
      <c r="H6083">
             </c>
      <c r="I6083" t="s">
        <v>14</v>
      </c>
      <c r="J6083" t="s">
        <v>242</v>
      </c>
      <c r="K6083" t="s">
        <v>14</v>
      </c>
      <c r="L6083" t="s">
        <v>20</v>
      </c>
      <c r="M6083" t="s">
        <v>11852</v>
      </c>
      <c r="N6083" t="s">
        <v>14</v>
      </c>
    </row>
    <row r="6084" x14ac:dyDescent="0.25">
      <c r="A6084" t="n">
        <v>25</v>
      </c>
      <c r="B6084" t="s">
        <v>14</v>
      </c>
      <c r="C6084" t="s">
        <v>51</v>
      </c>
      <c r="D6084" s="2" t="s">
        <f>=HYPERLINK("https://main.knesset.gov.il/APPS/legislation/main/bills/2198848", "הצעת חוק לעידוד חקלאות גגות (תיקוני חקיקה), התשפ""ג-2023")</f>
        <v>12103</v>
      </c>
      <c r="E6084" t="s">
        <v>12103</v>
      </c>
      <c r="F6084" t="s">
        <v>12104</v>
      </c>
      <c r="G6084" t="s">
        <v>14</v>
      </c>
      <c r="H6084">
             </c>
      <c r="I6084" t="s">
        <v>14</v>
      </c>
      <c r="J6084" t="s">
        <v>242</v>
      </c>
      <c r="K6084" t="s">
        <v>14</v>
      </c>
      <c r="L6084" t="s">
        <v>20</v>
      </c>
      <c r="M6084" t="s">
        <v>11852</v>
      </c>
      <c r="N6084" t="s">
        <v>14</v>
      </c>
    </row>
    <row r="6085" x14ac:dyDescent="0.25">
      <c r="A6085" t="n">
        <v>25</v>
      </c>
      <c r="B6085" t="s">
        <v>14</v>
      </c>
      <c r="C6085" t="s">
        <v>51</v>
      </c>
      <c r="D6085" s="2" t="s">
        <f>=HYPERLINK("https://main.knesset.gov.il/APPS/legislation/main/bills/2196596", "הצעת חוק פיקוח על בתי ספר (תיקון - הרחבת תוקפו של רישיון), התשפ""ג-2023")</f>
        <v>12105</v>
      </c>
      <c r="E6085" t="s">
        <v>12105</v>
      </c>
      <c r="F6085" t="s">
        <v>12106</v>
      </c>
      <c r="G6085" t="s">
        <v>14</v>
      </c>
      <c r="H6085">
             </c>
      <c r="I6085" t="s">
        <v>14</v>
      </c>
      <c r="J6085" t="s">
        <v>242</v>
      </c>
      <c r="K6085" t="s">
        <v>14</v>
      </c>
      <c r="L6085" t="s">
        <v>20</v>
      </c>
      <c r="M6085" t="s">
        <v>11852</v>
      </c>
      <c r="N6085" t="s">
        <v>14</v>
      </c>
    </row>
    <row r="6086" x14ac:dyDescent="0.25">
      <c r="A6086" t="n">
        <v>25</v>
      </c>
      <c r="B6086" t="s">
        <v>14</v>
      </c>
      <c r="C6086" t="s">
        <v>51</v>
      </c>
      <c r="D6086" s="2" t="s">
        <f>=HYPERLINK("https://main.knesset.gov.il/APPS/legislation/main/bills/2197835", "הצעת חוק התכנון והבנייה (תיקון - ייצוג הולם לאוכלוסייה הערבית במוסדות התכנון), התשפ""ג-2023")</f>
        <v>10389</v>
      </c>
      <c r="E6086" t="s">
        <v>10389</v>
      </c>
      <c r="F6086" t="s">
        <v>12107</v>
      </c>
      <c r="G6086" t="s">
        <v>14</v>
      </c>
      <c r="H6086">
             </c>
      <c r="I6086" t="s">
        <v>14</v>
      </c>
      <c r="J6086" t="s">
        <v>242</v>
      </c>
      <c r="K6086" t="s">
        <v>14</v>
      </c>
      <c r="L6086" t="s">
        <v>20</v>
      </c>
      <c r="M6086" t="s">
        <v>11852</v>
      </c>
      <c r="N6086" t="s">
        <v>14</v>
      </c>
    </row>
    <row r="6087" x14ac:dyDescent="0.25">
      <c r="A6087" t="n">
        <v>25</v>
      </c>
      <c r="B6087" t="s">
        <v>14</v>
      </c>
      <c r="C6087" t="s">
        <v>51</v>
      </c>
      <c r="D6087" s="2" t="s">
        <f>=HYPERLINK("https://main.knesset.gov.il/APPS/legislation/main/bills/2198767", "הצעת חוק הרשויות המקומיות (גמול השתתפות בישיבות והחזר הוצאות לחברי מועצה), התשפ""ג-2023")</f>
        <v>3064</v>
      </c>
      <c r="E6087" t="s">
        <v>3064</v>
      </c>
      <c r="F6087" t="s">
        <v>12108</v>
      </c>
      <c r="G6087" t="s">
        <v>14</v>
      </c>
      <c r="H6087">
             </c>
      <c r="I6087" t="s">
        <v>14</v>
      </c>
      <c r="J6087" t="s">
        <v>242</v>
      </c>
      <c r="K6087" t="s">
        <v>14</v>
      </c>
      <c r="L6087" t="s">
        <v>20</v>
      </c>
      <c r="M6087" t="s">
        <v>11852</v>
      </c>
      <c r="N6087" t="s">
        <v>14</v>
      </c>
    </row>
    <row r="6088" x14ac:dyDescent="0.25">
      <c r="A6088" t="n">
        <v>25</v>
      </c>
      <c r="B6088" t="s">
        <v>14</v>
      </c>
      <c r="C6088" t="s">
        <v>51</v>
      </c>
      <c r="D6088" s="2" t="s">
        <f>=HYPERLINK("https://main.knesset.gov.il/APPS/legislation/main/bills/2196188", "הצעת חוק שופט עמית ודיין עמית (תיקוני חקיקה), התשפ""ג-2023")</f>
        <v>12109</v>
      </c>
      <c r="E6088" t="s">
        <v>12109</v>
      </c>
      <c r="F6088" t="s">
        <v>12110</v>
      </c>
      <c r="G6088" t="s">
        <v>14</v>
      </c>
      <c r="H6088">
             </c>
      <c r="I6088" t="s">
        <v>14</v>
      </c>
      <c r="J6088" t="s">
        <v>242</v>
      </c>
      <c r="K6088" t="s">
        <v>14</v>
      </c>
      <c r="L6088" t="s">
        <v>20</v>
      </c>
      <c r="M6088" t="s">
        <v>11852</v>
      </c>
      <c r="N6088" t="s">
        <v>14</v>
      </c>
    </row>
    <row r="6089" x14ac:dyDescent="0.25">
      <c r="A6089" t="n">
        <v>25</v>
      </c>
      <c r="B6089" t="s">
        <v>14</v>
      </c>
      <c r="C6089" t="s">
        <v>51</v>
      </c>
      <c r="D6089" s="2" t="s">
        <f>=HYPERLINK("https://main.knesset.gov.il/APPS/legislation/main/bills/2198913", "הצעת חוק לתיקון פקודת מס הכנסה (ביטול מס בגין זקיפה סלולרית), התשפ""ג-2023")</f>
        <v>12111</v>
      </c>
      <c r="E6089" t="s">
        <v>12111</v>
      </c>
      <c r="F6089" t="s">
        <v>12112</v>
      </c>
      <c r="G6089" t="s">
        <v>14</v>
      </c>
      <c r="H6089">
             </c>
      <c r="I6089" t="s">
        <v>14</v>
      </c>
      <c r="J6089" t="s">
        <v>242</v>
      </c>
      <c r="K6089" t="s">
        <v>14</v>
      </c>
      <c r="L6089" t="s">
        <v>20</v>
      </c>
      <c r="M6089" t="s">
        <v>11852</v>
      </c>
      <c r="N6089" t="s">
        <v>14</v>
      </c>
    </row>
    <row r="6090" x14ac:dyDescent="0.25">
      <c r="A6090" t="n">
        <v>25</v>
      </c>
      <c r="B6090" t="s">
        <v>14</v>
      </c>
      <c r="C6090" t="s">
        <v>51</v>
      </c>
      <c r="D6090" s="2" t="s">
        <f>=HYPERLINK("https://main.knesset.gov.il/APPS/legislation/main/bills/2196192", "הצעת חוק שיפוט בתי דין רבניים (נישואין וגירושין) (תיקון - סמכות שיפוט בהסכמה בעניין אזרחי), התשפ""ג-2023")</f>
        <v>12113</v>
      </c>
      <c r="E6090" t="s">
        <v>12113</v>
      </c>
      <c r="F6090" t="s">
        <v>12114</v>
      </c>
      <c r="G6090" t="s">
        <v>14</v>
      </c>
      <c r="H6090">
             </c>
      <c r="I6090" t="s">
        <v>14</v>
      </c>
      <c r="J6090" t="s">
        <v>242</v>
      </c>
      <c r="K6090" t="s">
        <v>14</v>
      </c>
      <c r="L6090" t="s">
        <v>20</v>
      </c>
      <c r="M6090" t="s">
        <v>11852</v>
      </c>
      <c r="N6090" t="s">
        <v>14</v>
      </c>
    </row>
    <row r="6091" x14ac:dyDescent="0.25">
      <c r="A6091" t="n">
        <v>25</v>
      </c>
      <c r="B6091" t="s">
        <v>14</v>
      </c>
      <c r="C6091" t="s">
        <v>51</v>
      </c>
      <c r="D6091" s="2" t="s">
        <f>=HYPERLINK("https://main.knesset.gov.il/APPS/legislation/main/bills/2198589", "הצעת חוק מימון מפלגות (תיקון - שלילת מימון ממפלגה שקוראת להטלת חרם על מדינת ישראל), התשפ""ג-2023")</f>
        <v>10655</v>
      </c>
      <c r="E6091" t="s">
        <v>10655</v>
      </c>
      <c r="F6091" t="s">
        <v>12115</v>
      </c>
      <c r="G6091" t="s">
        <v>14</v>
      </c>
      <c r="H6091">
             </c>
      <c r="I6091" t="s">
        <v>14</v>
      </c>
      <c r="J6091" t="s">
        <v>242</v>
      </c>
      <c r="K6091" t="s">
        <v>14</v>
      </c>
      <c r="L6091" t="s">
        <v>20</v>
      </c>
      <c r="M6091" t="s">
        <v>11852</v>
      </c>
      <c r="N6091" t="s">
        <v>14</v>
      </c>
    </row>
    <row r="6092" x14ac:dyDescent="0.25">
      <c r="A6092" t="n">
        <v>25</v>
      </c>
      <c r="B6092" t="s">
        <v>14</v>
      </c>
      <c r="C6092" t="s">
        <v>51</v>
      </c>
      <c r="D6092" s="2" t="s">
        <f>=HYPERLINK("https://main.knesset.gov.il/APPS/legislation/main/bills/2196175", "הצעת חוק ההוצאה לפועל (תיקון - הגבלת סכום עיקול בידי צד שלישי שהוא תאגיד בנקאי), התשפ""ג-2023")</f>
        <v>10290</v>
      </c>
      <c r="E6092" t="s">
        <v>10290</v>
      </c>
      <c r="F6092" t="s">
        <v>12116</v>
      </c>
      <c r="G6092" t="s">
        <v>14</v>
      </c>
      <c r="H6092">
             </c>
      <c r="I6092" t="s">
        <v>14</v>
      </c>
      <c r="J6092" t="s">
        <v>202</v>
      </c>
      <c r="K6092" t="s">
        <v>14</v>
      </c>
      <c r="L6092" t="s">
        <v>20</v>
      </c>
      <c r="M6092" t="s">
        <v>11852</v>
      </c>
      <c r="N6092" t="s">
        <v>14</v>
      </c>
    </row>
    <row r="6093" x14ac:dyDescent="0.25">
      <c r="A6093" t="n">
        <v>25</v>
      </c>
      <c r="B6093" t="s">
        <v>14</v>
      </c>
      <c r="C6093" t="s">
        <v>51</v>
      </c>
      <c r="D6093" s="2" t="s">
        <f>=HYPERLINK("https://main.knesset.gov.il/APPS/legislation/main/bills/2196183", "הצעת חוק המסייעים לנטרול תוצאות אסון צ'רנוביל (תיקון - הגדלת המענק השנתי ושיפור זכויות), התשפ""ג-2023")</f>
        <v>12117</v>
      </c>
      <c r="E6093" t="s">
        <v>12117</v>
      </c>
      <c r="F6093" t="s">
        <v>12118</v>
      </c>
      <c r="G6093" t="s">
        <v>14</v>
      </c>
      <c r="H6093">
             </c>
      <c r="I6093" t="s">
        <v>14</v>
      </c>
      <c r="J6093" t="s">
        <v>242</v>
      </c>
      <c r="K6093" t="s">
        <v>14</v>
      </c>
      <c r="L6093" t="s">
        <v>20</v>
      </c>
      <c r="M6093" t="s">
        <v>11852</v>
      </c>
      <c r="N6093" t="s">
        <v>14</v>
      </c>
    </row>
    <row r="6094" x14ac:dyDescent="0.25">
      <c r="A6094" t="n">
        <v>25</v>
      </c>
      <c r="B6094" t="s">
        <v>14</v>
      </c>
      <c r="C6094" t="s">
        <v>51</v>
      </c>
      <c r="D6094" s="2" t="s">
        <f>=HYPERLINK("https://main.knesset.gov.il/APPS/legislation/main/bills/2196186", "הצעת חוק לתיקון פקודת התעבורה (מרכז שירות ארצי לעניין כרטיס רב-קו), התשפ""ג-2023")</f>
        <v>11036</v>
      </c>
      <c r="E6094" t="s">
        <v>11036</v>
      </c>
      <c r="F6094" t="s">
        <v>12119</v>
      </c>
      <c r="G6094" t="s">
        <v>14</v>
      </c>
      <c r="H6094">
             </c>
      <c r="I6094" t="s">
        <v>14</v>
      </c>
      <c r="J6094" t="s">
        <v>242</v>
      </c>
      <c r="K6094" t="s">
        <v>14</v>
      </c>
      <c r="L6094" t="s">
        <v>20</v>
      </c>
      <c r="M6094" t="s">
        <v>11852</v>
      </c>
      <c r="N6094" t="s">
        <v>14</v>
      </c>
    </row>
    <row r="6095" x14ac:dyDescent="0.25">
      <c r="A6095" t="n">
        <v>25</v>
      </c>
      <c r="B6095" t="s">
        <v>14</v>
      </c>
      <c r="C6095" t="s">
        <v>51</v>
      </c>
      <c r="D6095" s="2" t="s">
        <f>=HYPERLINK("https://main.knesset.gov.il/APPS/legislation/main/bills/2196131", "הצעת חוק-יסוד: כבוד האדם וחירותו (תיקון - תוקפו של חוק חורג)")</f>
        <v>12120</v>
      </c>
      <c r="E6095" t="s">
        <v>12120</v>
      </c>
      <c r="F6095" t="s">
        <v>12121</v>
      </c>
      <c r="G6095" t="s">
        <v>14</v>
      </c>
      <c r="H6095">
             </c>
      <c r="I6095" t="s">
        <v>14</v>
      </c>
      <c r="J6095" t="s">
        <v>242</v>
      </c>
      <c r="K6095" t="s">
        <v>14</v>
      </c>
      <c r="L6095" t="s">
        <v>20</v>
      </c>
      <c r="M6095" t="s">
        <v>11852</v>
      </c>
      <c r="N6095" t="s">
        <v>14</v>
      </c>
    </row>
    <row r="6096" x14ac:dyDescent="0.25">
      <c r="A6096" t="n">
        <v>25</v>
      </c>
      <c r="B6096" t="s">
        <v>14</v>
      </c>
      <c r="C6096" t="s">
        <v>51</v>
      </c>
      <c r="D6096" s="2" t="s">
        <f>=HYPERLINK("https://main.knesset.gov.il/APPS/legislation/main/bills/2196573", "הצעת חוק העונשין (תיקון - איסור שידול קטינים להוצאה בשאלה), התשפ""ג-2023")</f>
        <v>12122</v>
      </c>
      <c r="E6096" t="s">
        <v>12122</v>
      </c>
      <c r="F6096" t="s">
        <v>12123</v>
      </c>
      <c r="G6096" t="s">
        <v>14</v>
      </c>
      <c r="H6096">
             </c>
      <c r="I6096" t="s">
        <v>14</v>
      </c>
      <c r="J6096" t="s">
        <v>242</v>
      </c>
      <c r="K6096" t="s">
        <v>14</v>
      </c>
      <c r="L6096" t="s">
        <v>20</v>
      </c>
      <c r="M6096" t="s">
        <v>11852</v>
      </c>
      <c r="N6096" t="s">
        <v>14</v>
      </c>
    </row>
    <row r="6097" x14ac:dyDescent="0.25">
      <c r="A6097" t="n">
        <v>25</v>
      </c>
      <c r="B6097" t="s">
        <v>14</v>
      </c>
      <c r="C6097" t="s">
        <v>51</v>
      </c>
      <c r="D6097" s="2" t="s">
        <f>=HYPERLINK("https://main.knesset.gov.il/APPS/legislation/main/bills/2198971", "הצעת חוק הרשויות המקומיות (מימון בחירות) (תיקון - הגברת עידוד התמודדות נשים לראשות רשות מקומית או מועצה אזורית), התשפ""ג-2023")</f>
        <v>12124</v>
      </c>
      <c r="E6097" t="s">
        <v>12124</v>
      </c>
      <c r="F6097" t="s">
        <v>12125</v>
      </c>
      <c r="G6097" t="s">
        <v>14</v>
      </c>
      <c r="H6097">
             </c>
      <c r="I6097" t="s">
        <v>14</v>
      </c>
      <c r="J6097" t="s">
        <v>242</v>
      </c>
      <c r="K6097" t="s">
        <v>14</v>
      </c>
      <c r="L6097" t="s">
        <v>20</v>
      </c>
      <c r="M6097" t="s">
        <v>11852</v>
      </c>
      <c r="N6097" t="s">
        <v>14</v>
      </c>
    </row>
    <row r="6098" x14ac:dyDescent="0.25">
      <c r="A6098" t="n">
        <v>25</v>
      </c>
      <c r="B6098" t="s">
        <v>14</v>
      </c>
      <c r="C6098" t="s">
        <v>51</v>
      </c>
      <c r="D6098" s="2" t="s">
        <f>=HYPERLINK("https://main.knesset.gov.il/APPS/legislation/main/bills/2196363", "הצעת חוק לתיקון פקודת התעבורה (פיצוי כספי בגין איחור אוטובוס), התשפ""ג-2023")</f>
        <v>9446</v>
      </c>
      <c r="E6098" t="s">
        <v>9446</v>
      </c>
      <c r="F6098" t="s">
        <v>12126</v>
      </c>
      <c r="G6098" t="s">
        <v>14</v>
      </c>
      <c r="H6098">
             </c>
      <c r="I6098" t="s">
        <v>14</v>
      </c>
      <c r="J6098" t="s">
        <v>242</v>
      </c>
      <c r="K6098" t="s">
        <v>14</v>
      </c>
      <c r="L6098" t="s">
        <v>20</v>
      </c>
      <c r="M6098" t="s">
        <v>11852</v>
      </c>
      <c r="N6098" t="s">
        <v>14</v>
      </c>
    </row>
    <row r="6099" x14ac:dyDescent="0.25">
      <c r="A6099" t="n">
        <v>25</v>
      </c>
      <c r="B6099" t="s">
        <v>14</v>
      </c>
      <c r="C6099" t="s">
        <v>51</v>
      </c>
      <c r="D6099" s="2" t="s">
        <f>=HYPERLINK("https://main.knesset.gov.il/APPS/legislation/main/bills/2197827", "הצעת חוק התכנון והבנייה (תיקון - זימון נציג הגופים הציבוריים שעניינם בשמירת איכות הסביבה לדיוני הוועדה המקומית), התשפ״ג-2023")</f>
        <v>12127</v>
      </c>
      <c r="E6099" t="s">
        <v>12127</v>
      </c>
      <c r="F6099" t="s">
        <v>12128</v>
      </c>
      <c r="G6099" t="s">
        <v>14</v>
      </c>
      <c r="H6099">
             </c>
      <c r="I6099" t="s">
        <v>14</v>
      </c>
      <c r="J6099" t="s">
        <v>242</v>
      </c>
      <c r="K6099" t="s">
        <v>14</v>
      </c>
      <c r="L6099" t="s">
        <v>20</v>
      </c>
      <c r="M6099" t="s">
        <v>11852</v>
      </c>
      <c r="N6099" t="s">
        <v>14</v>
      </c>
    </row>
    <row r="6100" x14ac:dyDescent="0.25">
      <c r="A6100" t="n">
        <v>25</v>
      </c>
      <c r="B6100" t="s">
        <v>14</v>
      </c>
      <c r="C6100" t="s">
        <v>51</v>
      </c>
      <c r="D6100" s="2" t="s">
        <f>=HYPERLINK("https://main.knesset.gov.il/APPS/legislation/main/bills/2196180", "הצעת חוק חסינות רבנים, התשפ""ג-2023")</f>
        <v>12129</v>
      </c>
      <c r="E6100" t="s">
        <v>12129</v>
      </c>
      <c r="F6100" t="s">
        <v>12130</v>
      </c>
      <c r="G6100" t="s">
        <v>14</v>
      </c>
      <c r="H6100">
             </c>
      <c r="I6100" t="s">
        <v>14</v>
      </c>
      <c r="J6100" t="s">
        <v>242</v>
      </c>
      <c r="K6100" t="s">
        <v>14</v>
      </c>
      <c r="L6100" t="s">
        <v>20</v>
      </c>
      <c r="M6100" t="s">
        <v>11852</v>
      </c>
      <c r="N6100" t="s">
        <v>14</v>
      </c>
    </row>
    <row r="6101" x14ac:dyDescent="0.25">
      <c r="A6101" t="n">
        <v>25</v>
      </c>
      <c r="B6101" t="s">
        <v>14</v>
      </c>
      <c r="C6101" t="s">
        <v>51</v>
      </c>
      <c r="D6101" s="2" t="s">
        <f>=HYPERLINK("https://main.knesset.gov.il/APPS/legislation/main/bills/2196058", "הצעת חוק שירות ביטחון (תיקון - ביטול גיוס חובה), התשפ""ג-2023")</f>
        <v>12131</v>
      </c>
      <c r="E6101" t="s">
        <v>12131</v>
      </c>
      <c r="F6101" t="s">
        <v>12132</v>
      </c>
      <c r="G6101" t="s">
        <v>14</v>
      </c>
      <c r="H6101">
             </c>
      <c r="I6101" t="s">
        <v>14</v>
      </c>
      <c r="J6101" t="s">
        <v>242</v>
      </c>
      <c r="K6101" t="s">
        <v>14</v>
      </c>
      <c r="L6101" t="s">
        <v>20</v>
      </c>
      <c r="M6101" t="s">
        <v>11852</v>
      </c>
      <c r="N6101" t="s">
        <v>14</v>
      </c>
    </row>
    <row r="6102" x14ac:dyDescent="0.25">
      <c r="A6102" t="n">
        <v>25</v>
      </c>
      <c r="B6102" t="s">
        <v>14</v>
      </c>
      <c r="C6102" t="s">
        <v>51</v>
      </c>
      <c r="D6102" s="2" t="s">
        <f>=HYPERLINK("https://main.knesset.gov.il/APPS/legislation/main/bills/2197789", "הצעת חוק לימוד חובה (תיקון - הבטחת פיקוח פרלמנטרי על תשלומי הורים), התשפ""ג-2023")</f>
        <v>12133</v>
      </c>
      <c r="E6102" t="s">
        <v>12133</v>
      </c>
      <c r="F6102" t="s">
        <v>12134</v>
      </c>
      <c r="G6102" t="s">
        <v>14</v>
      </c>
      <c r="H6102">
             </c>
      <c r="I6102" t="s">
        <v>14</v>
      </c>
      <c r="J6102" t="s">
        <v>242</v>
      </c>
      <c r="K6102" t="s">
        <v>14</v>
      </c>
      <c r="L6102" t="s">
        <v>20</v>
      </c>
      <c r="M6102" t="s">
        <v>11852</v>
      </c>
      <c r="N6102" t="s">
        <v>14</v>
      </c>
    </row>
    <row r="6103" x14ac:dyDescent="0.25">
      <c r="A6103" t="n">
        <v>25</v>
      </c>
      <c r="B6103" t="s">
        <v>14</v>
      </c>
      <c r="C6103" t="s">
        <v>51</v>
      </c>
      <c r="D6103" s="2" t="s">
        <f>=HYPERLINK("https://main.knesset.gov.il/APPS/legislation/main/bills/2196190", "הצעת חוק איסור לשון הרע (תיקון - השתייכות חברתית), התשפ""ג-2023")</f>
        <v>10994</v>
      </c>
      <c r="E6103" t="s">
        <v>10994</v>
      </c>
      <c r="F6103" t="s">
        <v>12135</v>
      </c>
      <c r="G6103" t="s">
        <v>14</v>
      </c>
      <c r="H6103">
             </c>
      <c r="I6103" t="s">
        <v>14</v>
      </c>
      <c r="J6103" t="s">
        <v>242</v>
      </c>
      <c r="K6103" t="s">
        <v>14</v>
      </c>
      <c r="L6103" t="s">
        <v>20</v>
      </c>
      <c r="M6103" t="s">
        <v>11852</v>
      </c>
      <c r="N6103" t="s">
        <v>14</v>
      </c>
    </row>
    <row r="6104" x14ac:dyDescent="0.25">
      <c r="A6104" t="n">
        <v>25</v>
      </c>
      <c r="B6104" t="s">
        <v>14</v>
      </c>
      <c r="C6104" t="s">
        <v>51</v>
      </c>
      <c r="D6104" s="2" t="s">
        <f>=HYPERLINK("https://main.knesset.gov.il/APPS/legislation/main/bills/2198901", "הצעת חוק הסדרת מקומות רחצה (תיקון - ייעוד זמנים לרחצה נפרדת באתרי טבע), התשפ""ג-2023")</f>
        <v>11334</v>
      </c>
      <c r="E6104" t="s">
        <v>11334</v>
      </c>
      <c r="F6104" t="s">
        <v>12136</v>
      </c>
      <c r="G6104" t="s">
        <v>14</v>
      </c>
      <c r="H6104">
             </c>
      <c r="I6104" t="s">
        <v>14</v>
      </c>
      <c r="J6104" t="s">
        <v>242</v>
      </c>
      <c r="K6104" t="s">
        <v>14</v>
      </c>
      <c r="L6104" t="s">
        <v>20</v>
      </c>
      <c r="M6104" t="s">
        <v>11852</v>
      </c>
      <c r="N6104" t="s">
        <v>14</v>
      </c>
    </row>
    <row r="6105" x14ac:dyDescent="0.25">
      <c r="A6105" t="n">
        <v>25</v>
      </c>
      <c r="B6105" t="s">
        <v>14</v>
      </c>
      <c r="C6105" t="s">
        <v>51</v>
      </c>
      <c r="D6105" s="2" t="s">
        <f>=HYPERLINK("https://main.knesset.gov.il/APPS/legislation/main/bills/2196167", "הצעת חוק הבחירות לכנסת (תיקון - אחוז החסימה), התשפ""ג-2023")</f>
        <v>12101</v>
      </c>
      <c r="E6105" t="s">
        <v>12101</v>
      </c>
      <c r="F6105" t="s">
        <v>12137</v>
      </c>
      <c r="G6105" t="s">
        <v>14</v>
      </c>
      <c r="H6105">
             </c>
      <c r="I6105" t="s">
        <v>14</v>
      </c>
      <c r="J6105" t="s">
        <v>242</v>
      </c>
      <c r="K6105" t="s">
        <v>14</v>
      </c>
      <c r="L6105" t="s">
        <v>20</v>
      </c>
      <c r="M6105" t="s">
        <v>11852</v>
      </c>
      <c r="N6105" t="s">
        <v>14</v>
      </c>
    </row>
    <row r="6106" x14ac:dyDescent="0.25">
      <c r="A6106" t="n">
        <v>25</v>
      </c>
      <c r="B6106" t="s">
        <v>14</v>
      </c>
      <c r="C6106" t="s">
        <v>51</v>
      </c>
      <c r="D6106" s="2" t="s">
        <f>=HYPERLINK("https://main.knesset.gov.il/APPS/legislation/main/bills/2198948", "הצעת חוק-יסוד: זכויות בהליך פלילי")</f>
        <v>2610</v>
      </c>
      <c r="E6106" t="s">
        <v>2610</v>
      </c>
      <c r="F6106" t="s">
        <v>12138</v>
      </c>
      <c r="G6106" t="s">
        <v>14</v>
      </c>
      <c r="H6106">
             </c>
      <c r="I6106" t="s">
        <v>14</v>
      </c>
      <c r="J6106" t="s">
        <v>242</v>
      </c>
      <c r="K6106" t="s">
        <v>14</v>
      </c>
      <c r="L6106" t="s">
        <v>20</v>
      </c>
      <c r="M6106" t="s">
        <v>11852</v>
      </c>
      <c r="N6106" t="s">
        <v>14</v>
      </c>
    </row>
    <row r="6107" x14ac:dyDescent="0.25">
      <c r="A6107" t="n">
        <v>25</v>
      </c>
      <c r="B6107" t="s">
        <v>14</v>
      </c>
      <c r="C6107" t="s">
        <v>51</v>
      </c>
      <c r="D6107" s="2" t="s">
        <f>=HYPERLINK("https://main.knesset.gov.il/APPS/legislation/main/bills/2198539", "הצעת חוק התחרות הכלכלית (תיקון - הכרזה על בעל מונופולין), התשפ""ג-2023")</f>
        <v>12139</v>
      </c>
      <c r="E6107" t="s">
        <v>12139</v>
      </c>
      <c r="F6107" t="s">
        <v>12140</v>
      </c>
      <c r="G6107" t="s">
        <v>14</v>
      </c>
      <c r="H6107">
             </c>
      <c r="I6107" t="s">
        <v>14</v>
      </c>
      <c r="J6107" t="s">
        <v>242</v>
      </c>
      <c r="K6107" t="s">
        <v>14</v>
      </c>
      <c r="L6107" t="s">
        <v>20</v>
      </c>
      <c r="M6107" t="s">
        <v>11852</v>
      </c>
      <c r="N6107" t="s">
        <v>14</v>
      </c>
    </row>
    <row r="6108" x14ac:dyDescent="0.25">
      <c r="A6108" t="n">
        <v>25</v>
      </c>
      <c r="B6108" t="s">
        <v>14</v>
      </c>
      <c r="C6108" t="s">
        <v>51</v>
      </c>
      <c r="D6108" s="2" t="s">
        <f>=HYPERLINK("https://main.knesset.gov.il/APPS/legislation/main/bills/2199112", "הצעת חוק תאגידי מים וביוב (תיקון - הקמת ועדת הנחות), התשפ""ג-2023")</f>
        <v>7414</v>
      </c>
      <c r="E6108" t="s">
        <v>7414</v>
      </c>
      <c r="F6108" t="s">
        <v>12141</v>
      </c>
      <c r="G6108" t="s">
        <v>14</v>
      </c>
      <c r="H6108">
             </c>
      <c r="I6108" t="s">
        <v>14</v>
      </c>
      <c r="J6108" t="s">
        <v>242</v>
      </c>
      <c r="K6108" t="s">
        <v>14</v>
      </c>
      <c r="L6108" t="s">
        <v>20</v>
      </c>
      <c r="M6108" t="s">
        <v>11852</v>
      </c>
      <c r="N6108" t="s">
        <v>14</v>
      </c>
    </row>
    <row r="6109" x14ac:dyDescent="0.25">
      <c r="A6109" t="n">
        <v>25</v>
      </c>
      <c r="B6109" t="s">
        <v>14</v>
      </c>
      <c r="C6109" t="s">
        <v>51</v>
      </c>
      <c r="D6109" s="2" t="s">
        <f>=HYPERLINK("https://main.knesset.gov.il/APPS/legislation/main/bills/2198953", "הצעת חוק-יסוד: הכנסת (תיקון - הצהרת אמונים)")</f>
        <v>12142</v>
      </c>
      <c r="E6109" t="s">
        <v>12142</v>
      </c>
      <c r="F6109" t="s">
        <v>12143</v>
      </c>
      <c r="G6109" t="s">
        <v>14</v>
      </c>
      <c r="H6109">
             </c>
      <c r="I6109" t="s">
        <v>14</v>
      </c>
      <c r="J6109" t="s">
        <v>242</v>
      </c>
      <c r="K6109" t="s">
        <v>14</v>
      </c>
      <c r="L6109" t="s">
        <v>20</v>
      </c>
      <c r="M6109" t="s">
        <v>11852</v>
      </c>
      <c r="N6109" t="s">
        <v>14</v>
      </c>
    </row>
    <row r="6110" x14ac:dyDescent="0.25">
      <c r="A6110" t="n">
        <v>25</v>
      </c>
      <c r="B6110" t="s">
        <v>14</v>
      </c>
      <c r="C6110" t="s">
        <v>51</v>
      </c>
      <c r="D6110" s="2" t="s">
        <f>=HYPERLINK("https://main.knesset.gov.il/APPS/legislation/main/bills/2199117", "הצעת חוק זכויות הדייר בדיור הציבורי (תיקון - זכאות לאימהות יחידניות המקבלות מזונות ילדים), התשפ""ג-2023")</f>
        <v>10837</v>
      </c>
      <c r="E6110" t="s">
        <v>10837</v>
      </c>
      <c r="F6110" t="s">
        <v>12144</v>
      </c>
      <c r="G6110" t="s">
        <v>14</v>
      </c>
      <c r="H6110">
             </c>
      <c r="I6110" t="s">
        <v>14</v>
      </c>
      <c r="J6110" t="s">
        <v>242</v>
      </c>
      <c r="K6110" t="s">
        <v>14</v>
      </c>
      <c r="L6110" t="s">
        <v>20</v>
      </c>
      <c r="M6110" t="s">
        <v>11852</v>
      </c>
      <c r="N6110" t="s">
        <v>14</v>
      </c>
    </row>
    <row r="6111" x14ac:dyDescent="0.25">
      <c r="A6111" t="n">
        <v>25</v>
      </c>
      <c r="B6111" t="s">
        <v>14</v>
      </c>
      <c r="C6111" t="s">
        <v>51</v>
      </c>
      <c r="D6111" s="2" t="s">
        <f>=HYPERLINK("https://main.knesset.gov.il/APPS/legislation/main/bills/2198895", "הצעת חוק שירות המדינה (מינויים) (תיקון - מינוי יועצים משפטיים של משרדים), התשפ""ג-2023")</f>
        <v>11231</v>
      </c>
      <c r="E6111" t="s">
        <v>11231</v>
      </c>
      <c r="F6111" t="s">
        <v>12145</v>
      </c>
      <c r="G6111" t="s">
        <v>14</v>
      </c>
      <c r="H6111">
             </c>
      <c r="I6111" t="s">
        <v>14</v>
      </c>
      <c r="J6111" t="s">
        <v>242</v>
      </c>
      <c r="K6111" t="s">
        <v>14</v>
      </c>
      <c r="L6111" t="s">
        <v>20</v>
      </c>
      <c r="M6111" t="s">
        <v>11852</v>
      </c>
      <c r="N6111" t="s">
        <v>14</v>
      </c>
    </row>
    <row r="6112" x14ac:dyDescent="0.25">
      <c r="A6112" t="n">
        <v>25</v>
      </c>
      <c r="B6112" t="s">
        <v>14</v>
      </c>
      <c r="C6112" t="s">
        <v>51</v>
      </c>
      <c r="D6112" s="2" t="s">
        <f>=HYPERLINK("https://main.knesset.gov.il/APPS/legislation/main/bills/2198918", "הצעת חוק לשיפור השירות במגזר הציבורי ולמניעת התעמרות של עובדי הציבור בתושבי המדינה ובמגזר העסקי, התשפ""ג-2023")</f>
        <v>12146</v>
      </c>
      <c r="E6112" t="s">
        <v>12146</v>
      </c>
      <c r="F6112" t="s">
        <v>12147</v>
      </c>
      <c r="G6112" t="s">
        <v>14</v>
      </c>
      <c r="H6112">
             </c>
      <c r="I6112" t="s">
        <v>14</v>
      </c>
      <c r="J6112" t="s">
        <v>242</v>
      </c>
      <c r="K6112" t="s">
        <v>14</v>
      </c>
      <c r="L6112" t="s">
        <v>20</v>
      </c>
      <c r="M6112" t="s">
        <v>11852</v>
      </c>
      <c r="N6112" t="s">
        <v>14</v>
      </c>
    </row>
    <row r="6113" x14ac:dyDescent="0.25">
      <c r="A6113" t="n">
        <v>25</v>
      </c>
      <c r="B6113" t="s">
        <v>14</v>
      </c>
      <c r="C6113" t="s">
        <v>51</v>
      </c>
      <c r="D6113" s="2" t="s">
        <f>=HYPERLINK("https://main.knesset.gov.il/APPS/legislation/main/bills/2197468", "הצעת חוק כבילת עצורים ואסירים שלא כדין - עוולה אזרחית (תיקוני חקיקה), התשפ""ג-2023")</f>
        <v>12148</v>
      </c>
      <c r="E6113" t="s">
        <v>12148</v>
      </c>
      <c r="F6113" t="s">
        <v>12149</v>
      </c>
      <c r="G6113" t="s">
        <v>14</v>
      </c>
      <c r="H6113">
             </c>
      <c r="I6113" t="s">
        <v>14</v>
      </c>
      <c r="J6113" t="s">
        <v>242</v>
      </c>
      <c r="K6113" t="s">
        <v>14</v>
      </c>
      <c r="L6113" t="s">
        <v>20</v>
      </c>
      <c r="M6113" t="s">
        <v>11852</v>
      </c>
      <c r="N6113" t="s">
        <v>14</v>
      </c>
    </row>
    <row r="6114" x14ac:dyDescent="0.25">
      <c r="A6114" t="n">
        <v>25</v>
      </c>
      <c r="B6114" t="s">
        <v>14</v>
      </c>
      <c r="C6114" t="s">
        <v>51</v>
      </c>
      <c r="D6114" s="2" t="s">
        <f>=HYPERLINK("https://main.knesset.gov.il/APPS/legislation/main/bills/2198899", "הצעת חוק איסור חקירה בדבר עברו המיני של נפגע עבירה (תיקוני חקיקה), התשפ""ג-2023")</f>
        <v>12150</v>
      </c>
      <c r="E6114" t="s">
        <v>12150</v>
      </c>
      <c r="F6114" t="s">
        <v>12151</v>
      </c>
      <c r="G6114" t="s">
        <v>14</v>
      </c>
      <c r="H6114">
             </c>
      <c r="I6114" t="s">
        <v>14</v>
      </c>
      <c r="J6114" t="s">
        <v>242</v>
      </c>
      <c r="K6114" t="s">
        <v>14</v>
      </c>
      <c r="L6114" t="s">
        <v>20</v>
      </c>
      <c r="M6114" t="s">
        <v>11852</v>
      </c>
      <c r="N6114" t="s">
        <v>14</v>
      </c>
    </row>
    <row r="6115" x14ac:dyDescent="0.25">
      <c r="A6115" t="n">
        <v>25</v>
      </c>
      <c r="B6115" t="s">
        <v>14</v>
      </c>
      <c r="C6115" t="s">
        <v>51</v>
      </c>
      <c r="D6115" s="2" t="s">
        <f>=HYPERLINK("https://main.knesset.gov.il/APPS/legislation/main/bills/2198892", "הצעת חוק-יסוד: כבוד האדם וחירותו (תיקון - תוקפו של חוק חורג)")</f>
        <v>12120</v>
      </c>
      <c r="E6115" t="s">
        <v>12120</v>
      </c>
      <c r="F6115" t="s">
        <v>12152</v>
      </c>
      <c r="G6115" t="s">
        <v>14</v>
      </c>
      <c r="H6115">
             </c>
      <c r="I6115" t="s">
        <v>14</v>
      </c>
      <c r="J6115" t="s">
        <v>242</v>
      </c>
      <c r="K6115" t="s">
        <v>14</v>
      </c>
      <c r="L6115" t="s">
        <v>20</v>
      </c>
      <c r="M6115" t="s">
        <v>11852</v>
      </c>
      <c r="N6115" t="s">
        <v>14</v>
      </c>
    </row>
    <row r="6116" x14ac:dyDescent="0.25">
      <c r="A6116" t="n">
        <v>25</v>
      </c>
      <c r="B6116" t="s">
        <v>14</v>
      </c>
      <c r="C6116" t="s">
        <v>51</v>
      </c>
      <c r="D6116" s="2" t="s">
        <f>=HYPERLINK("https://main.knesset.gov.il/APPS/legislation/main/bills/2198967", "הצעת חוק ההוצאה לפועל (תיקון - ביטול האפשרות לצוות על עיכוב יציאה מהארץ בגין חוב כספי נמוך), התשפ""ג-2023")</f>
        <v>10348</v>
      </c>
      <c r="E6116" t="s">
        <v>10348</v>
      </c>
      <c r="F6116" t="s">
        <v>12153</v>
      </c>
      <c r="G6116" t="s">
        <v>14</v>
      </c>
      <c r="H6116">
             </c>
      <c r="I6116" t="s">
        <v>14</v>
      </c>
      <c r="J6116" t="s">
        <v>202</v>
      </c>
      <c r="K6116" t="s">
        <v>14</v>
      </c>
      <c r="L6116" t="s">
        <v>20</v>
      </c>
      <c r="M6116" t="s">
        <v>11852</v>
      </c>
      <c r="N6116" t="s">
        <v>14</v>
      </c>
    </row>
    <row r="6117" x14ac:dyDescent="0.25">
      <c r="A6117" t="n">
        <v>25</v>
      </c>
      <c r="B6117" t="s">
        <v>14</v>
      </c>
      <c r="C6117" t="s">
        <v>51</v>
      </c>
      <c r="D6117" s="2" t="s">
        <f>=HYPERLINK("https://main.knesset.gov.il/APPS/legislation/main/bills/2199004", "הצעת חוק-יסוד: השפיטה (תיקון - מינוי שופטים לבית המשפט העליון וקציבת כהונתם)")</f>
        <v>11544</v>
      </c>
      <c r="E6117" t="s">
        <v>11544</v>
      </c>
      <c r="F6117" t="s">
        <v>12154</v>
      </c>
      <c r="G6117" t="s">
        <v>14</v>
      </c>
      <c r="H6117">
             </c>
      <c r="I6117" t="s">
        <v>14</v>
      </c>
      <c r="J6117" t="s">
        <v>242</v>
      </c>
      <c r="K6117" t="s">
        <v>14</v>
      </c>
      <c r="L6117" t="s">
        <v>20</v>
      </c>
      <c r="M6117" t="s">
        <v>12155</v>
      </c>
      <c r="N6117" t="s">
        <v>14</v>
      </c>
    </row>
    <row r="6118" x14ac:dyDescent="0.25">
      <c r="A6118" t="n">
        <v>25</v>
      </c>
      <c r="B6118" t="s">
        <v>14</v>
      </c>
      <c r="C6118" t="s">
        <v>51</v>
      </c>
      <c r="D6118" s="2" t="s">
        <f>=HYPERLINK("https://main.knesset.gov.il/APPS/legislation/main/bills/2198998", "הצעת חוק זכויות נפגעי עבירה (תיקון - הרחבת זכות העמידה לנפגעי ונפגעות עבירה), התשפ""ג-2023")</f>
        <v>12156</v>
      </c>
      <c r="E6118" t="s">
        <v>12156</v>
      </c>
      <c r="F6118" t="s">
        <v>12157</v>
      </c>
      <c r="G6118" t="s">
        <v>14</v>
      </c>
      <c r="H6118">
             </c>
      <c r="I6118" t="s">
        <v>14</v>
      </c>
      <c r="J6118" t="s">
        <v>242</v>
      </c>
      <c r="K6118" t="s">
        <v>14</v>
      </c>
      <c r="L6118" t="s">
        <v>20</v>
      </c>
      <c r="M6118" t="s">
        <v>12155</v>
      </c>
      <c r="N6118" t="s">
        <v>14</v>
      </c>
    </row>
    <row r="6119" x14ac:dyDescent="0.25">
      <c r="A6119" t="n">
        <v>25</v>
      </c>
      <c r="B6119" t="s">
        <v>14</v>
      </c>
      <c r="C6119" t="s">
        <v>51</v>
      </c>
      <c r="D6119" s="2" t="s">
        <f>=HYPERLINK("https://main.knesset.gov.il/APPS/legislation/main/bills/2198924", "הצעת חוק הרחבת לימודי הבסיס בחינוך שאינו ממלכתי (הוראת שעה), התשפ""ג-2023")</f>
        <v>4514</v>
      </c>
      <c r="E6119" t="s">
        <v>4514</v>
      </c>
      <c r="F6119" t="s">
        <v>12158</v>
      </c>
      <c r="G6119" t="s">
        <v>14</v>
      </c>
      <c r="H6119">
             </c>
      <c r="I6119" t="s">
        <v>14</v>
      </c>
      <c r="J6119" t="s">
        <v>242</v>
      </c>
      <c r="K6119" t="s">
        <v>14</v>
      </c>
      <c r="L6119" t="s">
        <v>20</v>
      </c>
      <c r="M6119" t="s">
        <v>12155</v>
      </c>
      <c r="N6119" t="s">
        <v>14</v>
      </c>
    </row>
    <row r="6120" x14ac:dyDescent="0.25">
      <c r="A6120" t="n">
        <v>25</v>
      </c>
      <c r="B6120" t="s">
        <v>14</v>
      </c>
      <c r="C6120" t="s">
        <v>51</v>
      </c>
      <c r="D6120" s="2" t="s">
        <f>=HYPERLINK("https://main.knesset.gov.il/APPS/legislation/main/bills/2198939", "הצעת חוק העונשין (תיקון - החמרת ענישה בפשיעה חקלאית) (הוראת שעה), התשפ""ג-2023")</f>
        <v>10602</v>
      </c>
      <c r="E6120" t="s">
        <v>10602</v>
      </c>
      <c r="F6120" t="s">
        <v>12159</v>
      </c>
      <c r="G6120" t="s">
        <v>14</v>
      </c>
      <c r="H6120">
             </c>
      <c r="I6120" t="s">
        <v>14</v>
      </c>
      <c r="J6120" t="s">
        <v>242</v>
      </c>
      <c r="K6120" t="s">
        <v>14</v>
      </c>
      <c r="L6120" t="s">
        <v>20</v>
      </c>
      <c r="M6120" t="s">
        <v>12155</v>
      </c>
      <c r="N6120" t="s">
        <v>14</v>
      </c>
    </row>
    <row r="6121" x14ac:dyDescent="0.25">
      <c r="A6121" t="n">
        <v>25</v>
      </c>
      <c r="B6121" t="s">
        <v>14</v>
      </c>
      <c r="C6121" t="s">
        <v>51</v>
      </c>
      <c r="D6121" s="2" t="s">
        <f>=HYPERLINK("https://main.knesset.gov.il/APPS/legislation/main/bills/2198904", "הצעת חוק העונשין (תיקון - איסור שידול להמרת דת), התשפ""ג-2023")</f>
        <v>12160</v>
      </c>
      <c r="E6121" t="s">
        <v>12160</v>
      </c>
      <c r="F6121" t="s">
        <v>12161</v>
      </c>
      <c r="G6121" t="s">
        <v>14</v>
      </c>
      <c r="H6121">
             </c>
      <c r="I6121" t="s">
        <v>14</v>
      </c>
      <c r="J6121" t="s">
        <v>242</v>
      </c>
      <c r="K6121" t="s">
        <v>14</v>
      </c>
      <c r="L6121" t="s">
        <v>20</v>
      </c>
      <c r="M6121" t="s">
        <v>12155</v>
      </c>
      <c r="N6121" t="s">
        <v>14</v>
      </c>
    </row>
    <row r="6122" x14ac:dyDescent="0.25">
      <c r="A6122" t="n">
        <v>25</v>
      </c>
      <c r="B6122" t="s">
        <v>14</v>
      </c>
      <c r="C6122" t="s">
        <v>51</v>
      </c>
      <c r="D6122" s="2" t="s">
        <f>=HYPERLINK("https://main.knesset.gov.il/APPS/legislation/main/bills/2198896", "הצעת חוק פריסת תשלום חוב ללא תוספת ריבית או אגרה, התשפ""ג-2023")</f>
        <v>9751</v>
      </c>
      <c r="E6122" t="s">
        <v>9751</v>
      </c>
      <c r="F6122" t="s">
        <v>12162</v>
      </c>
      <c r="G6122" t="s">
        <v>14</v>
      </c>
      <c r="H6122">
             </c>
      <c r="I6122" t="s">
        <v>14</v>
      </c>
      <c r="J6122" t="s">
        <v>242</v>
      </c>
      <c r="K6122" t="s">
        <v>14</v>
      </c>
      <c r="L6122" t="s">
        <v>20</v>
      </c>
      <c r="M6122" t="s">
        <v>12155</v>
      </c>
      <c r="N6122" t="s">
        <v>14</v>
      </c>
    </row>
    <row r="6123" x14ac:dyDescent="0.25">
      <c r="A6123" t="n">
        <v>25</v>
      </c>
      <c r="B6123" t="s">
        <v>14</v>
      </c>
      <c r="C6123" t="s">
        <v>51</v>
      </c>
      <c r="D6123" s="2" t="s">
        <f>=HYPERLINK("https://main.knesset.gov.il/APPS/legislation/main/bills/2198894", "הצעת חוק לשכת עורכי הדין (תיקון - הגבלת שכר טרחה על מכתבי התראה לפני גביית חוב), התשפ""ג-2023")</f>
        <v>12163</v>
      </c>
      <c r="E6123" t="s">
        <v>12163</v>
      </c>
      <c r="F6123" t="s">
        <v>12164</v>
      </c>
      <c r="G6123" t="s">
        <v>14</v>
      </c>
      <c r="H6123">
             </c>
      <c r="I6123" t="s">
        <v>14</v>
      </c>
      <c r="J6123" t="s">
        <v>242</v>
      </c>
      <c r="K6123" t="s">
        <v>14</v>
      </c>
      <c r="L6123" t="s">
        <v>20</v>
      </c>
      <c r="M6123" t="s">
        <v>12155</v>
      </c>
      <c r="N6123" t="s">
        <v>14</v>
      </c>
    </row>
    <row r="6124" x14ac:dyDescent="0.25">
      <c r="A6124" t="n">
        <v>25</v>
      </c>
      <c r="B6124" t="s">
        <v>14</v>
      </c>
      <c r="C6124" t="s">
        <v>51</v>
      </c>
      <c r="D6124" s="2" t="s">
        <f>=HYPERLINK("https://main.knesset.gov.il/APPS/legislation/main/bills/2198796", "הצעת חוק-יסוד: השפיטה (תיקון - הגבלת ערעורים של המדינה על פסקי דין פליליים)")</f>
        <v>5643</v>
      </c>
      <c r="E6124" t="s">
        <v>5643</v>
      </c>
      <c r="F6124" t="s">
        <v>12165</v>
      </c>
      <c r="G6124" t="s">
        <v>14</v>
      </c>
      <c r="H6124">
             </c>
      <c r="I6124" t="s">
        <v>14</v>
      </c>
      <c r="J6124" t="s">
        <v>242</v>
      </c>
      <c r="K6124" t="s">
        <v>14</v>
      </c>
      <c r="L6124" t="s">
        <v>20</v>
      </c>
      <c r="M6124" t="s">
        <v>12155</v>
      </c>
      <c r="N6124" t="s">
        <v>14</v>
      </c>
    </row>
    <row r="6125" x14ac:dyDescent="0.25">
      <c r="A6125" t="n">
        <v>25</v>
      </c>
      <c r="B6125" t="s">
        <v>14</v>
      </c>
      <c r="C6125" t="s">
        <v>51</v>
      </c>
      <c r="D6125" s="2" t="s">
        <f>=HYPERLINK("https://main.knesset.gov.il/APPS/legislation/main/bills/2198793", "הצעת חוק-יסוד: השפיטה (תיקון - זכות עמידה בבית המשפט הגבוה לצדק)")</f>
        <v>5602</v>
      </c>
      <c r="E6125" t="s">
        <v>5602</v>
      </c>
      <c r="F6125" t="s">
        <v>12166</v>
      </c>
      <c r="G6125" t="s">
        <v>14</v>
      </c>
      <c r="H6125">
             </c>
      <c r="I6125" t="s">
        <v>14</v>
      </c>
      <c r="J6125" t="s">
        <v>242</v>
      </c>
      <c r="K6125" t="s">
        <v>14</v>
      </c>
      <c r="L6125" t="s">
        <v>20</v>
      </c>
      <c r="M6125" t="s">
        <v>12155</v>
      </c>
      <c r="N6125" t="s">
        <v>14</v>
      </c>
    </row>
    <row r="6126" x14ac:dyDescent="0.25">
      <c r="A6126" t="n">
        <v>25</v>
      </c>
      <c r="B6126" t="s">
        <v>14</v>
      </c>
      <c r="C6126" t="s">
        <v>51</v>
      </c>
      <c r="D6126" s="2" t="s">
        <f>=HYPERLINK("https://main.knesset.gov.il/APPS/legislation/main/bills/2198740", "הצעת חוק חכירה הוגנת, התשפ""ג-2023")</f>
        <v>12167</v>
      </c>
      <c r="E6126" t="s">
        <v>12167</v>
      </c>
      <c r="F6126" t="s">
        <v>12168</v>
      </c>
      <c r="G6126" t="s">
        <v>14</v>
      </c>
      <c r="H6126">
             </c>
      <c r="I6126" t="s">
        <v>14</v>
      </c>
      <c r="J6126" t="s">
        <v>242</v>
      </c>
      <c r="K6126" t="s">
        <v>14</v>
      </c>
      <c r="L6126" t="s">
        <v>20</v>
      </c>
      <c r="M6126" t="s">
        <v>12155</v>
      </c>
      <c r="N6126" t="s">
        <v>14</v>
      </c>
    </row>
    <row r="6127" x14ac:dyDescent="0.25">
      <c r="A6127" t="n">
        <v>25</v>
      </c>
      <c r="B6127" t="s">
        <v>14</v>
      </c>
      <c r="C6127" t="s">
        <v>51</v>
      </c>
      <c r="D6127" s="2" t="s">
        <f>=HYPERLINK("https://main.knesset.gov.il/APPS/legislation/main/bills/2198776", "הצעת חוק מתן סיוע ריאלי בשכר דירה לזכאים, התשפ""ג-2023")</f>
        <v>12169</v>
      </c>
      <c r="E6127" t="s">
        <v>12169</v>
      </c>
      <c r="F6127" t="s">
        <v>12170</v>
      </c>
      <c r="G6127" t="s">
        <v>14</v>
      </c>
      <c r="H6127">
             </c>
      <c r="I6127" t="s">
        <v>14</v>
      </c>
      <c r="J6127" t="s">
        <v>242</v>
      </c>
      <c r="K6127" t="s">
        <v>14</v>
      </c>
      <c r="L6127" t="s">
        <v>20</v>
      </c>
      <c r="M6127" t="s">
        <v>12155</v>
      </c>
      <c r="N6127" t="s">
        <v>14</v>
      </c>
    </row>
    <row r="6128" x14ac:dyDescent="0.25">
      <c r="A6128" t="n">
        <v>25</v>
      </c>
      <c r="B6128" t="s">
        <v>14</v>
      </c>
      <c r="C6128" t="s">
        <v>51</v>
      </c>
      <c r="D6128" s="2" t="s">
        <f>=HYPERLINK("https://main.knesset.gov.il/APPS/legislation/main/bills/2197380", "הצעת חוק הביטוח הלאומי (תיקון - השוואת קצבת נכות לשכר המינימום), התשפ""ג-2023")</f>
        <v>10764</v>
      </c>
      <c r="E6128" t="s">
        <v>10764</v>
      </c>
      <c r="F6128" t="s">
        <v>12171</v>
      </c>
      <c r="G6128" t="s">
        <v>14</v>
      </c>
      <c r="H6128">
             </c>
      <c r="I6128" t="s">
        <v>14</v>
      </c>
      <c r="J6128" t="s">
        <v>242</v>
      </c>
      <c r="K6128" t="s">
        <v>14</v>
      </c>
      <c r="L6128" t="s">
        <v>20</v>
      </c>
      <c r="M6128" t="s">
        <v>12155</v>
      </c>
      <c r="N6128" t="s">
        <v>14</v>
      </c>
    </row>
    <row r="6129" x14ac:dyDescent="0.25">
      <c r="A6129" t="n">
        <v>25</v>
      </c>
      <c r="B6129" t="s">
        <v>14</v>
      </c>
      <c r="C6129" t="s">
        <v>51</v>
      </c>
      <c r="D6129" s="2" t="s">
        <f>=HYPERLINK("https://main.knesset.gov.il/APPS/legislation/main/bills/2196824", "הצעת חוק ליישוב תחת איום מיידי (הוראת שעה), התשפ""ג-2023")</f>
        <v>10314</v>
      </c>
      <c r="E6129" t="s">
        <v>10314</v>
      </c>
      <c r="F6129" t="s">
        <v>12172</v>
      </c>
      <c r="G6129" t="s">
        <v>14</v>
      </c>
      <c r="H6129">
             </c>
      <c r="I6129" t="s">
        <v>14</v>
      </c>
      <c r="J6129" t="s">
        <v>242</v>
      </c>
      <c r="K6129" t="s">
        <v>14</v>
      </c>
      <c r="L6129" t="s">
        <v>20</v>
      </c>
      <c r="M6129" t="s">
        <v>12155</v>
      </c>
      <c r="N6129" t="s">
        <v>14</v>
      </c>
    </row>
    <row r="6130" x14ac:dyDescent="0.25">
      <c r="A6130" t="n">
        <v>25</v>
      </c>
      <c r="B6130" t="s">
        <v>14</v>
      </c>
      <c r="C6130" t="s">
        <v>51</v>
      </c>
      <c r="D6130" s="2" t="s">
        <f>=HYPERLINK("https://main.knesset.gov.il/APPS/legislation/main/bills/2198757", "הצעת חוק להגברת השקיפות בפעילותם של גופים פיננסיים (תיקוני חקיקה), התשפ""ג-2023")</f>
        <v>12173</v>
      </c>
      <c r="E6130" t="s">
        <v>12173</v>
      </c>
      <c r="F6130" t="s">
        <v>12174</v>
      </c>
      <c r="G6130" t="s">
        <v>14</v>
      </c>
      <c r="H6130">
             </c>
      <c r="I6130" t="s">
        <v>14</v>
      </c>
      <c r="J6130" t="s">
        <v>242</v>
      </c>
      <c r="K6130" t="s">
        <v>14</v>
      </c>
      <c r="L6130" t="s">
        <v>20</v>
      </c>
      <c r="M6130" t="s">
        <v>12155</v>
      </c>
      <c r="N6130" t="s">
        <v>14</v>
      </c>
    </row>
    <row r="6131" x14ac:dyDescent="0.25">
      <c r="A6131" t="n">
        <v>25</v>
      </c>
      <c r="B6131" t="s">
        <v>14</v>
      </c>
      <c r="C6131" t="s">
        <v>51</v>
      </c>
      <c r="D6131" s="2" t="s">
        <f>=HYPERLINK("https://main.knesset.gov.il/APPS/legislation/main/bills/2196888", "הצעת חוק להגברת השקיפות בפעילותם של גופים פיננסיים (תיקוני חקיקה), התשפ""ג-2023")</f>
        <v>12173</v>
      </c>
      <c r="E6131" t="s">
        <v>12173</v>
      </c>
      <c r="F6131" t="s">
        <v>12175</v>
      </c>
      <c r="G6131" t="s">
        <v>14</v>
      </c>
      <c r="H6131">
             </c>
      <c r="I6131" t="s">
        <v>14</v>
      </c>
      <c r="J6131" t="s">
        <v>242</v>
      </c>
      <c r="K6131" t="s">
        <v>14</v>
      </c>
      <c r="L6131" t="s">
        <v>20</v>
      </c>
      <c r="M6131" t="s">
        <v>12155</v>
      </c>
      <c r="N6131" t="s">
        <v>14</v>
      </c>
    </row>
    <row r="6132" x14ac:dyDescent="0.25">
      <c r="A6132" t="n">
        <v>25</v>
      </c>
      <c r="B6132" t="s">
        <v>14</v>
      </c>
      <c r="C6132" t="s">
        <v>51</v>
      </c>
      <c r="D6132" s="2" t="s">
        <f>=HYPERLINK("https://main.knesset.gov.il/APPS/legislation/main/bills/2198609", "הצעת חוק העונשין (תיקון - תקיפת נהגי אוטובוס בקווי תחבורה ציבורית), התשפ""ג-2023")</f>
        <v>9653</v>
      </c>
      <c r="E6132" t="s">
        <v>9653</v>
      </c>
      <c r="F6132" t="s">
        <v>12176</v>
      </c>
      <c r="G6132" t="s">
        <v>14</v>
      </c>
      <c r="H6132">
             </c>
      <c r="I6132" t="s">
        <v>14</v>
      </c>
      <c r="J6132" t="s">
        <v>242</v>
      </c>
      <c r="K6132" t="s">
        <v>14</v>
      </c>
      <c r="L6132" t="s">
        <v>20</v>
      </c>
      <c r="M6132" t="s">
        <v>12155</v>
      </c>
      <c r="N6132" t="s">
        <v>14</v>
      </c>
    </row>
    <row r="6133" x14ac:dyDescent="0.25">
      <c r="A6133" t="n">
        <v>25</v>
      </c>
      <c r="B6133" t="s">
        <v>14</v>
      </c>
      <c r="C6133" t="s">
        <v>51</v>
      </c>
      <c r="D6133" s="2" t="s">
        <f>=HYPERLINK("https://main.knesset.gov.il/APPS/legislation/main/bills/2198588", "הצעת חוק המפלגות (תיקון - העלאת תנאי הסף להקמת מפלגה ומניעת חברות כפולה בעת רישום מפלגה), התשפ''ג-2023")</f>
        <v>12177</v>
      </c>
      <c r="E6133" t="s">
        <v>12177</v>
      </c>
      <c r="F6133" t="s">
        <v>12178</v>
      </c>
      <c r="G6133" t="s">
        <v>14</v>
      </c>
      <c r="H6133">
             </c>
      <c r="I6133" t="s">
        <v>14</v>
      </c>
      <c r="J6133" t="s">
        <v>242</v>
      </c>
      <c r="K6133" t="s">
        <v>14</v>
      </c>
      <c r="L6133" t="s">
        <v>20</v>
      </c>
      <c r="M6133" t="s">
        <v>12155</v>
      </c>
      <c r="N6133" t="s">
        <v>14</v>
      </c>
    </row>
    <row r="6134" x14ac:dyDescent="0.25">
      <c r="A6134" t="n">
        <v>25</v>
      </c>
      <c r="B6134" t="s">
        <v>14</v>
      </c>
      <c r="C6134" t="s">
        <v>51</v>
      </c>
      <c r="D6134" s="2" t="s">
        <f>=HYPERLINK("https://main.knesset.gov.il/APPS/legislation/main/bills/2198348", "הצעת חוק התרבות והאמנות (תיקון - הקצאה שוויונית בתקציב), התשפ""ג-2023")</f>
        <v>12179</v>
      </c>
      <c r="E6134" t="s">
        <v>12179</v>
      </c>
      <c r="F6134" t="s">
        <v>12180</v>
      </c>
      <c r="G6134" t="s">
        <v>14</v>
      </c>
      <c r="H6134">
             </c>
      <c r="I6134" t="s">
        <v>14</v>
      </c>
      <c r="J6134" t="s">
        <v>242</v>
      </c>
      <c r="K6134" t="s">
        <v>14</v>
      </c>
      <c r="L6134" t="s">
        <v>20</v>
      </c>
      <c r="M6134" t="s">
        <v>12155</v>
      </c>
      <c r="N6134" t="s">
        <v>14</v>
      </c>
    </row>
    <row r="6135" x14ac:dyDescent="0.25">
      <c r="A6135" t="n">
        <v>25</v>
      </c>
      <c r="B6135" t="s">
        <v>14</v>
      </c>
      <c r="C6135" t="s">
        <v>51</v>
      </c>
      <c r="D6135" s="2" t="s">
        <f>=HYPERLINK("https://main.knesset.gov.il/APPS/legislation/main/bills/2198362", "הצעת חוק חינוך ממלכתי (תיקון - חובת הטמעת ערכי הסובלנות ומיגור האלימות), התשפ""ג-2023")</f>
        <v>12181</v>
      </c>
      <c r="E6135" t="s">
        <v>12181</v>
      </c>
      <c r="F6135" t="s">
        <v>12182</v>
      </c>
      <c r="G6135" t="s">
        <v>14</v>
      </c>
      <c r="H6135">
             </c>
      <c r="I6135" t="s">
        <v>14</v>
      </c>
      <c r="J6135" t="s">
        <v>242</v>
      </c>
      <c r="K6135" t="s">
        <v>14</v>
      </c>
      <c r="L6135" t="s">
        <v>20</v>
      </c>
      <c r="M6135" t="s">
        <v>12155</v>
      </c>
      <c r="N6135" t="s">
        <v>14</v>
      </c>
    </row>
    <row r="6136" x14ac:dyDescent="0.25">
      <c r="A6136" t="n">
        <v>25</v>
      </c>
      <c r="B6136" t="s">
        <v>14</v>
      </c>
      <c r="C6136" t="s">
        <v>51</v>
      </c>
      <c r="D6136" s="2" t="s">
        <f>=HYPERLINK("https://main.knesset.gov.il/APPS/legislation/main/bills/2198847", "הצעת חוק התכנון והבנייה (תיקון - מכירה ישירה של תוצרת חקלאית), התשפ""ג-2023")</f>
        <v>8947</v>
      </c>
      <c r="E6136" t="s">
        <v>8947</v>
      </c>
      <c r="F6136" t="s">
        <v>12183</v>
      </c>
      <c r="G6136" t="s">
        <v>14</v>
      </c>
      <c r="H6136">
             </c>
      <c r="I6136" t="s">
        <v>14</v>
      </c>
      <c r="J6136" t="s">
        <v>242</v>
      </c>
      <c r="K6136" t="s">
        <v>14</v>
      </c>
      <c r="L6136" t="s">
        <v>20</v>
      </c>
      <c r="M6136" t="s">
        <v>12155</v>
      </c>
      <c r="N6136" t="s">
        <v>14</v>
      </c>
    </row>
    <row r="6137" x14ac:dyDescent="0.25">
      <c r="A6137" t="n">
        <v>25</v>
      </c>
      <c r="B6137" t="s">
        <v>14</v>
      </c>
      <c r="C6137" t="s">
        <v>51</v>
      </c>
      <c r="D6137" s="2" t="s">
        <f>=HYPERLINK("https://main.knesset.gov.il/APPS/legislation/main/bills/2198469", "הצעת חוק הביטוח הלאומי (תיקון - הגדלת קצבת אזרח ותיק והצמדתה לשכר הממוצע), התשפ""ג-2023")</f>
        <v>12184</v>
      </c>
      <c r="E6137" t="s">
        <v>12184</v>
      </c>
      <c r="F6137" t="s">
        <v>12185</v>
      </c>
      <c r="G6137" t="s">
        <v>14</v>
      </c>
      <c r="H6137">
             </c>
      <c r="I6137" t="s">
        <v>14</v>
      </c>
      <c r="J6137" t="s">
        <v>242</v>
      </c>
      <c r="K6137" t="s">
        <v>14</v>
      </c>
      <c r="L6137" t="s">
        <v>20</v>
      </c>
      <c r="M6137" t="s">
        <v>12155</v>
      </c>
      <c r="N6137" t="s">
        <v>14</v>
      </c>
    </row>
    <row r="6138" x14ac:dyDescent="0.25">
      <c r="A6138" t="n">
        <v>25</v>
      </c>
      <c r="B6138" t="s">
        <v>14</v>
      </c>
      <c r="C6138" t="s">
        <v>51</v>
      </c>
      <c r="D6138" s="2" t="s">
        <f>=HYPERLINK("https://main.knesset.gov.il/APPS/legislation/main/bills/2199018", "הצעת חוק הקצאת דירות לדיור בר השגה ולדיור ציבורי, התשפ""ג-2023")</f>
        <v>12186</v>
      </c>
      <c r="E6138" t="s">
        <v>12186</v>
      </c>
      <c r="F6138" t="s">
        <v>12187</v>
      </c>
      <c r="G6138" t="s">
        <v>14</v>
      </c>
      <c r="H6138">
             </c>
      <c r="I6138" t="s">
        <v>14</v>
      </c>
      <c r="J6138" t="s">
        <v>242</v>
      </c>
      <c r="K6138" t="s">
        <v>14</v>
      </c>
      <c r="L6138" t="s">
        <v>20</v>
      </c>
      <c r="M6138" t="s">
        <v>12155</v>
      </c>
      <c r="N6138" t="s">
        <v>14</v>
      </c>
    </row>
    <row r="6139" x14ac:dyDescent="0.25">
      <c r="A6139" t="n">
        <v>25</v>
      </c>
      <c r="B6139" t="s">
        <v>14</v>
      </c>
      <c r="C6139" t="s">
        <v>51</v>
      </c>
      <c r="D6139" s="2" t="s">
        <f>=HYPERLINK("https://main.knesset.gov.il/APPS/legislation/main/bills/2197916", "הצעת חוק הבנקאות (שירות ללקוח) (תיקון - מסירת מידע על עמלות וריביות), התשפ""ג-2023")</f>
        <v>9740</v>
      </c>
      <c r="E6139" t="s">
        <v>9740</v>
      </c>
      <c r="F6139" t="s">
        <v>12188</v>
      </c>
      <c r="G6139" t="s">
        <v>14</v>
      </c>
      <c r="H6139">
             </c>
      <c r="I6139" t="s">
        <v>14</v>
      </c>
      <c r="J6139" t="s">
        <v>242</v>
      </c>
      <c r="K6139" t="s">
        <v>14</v>
      </c>
      <c r="L6139" t="s">
        <v>20</v>
      </c>
      <c r="M6139" t="s">
        <v>12155</v>
      </c>
      <c r="N6139" t="s">
        <v>14</v>
      </c>
    </row>
    <row r="6140" x14ac:dyDescent="0.25">
      <c r="A6140" t="n">
        <v>25</v>
      </c>
      <c r="B6140" t="s">
        <v>14</v>
      </c>
      <c r="C6140" t="s">
        <v>51</v>
      </c>
      <c r="D6140" s="2" t="s">
        <f>=HYPERLINK("https://main.knesset.gov.il/APPS/legislation/main/bills/2198994", "הצעת חוק העבירות המינהליות (תיקון - ביטול קנסות תכנון ובנייה), התשפ""ג-2023")</f>
        <v>12189</v>
      </c>
      <c r="E6140" t="s">
        <v>12189</v>
      </c>
      <c r="F6140" t="s">
        <v>12190</v>
      </c>
      <c r="G6140" t="s">
        <v>14</v>
      </c>
      <c r="H6140">
             </c>
      <c r="I6140" t="s">
        <v>14</v>
      </c>
      <c r="J6140" t="s">
        <v>242</v>
      </c>
      <c r="K6140" t="s">
        <v>14</v>
      </c>
      <c r="L6140" t="s">
        <v>20</v>
      </c>
      <c r="M6140" t="s">
        <v>12155</v>
      </c>
      <c r="N6140" t="s">
        <v>14</v>
      </c>
    </row>
    <row r="6141" x14ac:dyDescent="0.25">
      <c r="A6141" t="n">
        <v>25</v>
      </c>
      <c r="B6141" t="s">
        <v>14</v>
      </c>
      <c r="C6141" t="s">
        <v>51</v>
      </c>
      <c r="D6141" s="2" t="s">
        <f>=HYPERLINK("https://main.knesset.gov.il/APPS/legislation/main/bills/2198914", "הצעת חוק הסדרת מקומות רחצה (תיקון - קביעת מקומות לרחצה נפרדת), התשפ""ג-2023 ")</f>
        <v>12191</v>
      </c>
      <c r="E6141" t="s">
        <v>12191</v>
      </c>
      <c r="F6141" t="s">
        <v>12192</v>
      </c>
      <c r="G6141" t="s">
        <v>14</v>
      </c>
      <c r="H6141">
             </c>
      <c r="I6141" t="s">
        <v>14</v>
      </c>
      <c r="J6141" t="s">
        <v>242</v>
      </c>
      <c r="K6141" t="s">
        <v>14</v>
      </c>
      <c r="L6141" t="s">
        <v>20</v>
      </c>
      <c r="M6141" t="s">
        <v>12155</v>
      </c>
      <c r="N6141" t="s">
        <v>14</v>
      </c>
    </row>
    <row r="6142" x14ac:dyDescent="0.25">
      <c r="A6142" t="n">
        <v>25</v>
      </c>
      <c r="B6142" t="s">
        <v>14</v>
      </c>
      <c r="C6142" t="s">
        <v>51</v>
      </c>
      <c r="D6142" s="2" t="s">
        <f>=HYPERLINK("https://main.knesset.gov.il/APPS/legislation/main/bills/2197371", "הצעת חוק פיקוח על מחירי מצרכים ושירותים (תיקון - קביעת ההפרש בין מחיר מצרך לצרכן ומחיר מצרך לקמעונאי כרווח מרבי), התשפ""ג-2023")</f>
        <v>11724</v>
      </c>
      <c r="E6142" t="s">
        <v>11724</v>
      </c>
      <c r="F6142" t="s">
        <v>12193</v>
      </c>
      <c r="G6142" t="s">
        <v>14</v>
      </c>
      <c r="H6142">
             </c>
      <c r="I6142" t="s">
        <v>14</v>
      </c>
      <c r="J6142" t="s">
        <v>242</v>
      </c>
      <c r="K6142" t="s">
        <v>14</v>
      </c>
      <c r="L6142" t="s">
        <v>20</v>
      </c>
      <c r="M6142" t="s">
        <v>12155</v>
      </c>
      <c r="N6142" t="s">
        <v>14</v>
      </c>
    </row>
    <row r="6143" x14ac:dyDescent="0.25">
      <c r="A6143" t="n">
        <v>25</v>
      </c>
      <c r="B6143" t="s">
        <v>14</v>
      </c>
      <c r="C6143" t="s">
        <v>51</v>
      </c>
      <c r="D6143" s="2" t="s">
        <f>=HYPERLINK("https://main.knesset.gov.il/APPS/legislation/main/bills/2197370", "הצעת חוק עבודת נשים (תיקון - זכאות להשתתפות בעלות מעון יום בתקופת הלידה וההורות), התשפ""ג-2023")</f>
        <v>11340</v>
      </c>
      <c r="E6143" t="s">
        <v>11340</v>
      </c>
      <c r="F6143" t="s">
        <v>12194</v>
      </c>
      <c r="G6143" t="s">
        <v>14</v>
      </c>
      <c r="H6143">
             </c>
      <c r="I6143" t="s">
        <v>14</v>
      </c>
      <c r="J6143" t="s">
        <v>242</v>
      </c>
      <c r="K6143" t="s">
        <v>14</v>
      </c>
      <c r="L6143" t="s">
        <v>20</v>
      </c>
      <c r="M6143" t="s">
        <v>12155</v>
      </c>
      <c r="N6143" t="s">
        <v>14</v>
      </c>
    </row>
    <row r="6144" x14ac:dyDescent="0.25">
      <c r="A6144" t="n">
        <v>25</v>
      </c>
      <c r="B6144" t="s">
        <v>14</v>
      </c>
      <c r="C6144" t="s">
        <v>51</v>
      </c>
      <c r="D6144" s="2" t="s">
        <f>=HYPERLINK("https://main.knesset.gov.il/APPS/legislation/main/bills/2197353", "הצעת חוק המכר (דירות) (תיקון - חובת מסירת תוכניות הדירה לקונה), התשפ""ג-2023")</f>
        <v>9251</v>
      </c>
      <c r="E6144" t="s">
        <v>9251</v>
      </c>
      <c r="F6144" t="s">
        <v>12195</v>
      </c>
      <c r="G6144" t="s">
        <v>14</v>
      </c>
      <c r="H6144">
             </c>
      <c r="I6144" t="s">
        <v>14</v>
      </c>
      <c r="J6144" t="s">
        <v>242</v>
      </c>
      <c r="K6144" t="s">
        <v>14</v>
      </c>
      <c r="L6144" t="s">
        <v>20</v>
      </c>
      <c r="M6144" t="s">
        <v>12155</v>
      </c>
      <c r="N6144" t="s">
        <v>14</v>
      </c>
    </row>
    <row r="6145" x14ac:dyDescent="0.25">
      <c r="A6145" t="n">
        <v>25</v>
      </c>
      <c r="B6145" t="s">
        <v>14</v>
      </c>
      <c r="C6145" t="s">
        <v>51</v>
      </c>
      <c r="D6145" s="2" t="s">
        <f>=HYPERLINK("https://main.knesset.gov.il/APPS/legislation/main/bills/2198655", "הצעת חוק זכויות הסטודנט (תיקון - העדפה מתקנת ללוחמים), התשפ""ג-2023")</f>
        <v>5477</v>
      </c>
      <c r="E6145" t="s">
        <v>5477</v>
      </c>
      <c r="F6145" t="s">
        <v>12196</v>
      </c>
      <c r="G6145" t="s">
        <v>14</v>
      </c>
      <c r="H6145">
             </c>
      <c r="I6145" t="s">
        <v>14</v>
      </c>
      <c r="J6145" t="s">
        <v>242</v>
      </c>
      <c r="K6145" t="s">
        <v>14</v>
      </c>
      <c r="L6145" t="s">
        <v>20</v>
      </c>
      <c r="M6145" t="s">
        <v>12155</v>
      </c>
      <c r="N6145" t="s">
        <v>14</v>
      </c>
    </row>
    <row r="6146" x14ac:dyDescent="0.25">
      <c r="A6146" t="n">
        <v>25</v>
      </c>
      <c r="B6146" t="s">
        <v>14</v>
      </c>
      <c r="C6146" t="s">
        <v>51</v>
      </c>
      <c r="D6146" s="2" t="s">
        <f>=HYPERLINK("https://main.knesset.gov.il/APPS/legislation/main/bills/2198626", "הצעת חוק אחזקת כבישים ראשיים ברשויות מקומיות, התשפ""ג-2023")</f>
        <v>12197</v>
      </c>
      <c r="E6146" t="s">
        <v>12197</v>
      </c>
      <c r="F6146" t="s">
        <v>12198</v>
      </c>
      <c r="G6146" t="s">
        <v>14</v>
      </c>
      <c r="H6146">
             </c>
      <c r="I6146" t="s">
        <v>14</v>
      </c>
      <c r="J6146" t="s">
        <v>242</v>
      </c>
      <c r="K6146" t="s">
        <v>14</v>
      </c>
      <c r="L6146" t="s">
        <v>20</v>
      </c>
      <c r="M6146" t="s">
        <v>12155</v>
      </c>
      <c r="N6146" t="s">
        <v>14</v>
      </c>
    </row>
    <row r="6147" x14ac:dyDescent="0.25">
      <c r="A6147" t="n">
        <v>25</v>
      </c>
      <c r="B6147" t="s">
        <v>14</v>
      </c>
      <c r="C6147" t="s">
        <v>51</v>
      </c>
      <c r="D6147" s="2" t="s">
        <f>=HYPERLINK("https://main.knesset.gov.il/APPS/legislation/main/bills/2197322", "הצעת חוק הביטוח הלאומי (תיקון - מימון סייעת לילדים שאינם יכולים לשהות במעון), התשפ""ג-2023")</f>
        <v>10220</v>
      </c>
      <c r="E6147" t="s">
        <v>10220</v>
      </c>
      <c r="F6147" t="s">
        <v>12199</v>
      </c>
      <c r="G6147" t="s">
        <v>14</v>
      </c>
      <c r="H6147">
             </c>
      <c r="I6147" t="s">
        <v>14</v>
      </c>
      <c r="J6147" t="s">
        <v>242</v>
      </c>
      <c r="K6147" t="s">
        <v>14</v>
      </c>
      <c r="L6147" t="s">
        <v>20</v>
      </c>
      <c r="M6147" t="s">
        <v>12155</v>
      </c>
      <c r="N6147" t="s">
        <v>14</v>
      </c>
    </row>
    <row r="6148" x14ac:dyDescent="0.25">
      <c r="A6148" t="n">
        <v>25</v>
      </c>
      <c r="B6148" t="s">
        <v>14</v>
      </c>
      <c r="C6148" t="s">
        <v>51</v>
      </c>
      <c r="D6148" s="2" t="s">
        <f>=HYPERLINK("https://main.knesset.gov.il/APPS/legislation/main/bills/2196078", "הצעת חוק יום אבל במות קרוב מדרגה שנייה, התשפ""ג-2023")</f>
        <v>10045</v>
      </c>
      <c r="E6148" t="s">
        <v>10045</v>
      </c>
      <c r="F6148" t="s">
        <v>12200</v>
      </c>
      <c r="G6148" t="s">
        <v>14</v>
      </c>
      <c r="H6148">
             </c>
      <c r="I6148" t="s">
        <v>14</v>
      </c>
      <c r="J6148" t="s">
        <v>242</v>
      </c>
      <c r="K6148" t="s">
        <v>14</v>
      </c>
      <c r="L6148" t="s">
        <v>20</v>
      </c>
      <c r="M6148" t="s">
        <v>12155</v>
      </c>
      <c r="N6148" t="s">
        <v>14</v>
      </c>
    </row>
    <row r="6149" x14ac:dyDescent="0.25">
      <c r="A6149" t="n">
        <v>25</v>
      </c>
      <c r="B6149" t="s">
        <v>14</v>
      </c>
      <c r="C6149" t="s">
        <v>51</v>
      </c>
      <c r="D6149" s="2" t="s">
        <f>=HYPERLINK("https://main.knesset.gov.il/APPS/legislation/main/bills/2198944", "הצעת חוק פיקוח על רווחי שיווק בתוצרת חקלאית, התשפ""ג-2023")</f>
        <v>12201</v>
      </c>
      <c r="E6149" t="s">
        <v>12201</v>
      </c>
      <c r="F6149" t="s">
        <v>12202</v>
      </c>
      <c r="G6149" t="s">
        <v>14</v>
      </c>
      <c r="H6149">
             </c>
      <c r="I6149" t="s">
        <v>14</v>
      </c>
      <c r="J6149" t="s">
        <v>242</v>
      </c>
      <c r="K6149" t="s">
        <v>14</v>
      </c>
      <c r="L6149" t="s">
        <v>20</v>
      </c>
      <c r="M6149" t="s">
        <v>12155</v>
      </c>
      <c r="N6149" t="s">
        <v>14</v>
      </c>
    </row>
    <row r="6150" x14ac:dyDescent="0.25">
      <c r="A6150" t="n">
        <v>25</v>
      </c>
      <c r="B6150" t="s">
        <v>14</v>
      </c>
      <c r="C6150" t="s">
        <v>51</v>
      </c>
      <c r="D6150" s="2" t="s">
        <f>=HYPERLINK("https://main.knesset.gov.il/APPS/legislation/main/bills/2198820", "הצעת חוק הגנת הצרכן (תיקון - איסור גביית עמלה בעסקה שבוצעה באמצעות האינטרנט), התשפ""ג-2023")</f>
        <v>11868</v>
      </c>
      <c r="E6150" t="s">
        <v>11868</v>
      </c>
      <c r="F6150" t="s">
        <v>12203</v>
      </c>
      <c r="G6150" t="s">
        <v>14</v>
      </c>
      <c r="H6150">
             </c>
      <c r="I6150" t="s">
        <v>14</v>
      </c>
      <c r="J6150" t="s">
        <v>242</v>
      </c>
      <c r="K6150" t="s">
        <v>14</v>
      </c>
      <c r="L6150" t="s">
        <v>20</v>
      </c>
      <c r="M6150" t="s">
        <v>12155</v>
      </c>
      <c r="N6150" t="s">
        <v>14</v>
      </c>
    </row>
    <row r="6151" x14ac:dyDescent="0.25">
      <c r="A6151" t="n">
        <v>25</v>
      </c>
      <c r="B6151" t="s">
        <v>14</v>
      </c>
      <c r="C6151" t="s">
        <v>51</v>
      </c>
      <c r="D6151" s="2" t="s">
        <f>=HYPERLINK("https://main.knesset.gov.il/APPS/legislation/main/bills/2198197", "הצעת חוק ביטוח בריאות ממלכתי (תיקון - רפואת שיניים למי שמלאו להם 60 שנים), התשפ""ג-2023")</f>
        <v>12204</v>
      </c>
      <c r="E6151" t="s">
        <v>12204</v>
      </c>
      <c r="F6151" t="s">
        <v>12205</v>
      </c>
      <c r="G6151" t="s">
        <v>14</v>
      </c>
      <c r="H6151">
             </c>
      <c r="I6151" t="s">
        <v>14</v>
      </c>
      <c r="J6151" t="s">
        <v>242</v>
      </c>
      <c r="K6151" t="s">
        <v>14</v>
      </c>
      <c r="L6151" t="s">
        <v>20</v>
      </c>
      <c r="M6151" t="s">
        <v>12155</v>
      </c>
      <c r="N6151" t="s">
        <v>14</v>
      </c>
    </row>
    <row r="6152" x14ac:dyDescent="0.25">
      <c r="A6152" t="n">
        <v>25</v>
      </c>
      <c r="B6152" t="s">
        <v>14</v>
      </c>
      <c r="C6152" t="s">
        <v>51</v>
      </c>
      <c r="D6152" s="2" t="s">
        <f>=HYPERLINK("https://main.knesset.gov.il/APPS/legislation/main/bills/2196155", "הצעת חוק ביטוח בריאות ממלכתי (תיקון - רפואת שיניים למי שמלאו להם 60 שנים), התשפ""ג-2023")</f>
        <v>12204</v>
      </c>
      <c r="E6152" t="s">
        <v>12204</v>
      </c>
      <c r="F6152" t="s">
        <v>12206</v>
      </c>
      <c r="G6152" t="s">
        <v>14</v>
      </c>
      <c r="H6152">
             </c>
      <c r="I6152" t="s">
        <v>14</v>
      </c>
      <c r="J6152" t="s">
        <v>242</v>
      </c>
      <c r="K6152" t="s">
        <v>14</v>
      </c>
      <c r="L6152" t="s">
        <v>20</v>
      </c>
      <c r="M6152" t="s">
        <v>12155</v>
      </c>
      <c r="N6152" t="s">
        <v>14</v>
      </c>
    </row>
    <row r="6153" x14ac:dyDescent="0.25">
      <c r="A6153" t="n">
        <v>25</v>
      </c>
      <c r="B6153" t="s">
        <v>14</v>
      </c>
      <c r="C6153" t="s">
        <v>51</v>
      </c>
      <c r="D6153" s="2" t="s">
        <f>=HYPERLINK("https://main.knesset.gov.il/APPS/legislation/main/bills/2196531", "הצעת חוק הספורט (תיקון - זכויות ספורטאי בוגר), התשפ""ג-2023")</f>
        <v>12207</v>
      </c>
      <c r="E6153" t="s">
        <v>12207</v>
      </c>
      <c r="F6153" t="s">
        <v>12208</v>
      </c>
      <c r="G6153" t="s">
        <v>14</v>
      </c>
      <c r="H6153">
             </c>
      <c r="I6153" t="s">
        <v>14</v>
      </c>
      <c r="J6153" t="s">
        <v>242</v>
      </c>
      <c r="K6153" t="s">
        <v>14</v>
      </c>
      <c r="L6153" t="s">
        <v>20</v>
      </c>
      <c r="M6153" t="s">
        <v>12155</v>
      </c>
      <c r="N6153" t="s">
        <v>14</v>
      </c>
    </row>
    <row r="6154" x14ac:dyDescent="0.25">
      <c r="A6154" t="n">
        <v>25</v>
      </c>
      <c r="B6154" t="s">
        <v>14</v>
      </c>
      <c r="C6154" t="s">
        <v>51</v>
      </c>
      <c r="D6154" s="2" t="s">
        <f>=HYPERLINK("https://main.knesset.gov.il/APPS/legislation/main/bills/2197374", "הצעת חוק שירות המדינה (גמלאות) (תיקון - ביטול שלילת גמלאות מאלמנים שנישאו), התשפ""ג-2023")</f>
        <v>10530</v>
      </c>
      <c r="E6154" t="s">
        <v>10530</v>
      </c>
      <c r="F6154" t="s">
        <v>12209</v>
      </c>
      <c r="G6154" t="s">
        <v>14</v>
      </c>
      <c r="H6154">
             </c>
      <c r="I6154" t="s">
        <v>14</v>
      </c>
      <c r="J6154" t="s">
        <v>242</v>
      </c>
      <c r="K6154" t="s">
        <v>14</v>
      </c>
      <c r="L6154" t="s">
        <v>20</v>
      </c>
      <c r="M6154" t="s">
        <v>12155</v>
      </c>
      <c r="N6154" t="s">
        <v>14</v>
      </c>
    </row>
    <row r="6155" x14ac:dyDescent="0.25">
      <c r="A6155" t="n">
        <v>25</v>
      </c>
      <c r="B6155" t="s">
        <v>14</v>
      </c>
      <c r="C6155" t="s">
        <v>51</v>
      </c>
      <c r="D6155" s="2" t="s">
        <f>=HYPERLINK("https://main.knesset.gov.il/APPS/legislation/main/bills/2197352", "הצעת חוק הנגשת מוקדי פניות חירום באמצעות שיחוח ומסרון, התשפ""ג-2023")</f>
        <v>12210</v>
      </c>
      <c r="E6155" t="s">
        <v>12210</v>
      </c>
      <c r="F6155" t="s">
        <v>12211</v>
      </c>
      <c r="G6155" t="s">
        <v>14</v>
      </c>
      <c r="H6155">
             </c>
      <c r="I6155" t="s">
        <v>14</v>
      </c>
      <c r="J6155" t="s">
        <v>242</v>
      </c>
      <c r="K6155" t="s">
        <v>14</v>
      </c>
      <c r="L6155" t="s">
        <v>20</v>
      </c>
      <c r="M6155" t="s">
        <v>12155</v>
      </c>
      <c r="N6155" t="s">
        <v>14</v>
      </c>
    </row>
    <row r="6156" x14ac:dyDescent="0.25">
      <c r="A6156" t="n">
        <v>25</v>
      </c>
      <c r="B6156" t="s">
        <v>14</v>
      </c>
      <c r="C6156" t="s">
        <v>51</v>
      </c>
      <c r="D6156" s="2" t="s">
        <f>=HYPERLINK("https://main.knesset.gov.il/APPS/legislation/main/bills/2197368", "הצעת חוק ארוחה יומית לתלמיד (תיקון - הרחבת תחולת החוק), התשפ""ג-2023")</f>
        <v>9768</v>
      </c>
      <c r="E6156" t="s">
        <v>9768</v>
      </c>
      <c r="F6156" t="s">
        <v>12212</v>
      </c>
      <c r="G6156" t="s">
        <v>14</v>
      </c>
      <c r="H6156">
             </c>
      <c r="I6156" t="s">
        <v>14</v>
      </c>
      <c r="J6156" t="s">
        <v>242</v>
      </c>
      <c r="K6156" t="s">
        <v>14</v>
      </c>
      <c r="L6156" t="s">
        <v>20</v>
      </c>
      <c r="M6156" t="s">
        <v>12155</v>
      </c>
      <c r="N6156" t="s">
        <v>14</v>
      </c>
    </row>
    <row r="6157" x14ac:dyDescent="0.25">
      <c r="A6157" t="n">
        <v>25</v>
      </c>
      <c r="B6157" t="s">
        <v>14</v>
      </c>
      <c r="C6157" t="s">
        <v>51</v>
      </c>
      <c r="D6157" s="2" t="s">
        <f>=HYPERLINK("https://main.knesset.gov.il/APPS/legislation/main/bills/2197363", "הצעת חוק הפיקוח על מעונות יום לפעוטות (תיקון - חובת החזקת ערכת עזרה ראשונה), התשפ""ג-2023")</f>
        <v>11774</v>
      </c>
      <c r="E6157" t="s">
        <v>11774</v>
      </c>
      <c r="F6157" t="s">
        <v>12213</v>
      </c>
      <c r="G6157" t="s">
        <v>14</v>
      </c>
      <c r="H6157">
             </c>
      <c r="I6157" t="s">
        <v>14</v>
      </c>
      <c r="J6157" t="s">
        <v>242</v>
      </c>
      <c r="K6157" t="s">
        <v>14</v>
      </c>
      <c r="L6157" t="s">
        <v>20</v>
      </c>
      <c r="M6157" t="s">
        <v>12155</v>
      </c>
      <c r="N6157" t="s">
        <v>14</v>
      </c>
    </row>
    <row r="6158" x14ac:dyDescent="0.25">
      <c r="A6158" t="n">
        <v>25</v>
      </c>
      <c r="B6158" t="s">
        <v>14</v>
      </c>
      <c r="C6158" t="s">
        <v>51</v>
      </c>
      <c r="D6158" s="2" t="s">
        <f>=HYPERLINK("https://main.knesset.gov.il/APPS/legislation/main/bills/2197995", "הצעת חוק המשטרה (תיקון - התיישנות עבירות), התשפ""ג-2023")</f>
        <v>12214</v>
      </c>
      <c r="E6158" t="s">
        <v>12214</v>
      </c>
      <c r="F6158" t="s">
        <v>12215</v>
      </c>
      <c r="G6158" t="s">
        <v>14</v>
      </c>
      <c r="H6158">
             </c>
      <c r="I6158" t="s">
        <v>14</v>
      </c>
      <c r="J6158" t="s">
        <v>242</v>
      </c>
      <c r="K6158" t="s">
        <v>14</v>
      </c>
      <c r="L6158" t="s">
        <v>20</v>
      </c>
      <c r="M6158" t="s">
        <v>12155</v>
      </c>
      <c r="N6158" t="s">
        <v>14</v>
      </c>
    </row>
    <row r="6159" x14ac:dyDescent="0.25">
      <c r="A6159" t="n">
        <v>25</v>
      </c>
      <c r="B6159" t="s">
        <v>14</v>
      </c>
      <c r="C6159" t="s">
        <v>51</v>
      </c>
      <c r="D6159" s="2" t="s">
        <f>=HYPERLINK("https://main.knesset.gov.il/APPS/legislation/main/bills/2198806", "הצעת חוק הפיקוח על שירותים פיננסיים (ביטוח) (תיקון - הוספת רישיון הנפקה), התשפ""ג-2023")</f>
        <v>12216</v>
      </c>
      <c r="E6159" t="s">
        <v>12216</v>
      </c>
      <c r="F6159" t="s">
        <v>12217</v>
      </c>
      <c r="G6159" t="s">
        <v>14</v>
      </c>
      <c r="H6159">
             </c>
      <c r="I6159" t="s">
        <v>14</v>
      </c>
      <c r="J6159" t="s">
        <v>242</v>
      </c>
      <c r="K6159" t="s">
        <v>14</v>
      </c>
      <c r="L6159" t="s">
        <v>20</v>
      </c>
      <c r="M6159" t="s">
        <v>12155</v>
      </c>
      <c r="N6159" t="s">
        <v>14</v>
      </c>
    </row>
    <row r="6160" x14ac:dyDescent="0.25">
      <c r="A6160" t="n">
        <v>25</v>
      </c>
      <c r="B6160" t="s">
        <v>14</v>
      </c>
      <c r="C6160" t="s">
        <v>51</v>
      </c>
      <c r="D6160" s="2" t="s">
        <f>=HYPERLINK("https://main.knesset.gov.il/APPS/legislation/main/bills/2198807", "הצעת חוק רשת ביטחון לעצמאים בעת אירוע חירום, התשפ""ג-2023")</f>
        <v>12218</v>
      </c>
      <c r="E6160" t="s">
        <v>12218</v>
      </c>
      <c r="F6160" t="s">
        <v>12219</v>
      </c>
      <c r="G6160" t="s">
        <v>14</v>
      </c>
      <c r="H6160">
             </c>
      <c r="I6160" t="s">
        <v>14</v>
      </c>
      <c r="J6160" t="s">
        <v>242</v>
      </c>
      <c r="K6160" t="s">
        <v>14</v>
      </c>
      <c r="L6160" t="s">
        <v>20</v>
      </c>
      <c r="M6160" t="s">
        <v>12155</v>
      </c>
      <c r="N6160" t="s">
        <v>14</v>
      </c>
    </row>
    <row r="6161" x14ac:dyDescent="0.25">
      <c r="A6161" t="n">
        <v>25</v>
      </c>
      <c r="B6161" t="s">
        <v>14</v>
      </c>
      <c r="C6161" t="s">
        <v>51</v>
      </c>
      <c r="D6161" s="2" t="s">
        <f>=HYPERLINK("https://main.knesset.gov.il/APPS/legislation/main/bills/2198768", "הצעת חוק נתוני אשראי (תיקון - קיצור תקופת שמירת הנתונים במאגר נתוני אשראי), התשפ""ג-2023")</f>
        <v>12220</v>
      </c>
      <c r="E6161" t="s">
        <v>12220</v>
      </c>
      <c r="F6161" t="s">
        <v>12221</v>
      </c>
      <c r="G6161" t="s">
        <v>14</v>
      </c>
      <c r="H6161">
             </c>
      <c r="I6161" t="s">
        <v>14</v>
      </c>
      <c r="J6161" t="s">
        <v>242</v>
      </c>
      <c r="K6161" t="s">
        <v>14</v>
      </c>
      <c r="L6161" t="s">
        <v>20</v>
      </c>
      <c r="M6161" t="s">
        <v>12155</v>
      </c>
      <c r="N6161" t="s">
        <v>14</v>
      </c>
    </row>
    <row r="6162" x14ac:dyDescent="0.25">
      <c r="A6162" t="n">
        <v>25</v>
      </c>
      <c r="B6162" t="s">
        <v>14</v>
      </c>
      <c r="C6162" t="s">
        <v>51</v>
      </c>
      <c r="D6162" s="2" t="s">
        <f>=HYPERLINK("https://main.knesset.gov.il/APPS/legislation/main/bills/2198819", "הצעת חוק משק החשמל (תיקון - גביית תשלומים), התשפ""ג-2023")</f>
        <v>10548</v>
      </c>
      <c r="E6162" t="s">
        <v>10548</v>
      </c>
      <c r="F6162" t="s">
        <v>12222</v>
      </c>
      <c r="G6162" t="s">
        <v>14</v>
      </c>
      <c r="H6162">
             </c>
      <c r="I6162" t="s">
        <v>14</v>
      </c>
      <c r="J6162" t="s">
        <v>242</v>
      </c>
      <c r="K6162" t="s">
        <v>14</v>
      </c>
      <c r="L6162" t="s">
        <v>20</v>
      </c>
      <c r="M6162" t="s">
        <v>12155</v>
      </c>
      <c r="N6162" t="s">
        <v>14</v>
      </c>
    </row>
    <row r="6163" x14ac:dyDescent="0.25">
      <c r="A6163" t="n">
        <v>25</v>
      </c>
      <c r="B6163" t="s">
        <v>14</v>
      </c>
      <c r="C6163" t="s">
        <v>51</v>
      </c>
      <c r="D6163" s="2" t="s">
        <f>=HYPERLINK("https://main.knesset.gov.il/APPS/legislation/main/bills/2198803", "הצעת חוק עוסק זעיר, התשפ""ג-2023")</f>
        <v>10043</v>
      </c>
      <c r="E6163" t="s">
        <v>10043</v>
      </c>
      <c r="F6163" t="s">
        <v>12223</v>
      </c>
      <c r="G6163" t="s">
        <v>14</v>
      </c>
      <c r="H6163">
             </c>
      <c r="I6163" t="s">
        <v>14</v>
      </c>
      <c r="J6163" t="s">
        <v>242</v>
      </c>
      <c r="K6163" t="s">
        <v>14</v>
      </c>
      <c r="L6163" t="s">
        <v>20</v>
      </c>
      <c r="M6163" t="s">
        <v>12155</v>
      </c>
      <c r="N6163" t="s">
        <v>14</v>
      </c>
    </row>
    <row r="6164" x14ac:dyDescent="0.25">
      <c r="A6164" t="n">
        <v>25</v>
      </c>
      <c r="B6164" t="s">
        <v>14</v>
      </c>
      <c r="C6164" t="s">
        <v>51</v>
      </c>
      <c r="D6164" s="2" t="s">
        <f>=HYPERLINK("https://main.knesset.gov.il/APPS/legislation/main/bills/2198758", "הצעת חוק הבנקאות (רישוי) (תיקון - הפרדה בין בנקים), התשפ""ג-2023")</f>
        <v>12224</v>
      </c>
      <c r="E6164" t="s">
        <v>12224</v>
      </c>
      <c r="F6164" t="s">
        <v>12225</v>
      </c>
      <c r="G6164" t="s">
        <v>14</v>
      </c>
      <c r="H6164">
             </c>
      <c r="I6164" t="s">
        <v>14</v>
      </c>
      <c r="J6164" t="s">
        <v>242</v>
      </c>
      <c r="K6164" t="s">
        <v>14</v>
      </c>
      <c r="L6164" t="s">
        <v>20</v>
      </c>
      <c r="M6164" t="s">
        <v>12155</v>
      </c>
      <c r="N6164" t="s">
        <v>14</v>
      </c>
    </row>
    <row r="6165" x14ac:dyDescent="0.25">
      <c r="A6165" t="n">
        <v>25</v>
      </c>
      <c r="B6165" t="s">
        <v>14</v>
      </c>
      <c r="C6165" t="s">
        <v>51</v>
      </c>
      <c r="D6165" s="2" t="s">
        <f>=HYPERLINK("https://main.knesset.gov.il/APPS/legislation/main/bills/2198746", "הצעת חוק הגבלת עמלת פירעון מוקדם ואיחוד הליכים של הלוואה לדיור (תיקוני חקיקה), התשפ""ג-2023")</f>
        <v>12226</v>
      </c>
      <c r="E6165" t="s">
        <v>12226</v>
      </c>
      <c r="F6165" t="s">
        <v>12227</v>
      </c>
      <c r="G6165" t="s">
        <v>14</v>
      </c>
      <c r="H6165">
             </c>
      <c r="I6165" t="s">
        <v>14</v>
      </c>
      <c r="J6165" t="s">
        <v>242</v>
      </c>
      <c r="K6165" t="s">
        <v>14</v>
      </c>
      <c r="L6165" t="s">
        <v>20</v>
      </c>
      <c r="M6165" t="s">
        <v>12155</v>
      </c>
      <c r="N6165" t="s">
        <v>14</v>
      </c>
    </row>
    <row r="6166" x14ac:dyDescent="0.25">
      <c r="A6166" t="n">
        <v>25</v>
      </c>
      <c r="B6166" t="s">
        <v>14</v>
      </c>
      <c r="C6166" t="s">
        <v>51</v>
      </c>
      <c r="D6166" s="2" t="s">
        <f>=HYPERLINK("https://main.knesset.gov.il/APPS/legislation/main/bills/2197373", "הצעת חוק סדר הדין הפלילי (תיקון - ביטול פסק דין שניתן בהיעדרו של הנאשם), התשפ""ג-2023")</f>
        <v>12228</v>
      </c>
      <c r="E6166" t="s">
        <v>12228</v>
      </c>
      <c r="F6166" t="s">
        <v>12229</v>
      </c>
      <c r="G6166" t="s">
        <v>14</v>
      </c>
      <c r="H6166">
             </c>
      <c r="I6166" t="s">
        <v>14</v>
      </c>
      <c r="J6166" t="s">
        <v>242</v>
      </c>
      <c r="K6166" t="s">
        <v>14</v>
      </c>
      <c r="L6166" t="s">
        <v>20</v>
      </c>
      <c r="M6166" t="s">
        <v>12155</v>
      </c>
      <c r="N6166" t="s">
        <v>14</v>
      </c>
    </row>
    <row r="6167" x14ac:dyDescent="0.25">
      <c r="A6167" t="n">
        <v>25</v>
      </c>
      <c r="B6167" t="s">
        <v>14</v>
      </c>
      <c r="C6167" t="s">
        <v>51</v>
      </c>
      <c r="D6167" s="2" t="s">
        <f>=HYPERLINK("https://main.knesset.gov.il/APPS/legislation/main/bills/2198755", "הצעת חוק היטלי סחר ואמצעי הגנה (תיקון - אי פתיחת חקירה בשל יבוא בהיצף בשוק מונופוליסטי או ריכוזי), התשפ""ג-2023")</f>
        <v>10054</v>
      </c>
      <c r="E6167" t="s">
        <v>10054</v>
      </c>
      <c r="F6167" t="s">
        <v>12230</v>
      </c>
      <c r="G6167" t="s">
        <v>14</v>
      </c>
      <c r="H6167">
             </c>
      <c r="I6167" t="s">
        <v>14</v>
      </c>
      <c r="J6167" t="s">
        <v>242</v>
      </c>
      <c r="K6167" t="s">
        <v>14</v>
      </c>
      <c r="L6167" t="s">
        <v>20</v>
      </c>
      <c r="M6167" t="s">
        <v>12155</v>
      </c>
      <c r="N6167" t="s">
        <v>14</v>
      </c>
    </row>
    <row r="6168" x14ac:dyDescent="0.25">
      <c r="A6168" t="n">
        <v>25</v>
      </c>
      <c r="B6168" t="s">
        <v>14</v>
      </c>
      <c r="C6168" t="s">
        <v>51</v>
      </c>
      <c r="D6168" s="2" t="s">
        <f>=HYPERLINK("https://main.knesset.gov.il/APPS/legislation/main/bills/2198633", "הצעת חוק הביטוח הלאומי (תיקון - השוואת זכויות אלמן ואלמנה), התשפ""ג-2023")</f>
        <v>8249</v>
      </c>
      <c r="E6168" t="s">
        <v>8249</v>
      </c>
      <c r="F6168" t="s">
        <v>12231</v>
      </c>
      <c r="G6168" t="s">
        <v>14</v>
      </c>
      <c r="H6168">
             </c>
      <c r="I6168" t="s">
        <v>14</v>
      </c>
      <c r="J6168" t="s">
        <v>202</v>
      </c>
      <c r="K6168" t="s">
        <v>14</v>
      </c>
      <c r="L6168" t="s">
        <v>20</v>
      </c>
      <c r="M6168" t="s">
        <v>12155</v>
      </c>
      <c r="N6168" t="s">
        <v>14</v>
      </c>
    </row>
    <row r="6169" x14ac:dyDescent="0.25">
      <c r="A6169" t="n">
        <v>25</v>
      </c>
      <c r="B6169" t="s">
        <v>14</v>
      </c>
      <c r="C6169" t="s">
        <v>51</v>
      </c>
      <c r="D6169" s="2" t="s">
        <f>=HYPERLINK("https://main.knesset.gov.il/APPS/legislation/main/bills/2198748", "הצעת חוק להגדלת שיעור ההשתתפות בכוח העבודה ולצמצום פערים חברתיים (מענק עבודה) (תיקון - אוטומציה בקבלת מענק העבודה), התשפ""ג-2023")</f>
        <v>12232</v>
      </c>
      <c r="E6169" t="s">
        <v>12232</v>
      </c>
      <c r="F6169" t="s">
        <v>12233</v>
      </c>
      <c r="G6169" t="s">
        <v>14</v>
      </c>
      <c r="H6169">
             </c>
      <c r="I6169" t="s">
        <v>14</v>
      </c>
      <c r="J6169" t="s">
        <v>242</v>
      </c>
      <c r="K6169" t="s">
        <v>14</v>
      </c>
      <c r="L6169" t="s">
        <v>20</v>
      </c>
      <c r="M6169" t="s">
        <v>12155</v>
      </c>
      <c r="N6169" t="s">
        <v>14</v>
      </c>
    </row>
    <row r="6170" x14ac:dyDescent="0.25">
      <c r="A6170" t="n">
        <v>25</v>
      </c>
      <c r="B6170" t="s">
        <v>14</v>
      </c>
      <c r="C6170" t="s">
        <v>51</v>
      </c>
      <c r="D6170" s="2" t="s">
        <f>=HYPERLINK("https://main.knesset.gov.il/APPS/legislation/main/bills/2198258", "הצעת חוק לימוד חובה (תיקון - הגבלת מספר התלמידים בגן חובה ובבית ספר יסודי), התשפ""ג-2023")</f>
        <v>12234</v>
      </c>
      <c r="E6170" t="s">
        <v>12234</v>
      </c>
      <c r="F6170" t="s">
        <v>12235</v>
      </c>
      <c r="G6170" t="s">
        <v>14</v>
      </c>
      <c r="H6170">
             </c>
      <c r="I6170" t="s">
        <v>14</v>
      </c>
      <c r="J6170" t="s">
        <v>242</v>
      </c>
      <c r="K6170" t="s">
        <v>14</v>
      </c>
      <c r="L6170" t="s">
        <v>20</v>
      </c>
      <c r="M6170" t="s">
        <v>12155</v>
      </c>
      <c r="N6170" t="s">
        <v>14</v>
      </c>
    </row>
    <row r="6171" x14ac:dyDescent="0.25">
      <c r="A6171" t="n">
        <v>25</v>
      </c>
      <c r="B6171" t="s">
        <v>14</v>
      </c>
      <c r="C6171" t="s">
        <v>51</v>
      </c>
      <c r="D6171" s="2" t="s">
        <f>=HYPERLINK("https://main.knesset.gov.il/APPS/legislation/main/bills/2197351", "הצעת חוק הנוטריונים (תיקון - ביטול תעריף מינימום לשירות נוטריוני), התשפ""ג-2023")</f>
        <v>11966</v>
      </c>
      <c r="E6171" t="s">
        <v>11966</v>
      </c>
      <c r="F6171" t="s">
        <v>12236</v>
      </c>
      <c r="G6171" t="s">
        <v>14</v>
      </c>
      <c r="H6171">
             </c>
      <c r="I6171" t="s">
        <v>14</v>
      </c>
      <c r="J6171" t="s">
        <v>242</v>
      </c>
      <c r="K6171" t="s">
        <v>14</v>
      </c>
      <c r="L6171" t="s">
        <v>20</v>
      </c>
      <c r="M6171" t="s">
        <v>12155</v>
      </c>
      <c r="N6171" t="s">
        <v>14</v>
      </c>
    </row>
    <row r="6172" x14ac:dyDescent="0.25">
      <c r="A6172" t="n">
        <v>25</v>
      </c>
      <c r="B6172" t="s">
        <v>14</v>
      </c>
      <c r="C6172" t="s">
        <v>51</v>
      </c>
      <c r="D6172" s="2" t="s">
        <f>=HYPERLINK("https://main.knesset.gov.il/APPS/legislation/main/bills/2198199", "הצעת חוק לתיקון פקודת בריאות העם (הוספת מכשור רפואי לפריפריה), התשפ""ג-2023")</f>
        <v>1215</v>
      </c>
      <c r="E6172" t="s">
        <v>1215</v>
      </c>
      <c r="F6172" t="s">
        <v>12237</v>
      </c>
      <c r="G6172" t="s">
        <v>14</v>
      </c>
      <c r="H6172">
             </c>
      <c r="I6172" t="s">
        <v>14</v>
      </c>
      <c r="J6172" t="s">
        <v>242</v>
      </c>
      <c r="K6172" t="s">
        <v>14</v>
      </c>
      <c r="L6172" t="s">
        <v>20</v>
      </c>
      <c r="M6172" t="s">
        <v>12155</v>
      </c>
      <c r="N6172" t="s">
        <v>14</v>
      </c>
    </row>
    <row r="6173" x14ac:dyDescent="0.25">
      <c r="A6173" t="n">
        <v>25</v>
      </c>
      <c r="B6173" t="s">
        <v>14</v>
      </c>
      <c r="C6173" t="s">
        <v>51</v>
      </c>
      <c r="D6173" s="2" t="s">
        <f>=HYPERLINK("https://main.knesset.gov.il/APPS/legislation/main/bills/2197362", "הצעת חוק סיוע בקידום תעסוקתי למשפחות של עובדים מעוטי הכנסה, התשפ""ג-2023")</f>
        <v>11532</v>
      </c>
      <c r="E6173" t="s">
        <v>11532</v>
      </c>
      <c r="F6173" t="s">
        <v>12238</v>
      </c>
      <c r="G6173" t="s">
        <v>14</v>
      </c>
      <c r="H6173">
             </c>
      <c r="I6173" t="s">
        <v>14</v>
      </c>
      <c r="J6173" t="s">
        <v>242</v>
      </c>
      <c r="K6173" t="s">
        <v>14</v>
      </c>
      <c r="L6173" t="s">
        <v>20</v>
      </c>
      <c r="M6173" t="s">
        <v>12155</v>
      </c>
      <c r="N6173" t="s">
        <v>14</v>
      </c>
    </row>
    <row r="6174" x14ac:dyDescent="0.25">
      <c r="A6174" t="n">
        <v>25</v>
      </c>
      <c r="B6174" t="s">
        <v>14</v>
      </c>
      <c r="C6174" t="s">
        <v>51</v>
      </c>
      <c r="D6174" s="2" t="s">
        <f>=HYPERLINK("https://main.knesset.gov.il/APPS/legislation/main/bills/2198059", "הצעת חוק זכויות החולה (תיקון - הזכות למינוי מתורגמן רפואי), התשפ""ג-2023")</f>
        <v>10224</v>
      </c>
      <c r="E6174" t="s">
        <v>10224</v>
      </c>
      <c r="F6174" t="s">
        <v>12239</v>
      </c>
      <c r="G6174" t="s">
        <v>14</v>
      </c>
      <c r="H6174">
             </c>
      <c r="I6174" t="s">
        <v>14</v>
      </c>
      <c r="J6174" t="s">
        <v>242</v>
      </c>
      <c r="K6174" t="s">
        <v>14</v>
      </c>
      <c r="L6174" t="s">
        <v>20</v>
      </c>
      <c r="M6174" t="s">
        <v>12155</v>
      </c>
      <c r="N6174" t="s">
        <v>14</v>
      </c>
    </row>
    <row r="6175" x14ac:dyDescent="0.25">
      <c r="A6175" t="n">
        <v>25</v>
      </c>
      <c r="B6175" t="s">
        <v>14</v>
      </c>
      <c r="C6175" t="s">
        <v>51</v>
      </c>
      <c r="D6175" s="2" t="s">
        <f>=HYPERLINK("https://main.knesset.gov.il/APPS/legislation/main/bills/2197350", "הצעת חוק לתיקון פקודת בריאות העם (הוספת מגנזיום למי השתייה), התשפ""ג-2023")</f>
        <v>12240</v>
      </c>
      <c r="E6175" t="s">
        <v>12240</v>
      </c>
      <c r="F6175" t="s">
        <v>12241</v>
      </c>
      <c r="G6175" t="s">
        <v>14</v>
      </c>
      <c r="H6175">
             </c>
      <c r="I6175" t="s">
        <v>14</v>
      </c>
      <c r="J6175" t="s">
        <v>242</v>
      </c>
      <c r="K6175" t="s">
        <v>14</v>
      </c>
      <c r="L6175" t="s">
        <v>20</v>
      </c>
      <c r="M6175" t="s">
        <v>12155</v>
      </c>
      <c r="N6175" t="s">
        <v>14</v>
      </c>
    </row>
    <row r="6176" x14ac:dyDescent="0.25">
      <c r="A6176" t="n">
        <v>25</v>
      </c>
      <c r="B6176" t="s">
        <v>14</v>
      </c>
      <c r="C6176" t="s">
        <v>51</v>
      </c>
      <c r="D6176" s="2" t="s">
        <f>=HYPERLINK("https://main.knesset.gov.il/APPS/legislation/main/bills/2197349", "הצעת חוק לתיקון פקודת הראיות (התייחסות איש צוות רפואי שלא תשמש ראיה), התשפ""ג-2023")</f>
        <v>12242</v>
      </c>
      <c r="E6176" t="s">
        <v>12242</v>
      </c>
      <c r="F6176" t="s">
        <v>12243</v>
      </c>
      <c r="G6176" t="s">
        <v>14</v>
      </c>
      <c r="H6176">
             </c>
      <c r="I6176" t="s">
        <v>14</v>
      </c>
      <c r="J6176" t="s">
        <v>242</v>
      </c>
      <c r="K6176" t="s">
        <v>14</v>
      </c>
      <c r="L6176" t="s">
        <v>20</v>
      </c>
      <c r="M6176" t="s">
        <v>12155</v>
      </c>
      <c r="N6176" t="s">
        <v>14</v>
      </c>
    </row>
    <row r="6177" x14ac:dyDescent="0.25">
      <c r="A6177" t="n">
        <v>25</v>
      </c>
      <c r="B6177" t="s">
        <v>14</v>
      </c>
      <c r="C6177" t="s">
        <v>51</v>
      </c>
      <c r="D6177" s="2" t="s">
        <f>=HYPERLINK("https://main.knesset.gov.il/APPS/legislation/main/bills/2198187", "הצעת חוק למניעת השתלטות תושבי הרשות הפלסטינית על שטחי c, התשפ""ג-2023")</f>
        <v>10839</v>
      </c>
      <c r="E6177" t="s">
        <v>10839</v>
      </c>
      <c r="F6177" t="s">
        <v>12244</v>
      </c>
      <c r="G6177" t="s">
        <v>14</v>
      </c>
      <c r="H6177">
             </c>
      <c r="I6177" t="s">
        <v>14</v>
      </c>
      <c r="J6177" t="s">
        <v>242</v>
      </c>
      <c r="K6177" t="s">
        <v>14</v>
      </c>
      <c r="L6177" t="s">
        <v>20</v>
      </c>
      <c r="M6177" t="s">
        <v>12155</v>
      </c>
      <c r="N6177" t="s">
        <v>14</v>
      </c>
    </row>
    <row r="6178" x14ac:dyDescent="0.25">
      <c r="A6178" t="n">
        <v>25</v>
      </c>
      <c r="B6178" t="s">
        <v>14</v>
      </c>
      <c r="C6178" t="s">
        <v>51</v>
      </c>
      <c r="D6178" s="2" t="s">
        <f>=HYPERLINK("https://main.knesset.gov.il/APPS/legislation/main/bills/2198651", "הצעת חוק הרשויות המקומיות (יועצת לענייני מעמד האישה) (תיקון - תקציב ייעודי וייחוד הכהונה), התשפ""ג-2023")</f>
        <v>12245</v>
      </c>
      <c r="E6178" t="s">
        <v>12245</v>
      </c>
      <c r="F6178" t="s">
        <v>12246</v>
      </c>
      <c r="G6178" t="s">
        <v>14</v>
      </c>
      <c r="H6178">
             </c>
      <c r="I6178" t="s">
        <v>14</v>
      </c>
      <c r="J6178" t="s">
        <v>242</v>
      </c>
      <c r="K6178" t="s">
        <v>14</v>
      </c>
      <c r="L6178" t="s">
        <v>20</v>
      </c>
      <c r="M6178" t="s">
        <v>12155</v>
      </c>
      <c r="N6178" t="s">
        <v>14</v>
      </c>
    </row>
    <row r="6179" x14ac:dyDescent="0.25">
      <c r="A6179" t="n">
        <v>25</v>
      </c>
      <c r="B6179" t="s">
        <v>14</v>
      </c>
      <c r="C6179" t="s">
        <v>51</v>
      </c>
      <c r="D6179" s="2" t="s">
        <f>=HYPERLINK("https://main.knesset.gov.il/APPS/legislation/main/bills/2198741", "הצעת חוק הבנקאות (שירות ללקוח) (תיקון - העברת משכנתה בין בנקים), התשפ""ג-2023")</f>
        <v>12247</v>
      </c>
      <c r="E6179" t="s">
        <v>12247</v>
      </c>
      <c r="F6179" t="s">
        <v>12248</v>
      </c>
      <c r="G6179" t="s">
        <v>14</v>
      </c>
      <c r="H6179">
             </c>
      <c r="I6179" t="s">
        <v>14</v>
      </c>
      <c r="J6179" t="s">
        <v>242</v>
      </c>
      <c r="K6179" t="s">
        <v>14</v>
      </c>
      <c r="L6179" t="s">
        <v>20</v>
      </c>
      <c r="M6179" t="s">
        <v>12155</v>
      </c>
      <c r="N6179" t="s">
        <v>14</v>
      </c>
    </row>
    <row r="6180" x14ac:dyDescent="0.25">
      <c r="A6180" t="n">
        <v>25</v>
      </c>
      <c r="B6180" t="s">
        <v>14</v>
      </c>
      <c r="C6180" t="s">
        <v>51</v>
      </c>
      <c r="D6180" s="2" t="s">
        <f>=HYPERLINK("https://main.knesset.gov.il/APPS/legislation/main/bills/2198732", "הצעת חוק הבנקאות (שירות ללקוח) (תיקון - הפחתת יוקר תשלומי הלוואה לדיור), התשפ""ג-2023")</f>
        <v>12249</v>
      </c>
      <c r="E6180" t="s">
        <v>12249</v>
      </c>
      <c r="F6180" t="s">
        <v>12250</v>
      </c>
      <c r="G6180" t="s">
        <v>14</v>
      </c>
      <c r="H6180">
             </c>
      <c r="I6180" t="s">
        <v>14</v>
      </c>
      <c r="J6180" t="s">
        <v>242</v>
      </c>
      <c r="K6180" t="s">
        <v>14</v>
      </c>
      <c r="L6180" t="s">
        <v>20</v>
      </c>
      <c r="M6180" t="s">
        <v>12155</v>
      </c>
      <c r="N6180" t="s">
        <v>14</v>
      </c>
    </row>
    <row r="6181" x14ac:dyDescent="0.25">
      <c r="A6181" t="n">
        <v>25</v>
      </c>
      <c r="B6181" t="s">
        <v>14</v>
      </c>
      <c r="C6181" t="s">
        <v>51</v>
      </c>
      <c r="D6181" s="2" t="s">
        <f>=HYPERLINK("https://main.knesset.gov.il/APPS/legislation/main/bills/2198404", "הצעת חוק עסקאות גופים ציבוריים (תיקון - איסור על התקשרות קבלנית להעסקת עובדים), התשפ""ג-2023")</f>
        <v>12251</v>
      </c>
      <c r="E6181" t="s">
        <v>12251</v>
      </c>
      <c r="F6181" t="s">
        <v>12252</v>
      </c>
      <c r="G6181" t="s">
        <v>14</v>
      </c>
      <c r="H6181">
             </c>
      <c r="I6181" t="s">
        <v>14</v>
      </c>
      <c r="J6181" t="s">
        <v>242</v>
      </c>
      <c r="K6181" t="s">
        <v>14</v>
      </c>
      <c r="L6181" t="s">
        <v>20</v>
      </c>
      <c r="M6181" t="s">
        <v>12155</v>
      </c>
      <c r="N6181" t="s">
        <v>14</v>
      </c>
    </row>
    <row r="6182" x14ac:dyDescent="0.25">
      <c r="A6182" t="n">
        <v>25</v>
      </c>
      <c r="B6182" t="s">
        <v>14</v>
      </c>
      <c r="C6182" t="s">
        <v>51</v>
      </c>
      <c r="D6182" s="2" t="s">
        <f>=HYPERLINK("https://main.knesset.gov.il/APPS/legislation/main/bills/2197375", "הצעת חוק המועצה הישראלית לצרכנות (תיקון - ודאות תקציבית), התשפ""ג-2023")</f>
        <v>8900</v>
      </c>
      <c r="E6182" t="s">
        <v>8900</v>
      </c>
      <c r="F6182" t="s">
        <v>12253</v>
      </c>
      <c r="G6182" t="s">
        <v>14</v>
      </c>
      <c r="H6182">
             </c>
      <c r="I6182" t="s">
        <v>14</v>
      </c>
      <c r="J6182" t="s">
        <v>242</v>
      </c>
      <c r="K6182" t="s">
        <v>14</v>
      </c>
      <c r="L6182" t="s">
        <v>20</v>
      </c>
      <c r="M6182" t="s">
        <v>12155</v>
      </c>
      <c r="N6182" t="s">
        <v>14</v>
      </c>
    </row>
    <row r="6183" x14ac:dyDescent="0.25">
      <c r="A6183" t="n">
        <v>25</v>
      </c>
      <c r="B6183" t="s">
        <v>14</v>
      </c>
      <c r="C6183" t="s">
        <v>51</v>
      </c>
      <c r="D6183" s="2" t="s">
        <f>=HYPERLINK("https://main.knesset.gov.il/APPS/legislation/main/bills/2197356", "הצעת חוק ההתגוננות האזרחית (תיקון - התקן בטיחותי על דלת מרחב מוגן דירתי), התשפ""ג-2023")</f>
        <v>12254</v>
      </c>
      <c r="E6183" t="s">
        <v>12254</v>
      </c>
      <c r="F6183" t="s">
        <v>12255</v>
      </c>
      <c r="G6183" t="s">
        <v>14</v>
      </c>
      <c r="H6183">
             </c>
      <c r="I6183" t="s">
        <v>14</v>
      </c>
      <c r="J6183" t="s">
        <v>242</v>
      </c>
      <c r="K6183" t="s">
        <v>14</v>
      </c>
      <c r="L6183" t="s">
        <v>20</v>
      </c>
      <c r="M6183" t="s">
        <v>12155</v>
      </c>
      <c r="N6183" t="s">
        <v>14</v>
      </c>
    </row>
    <row r="6184" x14ac:dyDescent="0.25">
      <c r="A6184" t="n">
        <v>25</v>
      </c>
      <c r="B6184" t="s">
        <v>14</v>
      </c>
      <c r="C6184" t="s">
        <v>51</v>
      </c>
      <c r="D6184" s="2" t="s">
        <f>=HYPERLINK("https://main.knesset.gov.il/APPS/legislation/main/bills/2198341", "הצעת חוק למניעת התנכלות תעסוקתית, התשפ""ג-2023")</f>
        <v>8894</v>
      </c>
      <c r="E6184" t="s">
        <v>8894</v>
      </c>
      <c r="F6184" t="s">
        <v>12256</v>
      </c>
      <c r="G6184" t="s">
        <v>14</v>
      </c>
      <c r="H6184">
             </c>
      <c r="I6184" t="s">
        <v>14</v>
      </c>
      <c r="J6184" t="s">
        <v>242</v>
      </c>
      <c r="K6184" t="s">
        <v>14</v>
      </c>
      <c r="L6184" t="s">
        <v>20</v>
      </c>
      <c r="M6184" t="s">
        <v>12155</v>
      </c>
      <c r="N6184" t="s">
        <v>14</v>
      </c>
    </row>
    <row r="6185" x14ac:dyDescent="0.25">
      <c r="A6185" t="n">
        <v>25</v>
      </c>
      <c r="B6185" t="s">
        <v>14</v>
      </c>
      <c r="C6185" t="s">
        <v>51</v>
      </c>
      <c r="D6185" s="2" t="s">
        <f>=HYPERLINK("https://main.knesset.gov.il/APPS/legislation/main/bills/2197428", "הצעת חוק חובת המכרזים (תיקון - עסק קולט עלייה), התשפ""ג-2023")</f>
        <v>12257</v>
      </c>
      <c r="E6185" t="s">
        <v>12257</v>
      </c>
      <c r="F6185" t="s">
        <v>12258</v>
      </c>
      <c r="G6185" t="s">
        <v>14</v>
      </c>
      <c r="H6185">
             </c>
      <c r="I6185" t="s">
        <v>14</v>
      </c>
      <c r="J6185" t="s">
        <v>242</v>
      </c>
      <c r="K6185" t="s">
        <v>14</v>
      </c>
      <c r="L6185" t="s">
        <v>20</v>
      </c>
      <c r="M6185" t="s">
        <v>12155</v>
      </c>
      <c r="N6185" t="s">
        <v>14</v>
      </c>
    </row>
    <row r="6186" x14ac:dyDescent="0.25">
      <c r="A6186" t="n">
        <v>25</v>
      </c>
      <c r="B6186" t="s">
        <v>14</v>
      </c>
      <c r="C6186" t="s">
        <v>51</v>
      </c>
      <c r="D6186" s="2" t="s">
        <f>=HYPERLINK("https://main.knesset.gov.il/APPS/legislation/main/bills/2197346", "הצעת חוק דמי מחלה (היעדרות בשל מחלת ילד) (תיקון - הורה ליותר מילד אחד), התשפ""ג-2023")</f>
        <v>9515</v>
      </c>
      <c r="E6186" t="s">
        <v>9515</v>
      </c>
      <c r="F6186" t="s">
        <v>12259</v>
      </c>
      <c r="G6186" t="s">
        <v>14</v>
      </c>
      <c r="H6186">
             </c>
      <c r="I6186" t="s">
        <v>14</v>
      </c>
      <c r="J6186" t="s">
        <v>242</v>
      </c>
      <c r="K6186" t="s">
        <v>14</v>
      </c>
      <c r="L6186" t="s">
        <v>20</v>
      </c>
      <c r="M6186" t="s">
        <v>12155</v>
      </c>
      <c r="N6186" t="s">
        <v>14</v>
      </c>
    </row>
    <row r="6187" x14ac:dyDescent="0.25">
      <c r="A6187" t="n">
        <v>25</v>
      </c>
      <c r="B6187" t="s">
        <v>14</v>
      </c>
      <c r="C6187" t="s">
        <v>51</v>
      </c>
      <c r="D6187" s="2" t="s">
        <f>=HYPERLINK("https://main.knesset.gov.il/APPS/legislation/main/bills/2197340", "הצעת חוק הגנת הצרכן (תיקון - סיכום פנייה), התשפ""ג-2023")</f>
        <v>11598</v>
      </c>
      <c r="E6187" t="s">
        <v>11598</v>
      </c>
      <c r="F6187" t="s">
        <v>12260</v>
      </c>
      <c r="G6187" t="s">
        <v>14</v>
      </c>
      <c r="H6187">
             </c>
      <c r="I6187" t="s">
        <v>14</v>
      </c>
      <c r="J6187" t="s">
        <v>242</v>
      </c>
      <c r="K6187" t="s">
        <v>14</v>
      </c>
      <c r="L6187" t="s">
        <v>20</v>
      </c>
      <c r="M6187" t="s">
        <v>12155</v>
      </c>
      <c r="N6187" t="s">
        <v>14</v>
      </c>
    </row>
    <row r="6188" x14ac:dyDescent="0.25">
      <c r="A6188" t="n">
        <v>25</v>
      </c>
      <c r="B6188" t="s">
        <v>14</v>
      </c>
      <c r="C6188" t="s">
        <v>51</v>
      </c>
      <c r="D6188" s="2" t="s">
        <f>=HYPERLINK("https://main.knesset.gov.il/APPS/legislation/main/bills/2197136", "הצעת חוק גיל פרישה (תיקון - הקדמת גיל הפרישה), התשפ""ג-2023")</f>
        <v>12261</v>
      </c>
      <c r="E6188" t="s">
        <v>12261</v>
      </c>
      <c r="F6188" t="s">
        <v>12262</v>
      </c>
      <c r="G6188" t="s">
        <v>14</v>
      </c>
      <c r="H6188">
             </c>
      <c r="I6188" t="s">
        <v>14</v>
      </c>
      <c r="J6188" t="s">
        <v>242</v>
      </c>
      <c r="K6188" t="s">
        <v>14</v>
      </c>
      <c r="L6188" t="s">
        <v>20</v>
      </c>
      <c r="M6188" t="s">
        <v>12155</v>
      </c>
      <c r="N6188" t="s">
        <v>14</v>
      </c>
    </row>
    <row r="6189" x14ac:dyDescent="0.25">
      <c r="A6189" t="n">
        <v>25</v>
      </c>
      <c r="B6189" t="s">
        <v>14</v>
      </c>
      <c r="C6189" t="s">
        <v>51</v>
      </c>
      <c r="D6189" s="2" t="s">
        <f>=HYPERLINK("https://main.knesset.gov.il/APPS/legislation/main/bills/2197464", "הצעת חוק הביטוח הלאומי (תיקון - העלאת קצבת הילדים), התשפ""ג-2023")</f>
        <v>11233</v>
      </c>
      <c r="E6189" t="s">
        <v>11233</v>
      </c>
      <c r="F6189" t="s">
        <v>12263</v>
      </c>
      <c r="G6189" t="s">
        <v>14</v>
      </c>
      <c r="H6189">
             </c>
      <c r="I6189" t="s">
        <v>14</v>
      </c>
      <c r="J6189" t="s">
        <v>242</v>
      </c>
      <c r="K6189" t="s">
        <v>14</v>
      </c>
      <c r="L6189" t="s">
        <v>20</v>
      </c>
      <c r="M6189" t="s">
        <v>12155</v>
      </c>
      <c r="N6189" t="s">
        <v>14</v>
      </c>
    </row>
    <row r="6190" x14ac:dyDescent="0.25">
      <c r="A6190" t="n">
        <v>25</v>
      </c>
      <c r="B6190" t="s">
        <v>14</v>
      </c>
      <c r="C6190" t="s">
        <v>51</v>
      </c>
      <c r="D6190" s="2" t="s">
        <f>=HYPERLINK("https://main.knesset.gov.il/APPS/legislation/main/bills/2198754", "הצעת חוק התכנון והבנייה (תיקון - מכירה ישירה של תוצרת חקלאית), התשפ""ג-2023")</f>
        <v>8947</v>
      </c>
      <c r="E6190" t="s">
        <v>8947</v>
      </c>
      <c r="F6190" t="s">
        <v>12264</v>
      </c>
      <c r="G6190" t="s">
        <v>14</v>
      </c>
      <c r="H6190">
             </c>
      <c r="I6190" t="s">
        <v>14</v>
      </c>
      <c r="J6190" t="s">
        <v>202</v>
      </c>
      <c r="K6190" t="s">
        <v>14</v>
      </c>
      <c r="L6190" t="s">
        <v>20</v>
      </c>
      <c r="M6190" t="s">
        <v>12155</v>
      </c>
      <c r="N6190" t="s">
        <v>14</v>
      </c>
    </row>
    <row r="6191" x14ac:dyDescent="0.25">
      <c r="A6191" t="n">
        <v>25</v>
      </c>
      <c r="B6191" t="s">
        <v>14</v>
      </c>
      <c r="C6191" t="s">
        <v>51</v>
      </c>
      <c r="D6191" s="2" t="s">
        <f>=HYPERLINK("https://main.knesset.gov.il/APPS/legislation/main/bills/2196509", "הצעת חוק לתיקון פקודת התעבורה (הגבלת הפעלת רכב ציבורי בימי מנוחה), התשפ""ג-2023")</f>
        <v>9235</v>
      </c>
      <c r="E6191" t="s">
        <v>9235</v>
      </c>
      <c r="F6191" t="s">
        <v>12265</v>
      </c>
      <c r="G6191" t="s">
        <v>14</v>
      </c>
      <c r="H6191">
             </c>
      <c r="I6191" t="s">
        <v>14</v>
      </c>
      <c r="J6191" t="s">
        <v>242</v>
      </c>
      <c r="K6191" t="s">
        <v>14</v>
      </c>
      <c r="L6191" t="s">
        <v>20</v>
      </c>
      <c r="M6191" t="s">
        <v>12155</v>
      </c>
      <c r="N6191" t="s">
        <v>14</v>
      </c>
    </row>
    <row r="6192" x14ac:dyDescent="0.25">
      <c r="A6192" t="n">
        <v>25</v>
      </c>
      <c r="B6192" t="s">
        <v>14</v>
      </c>
      <c r="C6192" t="s">
        <v>51</v>
      </c>
      <c r="D6192" s="2" t="s">
        <f>=HYPERLINK("https://main.knesset.gov.il/APPS/legislation/main/bills/2197360", "הצעת חוק מידע גנטי (תיקון - עריכת בדיקה גנטית לאיתור בן משפחה שעלה בין השנים 1948 עד 1959), התשפ""ג-2023")</f>
        <v>12266</v>
      </c>
      <c r="E6192" t="s">
        <v>12266</v>
      </c>
      <c r="F6192" t="s">
        <v>12267</v>
      </c>
      <c r="G6192" t="s">
        <v>14</v>
      </c>
      <c r="H6192">
             </c>
      <c r="I6192" t="s">
        <v>14</v>
      </c>
      <c r="J6192" t="s">
        <v>242</v>
      </c>
      <c r="K6192" t="s">
        <v>14</v>
      </c>
      <c r="L6192" t="s">
        <v>20</v>
      </c>
      <c r="M6192" t="s">
        <v>12155</v>
      </c>
      <c r="N6192" t="s">
        <v>14</v>
      </c>
    </row>
    <row r="6193" x14ac:dyDescent="0.25">
      <c r="A6193" t="n">
        <v>25</v>
      </c>
      <c r="B6193" t="s">
        <v>14</v>
      </c>
      <c r="C6193" t="s">
        <v>51</v>
      </c>
      <c r="D6193" s="2" t="s">
        <f>=HYPERLINK("https://main.knesset.gov.il/APPS/legislation/main/bills/2197339", "הצעת חוק הגנת הצרכן (תיקון - מתן שירות טלפוני על ידי בעל רישיון להפעלת קו שירות לאוטובוס), התשפ""ג-2023")</f>
        <v>12268</v>
      </c>
      <c r="E6193" t="s">
        <v>12268</v>
      </c>
      <c r="F6193" t="s">
        <v>12269</v>
      </c>
      <c r="G6193" t="s">
        <v>14</v>
      </c>
      <c r="H6193">
             </c>
      <c r="I6193" t="s">
        <v>14</v>
      </c>
      <c r="J6193" t="s">
        <v>242</v>
      </c>
      <c r="K6193" t="s">
        <v>14</v>
      </c>
      <c r="L6193" t="s">
        <v>20</v>
      </c>
      <c r="M6193" t="s">
        <v>12155</v>
      </c>
      <c r="N6193" t="s">
        <v>14</v>
      </c>
    </row>
    <row r="6194" x14ac:dyDescent="0.25">
      <c r="A6194" t="n">
        <v>25</v>
      </c>
      <c r="B6194" t="s">
        <v>14</v>
      </c>
      <c r="C6194" t="s">
        <v>51</v>
      </c>
      <c r="D6194" s="2" t="s">
        <f>=HYPERLINK("https://main.knesset.gov.il/APPS/legislation/main/bills/2198749", "הצעת חוק תגמול לנושאי משרה בתאגידים פיננסיים (אישור מיוחד ואי-התרת הוצאה לצורכי מס בשל תגמול חריג) (תיקון - הרחבת התחולה על ספקים וקמעונאים גדולים), התשפ""ג-2023")</f>
        <v>12270</v>
      </c>
      <c r="E6194" t="s">
        <v>12270</v>
      </c>
      <c r="F6194" t="s">
        <v>12271</v>
      </c>
      <c r="G6194" t="s">
        <v>14</v>
      </c>
      <c r="H6194">
             </c>
      <c r="I6194" t="s">
        <v>14</v>
      </c>
      <c r="J6194" t="s">
        <v>242</v>
      </c>
      <c r="K6194" t="s">
        <v>14</v>
      </c>
      <c r="L6194" t="s">
        <v>20</v>
      </c>
      <c r="M6194" t="s">
        <v>12155</v>
      </c>
      <c r="N6194" t="s">
        <v>14</v>
      </c>
    </row>
    <row r="6195" x14ac:dyDescent="0.25">
      <c r="A6195" t="n">
        <v>25</v>
      </c>
      <c r="B6195" t="s">
        <v>14</v>
      </c>
      <c r="C6195" t="s">
        <v>51</v>
      </c>
      <c r="D6195" s="2" t="s">
        <f>=HYPERLINK("https://main.knesset.gov.il/APPS/legislation/main/bills/2198328", "הצעת חוק הבטחת הכנסה (תיקון - זכאות להטבות הניתנות לזכאים לגמלת הבטחת הכנסה), התשפ""ג-2023")</f>
        <v>12272</v>
      </c>
      <c r="E6195" t="s">
        <v>12272</v>
      </c>
      <c r="F6195" t="s">
        <v>12273</v>
      </c>
      <c r="G6195" t="s">
        <v>14</v>
      </c>
      <c r="H6195">
             </c>
      <c r="I6195" t="s">
        <v>14</v>
      </c>
      <c r="J6195" t="s">
        <v>242</v>
      </c>
      <c r="K6195" t="s">
        <v>14</v>
      </c>
      <c r="L6195" t="s">
        <v>20</v>
      </c>
      <c r="M6195" t="s">
        <v>12155</v>
      </c>
      <c r="N6195" t="s">
        <v>14</v>
      </c>
    </row>
    <row r="6196" x14ac:dyDescent="0.25">
      <c r="A6196" t="n">
        <v>25</v>
      </c>
      <c r="B6196" t="s">
        <v>14</v>
      </c>
      <c r="C6196" t="s">
        <v>51</v>
      </c>
      <c r="D6196" s="2" t="s">
        <f>=HYPERLINK("https://main.knesset.gov.il/APPS/legislation/main/bills/2198817", "הצעת חוק לתיקון פקודת העיריות (צדק חלוקתי בכל הרשויות המתוקצבות במדינת ישראל), התשפ""ג-2023")</f>
        <v>8122</v>
      </c>
      <c r="E6196" t="s">
        <v>8122</v>
      </c>
      <c r="F6196" t="s">
        <v>12274</v>
      </c>
      <c r="G6196" t="s">
        <v>14</v>
      </c>
      <c r="H6196">
             </c>
      <c r="I6196" t="s">
        <v>14</v>
      </c>
      <c r="J6196" t="s">
        <v>242</v>
      </c>
      <c r="K6196" t="s">
        <v>14</v>
      </c>
      <c r="L6196" t="s">
        <v>20</v>
      </c>
      <c r="M6196" t="s">
        <v>12155</v>
      </c>
      <c r="N6196" t="s">
        <v>14</v>
      </c>
    </row>
    <row r="6197" x14ac:dyDescent="0.25">
      <c r="A6197" t="n">
        <v>25</v>
      </c>
      <c r="B6197" t="s">
        <v>14</v>
      </c>
      <c r="C6197" t="s">
        <v>51</v>
      </c>
      <c r="D6197" s="2" t="s">
        <f>=HYPERLINK("https://main.knesset.gov.il/APPS/legislation/main/bills/2198570", "הצעת חוק-יסוד: ירושלים בירת ישראל (תיקון - איסור על פתיחת נציגות דיפלומטית זרה)")</f>
        <v>6199</v>
      </c>
      <c r="E6197" t="s">
        <v>6199</v>
      </c>
      <c r="F6197" t="s">
        <v>12275</v>
      </c>
      <c r="G6197" t="s">
        <v>14</v>
      </c>
      <c r="H6197">
             </c>
      <c r="I6197" t="s">
        <v>14</v>
      </c>
      <c r="J6197" t="s">
        <v>242</v>
      </c>
      <c r="K6197" t="s">
        <v>14</v>
      </c>
      <c r="L6197" t="s">
        <v>20</v>
      </c>
      <c r="M6197" t="s">
        <v>12155</v>
      </c>
      <c r="N6197" t="s">
        <v>14</v>
      </c>
    </row>
    <row r="6198" x14ac:dyDescent="0.25">
      <c r="A6198" t="n">
        <v>25</v>
      </c>
      <c r="B6198" t="s">
        <v>14</v>
      </c>
      <c r="C6198" t="s">
        <v>51</v>
      </c>
      <c r="D6198" s="2" t="s">
        <f>=HYPERLINK("https://main.knesset.gov.il/APPS/legislation/main/bills/2198815", "הצעת חוק-יסוד: הפסקת חברות של חבר כנסת והעברת שר וראש ממשלה מכהונתם מחמת הפרת הבטחת בחירות (תיקוני חקיקה)")</f>
        <v>12276</v>
      </c>
      <c r="E6198" t="s">
        <v>12276</v>
      </c>
      <c r="F6198" t="s">
        <v>12277</v>
      </c>
      <c r="G6198" t="s">
        <v>14</v>
      </c>
      <c r="H6198">
             </c>
      <c r="I6198" t="s">
        <v>14</v>
      </c>
      <c r="J6198" t="s">
        <v>242</v>
      </c>
      <c r="K6198" t="s">
        <v>14</v>
      </c>
      <c r="L6198" t="s">
        <v>20</v>
      </c>
      <c r="M6198" t="s">
        <v>12155</v>
      </c>
      <c r="N6198" t="s">
        <v>14</v>
      </c>
    </row>
    <row r="6199" x14ac:dyDescent="0.25">
      <c r="A6199" t="n">
        <v>25</v>
      </c>
      <c r="B6199" t="s">
        <v>14</v>
      </c>
      <c r="C6199" t="s">
        <v>51</v>
      </c>
      <c r="D6199" s="2" t="s">
        <f>=HYPERLINK("https://main.knesset.gov.il/APPS/legislation/main/bills/2198196", "הצעת חוק דמי מחלה (תיקון - תשלום דמי מחלה החל מהיום הראשון להיעדרות), התשפ""ג-2023")</f>
        <v>12278</v>
      </c>
      <c r="E6199" t="s">
        <v>12278</v>
      </c>
      <c r="F6199" t="s">
        <v>12279</v>
      </c>
      <c r="G6199" t="s">
        <v>14</v>
      </c>
      <c r="H6199">
             </c>
      <c r="I6199" t="s">
        <v>14</v>
      </c>
      <c r="J6199" t="s">
        <v>242</v>
      </c>
      <c r="K6199" t="s">
        <v>14</v>
      </c>
      <c r="L6199" t="s">
        <v>20</v>
      </c>
      <c r="M6199" t="s">
        <v>12155</v>
      </c>
      <c r="N6199" t="s">
        <v>14</v>
      </c>
    </row>
    <row r="6200" x14ac:dyDescent="0.25">
      <c r="A6200" t="n">
        <v>25</v>
      </c>
      <c r="B6200" t="s">
        <v>14</v>
      </c>
      <c r="C6200" t="s">
        <v>51</v>
      </c>
      <c r="D6200" s="2" t="s">
        <f>=HYPERLINK("https://main.knesset.gov.il/APPS/legislation/main/bills/2198759", "הצעת חוק חובת המכרזים (תיקון - עידוד עסקים קטנים ובינוניים באזור פריפריה במכרז), התשפ""ג-2023")</f>
        <v>10124</v>
      </c>
      <c r="E6200" t="s">
        <v>10124</v>
      </c>
      <c r="F6200" t="s">
        <v>12280</v>
      </c>
      <c r="G6200" t="s">
        <v>14</v>
      </c>
      <c r="H6200">
             </c>
      <c r="I6200" t="s">
        <v>14</v>
      </c>
      <c r="J6200" t="s">
        <v>242</v>
      </c>
      <c r="K6200" t="s">
        <v>14</v>
      </c>
      <c r="L6200" t="s">
        <v>20</v>
      </c>
      <c r="M6200" t="s">
        <v>12155</v>
      </c>
      <c r="N6200" t="s">
        <v>14</v>
      </c>
    </row>
    <row r="6201" x14ac:dyDescent="0.25">
      <c r="A6201" t="n">
        <v>25</v>
      </c>
      <c r="B6201" t="s">
        <v>14</v>
      </c>
      <c r="C6201" t="s">
        <v>51</v>
      </c>
      <c r="D6201" s="2" t="s">
        <f>=HYPERLINK("https://main.knesset.gov.il/APPS/legislation/main/bills/2198203", "הצעת חוק לתיקון פקודת בריאות העם (העדפות מתן רישיון למכשור רפואי בפריפריה), התשפ""ג-2023")</f>
        <v>8185</v>
      </c>
      <c r="E6201" t="s">
        <v>8185</v>
      </c>
      <c r="F6201" t="s">
        <v>12281</v>
      </c>
      <c r="G6201" t="s">
        <v>14</v>
      </c>
      <c r="H6201">
             </c>
      <c r="I6201" t="s">
        <v>14</v>
      </c>
      <c r="J6201" t="s">
        <v>242</v>
      </c>
      <c r="K6201" t="s">
        <v>14</v>
      </c>
      <c r="L6201" t="s">
        <v>20</v>
      </c>
      <c r="M6201" t="s">
        <v>12155</v>
      </c>
      <c r="N6201" t="s">
        <v>14</v>
      </c>
    </row>
    <row r="6202" x14ac:dyDescent="0.25">
      <c r="A6202" t="n">
        <v>25</v>
      </c>
      <c r="B6202" t="s">
        <v>14</v>
      </c>
      <c r="C6202" t="s">
        <v>51</v>
      </c>
      <c r="D6202" s="2" t="s">
        <f>=HYPERLINK("https://main.knesset.gov.il/APPS/legislation/main/bills/2198202", "הצעת חוק ביטוח בריאות ממלכתי (תיקון - החזר דמי נסיעות והסעות לטיפולי אונקולוגיה ודיאליזה), התשפ""ג-2023")</f>
        <v>11601</v>
      </c>
      <c r="E6202" t="s">
        <v>11601</v>
      </c>
      <c r="F6202" t="s">
        <v>12282</v>
      </c>
      <c r="G6202" t="s">
        <v>14</v>
      </c>
      <c r="H6202">
             </c>
      <c r="I6202" t="s">
        <v>14</v>
      </c>
      <c r="J6202" t="s">
        <v>242</v>
      </c>
      <c r="K6202" t="s">
        <v>14</v>
      </c>
      <c r="L6202" t="s">
        <v>20</v>
      </c>
      <c r="M6202" t="s">
        <v>12155</v>
      </c>
      <c r="N6202" t="s">
        <v>14</v>
      </c>
    </row>
    <row r="6203" x14ac:dyDescent="0.25">
      <c r="A6203" t="n">
        <v>25</v>
      </c>
      <c r="B6203" t="s">
        <v>14</v>
      </c>
      <c r="C6203" t="s">
        <v>51</v>
      </c>
      <c r="D6203" s="2" t="s">
        <f>=HYPERLINK("https://main.knesset.gov.il/APPS/legislation/main/bills/2198567", "הצעת חוק ארוחה יומית לתלמיד (תיקון - הרחבת תחולת החוק), התשפ""ג-2023")</f>
        <v>9768</v>
      </c>
      <c r="E6203" t="s">
        <v>9768</v>
      </c>
      <c r="F6203" t="s">
        <v>12283</v>
      </c>
      <c r="G6203" t="s">
        <v>14</v>
      </c>
      <c r="H6203">
             </c>
      <c r="I6203" t="s">
        <v>14</v>
      </c>
      <c r="J6203" t="s">
        <v>242</v>
      </c>
      <c r="K6203" t="s">
        <v>14</v>
      </c>
      <c r="L6203" t="s">
        <v>20</v>
      </c>
      <c r="M6203" t="s">
        <v>12155</v>
      </c>
      <c r="N6203" t="s">
        <v>14</v>
      </c>
    </row>
    <row r="6204" x14ac:dyDescent="0.25">
      <c r="A6204" t="n">
        <v>25</v>
      </c>
      <c r="B6204" t="s">
        <v>14</v>
      </c>
      <c r="C6204" t="s">
        <v>51</v>
      </c>
      <c r="D6204" s="2" t="s">
        <f>=HYPERLINK("https://main.knesset.gov.il/APPS/legislation/main/bills/2198519", "הצעת חוק התכנון והבנייה (תיקון - ייצוג הולם לאוכלוסייה החרדית במועצה הארצית לתכנון ולבנייה), התשפ""ג-2023")</f>
        <v>12284</v>
      </c>
      <c r="E6204" t="s">
        <v>12284</v>
      </c>
      <c r="F6204" t="s">
        <v>12285</v>
      </c>
      <c r="G6204" t="s">
        <v>14</v>
      </c>
      <c r="H6204">
             </c>
      <c r="I6204" t="s">
        <v>14</v>
      </c>
      <c r="J6204" t="s">
        <v>242</v>
      </c>
      <c r="K6204" t="s">
        <v>14</v>
      </c>
      <c r="L6204" t="s">
        <v>20</v>
      </c>
      <c r="M6204" t="s">
        <v>12155</v>
      </c>
      <c r="N6204" t="s">
        <v>14</v>
      </c>
    </row>
    <row r="6205" x14ac:dyDescent="0.25">
      <c r="A6205" t="n">
        <v>25</v>
      </c>
      <c r="B6205" t="s">
        <v>14</v>
      </c>
      <c r="C6205" t="s">
        <v>51</v>
      </c>
      <c r="D6205" s="2" t="s">
        <f>=HYPERLINK("https://main.knesset.gov.il/APPS/legislation/main/bills/2198206", "הצעת חוק ביטוח בריאות ממלכתי (תיקון - הפחתה בדמי ביטוח בריאות לתושבי הפריפריה), התשפ""ג-2023")</f>
        <v>9619</v>
      </c>
      <c r="E6205" t="s">
        <v>9619</v>
      </c>
      <c r="F6205" t="s">
        <v>12286</v>
      </c>
      <c r="G6205" t="s">
        <v>14</v>
      </c>
      <c r="H6205">
             </c>
      <c r="I6205" t="s">
        <v>14</v>
      </c>
      <c r="J6205" t="s">
        <v>242</v>
      </c>
      <c r="K6205" t="s">
        <v>14</v>
      </c>
      <c r="L6205" t="s">
        <v>20</v>
      </c>
      <c r="M6205" t="s">
        <v>12155</v>
      </c>
      <c r="N6205" t="s">
        <v>14</v>
      </c>
    </row>
    <row r="6206" x14ac:dyDescent="0.25">
      <c r="A6206" t="n">
        <v>25</v>
      </c>
      <c r="B6206" t="s">
        <v>14</v>
      </c>
      <c r="C6206" t="s">
        <v>51</v>
      </c>
      <c r="D6206" s="2" t="s">
        <f>=HYPERLINK("https://main.knesset.gov.il/APPS/legislation/main/bills/2198301", "הצעת חוק הגנת השכר (תיקון - פטור מדמי טיפול מקצועי-ארגוני), התשפ""ג-2023")</f>
        <v>12287</v>
      </c>
      <c r="E6206" t="s">
        <v>12287</v>
      </c>
      <c r="F6206" t="s">
        <v>12288</v>
      </c>
      <c r="G6206" t="s">
        <v>14</v>
      </c>
      <c r="H6206">
             </c>
      <c r="I6206" t="s">
        <v>14</v>
      </c>
      <c r="J6206" t="s">
        <v>242</v>
      </c>
      <c r="K6206" t="s">
        <v>14</v>
      </c>
      <c r="L6206" t="s">
        <v>20</v>
      </c>
      <c r="M6206" t="s">
        <v>12155</v>
      </c>
      <c r="N6206" t="s">
        <v>14</v>
      </c>
    </row>
    <row r="6207" x14ac:dyDescent="0.25">
      <c r="A6207" t="n">
        <v>25</v>
      </c>
      <c r="B6207" t="s">
        <v>14</v>
      </c>
      <c r="C6207" t="s">
        <v>51</v>
      </c>
      <c r="D6207" s="2" t="s">
        <f>=HYPERLINK("https://main.knesset.gov.il/APPS/legislation/main/bills/2198260", "הצעת חוק הפיקוח על שירותים פיננסיים (ביטוח) (תיקון - איסור הפליה במתן שירותי ביטוח), התשפ""ג-2023")</f>
        <v>12289</v>
      </c>
      <c r="E6207" t="s">
        <v>12289</v>
      </c>
      <c r="F6207" t="s">
        <v>12290</v>
      </c>
      <c r="G6207" t="s">
        <v>14</v>
      </c>
      <c r="H6207">
             </c>
      <c r="I6207" t="s">
        <v>14</v>
      </c>
      <c r="J6207" t="s">
        <v>242</v>
      </c>
      <c r="K6207" t="s">
        <v>14</v>
      </c>
      <c r="L6207" t="s">
        <v>20</v>
      </c>
      <c r="M6207" t="s">
        <v>12155</v>
      </c>
      <c r="N6207" t="s">
        <v>14</v>
      </c>
    </row>
    <row r="6208" x14ac:dyDescent="0.25">
      <c r="A6208" t="n">
        <v>25</v>
      </c>
      <c r="B6208" t="s">
        <v>14</v>
      </c>
      <c r="C6208" t="s">
        <v>51</v>
      </c>
      <c r="D6208" s="2" t="s">
        <f>=HYPERLINK("https://main.knesset.gov.il/APPS/legislation/main/bills/2197996", "הצעת חוק טיפול בחולי נפש (תיקון - תנאי אשפוז הולמים), התשפ""ג-2023")</f>
        <v>8269</v>
      </c>
      <c r="E6208" t="s">
        <v>8269</v>
      </c>
      <c r="F6208" t="s">
        <v>12291</v>
      </c>
      <c r="G6208" t="s">
        <v>14</v>
      </c>
      <c r="H6208">
             </c>
      <c r="I6208" t="s">
        <v>14</v>
      </c>
      <c r="J6208" t="s">
        <v>242</v>
      </c>
      <c r="K6208" t="s">
        <v>14</v>
      </c>
      <c r="L6208" t="s">
        <v>20</v>
      </c>
      <c r="M6208" t="s">
        <v>12155</v>
      </c>
      <c r="N6208" t="s">
        <v>14</v>
      </c>
    </row>
    <row r="6209" x14ac:dyDescent="0.25">
      <c r="A6209" t="n">
        <v>25</v>
      </c>
      <c r="B6209" t="s">
        <v>14</v>
      </c>
      <c r="C6209" t="s">
        <v>51</v>
      </c>
      <c r="D6209" s="2" t="s">
        <f>=HYPERLINK("https://main.knesset.gov.il/APPS/legislation/main/bills/2198183", "הצעת חוק משמר מקומי, התשפ""ג-2023")</f>
        <v>12292</v>
      </c>
      <c r="E6209" t="s">
        <v>12292</v>
      </c>
      <c r="F6209" t="s">
        <v>12293</v>
      </c>
      <c r="G6209" t="s">
        <v>14</v>
      </c>
      <c r="H6209">
             </c>
      <c r="I6209" t="s">
        <v>14</v>
      </c>
      <c r="J6209" t="s">
        <v>242</v>
      </c>
      <c r="K6209" t="s">
        <v>14</v>
      </c>
      <c r="L6209" t="s">
        <v>20</v>
      </c>
      <c r="M6209" t="s">
        <v>12155</v>
      </c>
      <c r="N6209" t="s">
        <v>14</v>
      </c>
    </row>
    <row r="6210" x14ac:dyDescent="0.25">
      <c r="A6210" t="n">
        <v>25</v>
      </c>
      <c r="B6210" t="s">
        <v>14</v>
      </c>
      <c r="C6210" t="s">
        <v>51</v>
      </c>
      <c r="D6210" s="2" t="s">
        <f>=HYPERLINK("https://main.knesset.gov.il/APPS/legislation/main/bills/2197432", "הצעת חוק השבת זכויות במקרקעין שנשללו ביהודה ושומרון לפני קום המדינה, התשפ""ג-2023")</f>
        <v>12294</v>
      </c>
      <c r="E6210" t="s">
        <v>12294</v>
      </c>
      <c r="F6210" t="s">
        <v>12295</v>
      </c>
      <c r="G6210" t="s">
        <v>14</v>
      </c>
      <c r="H6210">
             </c>
      <c r="I6210" t="s">
        <v>14</v>
      </c>
      <c r="J6210" t="s">
        <v>242</v>
      </c>
      <c r="K6210" t="s">
        <v>14</v>
      </c>
      <c r="L6210" t="s">
        <v>20</v>
      </c>
      <c r="M6210" t="s">
        <v>12155</v>
      </c>
      <c r="N6210" t="s">
        <v>14</v>
      </c>
    </row>
    <row r="6211" x14ac:dyDescent="0.25">
      <c r="A6211" t="n">
        <v>25</v>
      </c>
      <c r="B6211" t="s">
        <v>14</v>
      </c>
      <c r="C6211" t="s">
        <v>51</v>
      </c>
      <c r="D6211" s="2" t="s">
        <f>=HYPERLINK("https://main.knesset.gov.il/APPS/legislation/main/bills/2197348", "הצעת חוק סינון אתרים פוגעניים במקומות ציבוריים, התשפ""ג-2023")</f>
        <v>11537</v>
      </c>
      <c r="E6211" t="s">
        <v>11537</v>
      </c>
      <c r="F6211" t="s">
        <v>12296</v>
      </c>
      <c r="G6211" t="s">
        <v>14</v>
      </c>
      <c r="H6211">
             </c>
      <c r="I6211" t="s">
        <v>14</v>
      </c>
      <c r="J6211" t="s">
        <v>242</v>
      </c>
      <c r="K6211" t="s">
        <v>14</v>
      </c>
      <c r="L6211" t="s">
        <v>20</v>
      </c>
      <c r="M6211" t="s">
        <v>12155</v>
      </c>
      <c r="N6211" t="s">
        <v>14</v>
      </c>
    </row>
    <row r="6212" x14ac:dyDescent="0.25">
      <c r="A6212" t="n">
        <v>25</v>
      </c>
      <c r="B6212" t="s">
        <v>14</v>
      </c>
      <c r="C6212" t="s">
        <v>51</v>
      </c>
      <c r="D6212" s="2" t="s">
        <f>=HYPERLINK("https://main.knesset.gov.il/APPS/legislation/main/bills/2197347", "הצעת חוק דמי מחלה (היעדרות בשל מחלת ילד) (תיקון - בן זוג לומד), התשפ""ג-2023")</f>
        <v>11771</v>
      </c>
      <c r="E6212" t="s">
        <v>11771</v>
      </c>
      <c r="F6212" t="s">
        <v>12297</v>
      </c>
      <c r="G6212" t="s">
        <v>14</v>
      </c>
      <c r="H6212">
             </c>
      <c r="I6212" t="s">
        <v>14</v>
      </c>
      <c r="J6212" t="s">
        <v>242</v>
      </c>
      <c r="K6212" t="s">
        <v>14</v>
      </c>
      <c r="L6212" t="s">
        <v>20</v>
      </c>
      <c r="M6212" t="s">
        <v>12155</v>
      </c>
      <c r="N6212" t="s">
        <v>14</v>
      </c>
    </row>
    <row r="6213" x14ac:dyDescent="0.25">
      <c r="A6213" t="n">
        <v>25</v>
      </c>
      <c r="B6213" t="s">
        <v>14</v>
      </c>
      <c r="C6213" t="s">
        <v>51</v>
      </c>
      <c r="D6213" s="2" t="s">
        <f>=HYPERLINK("https://main.knesset.gov.il/APPS/legislation/main/bills/2198141", "הצעת חוק ההוצאה לפועל (תיקון - הקפאת ריבית פיגורים בימי שביתה), התשפ""ג-2023")</f>
        <v>10395</v>
      </c>
      <c r="E6213" t="s">
        <v>10395</v>
      </c>
      <c r="F6213" t="s">
        <v>12298</v>
      </c>
      <c r="G6213" t="s">
        <v>14</v>
      </c>
      <c r="H6213">
             </c>
      <c r="I6213" t="s">
        <v>14</v>
      </c>
      <c r="J6213" t="s">
        <v>242</v>
      </c>
      <c r="K6213" t="s">
        <v>14</v>
      </c>
      <c r="L6213" t="s">
        <v>20</v>
      </c>
      <c r="M6213" t="s">
        <v>12155</v>
      </c>
      <c r="N6213" t="s">
        <v>14</v>
      </c>
    </row>
    <row r="6214" x14ac:dyDescent="0.25">
      <c r="A6214" t="n">
        <v>25</v>
      </c>
      <c r="B6214" t="s">
        <v>14</v>
      </c>
      <c r="C6214" t="s">
        <v>51</v>
      </c>
      <c r="D6214" s="2" t="s">
        <f>=HYPERLINK("https://main.knesset.gov.il/APPS/legislation/main/bills/2197980", "הצעת חוק להפחתת השימוש ברכב פרטי ולעידוד שימוש בתחבורה הציבורית, התשפ""ג-2023 ")</f>
        <v>12299</v>
      </c>
      <c r="E6214" t="s">
        <v>12299</v>
      </c>
      <c r="F6214" t="s">
        <v>12300</v>
      </c>
      <c r="G6214" t="s">
        <v>14</v>
      </c>
      <c r="H6214">
             </c>
      <c r="I6214" t="s">
        <v>14</v>
      </c>
      <c r="J6214" t="s">
        <v>242</v>
      </c>
      <c r="K6214" t="s">
        <v>14</v>
      </c>
      <c r="L6214" t="s">
        <v>20</v>
      </c>
      <c r="M6214" t="s">
        <v>12155</v>
      </c>
      <c r="N6214" t="s">
        <v>14</v>
      </c>
    </row>
    <row r="6215" x14ac:dyDescent="0.25">
      <c r="A6215" t="n">
        <v>25</v>
      </c>
      <c r="B6215" t="s">
        <v>14</v>
      </c>
      <c r="C6215" t="s">
        <v>51</v>
      </c>
      <c r="D6215" s="2" t="s">
        <f>=HYPERLINK("https://main.knesset.gov.il/APPS/legislation/main/bills/2197895", "הצעת חוק-יסוד: הממשלה (תיקון - הטלת התפקיד להרכיב ממשלה והגבלת מנגנון התפזרות הכנסת)")</f>
        <v>12301</v>
      </c>
      <c r="E6215" t="s">
        <v>12301</v>
      </c>
      <c r="F6215" t="s">
        <v>12302</v>
      </c>
      <c r="G6215" t="s">
        <v>14</v>
      </c>
      <c r="H6215">
             </c>
      <c r="I6215" t="s">
        <v>14</v>
      </c>
      <c r="J6215" t="s">
        <v>242</v>
      </c>
      <c r="K6215" t="s">
        <v>14</v>
      </c>
      <c r="L6215" t="s">
        <v>20</v>
      </c>
      <c r="M6215" t="s">
        <v>12155</v>
      </c>
      <c r="N6215" t="s">
        <v>14</v>
      </c>
    </row>
    <row r="6216" x14ac:dyDescent="0.25">
      <c r="A6216" t="n">
        <v>25</v>
      </c>
      <c r="B6216" t="s">
        <v>14</v>
      </c>
      <c r="C6216" t="s">
        <v>51</v>
      </c>
      <c r="D6216" s="2" t="s">
        <f>=HYPERLINK("https://main.knesset.gov.il/APPS/legislation/main/bills/2197798", "הצעת חוק הפיקוח על מעונות יום לפעוטות (תיקון - כשירותם של מחנכים-מטפלים), התשפ""ג-2023")</f>
        <v>9837</v>
      </c>
      <c r="E6216" t="s">
        <v>9837</v>
      </c>
      <c r="F6216" t="s">
        <v>12303</v>
      </c>
      <c r="G6216" t="s">
        <v>14</v>
      </c>
      <c r="H6216">
             </c>
      <c r="I6216" t="s">
        <v>14</v>
      </c>
      <c r="J6216" t="s">
        <v>242</v>
      </c>
      <c r="K6216" t="s">
        <v>14</v>
      </c>
      <c r="L6216" t="s">
        <v>20</v>
      </c>
      <c r="M6216" t="s">
        <v>12155</v>
      </c>
      <c r="N6216" t="s">
        <v>14</v>
      </c>
    </row>
    <row r="6217" x14ac:dyDescent="0.25">
      <c r="A6217" t="n">
        <v>25</v>
      </c>
      <c r="B6217" t="s">
        <v>14</v>
      </c>
      <c r="C6217" t="s">
        <v>51</v>
      </c>
      <c r="D6217" s="2" t="s">
        <f>=HYPERLINK("https://main.knesset.gov.il/APPS/legislation/main/bills/2197424", "הצעת חוק אתרי התיישבות בהליכי הסדרה, התשפ""ג-2023")</f>
        <v>12304</v>
      </c>
      <c r="E6217" t="s">
        <v>12304</v>
      </c>
      <c r="F6217" t="s">
        <v>12305</v>
      </c>
      <c r="G6217" t="s">
        <v>14</v>
      </c>
      <c r="H6217">
             </c>
      <c r="I6217" t="s">
        <v>14</v>
      </c>
      <c r="J6217" t="s">
        <v>242</v>
      </c>
      <c r="K6217" t="s">
        <v>14</v>
      </c>
      <c r="L6217" t="s">
        <v>20</v>
      </c>
      <c r="M6217" t="s">
        <v>12155</v>
      </c>
      <c r="N6217" t="s">
        <v>14</v>
      </c>
    </row>
    <row r="6218" x14ac:dyDescent="0.25">
      <c r="A6218" t="n">
        <v>25</v>
      </c>
      <c r="B6218" t="s">
        <v>14</v>
      </c>
      <c r="C6218" t="s">
        <v>51</v>
      </c>
      <c r="D6218" s="2" t="s">
        <f>=HYPERLINK("https://main.knesset.gov.il/APPS/legislation/main/bills/2197278", "הצעת חוק איסור הונאה בכשרות (תיקון - ביטול רפורמת הכשרות), התשפ""ג-2023")</f>
        <v>12306</v>
      </c>
      <c r="E6218" t="s">
        <v>12306</v>
      </c>
      <c r="F6218" t="s">
        <v>12307</v>
      </c>
      <c r="G6218" t="s">
        <v>14</v>
      </c>
      <c r="H6218">
             </c>
      <c r="I6218" t="s">
        <v>14</v>
      </c>
      <c r="J6218" t="s">
        <v>242</v>
      </c>
      <c r="K6218" t="s">
        <v>14</v>
      </c>
      <c r="L6218" t="s">
        <v>20</v>
      </c>
      <c r="M6218" t="s">
        <v>12155</v>
      </c>
      <c r="N6218" t="s">
        <v>14</v>
      </c>
    </row>
    <row r="6219" x14ac:dyDescent="0.25">
      <c r="A6219" t="n">
        <v>25</v>
      </c>
      <c r="B6219" t="s">
        <v>14</v>
      </c>
      <c r="C6219" t="s">
        <v>51</v>
      </c>
      <c r="D6219" s="2" t="s">
        <f>=HYPERLINK("https://main.knesset.gov.il/APPS/legislation/main/bills/2197207", "הצעת חוק הביטוח הלאומי (תיקון - פטור מתשלום דמי ביטוח לתלמיד על יסודי), התשפ""ג-2023")</f>
        <v>8247</v>
      </c>
      <c r="E6219" t="s">
        <v>8247</v>
      </c>
      <c r="F6219" t="s">
        <v>12308</v>
      </c>
      <c r="G6219" t="s">
        <v>14</v>
      </c>
      <c r="H6219">
             </c>
      <c r="I6219" t="s">
        <v>14</v>
      </c>
      <c r="J6219" t="s">
        <v>242</v>
      </c>
      <c r="K6219" t="s">
        <v>14</v>
      </c>
      <c r="L6219" t="s">
        <v>20</v>
      </c>
      <c r="M6219" t="s">
        <v>12155</v>
      </c>
      <c r="N6219" t="s">
        <v>14</v>
      </c>
    </row>
    <row r="6220" x14ac:dyDescent="0.25">
      <c r="A6220" t="n">
        <v>25</v>
      </c>
      <c r="B6220" t="s">
        <v>14</v>
      </c>
      <c r="C6220" t="s">
        <v>51</v>
      </c>
      <c r="D6220" s="2" t="s">
        <f>=HYPERLINK("https://main.knesset.gov.il/APPS/legislation/main/bills/2197354", "הצעת חוק חובת המכרזים (תיקון - חובה לשקול שיקולי הגנת צרכן במכרזים), התשפ""ג-2023")</f>
        <v>12309</v>
      </c>
      <c r="E6220" t="s">
        <v>12309</v>
      </c>
      <c r="F6220" t="s">
        <v>12310</v>
      </c>
      <c r="G6220" t="s">
        <v>14</v>
      </c>
      <c r="H6220">
             </c>
      <c r="I6220" t="s">
        <v>14</v>
      </c>
      <c r="J6220" t="s">
        <v>242</v>
      </c>
      <c r="K6220" t="s">
        <v>14</v>
      </c>
      <c r="L6220" t="s">
        <v>20</v>
      </c>
      <c r="M6220" t="s">
        <v>12155</v>
      </c>
      <c r="N6220" t="s">
        <v>14</v>
      </c>
    </row>
    <row r="6221" x14ac:dyDescent="0.25">
      <c r="A6221" t="n">
        <v>25</v>
      </c>
      <c r="B6221" t="s">
        <v>14</v>
      </c>
      <c r="C6221" t="s">
        <v>51</v>
      </c>
      <c r="D6221" s="2" t="s">
        <f>=HYPERLINK("https://main.knesset.gov.il/APPS/legislation/main/bills/2197457", "הצעת חוק דמי מחלה (היעדרות בשל מחלת ילד) (תיקון - ימי מחלה נוספים בשל מחלת ילד), התשפ""ג-2023")</f>
        <v>12311</v>
      </c>
      <c r="E6221" t="s">
        <v>12311</v>
      </c>
      <c r="F6221" t="s">
        <v>12312</v>
      </c>
      <c r="G6221" t="s">
        <v>14</v>
      </c>
      <c r="H6221">
             </c>
      <c r="I6221" t="s">
        <v>14</v>
      </c>
      <c r="J6221" t="s">
        <v>242</v>
      </c>
      <c r="K6221" t="s">
        <v>14</v>
      </c>
      <c r="L6221" t="s">
        <v>20</v>
      </c>
      <c r="M6221" t="s">
        <v>12155</v>
      </c>
      <c r="N6221" t="s">
        <v>14</v>
      </c>
    </row>
    <row r="6222" x14ac:dyDescent="0.25">
      <c r="A6222" t="n">
        <v>25</v>
      </c>
      <c r="B6222" t="s">
        <v>14</v>
      </c>
      <c r="C6222" t="s">
        <v>51</v>
      </c>
      <c r="D6222" s="2" t="s">
        <f>=HYPERLINK("https://main.knesset.gov.il/APPS/legislation/main/bills/2198061", "הצעת חוק-יסוד: קיצור תקופת הקמת ממשלה חדשה (תיקוני חקיקה)")</f>
        <v>12313</v>
      </c>
      <c r="E6222" t="s">
        <v>12313</v>
      </c>
      <c r="F6222" t="s">
        <v>12314</v>
      </c>
      <c r="G6222" t="s">
        <v>14</v>
      </c>
      <c r="H6222">
             </c>
      <c r="I6222" t="s">
        <v>14</v>
      </c>
      <c r="J6222" t="s">
        <v>242</v>
      </c>
      <c r="K6222" t="s">
        <v>14</v>
      </c>
      <c r="L6222" t="s">
        <v>20</v>
      </c>
      <c r="M6222" t="s">
        <v>12155</v>
      </c>
      <c r="N6222" t="s">
        <v>14</v>
      </c>
    </row>
    <row r="6223" x14ac:dyDescent="0.25">
      <c r="A6223" t="n">
        <v>25</v>
      </c>
      <c r="B6223" t="s">
        <v>14</v>
      </c>
      <c r="C6223" t="s">
        <v>51</v>
      </c>
      <c r="D6223" s="2" t="s">
        <f>=HYPERLINK("https://main.knesset.gov.il/APPS/legislation/main/bills/2197344", "הצעת חוק זכויות החולה (תיקון - הסדר חניה למאושפזים בבית חולים ולמבקריהם), התשפ""ג-2023")</f>
        <v>11504</v>
      </c>
      <c r="E6223" t="s">
        <v>11504</v>
      </c>
      <c r="F6223" t="s">
        <v>12315</v>
      </c>
      <c r="G6223" t="s">
        <v>14</v>
      </c>
      <c r="H6223">
             </c>
      <c r="I6223" t="s">
        <v>14</v>
      </c>
      <c r="J6223" t="s">
        <v>242</v>
      </c>
      <c r="K6223" t="s">
        <v>14</v>
      </c>
      <c r="L6223" t="s">
        <v>20</v>
      </c>
      <c r="M6223" t="s">
        <v>12155</v>
      </c>
      <c r="N6223" t="s">
        <v>14</v>
      </c>
    </row>
    <row r="6224" x14ac:dyDescent="0.25">
      <c r="A6224" t="n">
        <v>25</v>
      </c>
      <c r="B6224" t="s">
        <v>14</v>
      </c>
      <c r="C6224" t="s">
        <v>51</v>
      </c>
      <c r="D6224" s="2" t="s">
        <f>=HYPERLINK("https://main.knesset.gov.il/APPS/legislation/main/bills/2197338", "הצעת חוק הגנת הצרכן (תיקון - מגבלות על חיוב חשבון של צרכן בתשלומים), התשפ""ג-2023")</f>
        <v>11375</v>
      </c>
      <c r="E6224" t="s">
        <v>11375</v>
      </c>
      <c r="F6224" t="s">
        <v>12316</v>
      </c>
      <c r="G6224" t="s">
        <v>14</v>
      </c>
      <c r="H6224">
             </c>
      <c r="I6224" t="s">
        <v>14</v>
      </c>
      <c r="J6224" t="s">
        <v>242</v>
      </c>
      <c r="K6224" t="s">
        <v>14</v>
      </c>
      <c r="L6224" t="s">
        <v>20</v>
      </c>
      <c r="M6224" t="s">
        <v>12155</v>
      </c>
      <c r="N6224" t="s">
        <v>14</v>
      </c>
    </row>
    <row r="6225" x14ac:dyDescent="0.25">
      <c r="A6225" t="n">
        <v>25</v>
      </c>
      <c r="B6225" t="s">
        <v>14</v>
      </c>
      <c r="C6225" t="s">
        <v>51</v>
      </c>
      <c r="D6225" s="2" t="s">
        <f>=HYPERLINK("https://main.knesset.gov.il/APPS/legislation/main/bills/2198824", "הצעת חוק ההוצאה לפועל (תיקון - קביעת תעריף מקסימלי לשכר טרחת עורך דין), התשפ""ג-2023 ")</f>
        <v>12317</v>
      </c>
      <c r="E6225" t="s">
        <v>12317</v>
      </c>
      <c r="F6225" t="s">
        <v>12318</v>
      </c>
      <c r="G6225" t="s">
        <v>14</v>
      </c>
      <c r="H6225">
             </c>
      <c r="I6225" t="s">
        <v>14</v>
      </c>
      <c r="J6225" t="s">
        <v>242</v>
      </c>
      <c r="K6225" t="s">
        <v>14</v>
      </c>
      <c r="L6225" t="s">
        <v>20</v>
      </c>
      <c r="M6225" t="s">
        <v>12155</v>
      </c>
      <c r="N6225" t="s">
        <v>14</v>
      </c>
    </row>
    <row r="6226" x14ac:dyDescent="0.25">
      <c r="A6226" t="n">
        <v>25</v>
      </c>
      <c r="B6226" t="s">
        <v>14</v>
      </c>
      <c r="C6226" t="s">
        <v>51</v>
      </c>
      <c r="D6226" s="2" t="s">
        <f>=HYPERLINK("https://main.knesset.gov.il/APPS/legislation/main/bills/2198773", "הצעת חוק החברה למתנ""סים, התשפ""ג-2023")</f>
        <v>12319</v>
      </c>
      <c r="E6226" t="s">
        <v>12319</v>
      </c>
      <c r="F6226" t="s">
        <v>12320</v>
      </c>
      <c r="G6226" t="s">
        <v>14</v>
      </c>
      <c r="H6226">
             </c>
      <c r="I6226" t="s">
        <v>14</v>
      </c>
      <c r="J6226" t="s">
        <v>242</v>
      </c>
      <c r="K6226" t="s">
        <v>14</v>
      </c>
      <c r="L6226" t="s">
        <v>20</v>
      </c>
      <c r="M6226" t="s">
        <v>12155</v>
      </c>
      <c r="N6226" t="s">
        <v>14</v>
      </c>
    </row>
    <row r="6227" x14ac:dyDescent="0.25">
      <c r="A6227" t="n">
        <v>25</v>
      </c>
      <c r="B6227" t="s">
        <v>14</v>
      </c>
      <c r="C6227" t="s">
        <v>51</v>
      </c>
      <c r="D6227" s="2" t="s">
        <f>=HYPERLINK("https://main.knesset.gov.il/APPS/legislation/main/bills/2198321", "הצעת חוק אורח חיים בריא, התשפ""ג-2023")</f>
        <v>12321</v>
      </c>
      <c r="E6227" t="s">
        <v>12321</v>
      </c>
      <c r="F6227" t="s">
        <v>12322</v>
      </c>
      <c r="G6227" t="s">
        <v>14</v>
      </c>
      <c r="H6227">
             </c>
      <c r="I6227" t="s">
        <v>14</v>
      </c>
      <c r="J6227" t="s">
        <v>242</v>
      </c>
      <c r="K6227" t="s">
        <v>14</v>
      </c>
      <c r="L6227" t="s">
        <v>20</v>
      </c>
      <c r="M6227" t="s">
        <v>12155</v>
      </c>
      <c r="N6227" t="s">
        <v>14</v>
      </c>
    </row>
    <row r="6228" x14ac:dyDescent="0.25">
      <c r="A6228" t="n">
        <v>25</v>
      </c>
      <c r="B6228" t="s">
        <v>14</v>
      </c>
      <c r="C6228" t="s">
        <v>51</v>
      </c>
      <c r="D6228" s="2" t="s">
        <f>=HYPERLINK("https://main.knesset.gov.il/APPS/legislation/main/bills/2198664", "הצעת חוק זכויות הדייר בדיור הציבורי (תיקון - הארכת תוקף זכאות לדירה הציבורית), התשפ""ג-2023")</f>
        <v>12323</v>
      </c>
      <c r="E6228" t="s">
        <v>12323</v>
      </c>
      <c r="F6228" t="s">
        <v>12324</v>
      </c>
      <c r="G6228" t="s">
        <v>14</v>
      </c>
      <c r="H6228">
             </c>
      <c r="I6228" t="s">
        <v>14</v>
      </c>
      <c r="J6228" t="s">
        <v>242</v>
      </c>
      <c r="K6228" t="s">
        <v>14</v>
      </c>
      <c r="L6228" t="s">
        <v>20</v>
      </c>
      <c r="M6228" t="s">
        <v>12155</v>
      </c>
      <c r="N6228" t="s">
        <v>14</v>
      </c>
    </row>
    <row r="6229" x14ac:dyDescent="0.25">
      <c r="A6229" t="n">
        <v>25</v>
      </c>
      <c r="B6229" t="s">
        <v>14</v>
      </c>
      <c r="C6229" t="s">
        <v>51</v>
      </c>
      <c r="D6229" s="2" t="s">
        <f>=HYPERLINK("https://main.knesset.gov.il/APPS/legislation/main/bills/2198538", "הצעת חוק לימודי הכנה למבחנים פסיכומטריים לתלמידים, התשפ""ג-2023‏ ")</f>
        <v>12325</v>
      </c>
      <c r="E6229" t="s">
        <v>12325</v>
      </c>
      <c r="F6229" t="s">
        <v>12326</v>
      </c>
      <c r="G6229" t="s">
        <v>14</v>
      </c>
      <c r="H6229">
             </c>
      <c r="I6229" t="s">
        <v>14</v>
      </c>
      <c r="J6229" t="s">
        <v>242</v>
      </c>
      <c r="K6229" t="s">
        <v>14</v>
      </c>
      <c r="L6229" t="s">
        <v>20</v>
      </c>
      <c r="M6229" t="s">
        <v>12155</v>
      </c>
      <c r="N6229" t="s">
        <v>14</v>
      </c>
    </row>
    <row r="6230" x14ac:dyDescent="0.25">
      <c r="A6230" t="n">
        <v>25</v>
      </c>
      <c r="B6230" t="s">
        <v>14</v>
      </c>
      <c r="C6230" t="s">
        <v>51</v>
      </c>
      <c r="D6230" s="2" t="s">
        <f>=HYPERLINK("https://main.knesset.gov.il/APPS/legislation/main/bills/2198718", "הצעת חוק חג המימונה, התשפ""ג-2023")</f>
        <v>12327</v>
      </c>
      <c r="E6230" t="s">
        <v>12327</v>
      </c>
      <c r="F6230" t="s">
        <v>12328</v>
      </c>
      <c r="G6230" t="s">
        <v>14</v>
      </c>
      <c r="H6230">
             </c>
      <c r="I6230" t="s">
        <v>14</v>
      </c>
      <c r="J6230" t="s">
        <v>242</v>
      </c>
      <c r="K6230" t="s">
        <v>14</v>
      </c>
      <c r="L6230" t="s">
        <v>20</v>
      </c>
      <c r="M6230" t="s">
        <v>12155</v>
      </c>
      <c r="N6230" t="s">
        <v>14</v>
      </c>
    </row>
    <row r="6231" x14ac:dyDescent="0.25">
      <c r="A6231" t="n">
        <v>25</v>
      </c>
      <c r="B6231" t="s">
        <v>14</v>
      </c>
      <c r="C6231" t="s">
        <v>51</v>
      </c>
      <c r="D6231" s="2" t="s">
        <f>=HYPERLINK("https://main.knesset.gov.il/APPS/legislation/main/bills/2198766", "הצעת חוק החברות הממשלתיות (תיקון - ייצוג הולם בתאגידים שהוקמו בחוק ובחברות ממשלתיות), התשפ""ג-2023")</f>
        <v>11884</v>
      </c>
      <c r="E6231" t="s">
        <v>11884</v>
      </c>
      <c r="F6231" t="s">
        <v>12329</v>
      </c>
      <c r="G6231" t="s">
        <v>14</v>
      </c>
      <c r="H6231">
             </c>
      <c r="I6231" t="s">
        <v>14</v>
      </c>
      <c r="J6231" t="s">
        <v>242</v>
      </c>
      <c r="K6231" t="s">
        <v>14</v>
      </c>
      <c r="L6231" t="s">
        <v>20</v>
      </c>
      <c r="M6231" t="s">
        <v>12155</v>
      </c>
      <c r="N6231" t="s">
        <v>14</v>
      </c>
    </row>
    <row r="6232" x14ac:dyDescent="0.25">
      <c r="A6232" t="n">
        <v>25</v>
      </c>
      <c r="B6232" t="s">
        <v>14</v>
      </c>
      <c r="C6232" t="s">
        <v>51</v>
      </c>
      <c r="D6232" s="2" t="s">
        <f>=HYPERLINK("https://main.knesset.gov.il/APPS/legislation/main/bills/2197890", "הצעת חוק הבחירות (דרכי תעמולה) (תיקון - איסור על תעמולה גזענית), התשפ""ג-2023")</f>
        <v>12330</v>
      </c>
      <c r="E6232" t="s">
        <v>12330</v>
      </c>
      <c r="F6232" t="s">
        <v>12331</v>
      </c>
      <c r="G6232" t="s">
        <v>14</v>
      </c>
      <c r="H6232">
             </c>
      <c r="I6232" t="s">
        <v>14</v>
      </c>
      <c r="J6232" t="s">
        <v>242</v>
      </c>
      <c r="K6232" t="s">
        <v>14</v>
      </c>
      <c r="L6232" t="s">
        <v>20</v>
      </c>
      <c r="M6232" t="s">
        <v>12155</v>
      </c>
      <c r="N6232" t="s">
        <v>14</v>
      </c>
    </row>
    <row r="6233" x14ac:dyDescent="0.25">
      <c r="A6233" t="n">
        <v>25</v>
      </c>
      <c r="B6233" t="s">
        <v>14</v>
      </c>
      <c r="C6233" t="s">
        <v>51</v>
      </c>
      <c r="D6233" s="2" t="s">
        <f>=HYPERLINK("https://main.knesset.gov.il/APPS/legislation/main/bills/2198720", "הצעת חוק לימוד חובה (תיקון - חינוך חינם לפעוטות ולילדים), התשפ""ג-2023")</f>
        <v>9482</v>
      </c>
      <c r="E6233" t="s">
        <v>9482</v>
      </c>
      <c r="F6233" t="s">
        <v>12332</v>
      </c>
      <c r="G6233" t="s">
        <v>14</v>
      </c>
      <c r="H6233">
             </c>
      <c r="I6233" t="s">
        <v>14</v>
      </c>
      <c r="J6233" t="s">
        <v>202</v>
      </c>
      <c r="K6233" t="s">
        <v>14</v>
      </c>
      <c r="L6233" t="s">
        <v>20</v>
      </c>
      <c r="M6233" t="s">
        <v>12155</v>
      </c>
      <c r="N6233" t="s">
        <v>14</v>
      </c>
    </row>
    <row r="6234" x14ac:dyDescent="0.25">
      <c r="A6234" t="n">
        <v>25</v>
      </c>
      <c r="B6234" t="s">
        <v>14</v>
      </c>
      <c r="C6234" t="s">
        <v>51</v>
      </c>
      <c r="D6234" s="2" t="s">
        <f>=HYPERLINK("https://main.knesset.gov.il/APPS/legislation/main/bills/2198799", "הצעת חוק חינוך פיננסי, התשפ""ג-2023")</f>
        <v>12333</v>
      </c>
      <c r="E6234" t="s">
        <v>12333</v>
      </c>
      <c r="F6234" t="s">
        <v>12334</v>
      </c>
      <c r="G6234" t="s">
        <v>14</v>
      </c>
      <c r="H6234">
             </c>
      <c r="I6234" t="s">
        <v>14</v>
      </c>
      <c r="J6234" t="s">
        <v>242</v>
      </c>
      <c r="K6234" t="s">
        <v>14</v>
      </c>
      <c r="L6234" t="s">
        <v>20</v>
      </c>
      <c r="M6234" t="s">
        <v>12155</v>
      </c>
      <c r="N6234" t="s">
        <v>14</v>
      </c>
    </row>
    <row r="6235" x14ac:dyDescent="0.25">
      <c r="A6235" t="n">
        <v>25</v>
      </c>
      <c r="B6235" t="s">
        <v>14</v>
      </c>
      <c r="C6235" t="s">
        <v>51</v>
      </c>
      <c r="D6235" s="2" t="s">
        <f>=HYPERLINK("https://main.knesset.gov.il/APPS/legislation/main/bills/2197617", "הצעת חוק העונשין (תיקון - תקיפת נהג אוטובוס), התשפ""ג-2023")</f>
        <v>12335</v>
      </c>
      <c r="E6235" t="s">
        <v>12335</v>
      </c>
      <c r="F6235" t="s">
        <v>12336</v>
      </c>
      <c r="G6235" t="s">
        <v>14</v>
      </c>
      <c r="H6235">
             </c>
      <c r="I6235" t="s">
        <v>14</v>
      </c>
      <c r="J6235" t="s">
        <v>242</v>
      </c>
      <c r="K6235" t="s">
        <v>14</v>
      </c>
      <c r="L6235" t="s">
        <v>20</v>
      </c>
      <c r="M6235" t="s">
        <v>12155</v>
      </c>
      <c r="N6235" t="s">
        <v>14</v>
      </c>
    </row>
    <row r="6236" x14ac:dyDescent="0.25">
      <c r="A6236" t="n">
        <v>25</v>
      </c>
      <c r="B6236" t="s">
        <v>14</v>
      </c>
      <c r="C6236" t="s">
        <v>51</v>
      </c>
      <c r="D6236" s="2" t="s">
        <f>=HYPERLINK("https://main.knesset.gov.il/APPS/legislation/main/bills/2197481", "הצעת חוק לתיקון פקודת התעבורה (הוראות לעניין סככות המתנה בתחנות אוטובוס), התשפ""ג-2023")</f>
        <v>8772</v>
      </c>
      <c r="E6236" t="s">
        <v>8772</v>
      </c>
      <c r="F6236" t="s">
        <v>12337</v>
      </c>
      <c r="G6236" t="s">
        <v>14</v>
      </c>
      <c r="H6236">
             </c>
      <c r="I6236" t="s">
        <v>14</v>
      </c>
      <c r="J6236" t="s">
        <v>242</v>
      </c>
      <c r="K6236" t="s">
        <v>14</v>
      </c>
      <c r="L6236" t="s">
        <v>20</v>
      </c>
      <c r="M6236" t="s">
        <v>12155</v>
      </c>
      <c r="N6236" t="s">
        <v>14</v>
      </c>
    </row>
    <row r="6237" x14ac:dyDescent="0.25">
      <c r="A6237" t="n">
        <v>25</v>
      </c>
      <c r="B6237" t="s">
        <v>14</v>
      </c>
      <c r="C6237" t="s">
        <v>51</v>
      </c>
      <c r="D6237" s="2" t="s">
        <f>=HYPERLINK("https://main.knesset.gov.il/APPS/legislation/main/bills/2197336", "הצעת חוק הגנת הצרכן (תיקון - חובת סימון נפח האריזה וקביעת הנפח בשימוש), התשפ""ג-2023")</f>
        <v>11488</v>
      </c>
      <c r="E6237" t="s">
        <v>11488</v>
      </c>
      <c r="F6237" t="s">
        <v>12338</v>
      </c>
      <c r="G6237" t="s">
        <v>14</v>
      </c>
      <c r="H6237">
             </c>
      <c r="I6237" t="s">
        <v>14</v>
      </c>
      <c r="J6237" t="s">
        <v>242</v>
      </c>
      <c r="K6237" t="s">
        <v>14</v>
      </c>
      <c r="L6237" t="s">
        <v>20</v>
      </c>
      <c r="M6237" t="s">
        <v>12155</v>
      </c>
      <c r="N6237" t="s">
        <v>14</v>
      </c>
    </row>
    <row r="6238" x14ac:dyDescent="0.25">
      <c r="A6238" t="n">
        <v>25</v>
      </c>
      <c r="B6238" t="s">
        <v>14</v>
      </c>
      <c r="C6238" t="s">
        <v>51</v>
      </c>
      <c r="D6238" s="2" t="s">
        <f>=HYPERLINK("https://main.knesset.gov.il/APPS/legislation/main/bills/2198752", "הצעת חוק משק החשמל (תיקון - תשלומי חשמל מופחתים לבני שמונים שנים ומעלה), התשפ""ג-2023")</f>
        <v>12339</v>
      </c>
      <c r="E6238" t="s">
        <v>12339</v>
      </c>
      <c r="F6238" t="s">
        <v>12340</v>
      </c>
      <c r="G6238" t="s">
        <v>14</v>
      </c>
      <c r="H6238">
             </c>
      <c r="I6238" t="s">
        <v>14</v>
      </c>
      <c r="J6238" t="s">
        <v>242</v>
      </c>
      <c r="K6238" t="s">
        <v>14</v>
      </c>
      <c r="L6238" t="s">
        <v>20</v>
      </c>
      <c r="M6238" t="s">
        <v>12155</v>
      </c>
      <c r="N6238" t="s">
        <v>14</v>
      </c>
    </row>
    <row r="6239" x14ac:dyDescent="0.25">
      <c r="A6239" t="n">
        <v>25</v>
      </c>
      <c r="B6239" t="s">
        <v>14</v>
      </c>
      <c r="C6239" t="s">
        <v>51</v>
      </c>
      <c r="D6239" s="2" t="s">
        <f>=HYPERLINK("https://main.knesset.gov.il/APPS/legislation/main/bills/2198534", "הצעת חוק משק החשמל (תיקון - תשלומי חשמל מופחתים לבני שמונים שנים ומעלה), התשפ""ג-2023")</f>
        <v>12339</v>
      </c>
      <c r="E6239" t="s">
        <v>12339</v>
      </c>
      <c r="F6239" t="s">
        <v>12341</v>
      </c>
      <c r="G6239" t="s">
        <v>14</v>
      </c>
      <c r="H6239">
             </c>
      <c r="I6239" t="s">
        <v>14</v>
      </c>
      <c r="J6239" t="s">
        <v>242</v>
      </c>
      <c r="K6239" t="s">
        <v>14</v>
      </c>
      <c r="L6239" t="s">
        <v>20</v>
      </c>
      <c r="M6239" t="s">
        <v>12155</v>
      </c>
      <c r="N6239" t="s">
        <v>14</v>
      </c>
    </row>
    <row r="6240" x14ac:dyDescent="0.25">
      <c r="A6240" t="n">
        <v>25</v>
      </c>
      <c r="B6240" t="s">
        <v>14</v>
      </c>
      <c r="C6240" t="s">
        <v>51</v>
      </c>
      <c r="D6240" s="2" t="s">
        <f>=HYPERLINK("https://main.knesset.gov.il/APPS/legislation/main/bills/2198483", "הצעת חוק הביטוח הלאומי (תיקון - ביטוח שאירים לאלמן), התשפ""ג-2023")</f>
        <v>8231</v>
      </c>
      <c r="E6240" t="s">
        <v>8231</v>
      </c>
      <c r="F6240" t="s">
        <v>12342</v>
      </c>
      <c r="G6240" t="s">
        <v>14</v>
      </c>
      <c r="H6240">
             </c>
      <c r="I6240" t="s">
        <v>14</v>
      </c>
      <c r="J6240" t="s">
        <v>242</v>
      </c>
      <c r="K6240" t="s">
        <v>14</v>
      </c>
      <c r="L6240" t="s">
        <v>20</v>
      </c>
      <c r="M6240" t="s">
        <v>12155</v>
      </c>
      <c r="N6240" t="s">
        <v>14</v>
      </c>
    </row>
    <row r="6241" x14ac:dyDescent="0.25">
      <c r="A6241" t="n">
        <v>25</v>
      </c>
      <c r="B6241" t="s">
        <v>14</v>
      </c>
      <c r="C6241" t="s">
        <v>51</v>
      </c>
      <c r="D6241" s="2" t="s">
        <f>=HYPERLINK("https://main.knesset.gov.il/APPS/legislation/main/bills/2197476", "הצעת חוק להקמת אוניברסיטה ערבית ביישוב ערבי, התשפ""ג-2023")</f>
        <v>11935</v>
      </c>
      <c r="E6241" t="s">
        <v>11935</v>
      </c>
      <c r="F6241" t="s">
        <v>12343</v>
      </c>
      <c r="G6241" t="s">
        <v>14</v>
      </c>
      <c r="H6241">
             </c>
      <c r="I6241" t="s">
        <v>14</v>
      </c>
      <c r="J6241" t="s">
        <v>242</v>
      </c>
      <c r="K6241" t="s">
        <v>14</v>
      </c>
      <c r="L6241" t="s">
        <v>20</v>
      </c>
      <c r="M6241" t="s">
        <v>12155</v>
      </c>
      <c r="N6241" t="s">
        <v>14</v>
      </c>
    </row>
    <row r="6242" x14ac:dyDescent="0.25">
      <c r="A6242" t="n">
        <v>25</v>
      </c>
      <c r="B6242" t="s">
        <v>14</v>
      </c>
      <c r="C6242" t="s">
        <v>51</v>
      </c>
      <c r="D6242" s="2" t="s">
        <f>=HYPERLINK("https://main.knesset.gov.il/APPS/legislation/main/bills/2197335", "הצעת חוק הגנת הצרכן (תיקון - חובת הצגת מחיר מוצר בעת עריכת החשבון בקופה), התשפ""ג-2023")</f>
        <v>11729</v>
      </c>
      <c r="E6242" t="s">
        <v>11729</v>
      </c>
      <c r="F6242" t="s">
        <v>12344</v>
      </c>
      <c r="G6242" t="s">
        <v>14</v>
      </c>
      <c r="H6242">
             </c>
      <c r="I6242" t="s">
        <v>14</v>
      </c>
      <c r="J6242" t="s">
        <v>242</v>
      </c>
      <c r="K6242" t="s">
        <v>14</v>
      </c>
      <c r="L6242" t="s">
        <v>20</v>
      </c>
      <c r="M6242" t="s">
        <v>12155</v>
      </c>
      <c r="N6242" t="s">
        <v>14</v>
      </c>
    </row>
    <row r="6243" x14ac:dyDescent="0.25">
      <c r="A6243" t="n">
        <v>25</v>
      </c>
      <c r="B6243" t="s">
        <v>14</v>
      </c>
      <c r="C6243" t="s">
        <v>51</v>
      </c>
      <c r="D6243" s="2" t="s">
        <f>=HYPERLINK("https://main.knesset.gov.il/APPS/legislation/main/bills/2198244", "הצעת חוק הבחירות לכנסת (תיקון - זכות הצבעה לאזרחים מחוץ לישראל), התשפ""ג-2023")</f>
        <v>12345</v>
      </c>
      <c r="E6243" t="s">
        <v>12345</v>
      </c>
      <c r="F6243" t="s">
        <v>12346</v>
      </c>
      <c r="G6243" t="s">
        <v>14</v>
      </c>
      <c r="H6243">
             </c>
      <c r="I6243" t="s">
        <v>14</v>
      </c>
      <c r="J6243" t="s">
        <v>1372</v>
      </c>
      <c r="K6243" t="s">
        <v>14</v>
      </c>
      <c r="L6243" t="s">
        <v>20</v>
      </c>
      <c r="M6243" t="s">
        <v>12155</v>
      </c>
      <c r="N6243" t="s">
        <v>14</v>
      </c>
    </row>
    <row r="6244" x14ac:dyDescent="0.25">
      <c r="A6244" t="n">
        <v>25</v>
      </c>
      <c r="B6244" t="s">
        <v>14</v>
      </c>
      <c r="C6244" t="s">
        <v>51</v>
      </c>
      <c r="D6244" s="2" t="s">
        <f>=HYPERLINK("https://main.knesset.gov.il/APPS/legislation/main/bills/2197334", "הצעת חוק הגנת הצרכן (תיקון - חובת הצגת מחיר מומלץ של ירקות), התשפ""ג-2023")</f>
        <v>12347</v>
      </c>
      <c r="E6244" t="s">
        <v>12347</v>
      </c>
      <c r="F6244" t="s">
        <v>12348</v>
      </c>
      <c r="G6244" t="s">
        <v>14</v>
      </c>
      <c r="H6244">
             </c>
      <c r="I6244" t="s">
        <v>14</v>
      </c>
      <c r="J6244" t="s">
        <v>242</v>
      </c>
      <c r="K6244" t="s">
        <v>14</v>
      </c>
      <c r="L6244" t="s">
        <v>20</v>
      </c>
      <c r="M6244" t="s">
        <v>12155</v>
      </c>
      <c r="N6244" t="s">
        <v>14</v>
      </c>
    </row>
    <row r="6245" x14ac:dyDescent="0.25">
      <c r="A6245" t="n">
        <v>25</v>
      </c>
      <c r="B6245" t="s">
        <v>14</v>
      </c>
      <c r="C6245" t="s">
        <v>51</v>
      </c>
      <c r="D6245" s="2" t="s">
        <f>=HYPERLINK("https://main.knesset.gov.il/APPS/legislation/main/bills/2196515", "הצעת חוק הביטוח הלאומי (תיקון - הגדלת קצבת אזרח ותיק והצמדתה לשכר הממוצע), התשפ""ג-2023")</f>
        <v>12184</v>
      </c>
      <c r="E6245" t="s">
        <v>12184</v>
      </c>
      <c r="F6245" t="s">
        <v>12349</v>
      </c>
      <c r="G6245" t="s">
        <v>14</v>
      </c>
      <c r="H6245">
             </c>
      <c r="I6245" t="s">
        <v>14</v>
      </c>
      <c r="J6245" t="s">
        <v>242</v>
      </c>
      <c r="K6245" t="s">
        <v>14</v>
      </c>
      <c r="L6245" t="s">
        <v>20</v>
      </c>
      <c r="M6245" t="s">
        <v>12155</v>
      </c>
      <c r="N6245" t="s">
        <v>14</v>
      </c>
    </row>
    <row r="6246" x14ac:dyDescent="0.25">
      <c r="A6246" t="n">
        <v>25</v>
      </c>
      <c r="B6246" t="s">
        <v>14</v>
      </c>
      <c r="C6246" t="s">
        <v>51</v>
      </c>
      <c r="D6246" s="2" t="s">
        <f>=HYPERLINK("https://main.knesset.gov.il/APPS/legislation/main/bills/2198138", "הצעת חוק לתיקון פקודת התעבורה (הוראות לעניין סככות המתנה בתחנות אוטובוס), התשפ""ג-2023")</f>
        <v>8772</v>
      </c>
      <c r="E6246" t="s">
        <v>8772</v>
      </c>
      <c r="F6246" t="s">
        <v>12350</v>
      </c>
      <c r="G6246" t="s">
        <v>14</v>
      </c>
      <c r="H6246">
             </c>
      <c r="I6246" t="s">
        <v>14</v>
      </c>
      <c r="J6246" t="s">
        <v>242</v>
      </c>
      <c r="K6246" t="s">
        <v>14</v>
      </c>
      <c r="L6246" t="s">
        <v>20</v>
      </c>
      <c r="M6246" t="s">
        <v>12155</v>
      </c>
      <c r="N6246" t="s">
        <v>14</v>
      </c>
    </row>
    <row r="6247" x14ac:dyDescent="0.25">
      <c r="A6247" t="n">
        <v>25</v>
      </c>
      <c r="B6247" t="s">
        <v>14</v>
      </c>
      <c r="C6247" t="s">
        <v>51</v>
      </c>
      <c r="D6247" s="2" t="s">
        <f>=HYPERLINK("https://main.knesset.gov.il/APPS/legislation/main/bills/2198242", "הצעת חוק מימון מפלגות (תיקון - ייצוג לנשים ברשימת המועמדים), התשפ""ג-2023")</f>
        <v>8930</v>
      </c>
      <c r="E6247" t="s">
        <v>8930</v>
      </c>
      <c r="F6247" t="s">
        <v>12351</v>
      </c>
      <c r="G6247" t="s">
        <v>14</v>
      </c>
      <c r="H6247">
             </c>
      <c r="I6247" t="s">
        <v>14</v>
      </c>
      <c r="J6247" t="s">
        <v>242</v>
      </c>
      <c r="K6247" t="s">
        <v>14</v>
      </c>
      <c r="L6247" t="s">
        <v>20</v>
      </c>
      <c r="M6247" t="s">
        <v>12155</v>
      </c>
      <c r="N6247" t="s">
        <v>14</v>
      </c>
    </row>
    <row r="6248" x14ac:dyDescent="0.25">
      <c r="A6248" t="n">
        <v>25</v>
      </c>
      <c r="B6248" t="s">
        <v>14</v>
      </c>
      <c r="C6248" t="s">
        <v>51</v>
      </c>
      <c r="D6248" s="2" t="s">
        <f>=HYPERLINK("https://main.knesset.gov.il/APPS/legislation/main/bills/2198295", "הצעת חוק-יסוד: הכנסת (תיקון - הפסקת חברות בכנסת של שר או סגן שר)")</f>
        <v>12352</v>
      </c>
      <c r="E6248" t="s">
        <v>12352</v>
      </c>
      <c r="F6248" t="s">
        <v>12353</v>
      </c>
      <c r="G6248" t="s">
        <v>14</v>
      </c>
      <c r="H6248">
             </c>
      <c r="I6248" t="s">
        <v>14</v>
      </c>
      <c r="J6248" t="s">
        <v>242</v>
      </c>
      <c r="K6248" t="s">
        <v>14</v>
      </c>
      <c r="L6248" t="s">
        <v>20</v>
      </c>
      <c r="M6248" t="s">
        <v>12155</v>
      </c>
      <c r="N6248" t="s">
        <v>14</v>
      </c>
    </row>
    <row r="6249" x14ac:dyDescent="0.25">
      <c r="A6249" t="n">
        <v>25</v>
      </c>
      <c r="B6249" t="s">
        <v>14</v>
      </c>
      <c r="C6249" t="s">
        <v>51</v>
      </c>
      <c r="D6249" s="2" t="s">
        <f>=HYPERLINK("https://main.knesset.gov.il/APPS/legislation/main/bills/2198194", "הצעת חוק ההוצאה לפועל (תיקון - החרגת עיקול ביטוח רפואי בידי צד שלישי), התשפ""ג-2023")</f>
        <v>8307</v>
      </c>
      <c r="E6249" t="s">
        <v>8307</v>
      </c>
      <c r="F6249" t="s">
        <v>12354</v>
      </c>
      <c r="G6249" t="s">
        <v>14</v>
      </c>
      <c r="H6249">
             </c>
      <c r="I6249" t="s">
        <v>14</v>
      </c>
      <c r="J6249" t="s">
        <v>242</v>
      </c>
      <c r="K6249" t="s">
        <v>14</v>
      </c>
      <c r="L6249" t="s">
        <v>20</v>
      </c>
      <c r="M6249" t="s">
        <v>12155</v>
      </c>
      <c r="N6249" t="s">
        <v>14</v>
      </c>
    </row>
    <row r="6250" x14ac:dyDescent="0.25">
      <c r="A6250" t="n">
        <v>25</v>
      </c>
      <c r="B6250" t="s">
        <v>14</v>
      </c>
      <c r="C6250" t="s">
        <v>51</v>
      </c>
      <c r="D6250" s="2" t="s">
        <f>=HYPERLINK("https://main.knesset.gov.il/APPS/legislation/main/bills/2198497", "הצעת חוק ארוחה יומית לתלמיד (תיקון - הרחבת תחולת החוק), התשפ""ג-2023")</f>
        <v>9768</v>
      </c>
      <c r="E6250" t="s">
        <v>9768</v>
      </c>
      <c r="F6250" t="s">
        <v>12355</v>
      </c>
      <c r="G6250" t="s">
        <v>14</v>
      </c>
      <c r="H6250">
             </c>
      <c r="I6250" t="s">
        <v>14</v>
      </c>
      <c r="J6250" t="s">
        <v>242</v>
      </c>
      <c r="K6250" t="s">
        <v>14</v>
      </c>
      <c r="L6250" t="s">
        <v>20</v>
      </c>
      <c r="M6250" t="s">
        <v>12155</v>
      </c>
      <c r="N6250" t="s">
        <v>14</v>
      </c>
    </row>
    <row r="6251" x14ac:dyDescent="0.25">
      <c r="A6251" t="n">
        <v>25</v>
      </c>
      <c r="B6251" t="s">
        <v>14</v>
      </c>
      <c r="C6251" t="s">
        <v>51</v>
      </c>
      <c r="D6251" s="2" t="s">
        <f>=HYPERLINK("https://main.knesset.gov.il/APPS/legislation/main/bills/2197333", "הצעת חוק הגנת הצרכן (תיקון - חובת גילוי הוזלה במחיר בעסקה מתמשכת), התשפ""ג-2023")</f>
        <v>11472</v>
      </c>
      <c r="E6251" t="s">
        <v>11472</v>
      </c>
      <c r="F6251" t="s">
        <v>12356</v>
      </c>
      <c r="G6251" t="s">
        <v>14</v>
      </c>
      <c r="H6251">
             </c>
      <c r="I6251" t="s">
        <v>14</v>
      </c>
      <c r="J6251" t="s">
        <v>242</v>
      </c>
      <c r="K6251" t="s">
        <v>14</v>
      </c>
      <c r="L6251" t="s">
        <v>20</v>
      </c>
      <c r="M6251" t="s">
        <v>12155</v>
      </c>
      <c r="N6251" t="s">
        <v>14</v>
      </c>
    </row>
    <row r="6252" x14ac:dyDescent="0.25">
      <c r="A6252" t="n">
        <v>25</v>
      </c>
      <c r="B6252" t="s">
        <v>14</v>
      </c>
      <c r="C6252" t="s">
        <v>51</v>
      </c>
      <c r="D6252" s="2" t="s">
        <f>=HYPERLINK("https://main.knesset.gov.il/APPS/legislation/main/bills/2198142", "הצעת חוק ביטוח בריאות ממלכתי (תיקון - החזר דמי נסיעה באמבולנס למי שהגיע לגיל פרישה), התשפ""ג-2023")</f>
        <v>4188</v>
      </c>
      <c r="E6252" t="s">
        <v>4188</v>
      </c>
      <c r="F6252" t="s">
        <v>12357</v>
      </c>
      <c r="G6252" t="s">
        <v>14</v>
      </c>
      <c r="H6252">
             </c>
      <c r="I6252" t="s">
        <v>14</v>
      </c>
      <c r="J6252" t="s">
        <v>242</v>
      </c>
      <c r="K6252" t="s">
        <v>14</v>
      </c>
      <c r="L6252" t="s">
        <v>20</v>
      </c>
      <c r="M6252" t="s">
        <v>12155</v>
      </c>
      <c r="N6252" t="s">
        <v>14</v>
      </c>
    </row>
    <row r="6253" x14ac:dyDescent="0.25">
      <c r="A6253" t="n">
        <v>25</v>
      </c>
      <c r="B6253" t="s">
        <v>14</v>
      </c>
      <c r="C6253" t="s">
        <v>51</v>
      </c>
      <c r="D6253" s="2" t="s">
        <f>=HYPERLINK("https://main.knesset.gov.il/APPS/legislation/main/bills/2197885", "הצעת חוק-יסוד: הממשלה (תיקון - הגבלת תקופת כהונה של ראש הממשלה)")</f>
        <v>12358</v>
      </c>
      <c r="E6253" t="s">
        <v>12358</v>
      </c>
      <c r="F6253" t="s">
        <v>12359</v>
      </c>
      <c r="G6253" t="s">
        <v>14</v>
      </c>
      <c r="H6253">
             </c>
      <c r="I6253" t="s">
        <v>14</v>
      </c>
      <c r="J6253" t="s">
        <v>242</v>
      </c>
      <c r="K6253" t="s">
        <v>14</v>
      </c>
      <c r="L6253" t="s">
        <v>20</v>
      </c>
      <c r="M6253" t="s">
        <v>12155</v>
      </c>
      <c r="N6253" t="s">
        <v>14</v>
      </c>
    </row>
    <row r="6254" x14ac:dyDescent="0.25">
      <c r="A6254" t="n">
        <v>25</v>
      </c>
      <c r="B6254" t="s">
        <v>14</v>
      </c>
      <c r="C6254" t="s">
        <v>51</v>
      </c>
      <c r="D6254" s="2" t="s">
        <f>=HYPERLINK("https://main.knesset.gov.il/APPS/legislation/main/bills/2198610", "הצעת חוק הגנת הצרכן (תיקון - סימון תאריך ייצור ומועד תפוגה עברי), התשפ""ג-2023")</f>
        <v>10088</v>
      </c>
      <c r="E6254" t="s">
        <v>10088</v>
      </c>
      <c r="F6254" t="s">
        <v>12360</v>
      </c>
      <c r="G6254" t="s">
        <v>14</v>
      </c>
      <c r="H6254">
             </c>
      <c r="I6254" t="s">
        <v>14</v>
      </c>
      <c r="J6254" t="s">
        <v>242</v>
      </c>
      <c r="K6254" t="s">
        <v>14</v>
      </c>
      <c r="L6254" t="s">
        <v>20</v>
      </c>
      <c r="M6254" t="s">
        <v>12155</v>
      </c>
      <c r="N6254" t="s">
        <v>14</v>
      </c>
    </row>
    <row r="6255" x14ac:dyDescent="0.25">
      <c r="A6255" t="n">
        <v>25</v>
      </c>
      <c r="B6255" t="s">
        <v>14</v>
      </c>
      <c r="C6255" t="s">
        <v>51</v>
      </c>
      <c r="D6255" s="2" t="s">
        <f>=HYPERLINK("https://main.knesset.gov.il/APPS/legislation/main/bills/2196388", "הצעת חוק הביטוח הלאומי (תיקון - פטור מתשלום דמי ביטוח לאומי עד גיל 21), התשפ""ג-2023")</f>
        <v>9643</v>
      </c>
      <c r="E6255" t="s">
        <v>9643</v>
      </c>
      <c r="F6255" t="s">
        <v>12361</v>
      </c>
      <c r="G6255" t="s">
        <v>14</v>
      </c>
      <c r="H6255">
             </c>
      <c r="I6255" t="s">
        <v>14</v>
      </c>
      <c r="J6255" t="s">
        <v>242</v>
      </c>
      <c r="K6255" t="s">
        <v>14</v>
      </c>
      <c r="L6255" t="s">
        <v>20</v>
      </c>
      <c r="M6255" t="s">
        <v>12155</v>
      </c>
      <c r="N6255" t="s">
        <v>14</v>
      </c>
    </row>
    <row r="6256" x14ac:dyDescent="0.25">
      <c r="A6256" t="n">
        <v>25</v>
      </c>
      <c r="B6256" t="s">
        <v>14</v>
      </c>
      <c r="C6256" t="s">
        <v>51</v>
      </c>
      <c r="D6256" s="2" t="s">
        <f>=HYPERLINK("https://main.knesset.gov.il/APPS/legislation/main/bills/2196231", "הצעת חוק חישוב דרגת הזכאות של מורה להשתתפות המדינה בדמי ההחזקה לילד במעונות יום ובמשפחתונים, התשפ""ג-2023")</f>
        <v>8543</v>
      </c>
      <c r="E6256" t="s">
        <v>8543</v>
      </c>
      <c r="F6256" t="s">
        <v>12362</v>
      </c>
      <c r="G6256" t="s">
        <v>14</v>
      </c>
      <c r="H6256">
             </c>
      <c r="I6256" t="s">
        <v>14</v>
      </c>
      <c r="J6256" t="s">
        <v>242</v>
      </c>
      <c r="K6256" t="s">
        <v>14</v>
      </c>
      <c r="L6256" t="s">
        <v>20</v>
      </c>
      <c r="M6256" t="s">
        <v>12155</v>
      </c>
      <c r="N6256" t="s">
        <v>14</v>
      </c>
    </row>
    <row r="6257" x14ac:dyDescent="0.25">
      <c r="A6257" t="n">
        <v>25</v>
      </c>
      <c r="B6257" t="s">
        <v>14</v>
      </c>
      <c r="C6257" t="s">
        <v>51</v>
      </c>
      <c r="D6257" s="2" t="s">
        <f>=HYPERLINK("https://main.knesset.gov.il/APPS/legislation/main/bills/2198661", "הצעת חוק למניעת העסקה בתחום החינוך והטיפול של אדם שהורשע או שמואשם בתקיפה או בהתעללות בחסר ישע, התשפ""ג-2023")</f>
        <v>10660</v>
      </c>
      <c r="E6257" t="s">
        <v>10660</v>
      </c>
      <c r="F6257" t="s">
        <v>12363</v>
      </c>
      <c r="G6257" t="s">
        <v>14</v>
      </c>
      <c r="H6257">
             </c>
      <c r="I6257" t="s">
        <v>14</v>
      </c>
      <c r="J6257" t="s">
        <v>242</v>
      </c>
      <c r="K6257" t="s">
        <v>14</v>
      </c>
      <c r="L6257" t="s">
        <v>20</v>
      </c>
      <c r="M6257" t="s">
        <v>12155</v>
      </c>
      <c r="N6257" t="s">
        <v>14</v>
      </c>
    </row>
    <row r="6258" x14ac:dyDescent="0.25">
      <c r="A6258" t="n">
        <v>25</v>
      </c>
      <c r="B6258" t="s">
        <v>14</v>
      </c>
      <c r="C6258" t="s">
        <v>51</v>
      </c>
      <c r="D6258" s="2" t="s">
        <f>=HYPERLINK("https://main.knesset.gov.il/APPS/legislation/main/bills/2197332", "הצעת חוק הגנת הצרכן (תיקון - ביטול אפשרות להארכה אוטומטית של עסקה לתקופה קצובה), התשפ""ג-2023")</f>
        <v>11756</v>
      </c>
      <c r="E6258" t="s">
        <v>11756</v>
      </c>
      <c r="F6258" t="s">
        <v>12364</v>
      </c>
      <c r="G6258" t="s">
        <v>14</v>
      </c>
      <c r="H6258">
             </c>
      <c r="I6258" t="s">
        <v>14</v>
      </c>
      <c r="J6258" t="s">
        <v>242</v>
      </c>
      <c r="K6258" t="s">
        <v>14</v>
      </c>
      <c r="L6258" t="s">
        <v>20</v>
      </c>
      <c r="M6258" t="s">
        <v>12155</v>
      </c>
      <c r="N6258" t="s">
        <v>14</v>
      </c>
    </row>
    <row r="6259" x14ac:dyDescent="0.25">
      <c r="A6259" t="n">
        <v>25</v>
      </c>
      <c r="B6259" t="s">
        <v>14</v>
      </c>
      <c r="C6259" t="s">
        <v>51</v>
      </c>
      <c r="D6259" s="2" t="s">
        <f>=HYPERLINK("https://main.knesset.gov.il/APPS/legislation/main/bills/2197330", "הצעת חוק הגנת הצרכן (תיקון - איסור התניית תשלום בכרטיס אשראי בסכום רכישה מזערי), התשפ""ג-2023")</f>
        <v>3992</v>
      </c>
      <c r="E6259" t="s">
        <v>3992</v>
      </c>
      <c r="F6259" t="s">
        <v>12365</v>
      </c>
      <c r="G6259" t="s">
        <v>14</v>
      </c>
      <c r="H6259">
             </c>
      <c r="I6259" t="s">
        <v>14</v>
      </c>
      <c r="J6259" t="s">
        <v>242</v>
      </c>
      <c r="K6259" t="s">
        <v>14</v>
      </c>
      <c r="L6259" t="s">
        <v>20</v>
      </c>
      <c r="M6259" t="s">
        <v>12155</v>
      </c>
      <c r="N6259" t="s">
        <v>14</v>
      </c>
    </row>
    <row r="6260" x14ac:dyDescent="0.25">
      <c r="A6260" t="n">
        <v>25</v>
      </c>
      <c r="B6260" t="s">
        <v>14</v>
      </c>
      <c r="C6260" t="s">
        <v>51</v>
      </c>
      <c r="D6260" s="2" t="s">
        <f>=HYPERLINK("https://main.knesset.gov.il/APPS/legislation/main/bills/2198186", "הצעת חוק כלי הירייה (תיקון - זכאות לרישיון כלי ירייה למי ששירת כלוחם ושוטר), התשפ""ג-2023")</f>
        <v>12366</v>
      </c>
      <c r="E6260" t="s">
        <v>12366</v>
      </c>
      <c r="F6260" t="s">
        <v>12367</v>
      </c>
      <c r="G6260" t="s">
        <v>14</v>
      </c>
      <c r="H6260">
             </c>
      <c r="I6260" t="s">
        <v>14</v>
      </c>
      <c r="J6260" t="s">
        <v>242</v>
      </c>
      <c r="K6260" t="s">
        <v>14</v>
      </c>
      <c r="L6260" t="s">
        <v>20</v>
      </c>
      <c r="M6260" t="s">
        <v>12155</v>
      </c>
      <c r="N6260" t="s">
        <v>14</v>
      </c>
    </row>
    <row r="6261" x14ac:dyDescent="0.25">
      <c r="A6261" t="n">
        <v>25</v>
      </c>
      <c r="B6261" t="s">
        <v>14</v>
      </c>
      <c r="C6261" t="s">
        <v>51</v>
      </c>
      <c r="D6261" s="2" t="s">
        <f>=HYPERLINK("https://main.knesset.gov.il/APPS/legislation/main/bills/2198200", "הצעת חוק ההוצאה לפועל (תיקון - הגבלת עיקול מיטלטליו של קשיש), התשפ""ג-2023")</f>
        <v>11188</v>
      </c>
      <c r="E6261" t="s">
        <v>11188</v>
      </c>
      <c r="F6261" t="s">
        <v>12368</v>
      </c>
      <c r="G6261" t="s">
        <v>14</v>
      </c>
      <c r="H6261">
             </c>
      <c r="I6261" t="s">
        <v>14</v>
      </c>
      <c r="J6261" t="s">
        <v>242</v>
      </c>
      <c r="K6261" t="s">
        <v>14</v>
      </c>
      <c r="L6261" t="s">
        <v>20</v>
      </c>
      <c r="M6261" t="s">
        <v>12155</v>
      </c>
      <c r="N6261" t="s">
        <v>14</v>
      </c>
    </row>
    <row r="6262" x14ac:dyDescent="0.25">
      <c r="A6262" t="n">
        <v>25</v>
      </c>
      <c r="B6262" t="s">
        <v>14</v>
      </c>
      <c r="C6262" t="s">
        <v>51</v>
      </c>
      <c r="D6262" s="2" t="s">
        <f>=HYPERLINK("https://main.knesset.gov.il/APPS/legislation/main/bills/2197903", "הצעת חוק הדיינים (תיקון - כשירות הרבנים הראשיים לישראל), התשפ""ג-2023")</f>
        <v>12369</v>
      </c>
      <c r="E6262" t="s">
        <v>12369</v>
      </c>
      <c r="F6262" t="s">
        <v>12370</v>
      </c>
      <c r="G6262" t="s">
        <v>14</v>
      </c>
      <c r="H6262">
             </c>
      <c r="I6262" t="s">
        <v>14</v>
      </c>
      <c r="J6262" t="s">
        <v>242</v>
      </c>
      <c r="K6262" t="s">
        <v>14</v>
      </c>
      <c r="L6262" t="s">
        <v>20</v>
      </c>
      <c r="M6262" t="s">
        <v>12155</v>
      </c>
      <c r="N6262" t="s">
        <v>14</v>
      </c>
    </row>
    <row r="6263" x14ac:dyDescent="0.25">
      <c r="A6263" t="n">
        <v>25</v>
      </c>
      <c r="B6263" t="s">
        <v>14</v>
      </c>
      <c r="C6263" t="s">
        <v>51</v>
      </c>
      <c r="D6263" s="2" t="s">
        <f>=HYPERLINK("https://main.knesset.gov.il/APPS/legislation/main/bills/2197387", "הצעת חוק האזרחות והכניסה לישראל (הוראת שעה) (תיקון - ביטול החוק), התשפ""ג-2023")</f>
        <v>12371</v>
      </c>
      <c r="E6263" t="s">
        <v>12371</v>
      </c>
      <c r="F6263" t="s">
        <v>12372</v>
      </c>
      <c r="G6263" t="s">
        <v>14</v>
      </c>
      <c r="H6263">
             </c>
      <c r="I6263" t="s">
        <v>14</v>
      </c>
      <c r="J6263" t="s">
        <v>242</v>
      </c>
      <c r="K6263" t="s">
        <v>14</v>
      </c>
      <c r="L6263" t="s">
        <v>20</v>
      </c>
      <c r="M6263" t="s">
        <v>12155</v>
      </c>
      <c r="N6263" t="s">
        <v>14</v>
      </c>
    </row>
    <row r="6264" x14ac:dyDescent="0.25">
      <c r="A6264" t="n">
        <v>25</v>
      </c>
      <c r="B6264" t="s">
        <v>14</v>
      </c>
      <c r="C6264" t="s">
        <v>51</v>
      </c>
      <c r="D6264" s="2" t="s">
        <f>=HYPERLINK("https://main.knesset.gov.il/APPS/legislation/main/bills/2197478", "הצעת חוק הביטוח הלאומי (תיקון - העלאת דמי לידה), התשפ""ג-2023")</f>
        <v>12373</v>
      </c>
      <c r="E6264" t="s">
        <v>12373</v>
      </c>
      <c r="F6264" t="s">
        <v>12374</v>
      </c>
      <c r="G6264" t="s">
        <v>14</v>
      </c>
      <c r="H6264">
             </c>
      <c r="I6264" t="s">
        <v>14</v>
      </c>
      <c r="J6264" t="s">
        <v>242</v>
      </c>
      <c r="K6264" t="s">
        <v>14</v>
      </c>
      <c r="L6264" t="s">
        <v>20</v>
      </c>
      <c r="M6264" t="s">
        <v>12155</v>
      </c>
      <c r="N6264" t="s">
        <v>14</v>
      </c>
    </row>
    <row r="6265" x14ac:dyDescent="0.25">
      <c r="A6265" t="n">
        <v>25</v>
      </c>
      <c r="B6265" t="s">
        <v>14</v>
      </c>
      <c r="C6265" t="s">
        <v>51</v>
      </c>
      <c r="D6265" s="2" t="s">
        <f>=HYPERLINK("https://main.knesset.gov.il/APPS/legislation/main/bills/2198547", "הצעת חוק הדיור הציבורי (זכויות רכישה) (תיקון - העלאת המחיר הבסיסי לחישוב מענק), התשפ""ג-2023")</f>
        <v>12375</v>
      </c>
      <c r="E6265" t="s">
        <v>12375</v>
      </c>
      <c r="F6265" t="s">
        <v>12376</v>
      </c>
      <c r="G6265" t="s">
        <v>14</v>
      </c>
      <c r="H6265">
             </c>
      <c r="I6265" t="s">
        <v>14</v>
      </c>
      <c r="J6265" t="s">
        <v>242</v>
      </c>
      <c r="K6265" t="s">
        <v>14</v>
      </c>
      <c r="L6265" t="s">
        <v>20</v>
      </c>
      <c r="M6265" t="s">
        <v>12155</v>
      </c>
      <c r="N6265" t="s">
        <v>14</v>
      </c>
    </row>
    <row r="6266" x14ac:dyDescent="0.25">
      <c r="A6266" t="n">
        <v>25</v>
      </c>
      <c r="B6266" t="s">
        <v>14</v>
      </c>
      <c r="C6266" t="s">
        <v>51</v>
      </c>
      <c r="D6266" s="2" t="s">
        <f>=HYPERLINK("https://main.knesset.gov.il/APPS/legislation/main/bills/2197463", "הצעת חוק חינוך ממלכתי (תיקון - חובת לימוד ערבית), התשפ""ג-2023")</f>
        <v>12377</v>
      </c>
      <c r="E6266" t="s">
        <v>12377</v>
      </c>
      <c r="F6266" t="s">
        <v>12378</v>
      </c>
      <c r="G6266" t="s">
        <v>14</v>
      </c>
      <c r="H6266">
             </c>
      <c r="I6266" t="s">
        <v>14</v>
      </c>
      <c r="J6266" t="s">
        <v>242</v>
      </c>
      <c r="K6266" t="s">
        <v>14</v>
      </c>
      <c r="L6266" t="s">
        <v>20</v>
      </c>
      <c r="M6266" t="s">
        <v>12155</v>
      </c>
      <c r="N6266" t="s">
        <v>14</v>
      </c>
    </row>
    <row r="6267" x14ac:dyDescent="0.25">
      <c r="A6267" t="n">
        <v>25</v>
      </c>
      <c r="B6267" t="s">
        <v>14</v>
      </c>
      <c r="C6267" t="s">
        <v>51</v>
      </c>
      <c r="D6267" s="2" t="s">
        <f>=HYPERLINK("https://main.knesset.gov.il/APPS/legislation/main/bills/2197894", "הצעת חוק שלילת תשלומים מחבר הכנסת ומחבר הכנסת לשעבר בשל עבירה (תיקון - חשוד בעבירת ביטחון), התשפ""ג-2023")</f>
        <v>12379</v>
      </c>
      <c r="E6267" t="s">
        <v>12379</v>
      </c>
      <c r="F6267" t="s">
        <v>12380</v>
      </c>
      <c r="G6267" t="s">
        <v>14</v>
      </c>
      <c r="H6267">
             </c>
      <c r="I6267" t="s">
        <v>14</v>
      </c>
      <c r="J6267" t="s">
        <v>242</v>
      </c>
      <c r="K6267" t="s">
        <v>14</v>
      </c>
      <c r="L6267" t="s">
        <v>20</v>
      </c>
      <c r="M6267" t="s">
        <v>12155</v>
      </c>
      <c r="N6267" t="s">
        <v>14</v>
      </c>
    </row>
    <row r="6268" x14ac:dyDescent="0.25">
      <c r="A6268" t="n">
        <v>25</v>
      </c>
      <c r="B6268" t="s">
        <v>14</v>
      </c>
      <c r="C6268" t="s">
        <v>51</v>
      </c>
      <c r="D6268" s="2" t="s">
        <f>=HYPERLINK("https://main.knesset.gov.il/APPS/legislation/main/bills/2197889", "הצעת חוק התמודדות עם תופעת נטילת דמי חסות, התשפ""ג-2023")</f>
        <v>9972</v>
      </c>
      <c r="E6268" t="s">
        <v>9972</v>
      </c>
      <c r="F6268" t="s">
        <v>12381</v>
      </c>
      <c r="G6268" t="s">
        <v>14</v>
      </c>
      <c r="H6268">
             </c>
      <c r="I6268" t="s">
        <v>14</v>
      </c>
      <c r="J6268" t="s">
        <v>242</v>
      </c>
      <c r="K6268" t="s">
        <v>14</v>
      </c>
      <c r="L6268" t="s">
        <v>20</v>
      </c>
      <c r="M6268" t="s">
        <v>12155</v>
      </c>
      <c r="N6268" t="s">
        <v>14</v>
      </c>
    </row>
    <row r="6269" x14ac:dyDescent="0.25">
      <c r="A6269" t="n">
        <v>25</v>
      </c>
      <c r="B6269" t="s">
        <v>14</v>
      </c>
      <c r="C6269" t="s">
        <v>51</v>
      </c>
      <c r="D6269" s="2" t="s">
        <f>=HYPERLINK("https://main.knesset.gov.il/APPS/legislation/main/bills/2197459", "הצעת חוק עבודת נשים (תיקון - חישוב ימי מחלה בזמן היריון), התשפ""ג-2023")</f>
        <v>12382</v>
      </c>
      <c r="E6269" t="s">
        <v>12382</v>
      </c>
      <c r="F6269" t="s">
        <v>12383</v>
      </c>
      <c r="G6269" t="s">
        <v>14</v>
      </c>
      <c r="H6269">
             </c>
      <c r="I6269" t="s">
        <v>14</v>
      </c>
      <c r="J6269" t="s">
        <v>242</v>
      </c>
      <c r="K6269" t="s">
        <v>14</v>
      </c>
      <c r="L6269" t="s">
        <v>20</v>
      </c>
      <c r="M6269" t="s">
        <v>12155</v>
      </c>
      <c r="N6269" t="s">
        <v>14</v>
      </c>
    </row>
    <row r="6270" x14ac:dyDescent="0.25">
      <c r="A6270" t="n">
        <v>25</v>
      </c>
      <c r="B6270" t="s">
        <v>14</v>
      </c>
      <c r="C6270" t="s">
        <v>51</v>
      </c>
      <c r="D6270" s="2" t="s">
        <f>=HYPERLINK("https://main.knesset.gov.il/APPS/legislation/main/bills/2197887", "הצעת חוק-יסוד: כבוד האדם וחירותו (תיקון - הזכות לשוויון)")</f>
        <v>2894</v>
      </c>
      <c r="E6270" t="s">
        <v>2894</v>
      </c>
      <c r="F6270" t="s">
        <v>12384</v>
      </c>
      <c r="G6270" t="s">
        <v>14</v>
      </c>
      <c r="H6270">
             </c>
      <c r="I6270" t="s">
        <v>14</v>
      </c>
      <c r="J6270" t="s">
        <v>242</v>
      </c>
      <c r="K6270" t="s">
        <v>14</v>
      </c>
      <c r="L6270" t="s">
        <v>20</v>
      </c>
      <c r="M6270" t="s">
        <v>12155</v>
      </c>
      <c r="N6270" t="s">
        <v>14</v>
      </c>
    </row>
    <row r="6271" x14ac:dyDescent="0.25">
      <c r="A6271" t="n">
        <v>25</v>
      </c>
      <c r="B6271" t="s">
        <v>14</v>
      </c>
      <c r="C6271" t="s">
        <v>51</v>
      </c>
      <c r="D6271" s="2" t="s">
        <f>=HYPERLINK("https://main.knesset.gov.il/APPS/legislation/main/bills/2198311", "הצעת חוק הנחה לחיילי צה""ל לוחמים בתחבורה ציבורית, התשפ""ג-2023")</f>
        <v>12385</v>
      </c>
      <c r="E6271" t="s">
        <v>12385</v>
      </c>
      <c r="F6271" t="s">
        <v>12386</v>
      </c>
      <c r="G6271" t="s">
        <v>14</v>
      </c>
      <c r="H6271">
             </c>
      <c r="I6271" t="s">
        <v>14</v>
      </c>
      <c r="J6271" t="s">
        <v>242</v>
      </c>
      <c r="K6271" t="s">
        <v>14</v>
      </c>
      <c r="L6271" t="s">
        <v>20</v>
      </c>
      <c r="M6271" t="s">
        <v>12155</v>
      </c>
      <c r="N6271" t="s">
        <v>14</v>
      </c>
    </row>
    <row r="6272" x14ac:dyDescent="0.25">
      <c r="A6272" t="n">
        <v>25</v>
      </c>
      <c r="B6272" t="s">
        <v>14</v>
      </c>
      <c r="C6272" t="s">
        <v>51</v>
      </c>
      <c r="D6272" s="2" t="s">
        <f>=HYPERLINK("https://main.knesset.gov.il/APPS/legislation/main/bills/2198063", "הצעת חוק הגנת הפרטיות (תיקון - איסור פרסום הקלטה של אדם), התשפ""ג-2023")</f>
        <v>12387</v>
      </c>
      <c r="E6272" t="s">
        <v>12387</v>
      </c>
      <c r="F6272" t="s">
        <v>12388</v>
      </c>
      <c r="G6272" t="s">
        <v>14</v>
      </c>
      <c r="H6272">
             </c>
      <c r="I6272" t="s">
        <v>14</v>
      </c>
      <c r="J6272" t="s">
        <v>242</v>
      </c>
      <c r="K6272" t="s">
        <v>14</v>
      </c>
      <c r="L6272" t="s">
        <v>20</v>
      </c>
      <c r="M6272" t="s">
        <v>12155</v>
      </c>
      <c r="N6272" t="s">
        <v>14</v>
      </c>
    </row>
    <row r="6273" x14ac:dyDescent="0.25">
      <c r="A6273" t="n">
        <v>25</v>
      </c>
      <c r="B6273" t="s">
        <v>14</v>
      </c>
      <c r="C6273" t="s">
        <v>51</v>
      </c>
      <c r="D6273" s="2" t="s">
        <f>=HYPERLINK("https://main.knesset.gov.il/APPS/legislation/main/bills/2197992", "הצעת חוק הביטוח הלאומי (תיקון - דמי לידה לבן הזוג בלידה שקטה), התשפ""ג-2023")</f>
        <v>9562</v>
      </c>
      <c r="E6273" t="s">
        <v>9562</v>
      </c>
      <c r="F6273" t="s">
        <v>12389</v>
      </c>
      <c r="G6273" t="s">
        <v>14</v>
      </c>
      <c r="H6273">
             </c>
      <c r="I6273" t="s">
        <v>14</v>
      </c>
      <c r="J6273" t="s">
        <v>242</v>
      </c>
      <c r="K6273" t="s">
        <v>14</v>
      </c>
      <c r="L6273" t="s">
        <v>20</v>
      </c>
      <c r="M6273" t="s">
        <v>12155</v>
      </c>
      <c r="N6273" t="s">
        <v>14</v>
      </c>
    </row>
    <row r="6274" x14ac:dyDescent="0.25">
      <c r="A6274" t="n">
        <v>25</v>
      </c>
      <c r="B6274" t="s">
        <v>14</v>
      </c>
      <c r="C6274" t="s">
        <v>51</v>
      </c>
      <c r="D6274" s="2" t="s">
        <f>=HYPERLINK("https://main.knesset.gov.il/APPS/legislation/main/bills/2197452", "הצעת חוק שפות רשמיות, התשפ""ג-2023")</f>
        <v>12390</v>
      </c>
      <c r="E6274" t="s">
        <v>12390</v>
      </c>
      <c r="F6274" t="s">
        <v>12391</v>
      </c>
      <c r="G6274" t="s">
        <v>14</v>
      </c>
      <c r="H6274">
             </c>
      <c r="I6274" t="s">
        <v>14</v>
      </c>
      <c r="J6274" t="s">
        <v>242</v>
      </c>
      <c r="K6274" t="s">
        <v>14</v>
      </c>
      <c r="L6274" t="s">
        <v>20</v>
      </c>
      <c r="M6274" t="s">
        <v>12155</v>
      </c>
      <c r="N6274" t="s">
        <v>14</v>
      </c>
    </row>
    <row r="6275" x14ac:dyDescent="0.25">
      <c r="A6275" t="n">
        <v>25</v>
      </c>
      <c r="B6275" t="s">
        <v>14</v>
      </c>
      <c r="C6275" t="s">
        <v>51</v>
      </c>
      <c r="D6275" s="2" t="s">
        <f>=HYPERLINK("https://main.knesset.gov.il/APPS/legislation/main/bills/2197449", "הצעת חוק עבודת נשים (תיקון - הגנה על עובדת מפני הליכי פיטורים), התשפ""ג-2023")</f>
        <v>12392</v>
      </c>
      <c r="E6275" t="s">
        <v>12392</v>
      </c>
      <c r="F6275" t="s">
        <v>12393</v>
      </c>
      <c r="G6275" t="s">
        <v>14</v>
      </c>
      <c r="H6275">
             </c>
      <c r="I6275" t="s">
        <v>14</v>
      </c>
      <c r="J6275" t="s">
        <v>242</v>
      </c>
      <c r="K6275" t="s">
        <v>14</v>
      </c>
      <c r="L6275" t="s">
        <v>20</v>
      </c>
      <c r="M6275" t="s">
        <v>12155</v>
      </c>
      <c r="N6275" t="s">
        <v>14</v>
      </c>
    </row>
    <row r="6276" x14ac:dyDescent="0.25">
      <c r="A6276" t="n">
        <v>25</v>
      </c>
      <c r="B6276" t="s">
        <v>14</v>
      </c>
      <c r="C6276" t="s">
        <v>51</v>
      </c>
      <c r="D6276" s="2" t="s">
        <f>=HYPERLINK("https://main.knesset.gov.il/APPS/legislation/main/bills/2198407", "הצעת חוק עבודת נשים (תיקון - הוספת חלקו של חודש במניין), התשפ""ג-2023")</f>
        <v>12394</v>
      </c>
      <c r="E6276" t="s">
        <v>12394</v>
      </c>
      <c r="F6276" t="s">
        <v>12395</v>
      </c>
      <c r="G6276" t="s">
        <v>14</v>
      </c>
      <c r="H6276">
             </c>
      <c r="I6276" t="s">
        <v>14</v>
      </c>
      <c r="J6276" t="s">
        <v>242</v>
      </c>
      <c r="K6276" t="s">
        <v>14</v>
      </c>
      <c r="L6276" t="s">
        <v>20</v>
      </c>
      <c r="M6276" t="s">
        <v>12155</v>
      </c>
      <c r="N6276" t="s">
        <v>14</v>
      </c>
    </row>
    <row r="6277" x14ac:dyDescent="0.25">
      <c r="A6277" t="n">
        <v>25</v>
      </c>
      <c r="B6277" t="s">
        <v>14</v>
      </c>
      <c r="C6277" t="s">
        <v>51</v>
      </c>
      <c r="D6277" s="2" t="s">
        <f>=HYPERLINK("https://main.knesset.gov.il/APPS/legislation/main/bills/2196968", "הצעת חוק הביטוח הלאומי (תיקון - השבת תשלומי מעסיק בגין תשלומים לקופות ולקרנות של העובד בימי מילואים), התשפ""ג-2023")</f>
        <v>8682</v>
      </c>
      <c r="E6277" t="s">
        <v>8682</v>
      </c>
      <c r="F6277" t="s">
        <v>12396</v>
      </c>
      <c r="G6277" t="s">
        <v>14</v>
      </c>
      <c r="H6277">
             </c>
      <c r="I6277" t="s">
        <v>14</v>
      </c>
      <c r="J6277" t="s">
        <v>242</v>
      </c>
      <c r="K6277" t="s">
        <v>14</v>
      </c>
      <c r="L6277" t="s">
        <v>20</v>
      </c>
      <c r="M6277" t="s">
        <v>12155</v>
      </c>
      <c r="N6277" t="s">
        <v>14</v>
      </c>
    </row>
    <row r="6278" x14ac:dyDescent="0.25">
      <c r="A6278" t="n">
        <v>25</v>
      </c>
      <c r="B6278" t="s">
        <v>14</v>
      </c>
      <c r="C6278" t="s">
        <v>51</v>
      </c>
      <c r="D6278" s="2" t="s">
        <f>=HYPERLINK("https://main.knesset.gov.il/APPS/legislation/main/bills/2198343", "הצעת חוק העונשין (תיקון - החמרת ענישה בעבירות אלימות), התשפ""ג-2023")</f>
        <v>9892</v>
      </c>
      <c r="E6278" t="s">
        <v>9892</v>
      </c>
      <c r="F6278" t="s">
        <v>12397</v>
      </c>
      <c r="G6278" t="s">
        <v>14</v>
      </c>
      <c r="H6278">
             </c>
      <c r="I6278" t="s">
        <v>14</v>
      </c>
      <c r="J6278" t="s">
        <v>242</v>
      </c>
      <c r="K6278" t="s">
        <v>14</v>
      </c>
      <c r="L6278" t="s">
        <v>20</v>
      </c>
      <c r="M6278" t="s">
        <v>12155</v>
      </c>
      <c r="N6278" t="s">
        <v>14</v>
      </c>
    </row>
    <row r="6279" x14ac:dyDescent="0.25">
      <c r="A6279" t="n">
        <v>25</v>
      </c>
      <c r="B6279" t="s">
        <v>14</v>
      </c>
      <c r="C6279" t="s">
        <v>51</v>
      </c>
      <c r="D6279" s="2" t="s">
        <f>=HYPERLINK("https://main.knesset.gov.il/APPS/legislation/main/bills/2197436", "הצעת חוק המרכז לתולדות החברה הערבית, התשפ""ג-2023")</f>
        <v>12398</v>
      </c>
      <c r="E6279" t="s">
        <v>12398</v>
      </c>
      <c r="F6279" t="s">
        <v>12399</v>
      </c>
      <c r="G6279" t="s">
        <v>14</v>
      </c>
      <c r="H6279">
             </c>
      <c r="I6279" t="s">
        <v>14</v>
      </c>
      <c r="J6279" t="s">
        <v>242</v>
      </c>
      <c r="K6279" t="s">
        <v>14</v>
      </c>
      <c r="L6279" t="s">
        <v>20</v>
      </c>
      <c r="M6279" t="s">
        <v>12155</v>
      </c>
      <c r="N6279" t="s">
        <v>14</v>
      </c>
    </row>
    <row r="6280" x14ac:dyDescent="0.25">
      <c r="A6280" t="n">
        <v>25</v>
      </c>
      <c r="B6280" t="s">
        <v>14</v>
      </c>
      <c r="C6280" t="s">
        <v>51</v>
      </c>
      <c r="D6280" s="2" t="s">
        <f>=HYPERLINK("https://main.knesset.gov.il/APPS/legislation/main/bills/2198136", "הצעת חוק נכי רדיפות הנאצים (תיקון - הכנסה נוספת), התשפ""ג-2023")</f>
        <v>12400</v>
      </c>
      <c r="E6280" t="s">
        <v>12400</v>
      </c>
      <c r="F6280" t="s">
        <v>12401</v>
      </c>
      <c r="G6280" t="s">
        <v>14</v>
      </c>
      <c r="H6280">
             </c>
      <c r="I6280" t="s">
        <v>14</v>
      </c>
      <c r="J6280" t="s">
        <v>242</v>
      </c>
      <c r="K6280" t="s">
        <v>14</v>
      </c>
      <c r="L6280" t="s">
        <v>20</v>
      </c>
      <c r="M6280" t="s">
        <v>12155</v>
      </c>
      <c r="N6280" t="s">
        <v>14</v>
      </c>
    </row>
    <row r="6281" x14ac:dyDescent="0.25">
      <c r="A6281" t="n">
        <v>25</v>
      </c>
      <c r="B6281" t="s">
        <v>14</v>
      </c>
      <c r="C6281" t="s">
        <v>51</v>
      </c>
      <c r="D6281" s="2" t="s">
        <f>=HYPERLINK("https://main.knesset.gov.il/APPS/legislation/main/bills/2197413", "הצעת חוק השפה הערבית שפה רשמית, התשפ""ג-2023")</f>
        <v>12402</v>
      </c>
      <c r="E6281" t="s">
        <v>12402</v>
      </c>
      <c r="F6281" t="s">
        <v>12403</v>
      </c>
      <c r="G6281" t="s">
        <v>14</v>
      </c>
      <c r="H6281">
             </c>
      <c r="I6281" t="s">
        <v>14</v>
      </c>
      <c r="J6281" t="s">
        <v>242</v>
      </c>
      <c r="K6281" t="s">
        <v>14</v>
      </c>
      <c r="L6281" t="s">
        <v>20</v>
      </c>
      <c r="M6281" t="s">
        <v>12155</v>
      </c>
      <c r="N6281" t="s">
        <v>14</v>
      </c>
    </row>
    <row r="6282" x14ac:dyDescent="0.25">
      <c r="A6282" t="n">
        <v>25</v>
      </c>
      <c r="B6282" t="s">
        <v>14</v>
      </c>
      <c r="C6282" t="s">
        <v>51</v>
      </c>
      <c r="D6282" s="2" t="s">
        <f>=HYPERLINK("https://main.knesset.gov.il/APPS/legislation/main/bills/2197970", "הצעת חוק איסור מכירת צעצועים המדמים כלי נשק, התשפ""ג-2023")</f>
        <v>8267</v>
      </c>
      <c r="E6282" t="s">
        <v>8267</v>
      </c>
      <c r="F6282" t="s">
        <v>12404</v>
      </c>
      <c r="G6282" t="s">
        <v>14</v>
      </c>
      <c r="H6282">
             </c>
      <c r="I6282" t="s">
        <v>14</v>
      </c>
      <c r="J6282" t="s">
        <v>242</v>
      </c>
      <c r="K6282" t="s">
        <v>14</v>
      </c>
      <c r="L6282" t="s">
        <v>20</v>
      </c>
      <c r="M6282" t="s">
        <v>12155</v>
      </c>
      <c r="N6282" t="s">
        <v>14</v>
      </c>
    </row>
    <row r="6283" x14ac:dyDescent="0.25">
      <c r="A6283" t="n">
        <v>25</v>
      </c>
      <c r="B6283" t="s">
        <v>14</v>
      </c>
      <c r="C6283" t="s">
        <v>51</v>
      </c>
      <c r="D6283" s="2" t="s">
        <f>=HYPERLINK("https://main.knesset.gov.il/APPS/legislation/main/bills/2198412", "הצעת חוק הביטוח הלאומי (תיקון - זכאות לדמי אבטלה מגיל שמונה-עשרה וחצי), התשפ""ג-2023")</f>
        <v>12405</v>
      </c>
      <c r="E6283" t="s">
        <v>12405</v>
      </c>
      <c r="F6283" t="s">
        <v>12406</v>
      </c>
      <c r="G6283" t="s">
        <v>14</v>
      </c>
      <c r="H6283">
             </c>
      <c r="I6283" t="s">
        <v>14</v>
      </c>
      <c r="J6283" t="s">
        <v>242</v>
      </c>
      <c r="K6283" t="s">
        <v>14</v>
      </c>
      <c r="L6283" t="s">
        <v>20</v>
      </c>
      <c r="M6283" t="s">
        <v>12155</v>
      </c>
      <c r="N6283" t="s">
        <v>14</v>
      </c>
    </row>
    <row r="6284" x14ac:dyDescent="0.25">
      <c r="A6284" t="n">
        <v>25</v>
      </c>
      <c r="B6284" t="s">
        <v>14</v>
      </c>
      <c r="C6284" t="s">
        <v>51</v>
      </c>
      <c r="D6284" s="2" t="s">
        <f>=HYPERLINK("https://main.knesset.gov.il/APPS/legislation/main/bills/2197418", "הצעת חוק השפה הערבית שפה רשמית (מתן שירותים בשפה הערבית), התשפ""ג-2023")</f>
        <v>12407</v>
      </c>
      <c r="E6284" t="s">
        <v>12407</v>
      </c>
      <c r="F6284" t="s">
        <v>12408</v>
      </c>
      <c r="G6284" t="s">
        <v>14</v>
      </c>
      <c r="H6284">
             </c>
      <c r="I6284" t="s">
        <v>14</v>
      </c>
      <c r="J6284" t="s">
        <v>242</v>
      </c>
      <c r="K6284" t="s">
        <v>14</v>
      </c>
      <c r="L6284" t="s">
        <v>20</v>
      </c>
      <c r="M6284" t="s">
        <v>12155</v>
      </c>
      <c r="N6284" t="s">
        <v>14</v>
      </c>
    </row>
    <row r="6285" x14ac:dyDescent="0.25">
      <c r="A6285" t="n">
        <v>25</v>
      </c>
      <c r="B6285" t="s">
        <v>14</v>
      </c>
      <c r="C6285" t="s">
        <v>51</v>
      </c>
      <c r="D6285" s="2" t="s">
        <f>=HYPERLINK("https://main.knesset.gov.il/APPS/legislation/main/bills/2197110", "הצעת חוק חינוך ממלכתי (תיקון - חובת לימוד ערבית), התשפ""ג-2023")</f>
        <v>12377</v>
      </c>
      <c r="E6285" t="s">
        <v>12377</v>
      </c>
      <c r="F6285" t="s">
        <v>12409</v>
      </c>
      <c r="G6285" t="s">
        <v>14</v>
      </c>
      <c r="H6285">
             </c>
      <c r="I6285" t="s">
        <v>14</v>
      </c>
      <c r="J6285" t="s">
        <v>242</v>
      </c>
      <c r="K6285" t="s">
        <v>14</v>
      </c>
      <c r="L6285" t="s">
        <v>20</v>
      </c>
      <c r="M6285" t="s">
        <v>12155</v>
      </c>
      <c r="N6285" t="s">
        <v>14</v>
      </c>
    </row>
    <row r="6286" x14ac:dyDescent="0.25">
      <c r="A6286" t="n">
        <v>25</v>
      </c>
      <c r="B6286" t="s">
        <v>14</v>
      </c>
      <c r="C6286" t="s">
        <v>51</v>
      </c>
      <c r="D6286" s="2" t="s">
        <f>=HYPERLINK("https://main.knesset.gov.il/APPS/legislation/main/bills/2198261", "הצעת חוק המזונות (הבטחת תשלום) (תיקון - סכום שלא יובא בחשבון במבחן ההכנסה), התשפ""ג-2023")</f>
        <v>10532</v>
      </c>
      <c r="E6286" t="s">
        <v>10532</v>
      </c>
      <c r="F6286" t="s">
        <v>12410</v>
      </c>
      <c r="G6286" t="s">
        <v>14</v>
      </c>
      <c r="H6286">
             </c>
      <c r="I6286" t="s">
        <v>14</v>
      </c>
      <c r="J6286" t="s">
        <v>242</v>
      </c>
      <c r="K6286" t="s">
        <v>14</v>
      </c>
      <c r="L6286" t="s">
        <v>20</v>
      </c>
      <c r="M6286" t="s">
        <v>12155</v>
      </c>
      <c r="N6286" t="s">
        <v>14</v>
      </c>
    </row>
    <row r="6287" x14ac:dyDescent="0.25">
      <c r="A6287" t="n">
        <v>25</v>
      </c>
      <c r="B6287" t="s">
        <v>14</v>
      </c>
      <c r="C6287" t="s">
        <v>51</v>
      </c>
      <c r="D6287" s="2" t="s">
        <f>=HYPERLINK("https://main.knesset.gov.il/APPS/legislation/main/bills/2196566", "הצעת חוק תוכנית לחינוך גופני והקמת מתקני ספורט במוסדות חינוך (תיקוני חקיקה), התשפ""ג-2023 ")</f>
        <v>12411</v>
      </c>
      <c r="E6287" t="s">
        <v>12411</v>
      </c>
      <c r="F6287" t="s">
        <v>12412</v>
      </c>
      <c r="G6287" t="s">
        <v>14</v>
      </c>
      <c r="H6287">
             </c>
      <c r="I6287" t="s">
        <v>14</v>
      </c>
      <c r="J6287" t="s">
        <v>242</v>
      </c>
      <c r="K6287" t="s">
        <v>14</v>
      </c>
      <c r="L6287" t="s">
        <v>20</v>
      </c>
      <c r="M6287" t="s">
        <v>12155</v>
      </c>
      <c r="N6287" t="s">
        <v>14</v>
      </c>
    </row>
    <row r="6288" x14ac:dyDescent="0.25">
      <c r="A6288" t="n">
        <v>25</v>
      </c>
      <c r="B6288" t="s">
        <v>14</v>
      </c>
      <c r="C6288" t="s">
        <v>51</v>
      </c>
      <c r="D6288" s="2" t="s">
        <f>=HYPERLINK("https://main.knesset.gov.il/APPS/legislation/main/bills/2198382", "הצעת חוק הכשרות לאנשי מקצוע בנושא זיהוי ודיווח על התעללות בילדים, התשפ""ג-2023")</f>
        <v>8191</v>
      </c>
      <c r="E6288" t="s">
        <v>8191</v>
      </c>
      <c r="F6288" t="s">
        <v>12413</v>
      </c>
      <c r="G6288" t="s">
        <v>14</v>
      </c>
      <c r="H6288">
             </c>
      <c r="I6288" t="s">
        <v>14</v>
      </c>
      <c r="J6288" t="s">
        <v>242</v>
      </c>
      <c r="K6288" t="s">
        <v>14</v>
      </c>
      <c r="L6288" t="s">
        <v>20</v>
      </c>
      <c r="M6288" t="s">
        <v>12155</v>
      </c>
      <c r="N6288" t="s">
        <v>14</v>
      </c>
    </row>
    <row r="6289" x14ac:dyDescent="0.25">
      <c r="A6289" t="n">
        <v>25</v>
      </c>
      <c r="B6289" t="s">
        <v>14</v>
      </c>
      <c r="C6289" t="s">
        <v>51</v>
      </c>
      <c r="D6289" s="2" t="s">
        <f>=HYPERLINK("https://main.knesset.gov.il/APPS/legislation/main/bills/2197952", "הצעת חוק התכנון והבנייה (תיקון - תחולת סעיף 157א - חיבור לחשמל, למים או לטלפון), התשפ""ג-2023")</f>
        <v>12414</v>
      </c>
      <c r="E6289" t="s">
        <v>12414</v>
      </c>
      <c r="F6289" t="s">
        <v>12415</v>
      </c>
      <c r="G6289" t="s">
        <v>14</v>
      </c>
      <c r="H6289">
             </c>
      <c r="I6289" t="s">
        <v>14</v>
      </c>
      <c r="J6289" t="s">
        <v>242</v>
      </c>
      <c r="K6289" t="s">
        <v>14</v>
      </c>
      <c r="L6289" t="s">
        <v>20</v>
      </c>
      <c r="M6289" t="s">
        <v>12155</v>
      </c>
      <c r="N6289" t="s">
        <v>14</v>
      </c>
    </row>
    <row r="6290" x14ac:dyDescent="0.25">
      <c r="A6290" t="n">
        <v>25</v>
      </c>
      <c r="B6290" t="s">
        <v>14</v>
      </c>
      <c r="C6290" t="s">
        <v>51</v>
      </c>
      <c r="D6290" s="2" t="s">
        <f>=HYPERLINK("https://main.knesset.gov.il/APPS/legislation/main/bills/2198237", "הצעת חוק הרשויות המקומיות (פטור חיילים, נפגעי מלחמה ושוטרים מארנונה) (תיקון - הנחה בארנונה ליתומי צה""ל), התשפ""ג-2023")</f>
        <v>12416</v>
      </c>
      <c r="E6290" t="s">
        <v>12416</v>
      </c>
      <c r="F6290" t="s">
        <v>12417</v>
      </c>
      <c r="G6290" t="s">
        <v>14</v>
      </c>
      <c r="H6290">
             </c>
      <c r="I6290" t="s">
        <v>14</v>
      </c>
      <c r="J6290" t="s">
        <v>242</v>
      </c>
      <c r="K6290" t="s">
        <v>14</v>
      </c>
      <c r="L6290" t="s">
        <v>20</v>
      </c>
      <c r="M6290" t="s">
        <v>12155</v>
      </c>
      <c r="N6290" t="s">
        <v>14</v>
      </c>
    </row>
    <row r="6291" x14ac:dyDescent="0.25">
      <c r="A6291" t="n">
        <v>25</v>
      </c>
      <c r="B6291" t="s">
        <v>14</v>
      </c>
      <c r="C6291" t="s">
        <v>51</v>
      </c>
      <c r="D6291" s="2" t="s">
        <f>=HYPERLINK("https://main.knesset.gov.il/APPS/legislation/main/bills/2198228", "הצעת חוק הבנקאות (שירות ללקוח) (תיקון - שיעור הריבית על הלוואה לדיור), התשפ""ג-2023")</f>
        <v>12418</v>
      </c>
      <c r="E6291" t="s">
        <v>12418</v>
      </c>
      <c r="F6291" t="s">
        <v>12419</v>
      </c>
      <c r="G6291" t="s">
        <v>14</v>
      </c>
      <c r="H6291">
             </c>
      <c r="I6291" t="s">
        <v>14</v>
      </c>
      <c r="J6291" t="s">
        <v>202</v>
      </c>
      <c r="K6291" t="s">
        <v>14</v>
      </c>
      <c r="L6291" t="s">
        <v>20</v>
      </c>
      <c r="M6291" t="s">
        <v>12420</v>
      </c>
      <c r="N6291" t="s">
        <v>14</v>
      </c>
    </row>
    <row r="6292" x14ac:dyDescent="0.25">
      <c r="A6292" t="n">
        <v>25</v>
      </c>
      <c r="B6292" t="s">
        <v>14</v>
      </c>
      <c r="C6292" t="s">
        <v>51</v>
      </c>
      <c r="D6292" s="2" t="s">
        <f>=HYPERLINK("https://main.knesset.gov.il/APPS/legislation/main/bills/2197342", "הצעת חוק המים (תיקון - הנחות לאוכלוסיות זכאיות), התשפ""ג-2023")</f>
        <v>11470</v>
      </c>
      <c r="E6292" t="s">
        <v>11470</v>
      </c>
      <c r="F6292" t="s">
        <v>12421</v>
      </c>
      <c r="G6292" t="s">
        <v>14</v>
      </c>
      <c r="H6292">
             </c>
      <c r="I6292" t="s">
        <v>14</v>
      </c>
      <c r="J6292" t="s">
        <v>242</v>
      </c>
      <c r="K6292" t="s">
        <v>14</v>
      </c>
      <c r="L6292" t="s">
        <v>20</v>
      </c>
      <c r="M6292" t="s">
        <v>12420</v>
      </c>
      <c r="N6292" t="s">
        <v>14</v>
      </c>
    </row>
    <row r="6293" x14ac:dyDescent="0.25">
      <c r="A6293" t="n">
        <v>25</v>
      </c>
      <c r="B6293" t="s">
        <v>14</v>
      </c>
      <c r="C6293" t="s">
        <v>51</v>
      </c>
      <c r="D6293" s="2" t="s">
        <f>=HYPERLINK("https://main.knesset.gov.il/APPS/legislation/main/bills/2197341", "הצעת חוק הגנת הצרכן (תיקון - פנייה מקדימה בעסקת מכר מרחוק), התשפ""ג-2023")</f>
        <v>9662</v>
      </c>
      <c r="E6293" t="s">
        <v>9662</v>
      </c>
      <c r="F6293" t="s">
        <v>12422</v>
      </c>
      <c r="G6293" t="s">
        <v>14</v>
      </c>
      <c r="H6293">
             </c>
      <c r="I6293" t="s">
        <v>14</v>
      </c>
      <c r="J6293" t="s">
        <v>242</v>
      </c>
      <c r="K6293" t="s">
        <v>14</v>
      </c>
      <c r="L6293" t="s">
        <v>20</v>
      </c>
      <c r="M6293" t="s">
        <v>12420</v>
      </c>
      <c r="N6293" t="s">
        <v>14</v>
      </c>
    </row>
    <row r="6294" x14ac:dyDescent="0.25">
      <c r="A6294" t="n">
        <v>25</v>
      </c>
      <c r="B6294" t="s">
        <v>14</v>
      </c>
      <c r="C6294" t="s">
        <v>51</v>
      </c>
      <c r="D6294" s="2" t="s">
        <f>=HYPERLINK("https://main.knesset.gov.il/APPS/legislation/main/bills/2197343", "הצעת חוק הגנה על עובדים בשעת חירום (תיקון - אובדן ימי עבודה בשל מצב מיוחד בעורף), התשפ""ג-2023")</f>
        <v>12423</v>
      </c>
      <c r="E6294" t="s">
        <v>12423</v>
      </c>
      <c r="F6294" t="s">
        <v>12424</v>
      </c>
      <c r="G6294" t="s">
        <v>14</v>
      </c>
      <c r="H6294">
             </c>
      <c r="I6294" t="s">
        <v>14</v>
      </c>
      <c r="J6294" t="s">
        <v>242</v>
      </c>
      <c r="K6294" t="s">
        <v>14</v>
      </c>
      <c r="L6294" t="s">
        <v>20</v>
      </c>
      <c r="M6294" t="s">
        <v>12420</v>
      </c>
      <c r="N6294" t="s">
        <v>14</v>
      </c>
    </row>
    <row r="6295" x14ac:dyDescent="0.25">
      <c r="A6295" t="n">
        <v>25</v>
      </c>
      <c r="B6295" t="s">
        <v>14</v>
      </c>
      <c r="C6295" t="s">
        <v>51</v>
      </c>
      <c r="D6295" s="2" t="s">
        <f>=HYPERLINK("https://main.knesset.gov.il/APPS/legislation/main/bills/2197329", "הצעת חוק הגנת הצרכן (תיקון - איסור התניית עסקה באופן תשלום), התשפ""ג-2023")</f>
        <v>11795</v>
      </c>
      <c r="E6295" t="s">
        <v>11795</v>
      </c>
      <c r="F6295" t="s">
        <v>12425</v>
      </c>
      <c r="G6295" t="s">
        <v>14</v>
      </c>
      <c r="H6295">
             </c>
      <c r="I6295" t="s">
        <v>14</v>
      </c>
      <c r="J6295" t="s">
        <v>242</v>
      </c>
      <c r="K6295" t="s">
        <v>14</v>
      </c>
      <c r="L6295" t="s">
        <v>20</v>
      </c>
      <c r="M6295" t="s">
        <v>12420</v>
      </c>
      <c r="N6295" t="s">
        <v>14</v>
      </c>
    </row>
    <row r="6296" x14ac:dyDescent="0.25">
      <c r="A6296" t="n">
        <v>25</v>
      </c>
      <c r="B6296" t="s">
        <v>14</v>
      </c>
      <c r="C6296" t="s">
        <v>51</v>
      </c>
      <c r="D6296" s="2" t="s">
        <f>=HYPERLINK("https://main.knesset.gov.il/APPS/legislation/main/bills/2197331", "הצעת חוק הגנת הצרכן (תיקון - אישור להמשך מתן שירות בעסקה מתמשכת), התשפ""ג-2023")</f>
        <v>12426</v>
      </c>
      <c r="E6296" t="s">
        <v>12426</v>
      </c>
      <c r="F6296" t="s">
        <v>12427</v>
      </c>
      <c r="G6296" t="s">
        <v>14</v>
      </c>
      <c r="H6296">
             </c>
      <c r="I6296" t="s">
        <v>14</v>
      </c>
      <c r="J6296" t="s">
        <v>242</v>
      </c>
      <c r="K6296" t="s">
        <v>14</v>
      </c>
      <c r="L6296" t="s">
        <v>20</v>
      </c>
      <c r="M6296" t="s">
        <v>12420</v>
      </c>
      <c r="N6296" t="s">
        <v>14</v>
      </c>
    </row>
    <row r="6297" x14ac:dyDescent="0.25">
      <c r="A6297" t="n">
        <v>25</v>
      </c>
      <c r="B6297" t="s">
        <v>14</v>
      </c>
      <c r="C6297" t="s">
        <v>51</v>
      </c>
      <c r="D6297" s="2" t="s">
        <f>=HYPERLINK("https://main.knesset.gov.il/APPS/legislation/main/bills/2197326", "הצעת חוק ביטוח בריאות ממלכתי (תיקון - תנאים להחלפת תרופה, טיפול, מטפל, נותן שירותים או מוסד רפואי), התשפ""ג-2023")</f>
        <v>11759</v>
      </c>
      <c r="E6297" t="s">
        <v>11759</v>
      </c>
      <c r="F6297" t="s">
        <v>12428</v>
      </c>
      <c r="G6297" t="s">
        <v>14</v>
      </c>
      <c r="H6297">
             </c>
      <c r="I6297" t="s">
        <v>14</v>
      </c>
      <c r="J6297" t="s">
        <v>242</v>
      </c>
      <c r="K6297" t="s">
        <v>14</v>
      </c>
      <c r="L6297" t="s">
        <v>20</v>
      </c>
      <c r="M6297" t="s">
        <v>12420</v>
      </c>
      <c r="N6297" t="s">
        <v>14</v>
      </c>
    </row>
    <row r="6298" x14ac:dyDescent="0.25">
      <c r="A6298" t="n">
        <v>25</v>
      </c>
      <c r="B6298" t="s">
        <v>14</v>
      </c>
      <c r="C6298" t="s">
        <v>51</v>
      </c>
      <c r="D6298" s="2" t="s">
        <f>=HYPERLINK("https://main.knesset.gov.il/APPS/legislation/main/bills/2197282", "הצעת חוק לעידוד השקעות הון (תיקון - עידוד ענף היהלומים) (הוראת שעה), התשפ""ג-2023")</f>
        <v>12429</v>
      </c>
      <c r="E6298" t="s">
        <v>12429</v>
      </c>
      <c r="F6298" t="s">
        <v>12430</v>
      </c>
      <c r="G6298" t="s">
        <v>14</v>
      </c>
      <c r="H6298">
             </c>
      <c r="I6298" t="s">
        <v>14</v>
      </c>
      <c r="J6298" t="s">
        <v>242</v>
      </c>
      <c r="K6298" t="s">
        <v>14</v>
      </c>
      <c r="L6298" t="s">
        <v>20</v>
      </c>
      <c r="M6298" t="s">
        <v>12420</v>
      </c>
      <c r="N6298" t="s">
        <v>14</v>
      </c>
    </row>
    <row r="6299" x14ac:dyDescent="0.25">
      <c r="A6299" t="n">
        <v>25</v>
      </c>
      <c r="B6299" t="s">
        <v>14</v>
      </c>
      <c r="C6299" t="s">
        <v>51</v>
      </c>
      <c r="D6299" s="2" t="s">
        <f>=HYPERLINK("https://main.knesset.gov.il/APPS/legislation/main/bills/2197269", "הצעת חוק חובת המכרזים (תיקון - עידוד עסקים להעסקת בני החברה החרדית והערבית), התשפ""ג-2023")</f>
        <v>12431</v>
      </c>
      <c r="E6299" t="s">
        <v>12431</v>
      </c>
      <c r="F6299" t="s">
        <v>12432</v>
      </c>
      <c r="G6299" t="s">
        <v>14</v>
      </c>
      <c r="H6299">
             </c>
      <c r="I6299" t="s">
        <v>14</v>
      </c>
      <c r="J6299" t="s">
        <v>242</v>
      </c>
      <c r="K6299" t="s">
        <v>14</v>
      </c>
      <c r="L6299" t="s">
        <v>20</v>
      </c>
      <c r="M6299" t="s">
        <v>12420</v>
      </c>
      <c r="N6299" t="s">
        <v>14</v>
      </c>
    </row>
    <row r="6300" x14ac:dyDescent="0.25">
      <c r="A6300" t="n">
        <v>25</v>
      </c>
      <c r="B6300" t="s">
        <v>14</v>
      </c>
      <c r="C6300" t="s">
        <v>51</v>
      </c>
      <c r="D6300" s="2" t="s">
        <f>=HYPERLINK("https://main.knesset.gov.il/APPS/legislation/main/bills/2197147", "הצעת חוק לתיקון פקודת התעבורה (פטור מתשלום דמי חניה לרכב של כונן רפואת חירום עם ציוד), התשפ""ג-2023")</f>
        <v>11495</v>
      </c>
      <c r="E6300" t="s">
        <v>11495</v>
      </c>
      <c r="F6300" t="s">
        <v>12433</v>
      </c>
      <c r="G6300" t="s">
        <v>14</v>
      </c>
      <c r="H6300">
             </c>
      <c r="I6300" t="s">
        <v>14</v>
      </c>
      <c r="J6300" t="s">
        <v>242</v>
      </c>
      <c r="K6300" t="s">
        <v>14</v>
      </c>
      <c r="L6300" t="s">
        <v>20</v>
      </c>
      <c r="M6300" t="s">
        <v>12420</v>
      </c>
      <c r="N6300" t="s">
        <v>14</v>
      </c>
    </row>
    <row r="6301" x14ac:dyDescent="0.25">
      <c r="A6301" t="n">
        <v>25</v>
      </c>
      <c r="B6301" t="s">
        <v>14</v>
      </c>
      <c r="C6301" t="s">
        <v>51</v>
      </c>
      <c r="D6301" s="2" t="s">
        <f>=HYPERLINK("https://main.knesset.gov.il/APPS/legislation/main/bills/2197095", "הצעת חוק הביטוח הלאומי (תיקון - זכאות לדמי אבטלה בחמשת הימים הראשונים), התשפ""ג-2023")</f>
        <v>12434</v>
      </c>
      <c r="E6301" t="s">
        <v>12434</v>
      </c>
      <c r="F6301" t="s">
        <v>12435</v>
      </c>
      <c r="G6301" t="s">
        <v>14</v>
      </c>
      <c r="H6301">
             </c>
      <c r="I6301" t="s">
        <v>14</v>
      </c>
      <c r="J6301" t="s">
        <v>242</v>
      </c>
      <c r="K6301" t="s">
        <v>14</v>
      </c>
      <c r="L6301" t="s">
        <v>20</v>
      </c>
      <c r="M6301" t="s">
        <v>12420</v>
      </c>
      <c r="N6301" t="s">
        <v>14</v>
      </c>
    </row>
    <row r="6302" x14ac:dyDescent="0.25">
      <c r="A6302" t="n">
        <v>25</v>
      </c>
      <c r="B6302" t="s">
        <v>14</v>
      </c>
      <c r="C6302" t="s">
        <v>51</v>
      </c>
      <c r="D6302" s="2" t="s">
        <f>=HYPERLINK("https://main.knesset.gov.il/APPS/legislation/main/bills/2198249", "הצעת חוק הביטוח הלאומי (תיקון - תנאי זכאות לדמי לידה), התשפ""ג-2023")</f>
        <v>8793</v>
      </c>
      <c r="E6302" t="s">
        <v>8793</v>
      </c>
      <c r="F6302" t="s">
        <v>12436</v>
      </c>
      <c r="G6302" t="s">
        <v>14</v>
      </c>
      <c r="H6302">
             </c>
      <c r="I6302" t="s">
        <v>14</v>
      </c>
      <c r="J6302" t="s">
        <v>242</v>
      </c>
      <c r="K6302" t="s">
        <v>14</v>
      </c>
      <c r="L6302" t="s">
        <v>20</v>
      </c>
      <c r="M6302" t="s">
        <v>12420</v>
      </c>
      <c r="N6302" t="s">
        <v>14</v>
      </c>
    </row>
    <row r="6303" x14ac:dyDescent="0.25">
      <c r="A6303" t="n">
        <v>25</v>
      </c>
      <c r="B6303" t="s">
        <v>14</v>
      </c>
      <c r="C6303" t="s">
        <v>51</v>
      </c>
      <c r="D6303" s="2" t="s">
        <f>=HYPERLINK("https://main.knesset.gov.il/APPS/legislation/main/bills/2198496", "הצעת חוק תמיכה בביטחון תזונתי אצל תינוקות, התשפ""ג-2023")</f>
        <v>12437</v>
      </c>
      <c r="E6303" t="s">
        <v>12437</v>
      </c>
      <c r="F6303" t="s">
        <v>12438</v>
      </c>
      <c r="G6303" t="s">
        <v>14</v>
      </c>
      <c r="H6303">
             </c>
      <c r="I6303" t="s">
        <v>14</v>
      </c>
      <c r="J6303" t="s">
        <v>242</v>
      </c>
      <c r="K6303" t="s">
        <v>14</v>
      </c>
      <c r="L6303" t="s">
        <v>20</v>
      </c>
      <c r="M6303" t="s">
        <v>12420</v>
      </c>
      <c r="N6303" t="s">
        <v>14</v>
      </c>
    </row>
    <row r="6304" x14ac:dyDescent="0.25">
      <c r="A6304" t="n">
        <v>25</v>
      </c>
      <c r="B6304" t="s">
        <v>14</v>
      </c>
      <c r="C6304" t="s">
        <v>51</v>
      </c>
      <c r="D6304" s="2" t="s">
        <f>=HYPERLINK("https://main.knesset.gov.il/APPS/legislation/main/bills/2196883", "הצעת חוק שלילת זכויות למעורב בטרור ולבני משפחתו (תיקוני חקיקה), התשפ""ג-2023")</f>
        <v>10037</v>
      </c>
      <c r="E6304" t="s">
        <v>10037</v>
      </c>
      <c r="F6304" t="s">
        <v>12439</v>
      </c>
      <c r="G6304" t="s">
        <v>14</v>
      </c>
      <c r="H6304">
             </c>
      <c r="I6304" t="s">
        <v>14</v>
      </c>
      <c r="J6304" t="s">
        <v>242</v>
      </c>
      <c r="K6304" t="s">
        <v>14</v>
      </c>
      <c r="L6304" t="s">
        <v>20</v>
      </c>
      <c r="M6304" t="s">
        <v>12420</v>
      </c>
      <c r="N6304" t="s">
        <v>14</v>
      </c>
    </row>
    <row r="6305" x14ac:dyDescent="0.25">
      <c r="A6305" t="n">
        <v>25</v>
      </c>
      <c r="B6305" t="s">
        <v>14</v>
      </c>
      <c r="C6305" t="s">
        <v>51</v>
      </c>
      <c r="D6305" s="2" t="s">
        <f>=HYPERLINK("https://main.knesset.gov.il/APPS/legislation/main/bills/2196881", "הצעת חוק התכנון והבנייה (תיקון - שימוש חורג בקרקע חקלאית), התשפ""ג-2023")</f>
        <v>8926</v>
      </c>
      <c r="E6305" t="s">
        <v>8926</v>
      </c>
      <c r="F6305" t="s">
        <v>12440</v>
      </c>
      <c r="G6305" t="s">
        <v>14</v>
      </c>
      <c r="H6305">
             </c>
      <c r="I6305" t="s">
        <v>14</v>
      </c>
      <c r="J6305" t="s">
        <v>242</v>
      </c>
      <c r="K6305" t="s">
        <v>14</v>
      </c>
      <c r="L6305" t="s">
        <v>20</v>
      </c>
      <c r="M6305" t="s">
        <v>12420</v>
      </c>
      <c r="N6305" t="s">
        <v>14</v>
      </c>
    </row>
    <row r="6306" x14ac:dyDescent="0.25">
      <c r="A6306" t="n">
        <v>25</v>
      </c>
      <c r="B6306" t="s">
        <v>14</v>
      </c>
      <c r="C6306" t="s">
        <v>51</v>
      </c>
      <c r="D6306" s="2" t="s">
        <f>=HYPERLINK("https://main.knesset.gov.il/APPS/legislation/main/bills/2197859", "הצעת חוק הסכמים קיבוציים (תיקון - שינוי מעסיקים), התשפ""ג-2023")</f>
        <v>12441</v>
      </c>
      <c r="E6306" t="s">
        <v>12441</v>
      </c>
      <c r="F6306" t="s">
        <v>12442</v>
      </c>
      <c r="G6306" t="s">
        <v>14</v>
      </c>
      <c r="H6306">
             </c>
      <c r="I6306" t="s">
        <v>14</v>
      </c>
      <c r="J6306" t="s">
        <v>242</v>
      </c>
      <c r="K6306" t="s">
        <v>14</v>
      </c>
      <c r="L6306" t="s">
        <v>20</v>
      </c>
      <c r="M6306" t="s">
        <v>12420</v>
      </c>
      <c r="N6306" t="s">
        <v>14</v>
      </c>
    </row>
    <row r="6307" x14ac:dyDescent="0.25">
      <c r="A6307" t="n">
        <v>25</v>
      </c>
      <c r="B6307" t="s">
        <v>14</v>
      </c>
      <c r="C6307" t="s">
        <v>51</v>
      </c>
      <c r="D6307" s="2" t="s">
        <f>=HYPERLINK("https://main.knesset.gov.il/APPS/legislation/main/bills/2197928", "הצעת חוק לתיקון פקודת מס הכנסה (פטור למוסד ציבור על הכנסה מדיבידנד מחברת בת), התשפ""ג-2023")</f>
        <v>12443</v>
      </c>
      <c r="E6307" t="s">
        <v>12443</v>
      </c>
      <c r="F6307" t="s">
        <v>12444</v>
      </c>
      <c r="G6307" t="s">
        <v>14</v>
      </c>
      <c r="H6307">
             </c>
      <c r="I6307" t="s">
        <v>14</v>
      </c>
      <c r="J6307" t="s">
        <v>242</v>
      </c>
      <c r="K6307" t="s">
        <v>14</v>
      </c>
      <c r="L6307" t="s">
        <v>20</v>
      </c>
      <c r="M6307" t="s">
        <v>12420</v>
      </c>
      <c r="N6307" t="s">
        <v>14</v>
      </c>
    </row>
    <row r="6308" x14ac:dyDescent="0.25">
      <c r="A6308" t="n">
        <v>25</v>
      </c>
      <c r="B6308" t="s">
        <v>14</v>
      </c>
      <c r="C6308" t="s">
        <v>51</v>
      </c>
      <c r="D6308" s="2" t="s">
        <f>=HYPERLINK("https://main.knesset.gov.il/APPS/legislation/main/bills/2198002", "הצעת חוק התכנון והבנייה (הוראות מיוחדות לעניין יישובי מיעוטים) (הוראת שעה), התשפ""ג-2023")</f>
        <v>11873</v>
      </c>
      <c r="E6308" t="s">
        <v>11873</v>
      </c>
      <c r="F6308" t="s">
        <v>12445</v>
      </c>
      <c r="G6308" t="s">
        <v>14</v>
      </c>
      <c r="H6308">
             </c>
      <c r="I6308" t="s">
        <v>14</v>
      </c>
      <c r="J6308" t="s">
        <v>242</v>
      </c>
      <c r="K6308" t="s">
        <v>14</v>
      </c>
      <c r="L6308" t="s">
        <v>20</v>
      </c>
      <c r="M6308" t="s">
        <v>12420</v>
      </c>
      <c r="N6308" t="s">
        <v>14</v>
      </c>
    </row>
    <row r="6309" x14ac:dyDescent="0.25">
      <c r="A6309" t="n">
        <v>25</v>
      </c>
      <c r="B6309" t="s">
        <v>14</v>
      </c>
      <c r="C6309" t="s">
        <v>51</v>
      </c>
      <c r="D6309" s="2" t="s">
        <f>=HYPERLINK("https://main.knesset.gov.il/APPS/legislation/main/bills/2197612", "הצעת חוק הנצחת זכרם של קורבנות הטבח בכפר קאסם, התשפ""ג-2023")</f>
        <v>12446</v>
      </c>
      <c r="E6309" t="s">
        <v>12446</v>
      </c>
      <c r="F6309" t="s">
        <v>12447</v>
      </c>
      <c r="G6309" t="s">
        <v>14</v>
      </c>
      <c r="H6309">
             </c>
      <c r="I6309" t="s">
        <v>14</v>
      </c>
      <c r="J6309" t="s">
        <v>242</v>
      </c>
      <c r="K6309" t="s">
        <v>14</v>
      </c>
      <c r="L6309" t="s">
        <v>20</v>
      </c>
      <c r="M6309" t="s">
        <v>12420</v>
      </c>
      <c r="N6309" t="s">
        <v>14</v>
      </c>
    </row>
    <row r="6310" x14ac:dyDescent="0.25">
      <c r="A6310" t="n">
        <v>25</v>
      </c>
      <c r="B6310" t="s">
        <v>14</v>
      </c>
      <c r="C6310" t="s">
        <v>51</v>
      </c>
      <c r="D6310" s="2" t="s">
        <f>=HYPERLINK("https://main.knesset.gov.il/APPS/legislation/main/bills/2198204", "הצעת חוק ביטוח בריאות ממלכתי (תיקון - קביעת זמני המתנה ומרחקי נסיעה מרביים לקבלת טיפול רפואי), התשפ""ג-2023")</f>
        <v>12448</v>
      </c>
      <c r="E6310" t="s">
        <v>12448</v>
      </c>
      <c r="F6310" t="s">
        <v>12449</v>
      </c>
      <c r="G6310" t="s">
        <v>14</v>
      </c>
      <c r="H6310">
             </c>
      <c r="I6310" t="s">
        <v>14</v>
      </c>
      <c r="J6310" t="s">
        <v>242</v>
      </c>
      <c r="K6310" t="s">
        <v>14</v>
      </c>
      <c r="L6310" t="s">
        <v>20</v>
      </c>
      <c r="M6310" t="s">
        <v>12420</v>
      </c>
      <c r="N6310" t="s">
        <v>14</v>
      </c>
    </row>
    <row r="6311" x14ac:dyDescent="0.25">
      <c r="A6311" t="n">
        <v>25</v>
      </c>
      <c r="B6311" t="s">
        <v>14</v>
      </c>
      <c r="C6311" t="s">
        <v>51</v>
      </c>
      <c r="D6311" s="2" t="s">
        <f>=HYPERLINK("https://main.knesset.gov.il/APPS/legislation/main/bills/2197474", "הצעת חוק הסיוע המשפטי (תיקון - סיוע משפטי לנפגעי עבירות), התשפ""ג-2023")</f>
        <v>12450</v>
      </c>
      <c r="E6311" t="s">
        <v>12450</v>
      </c>
      <c r="F6311" t="s">
        <v>12451</v>
      </c>
      <c r="G6311" t="s">
        <v>14</v>
      </c>
      <c r="H6311">
             </c>
      <c r="I6311" t="s">
        <v>14</v>
      </c>
      <c r="J6311" t="s">
        <v>242</v>
      </c>
      <c r="K6311" t="s">
        <v>14</v>
      </c>
      <c r="L6311" t="s">
        <v>20</v>
      </c>
      <c r="M6311" t="s">
        <v>12420</v>
      </c>
      <c r="N6311" t="s">
        <v>14</v>
      </c>
    </row>
    <row r="6312" x14ac:dyDescent="0.25">
      <c r="A6312" t="n">
        <v>25</v>
      </c>
      <c r="B6312" t="s">
        <v>14</v>
      </c>
      <c r="C6312" t="s">
        <v>51</v>
      </c>
      <c r="D6312" s="2" t="s">
        <f>=HYPERLINK("https://main.knesset.gov.il/APPS/legislation/main/bills/2198036", "הצעת חוק הבטחת הכנסה (תיקון - הגדלת שווי רכב המאפשר זכאות לגמלה), התשפ""ג-2023")</f>
        <v>11237</v>
      </c>
      <c r="E6312" t="s">
        <v>11237</v>
      </c>
      <c r="F6312" t="s">
        <v>12452</v>
      </c>
      <c r="G6312" t="s">
        <v>14</v>
      </c>
      <c r="H6312">
             </c>
      <c r="I6312" t="s">
        <v>14</v>
      </c>
      <c r="J6312" t="s">
        <v>242</v>
      </c>
      <c r="K6312" t="s">
        <v>14</v>
      </c>
      <c r="L6312" t="s">
        <v>20</v>
      </c>
      <c r="M6312" t="s">
        <v>12420</v>
      </c>
      <c r="N6312" t="s">
        <v>14</v>
      </c>
    </row>
    <row r="6313" x14ac:dyDescent="0.25">
      <c r="A6313" t="n">
        <v>25</v>
      </c>
      <c r="B6313" t="s">
        <v>14</v>
      </c>
      <c r="C6313" t="s">
        <v>51</v>
      </c>
      <c r="D6313" s="2" t="s">
        <f>=HYPERLINK("https://main.knesset.gov.il/APPS/legislation/main/bills/2197872", "הצעת חוק חינוך ממלכתי (תיקון - מימון מוסדות חינוך מוכרים לא רשמיים), התשפ""ג-2023")</f>
        <v>12453</v>
      </c>
      <c r="E6313" t="s">
        <v>12453</v>
      </c>
      <c r="F6313" t="s">
        <v>12454</v>
      </c>
      <c r="G6313" t="s">
        <v>14</v>
      </c>
      <c r="H6313">
             </c>
      <c r="I6313" t="s">
        <v>14</v>
      </c>
      <c r="J6313" t="s">
        <v>242</v>
      </c>
      <c r="K6313" t="s">
        <v>14</v>
      </c>
      <c r="L6313" t="s">
        <v>20</v>
      </c>
      <c r="M6313" t="s">
        <v>12420</v>
      </c>
      <c r="N6313" t="s">
        <v>14</v>
      </c>
    </row>
    <row r="6314" x14ac:dyDescent="0.25">
      <c r="A6314" t="n">
        <v>25</v>
      </c>
      <c r="B6314" t="s">
        <v>14</v>
      </c>
      <c r="C6314" t="s">
        <v>51</v>
      </c>
      <c r="D6314" s="2" t="s">
        <f>=HYPERLINK("https://main.knesset.gov.il/APPS/legislation/main/bills/2198252", "הצעת חוק לתיקון פקודת הרופאים (הוראות לעניין בחינות לסטז'רים), התשפ""ג-2023")</f>
        <v>12455</v>
      </c>
      <c r="E6314" t="s">
        <v>12455</v>
      </c>
      <c r="F6314" t="s">
        <v>12456</v>
      </c>
      <c r="G6314" t="s">
        <v>14</v>
      </c>
      <c r="H6314">
             </c>
      <c r="I6314" t="s">
        <v>14</v>
      </c>
      <c r="J6314" t="s">
        <v>242</v>
      </c>
      <c r="K6314" t="s">
        <v>14</v>
      </c>
      <c r="L6314" t="s">
        <v>20</v>
      </c>
      <c r="M6314" t="s">
        <v>12420</v>
      </c>
      <c r="N6314" t="s">
        <v>14</v>
      </c>
    </row>
    <row r="6315" x14ac:dyDescent="0.25">
      <c r="A6315" t="n">
        <v>25</v>
      </c>
      <c r="B6315" t="s">
        <v>14</v>
      </c>
      <c r="C6315" t="s">
        <v>51</v>
      </c>
      <c r="D6315" s="2" t="s">
        <f>=HYPERLINK("https://main.knesset.gov.il/APPS/legislation/main/bills/2197465", "הצעת חוק לתיקון פקודת הראיות (הסרת חיסיון), התשפ""ג-2023")</f>
        <v>12457</v>
      </c>
      <c r="E6315" t="s">
        <v>12457</v>
      </c>
      <c r="F6315" t="s">
        <v>12458</v>
      </c>
      <c r="G6315" t="s">
        <v>14</v>
      </c>
      <c r="H6315">
             </c>
      <c r="I6315" t="s">
        <v>14</v>
      </c>
      <c r="J6315" t="s">
        <v>242</v>
      </c>
      <c r="K6315" t="s">
        <v>14</v>
      </c>
      <c r="L6315" t="s">
        <v>20</v>
      </c>
      <c r="M6315" t="s">
        <v>12420</v>
      </c>
      <c r="N6315" t="s">
        <v>14</v>
      </c>
    </row>
    <row r="6316" x14ac:dyDescent="0.25">
      <c r="A6316" t="n">
        <v>25</v>
      </c>
      <c r="B6316" t="s">
        <v>14</v>
      </c>
      <c r="C6316" t="s">
        <v>51</v>
      </c>
      <c r="D6316" s="2" t="s">
        <f>=HYPERLINK("https://main.knesset.gov.il/APPS/legislation/main/bills/2197458", "הצעת חוק הגנת הצרכן (תיקון - איסור גביית עמלה בעסקה שבוצעה באמצעות האינטרנט), התשפ""ג-2023")</f>
        <v>11868</v>
      </c>
      <c r="E6316" t="s">
        <v>11868</v>
      </c>
      <c r="F6316" t="s">
        <v>12459</v>
      </c>
      <c r="G6316" t="s">
        <v>14</v>
      </c>
      <c r="H6316">
             </c>
      <c r="I6316" t="s">
        <v>14</v>
      </c>
      <c r="J6316" t="s">
        <v>242</v>
      </c>
      <c r="K6316" t="s">
        <v>14</v>
      </c>
      <c r="L6316" t="s">
        <v>20</v>
      </c>
      <c r="M6316" t="s">
        <v>12420</v>
      </c>
      <c r="N6316" t="s">
        <v>14</v>
      </c>
    </row>
    <row r="6317" x14ac:dyDescent="0.25">
      <c r="A6317" t="n">
        <v>25</v>
      </c>
      <c r="B6317" t="s">
        <v>14</v>
      </c>
      <c r="C6317" t="s">
        <v>51</v>
      </c>
      <c r="D6317" s="2" t="s">
        <f>=HYPERLINK("https://main.knesset.gov.il/APPS/legislation/main/bills/2197451", "הצעת חוק החברות הממשלתיות (תיקון - ייצוג הולם בתאגידים ממשלתיים וגופים סטטוטוריים), התשפ""ג-2023")</f>
        <v>10267</v>
      </c>
      <c r="E6317" t="s">
        <v>10267</v>
      </c>
      <c r="F6317" t="s">
        <v>12460</v>
      </c>
      <c r="G6317" t="s">
        <v>14</v>
      </c>
      <c r="H6317">
             </c>
      <c r="I6317" t="s">
        <v>14</v>
      </c>
      <c r="J6317" t="s">
        <v>242</v>
      </c>
      <c r="K6317" t="s">
        <v>14</v>
      </c>
      <c r="L6317" t="s">
        <v>20</v>
      </c>
      <c r="M6317" t="s">
        <v>12420</v>
      </c>
      <c r="N6317" t="s">
        <v>14</v>
      </c>
    </row>
    <row r="6318" x14ac:dyDescent="0.25">
      <c r="A6318" t="n">
        <v>25</v>
      </c>
      <c r="B6318" t="s">
        <v>14</v>
      </c>
      <c r="C6318" t="s">
        <v>51</v>
      </c>
      <c r="D6318" s="2" t="s">
        <f>=HYPERLINK("https://main.knesset.gov.il/APPS/legislation/main/bills/2197470", "הצעת חוק לתיקון פקודת העיריות (ייצוג הולם לאוכלוסייה הערבית), התשפ""ג-2023")</f>
        <v>12461</v>
      </c>
      <c r="E6318" t="s">
        <v>12461</v>
      </c>
      <c r="F6318" t="s">
        <v>12462</v>
      </c>
      <c r="G6318" t="s">
        <v>14</v>
      </c>
      <c r="H6318">
             </c>
      <c r="I6318" t="s">
        <v>14</v>
      </c>
      <c r="J6318" t="s">
        <v>242</v>
      </c>
      <c r="K6318" t="s">
        <v>14</v>
      </c>
      <c r="L6318" t="s">
        <v>20</v>
      </c>
      <c r="M6318" t="s">
        <v>12420</v>
      </c>
      <c r="N6318" t="s">
        <v>14</v>
      </c>
    </row>
    <row r="6319" x14ac:dyDescent="0.25">
      <c r="A6319" t="n">
        <v>25</v>
      </c>
      <c r="B6319" t="s">
        <v>14</v>
      </c>
      <c r="C6319" t="s">
        <v>51</v>
      </c>
      <c r="D6319" s="2" t="s">
        <f>=HYPERLINK("https://main.knesset.gov.il/APPS/legislation/main/bills/2197440", "הצעת חוק הקמת רשות לפיתוח מקומות קדושים למוסלמים, התשפ""ג-2023")</f>
        <v>12463</v>
      </c>
      <c r="E6319" t="s">
        <v>12463</v>
      </c>
      <c r="F6319" t="s">
        <v>12464</v>
      </c>
      <c r="G6319" t="s">
        <v>14</v>
      </c>
      <c r="H6319">
             </c>
      <c r="I6319" t="s">
        <v>14</v>
      </c>
      <c r="J6319" t="s">
        <v>242</v>
      </c>
      <c r="K6319" t="s">
        <v>14</v>
      </c>
      <c r="L6319" t="s">
        <v>20</v>
      </c>
      <c r="M6319" t="s">
        <v>12420</v>
      </c>
      <c r="N6319" t="s">
        <v>14</v>
      </c>
    </row>
    <row r="6320" x14ac:dyDescent="0.25">
      <c r="A6320" t="n">
        <v>25</v>
      </c>
      <c r="B6320" t="s">
        <v>14</v>
      </c>
      <c r="C6320" t="s">
        <v>51</v>
      </c>
      <c r="D6320" s="2" t="s">
        <f>=HYPERLINK("https://main.knesset.gov.il/APPS/legislation/main/bills/2197438", "הצעת חוק לתיקון פקודת מס הכנסה (הטבות מס ליישובים), התשפ""ג-2023")</f>
        <v>9480</v>
      </c>
      <c r="E6320" t="s">
        <v>9480</v>
      </c>
      <c r="F6320" t="s">
        <v>12465</v>
      </c>
      <c r="G6320" t="s">
        <v>14</v>
      </c>
      <c r="H6320">
             </c>
      <c r="I6320" t="s">
        <v>14</v>
      </c>
      <c r="J6320" t="s">
        <v>242</v>
      </c>
      <c r="K6320" t="s">
        <v>14</v>
      </c>
      <c r="L6320" t="s">
        <v>20</v>
      </c>
      <c r="M6320" t="s">
        <v>12420</v>
      </c>
      <c r="N6320" t="s">
        <v>14</v>
      </c>
    </row>
    <row r="6321" x14ac:dyDescent="0.25">
      <c r="A6321" t="n">
        <v>25</v>
      </c>
      <c r="B6321" t="s">
        <v>14</v>
      </c>
      <c r="C6321" t="s">
        <v>51</v>
      </c>
      <c r="D6321" s="2" t="s">
        <f>=HYPERLINK("https://main.knesset.gov.il/APPS/legislation/main/bills/2197477", "הצעת חוק לתיקון פקודת מס הכנסה (נקודת זיכוי לסטודנטים ולהוריהם), התשפ""ג-2023")</f>
        <v>12466</v>
      </c>
      <c r="E6321" t="s">
        <v>12466</v>
      </c>
      <c r="F6321" t="s">
        <v>12467</v>
      </c>
      <c r="G6321" t="s">
        <v>14</v>
      </c>
      <c r="H6321">
             </c>
      <c r="I6321" t="s">
        <v>14</v>
      </c>
      <c r="J6321" t="s">
        <v>242</v>
      </c>
      <c r="K6321" t="s">
        <v>14</v>
      </c>
      <c r="L6321" t="s">
        <v>20</v>
      </c>
      <c r="M6321" t="s">
        <v>12420</v>
      </c>
      <c r="N6321" t="s">
        <v>14</v>
      </c>
    </row>
    <row r="6322" x14ac:dyDescent="0.25">
      <c r="A6322" t="n">
        <v>25</v>
      </c>
      <c r="B6322" t="s">
        <v>14</v>
      </c>
      <c r="C6322" t="s">
        <v>51</v>
      </c>
      <c r="D6322" s="2" t="s">
        <f>=HYPERLINK("https://main.knesset.gov.il/APPS/legislation/main/bills/2197986", "הצעת חוק האקלים, התשפ""ג-2023")</f>
        <v>2358</v>
      </c>
      <c r="E6322" t="s">
        <v>2358</v>
      </c>
      <c r="F6322" t="s">
        <v>12468</v>
      </c>
      <c r="G6322" t="s">
        <v>14</v>
      </c>
      <c r="H6322">
             </c>
      <c r="I6322" t="s">
        <v>14</v>
      </c>
      <c r="J6322" t="s">
        <v>242</v>
      </c>
      <c r="K6322" t="s">
        <v>14</v>
      </c>
      <c r="L6322" t="s">
        <v>20</v>
      </c>
      <c r="M6322" t="s">
        <v>12420</v>
      </c>
      <c r="N6322" t="s">
        <v>14</v>
      </c>
    </row>
    <row r="6323" x14ac:dyDescent="0.25">
      <c r="A6323" t="n">
        <v>25</v>
      </c>
      <c r="B6323" t="s">
        <v>14</v>
      </c>
      <c r="C6323" t="s">
        <v>51</v>
      </c>
      <c r="D6323" s="2" t="s">
        <f>=HYPERLINK("https://main.knesset.gov.il/APPS/legislation/main/bills/2197982", "הצעת חוק להפחתת סכום הפיצוי הכספי בשל נסיעה ללא תיקוף כרטיס בתחבורה ציבורית (תיקוני חקיקה), התשפ""ג-2023")</f>
        <v>4452</v>
      </c>
      <c r="E6323" t="s">
        <v>4452</v>
      </c>
      <c r="F6323" t="s">
        <v>12469</v>
      </c>
      <c r="G6323" t="s">
        <v>14</v>
      </c>
      <c r="H6323">
             </c>
      <c r="I6323" t="s">
        <v>14</v>
      </c>
      <c r="J6323" t="s">
        <v>202</v>
      </c>
      <c r="K6323" t="s">
        <v>14</v>
      </c>
      <c r="L6323" t="s">
        <v>20</v>
      </c>
      <c r="M6323" t="s">
        <v>12420</v>
      </c>
      <c r="N6323" t="s">
        <v>14</v>
      </c>
    </row>
    <row r="6324" x14ac:dyDescent="0.25">
      <c r="A6324" t="n">
        <v>25</v>
      </c>
      <c r="B6324" t="s">
        <v>14</v>
      </c>
      <c r="C6324" t="s">
        <v>51</v>
      </c>
      <c r="D6324" s="2" t="s">
        <f>=HYPERLINK("https://main.knesset.gov.il/APPS/legislation/main/bills/2198546", "הצעת חוק הספורט (תיקון - זכויות ספורטאי בוגר), התשפ""ג-2023")</f>
        <v>12207</v>
      </c>
      <c r="E6324" t="s">
        <v>12207</v>
      </c>
      <c r="F6324" t="s">
        <v>12470</v>
      </c>
      <c r="G6324" t="s">
        <v>14</v>
      </c>
      <c r="H6324">
             </c>
      <c r="I6324" t="s">
        <v>14</v>
      </c>
      <c r="J6324" t="s">
        <v>242</v>
      </c>
      <c r="K6324" t="s">
        <v>14</v>
      </c>
      <c r="L6324" t="s">
        <v>20</v>
      </c>
      <c r="M6324" t="s">
        <v>12420</v>
      </c>
      <c r="N6324" t="s">
        <v>14</v>
      </c>
    </row>
    <row r="6325" x14ac:dyDescent="0.25">
      <c r="A6325" t="n">
        <v>25</v>
      </c>
      <c r="B6325" t="s">
        <v>14</v>
      </c>
      <c r="C6325" t="s">
        <v>51</v>
      </c>
      <c r="D6325" s="2" t="s">
        <f>=HYPERLINK("https://main.knesset.gov.il/APPS/legislation/main/bills/2197875", "הצעת חוק מס להפחתת גודש התנועה באזור גוש דן (תיקון - ביטול החוק), התשפ""ג-2023")</f>
        <v>10422</v>
      </c>
      <c r="E6325" t="s">
        <v>10422</v>
      </c>
      <c r="F6325" t="s">
        <v>12471</v>
      </c>
      <c r="G6325" t="s">
        <v>14</v>
      </c>
      <c r="H6325">
             </c>
      <c r="I6325" t="s">
        <v>14</v>
      </c>
      <c r="J6325" t="s">
        <v>242</v>
      </c>
      <c r="K6325" t="s">
        <v>14</v>
      </c>
      <c r="L6325" t="s">
        <v>20</v>
      </c>
      <c r="M6325" t="s">
        <v>12420</v>
      </c>
      <c r="N6325" t="s">
        <v>14</v>
      </c>
    </row>
    <row r="6326" x14ac:dyDescent="0.25">
      <c r="A6326" t="n">
        <v>25</v>
      </c>
      <c r="B6326" t="s">
        <v>14</v>
      </c>
      <c r="C6326" t="s">
        <v>51</v>
      </c>
      <c r="D6326" s="2" t="s">
        <f>=HYPERLINK("https://main.knesset.gov.il/APPS/legislation/main/bills/2198123", "הצעת חוק למניעת אלימות במשפחה (פיקוח טכנולוגי להבטחת קיומו של צו הגנה, והערכת מסוכנות - הוראת שעה), התשפ""ג-2023")</f>
        <v>10157</v>
      </c>
      <c r="E6326" t="s">
        <v>10157</v>
      </c>
      <c r="F6326" t="s">
        <v>12472</v>
      </c>
      <c r="G6326" t="s">
        <v>14</v>
      </c>
      <c r="H6326">
             </c>
      <c r="I6326" t="s">
        <v>14</v>
      </c>
      <c r="J6326" t="s">
        <v>242</v>
      </c>
      <c r="K6326" t="s">
        <v>14</v>
      </c>
      <c r="L6326" t="s">
        <v>20</v>
      </c>
      <c r="M6326" t="s">
        <v>12420</v>
      </c>
      <c r="N6326" t="s">
        <v>14</v>
      </c>
    </row>
    <row r="6327" x14ac:dyDescent="0.25">
      <c r="A6327" t="n">
        <v>25</v>
      </c>
      <c r="B6327" t="s">
        <v>14</v>
      </c>
      <c r="C6327" t="s">
        <v>51</v>
      </c>
      <c r="D6327" s="2" t="s">
        <f>=HYPERLINK("https://main.knesset.gov.il/APPS/legislation/main/bills/2197999", "הצעת חוק מיסוי מקרקעין (שבח ורכישה) (תיקון - מדרגות המס על דירה יחידה ועל בניין להשכרה ובניין לשכירות מוסדית), התשפ''ג-2023")</f>
        <v>12473</v>
      </c>
      <c r="E6327" t="s">
        <v>12473</v>
      </c>
      <c r="F6327" t="s">
        <v>12474</v>
      </c>
      <c r="G6327" t="s">
        <v>14</v>
      </c>
      <c r="H6327">
             </c>
      <c r="I6327" t="s">
        <v>14</v>
      </c>
      <c r="J6327" t="s">
        <v>242</v>
      </c>
      <c r="K6327" t="s">
        <v>14</v>
      </c>
      <c r="L6327" t="s">
        <v>20</v>
      </c>
      <c r="M6327" t="s">
        <v>12420</v>
      </c>
      <c r="N6327" t="s">
        <v>14</v>
      </c>
    </row>
    <row r="6328" x14ac:dyDescent="0.25">
      <c r="A6328" t="n">
        <v>25</v>
      </c>
      <c r="B6328" t="s">
        <v>14</v>
      </c>
      <c r="C6328" t="s">
        <v>51</v>
      </c>
      <c r="D6328" s="2" t="s">
        <f>=HYPERLINK("https://main.knesset.gov.il/APPS/legislation/main/bills/2197420", "הצעת חוק זכויות נפגעי עבירה (תיקון - חובת יידוע נפגעי עבירה בדבר זכויותיהם), התשפ""ג-2023")</f>
        <v>10487</v>
      </c>
      <c r="E6328" t="s">
        <v>10487</v>
      </c>
      <c r="F6328" t="s">
        <v>12475</v>
      </c>
      <c r="G6328" t="s">
        <v>14</v>
      </c>
      <c r="H6328">
             </c>
      <c r="I6328" t="s">
        <v>14</v>
      </c>
      <c r="J6328" t="s">
        <v>242</v>
      </c>
      <c r="K6328" t="s">
        <v>14</v>
      </c>
      <c r="L6328" t="s">
        <v>20</v>
      </c>
      <c r="M6328" t="s">
        <v>12420</v>
      </c>
      <c r="N6328" t="s">
        <v>14</v>
      </c>
    </row>
    <row r="6329" x14ac:dyDescent="0.25">
      <c r="A6329" t="n">
        <v>25</v>
      </c>
      <c r="B6329" t="s">
        <v>14</v>
      </c>
      <c r="C6329" t="s">
        <v>51</v>
      </c>
      <c r="D6329" s="2" t="s">
        <f>=HYPERLINK("https://main.knesset.gov.il/APPS/legislation/main/bills/2198251", "הצעת חוק משק החשמל (תיקון - ועדה מיוחדת), התשפ''ג-2023")</f>
        <v>10115</v>
      </c>
      <c r="E6329" t="s">
        <v>10115</v>
      </c>
      <c r="F6329" t="s">
        <v>12476</v>
      </c>
      <c r="G6329" t="s">
        <v>14</v>
      </c>
      <c r="H6329">
             </c>
      <c r="I6329" t="s">
        <v>14</v>
      </c>
      <c r="J6329" t="s">
        <v>242</v>
      </c>
      <c r="K6329" t="s">
        <v>14</v>
      </c>
      <c r="L6329" t="s">
        <v>20</v>
      </c>
      <c r="M6329" t="s">
        <v>12420</v>
      </c>
      <c r="N6329" t="s">
        <v>14</v>
      </c>
    </row>
    <row r="6330" x14ac:dyDescent="0.25">
      <c r="A6330" t="n">
        <v>25</v>
      </c>
      <c r="B6330" t="s">
        <v>14</v>
      </c>
      <c r="C6330" t="s">
        <v>51</v>
      </c>
      <c r="D6330" s="2" t="s">
        <f>=HYPERLINK("https://main.knesset.gov.il/APPS/legislation/main/bills/2198320", "הצעת חוק זכויות הסטודנט (תיקון - קורס דיאלוג רב-תרבותי), התשפ""ג-2023")</f>
        <v>12477</v>
      </c>
      <c r="E6330" t="s">
        <v>12477</v>
      </c>
      <c r="F6330" t="s">
        <v>12478</v>
      </c>
      <c r="G6330" t="s">
        <v>14</v>
      </c>
      <c r="H6330">
             </c>
      <c r="I6330" t="s">
        <v>14</v>
      </c>
      <c r="J6330" t="s">
        <v>242</v>
      </c>
      <c r="K6330" t="s">
        <v>14</v>
      </c>
      <c r="L6330" t="s">
        <v>20</v>
      </c>
      <c r="M6330" t="s">
        <v>12420</v>
      </c>
      <c r="N6330" t="s">
        <v>14</v>
      </c>
    </row>
    <row r="6331" x14ac:dyDescent="0.25">
      <c r="A6331" t="n">
        <v>25</v>
      </c>
      <c r="B6331" t="s">
        <v>14</v>
      </c>
      <c r="C6331" t="s">
        <v>51</v>
      </c>
      <c r="D6331" s="2" t="s">
        <f>=HYPERLINK("https://main.knesset.gov.il/APPS/legislation/main/bills/2198164", "הצעת חוק-יסוד: שוויון ושותפות אזרחית מלאה")</f>
        <v>12479</v>
      </c>
      <c r="E6331" t="s">
        <v>12479</v>
      </c>
      <c r="F6331" t="s">
        <v>12480</v>
      </c>
      <c r="G6331" t="s">
        <v>14</v>
      </c>
      <c r="H6331">
             </c>
      <c r="I6331" t="s">
        <v>14</v>
      </c>
      <c r="J6331" t="s">
        <v>242</v>
      </c>
      <c r="K6331" t="s">
        <v>14</v>
      </c>
      <c r="L6331" t="s">
        <v>20</v>
      </c>
      <c r="M6331" t="s">
        <v>12420</v>
      </c>
      <c r="N6331" t="s">
        <v>14</v>
      </c>
    </row>
    <row r="6332" x14ac:dyDescent="0.25">
      <c r="A6332" t="n">
        <v>25</v>
      </c>
      <c r="B6332" t="s">
        <v>14</v>
      </c>
      <c r="C6332" t="s">
        <v>51</v>
      </c>
      <c r="D6332" s="2" t="s">
        <f>=HYPERLINK("https://main.knesset.gov.il/APPS/legislation/main/bills/2198431", "הצעת חוק איסור שימוש בסוסים לשם פיזור התקהלויות, התשפ""ג-2023")</f>
        <v>12481</v>
      </c>
      <c r="E6332" t="s">
        <v>12481</v>
      </c>
      <c r="F6332" t="s">
        <v>12482</v>
      </c>
      <c r="G6332" t="s">
        <v>14</v>
      </c>
      <c r="H6332">
             </c>
      <c r="I6332" t="s">
        <v>14</v>
      </c>
      <c r="J6332" t="s">
        <v>242</v>
      </c>
      <c r="K6332" t="s">
        <v>14</v>
      </c>
      <c r="L6332" t="s">
        <v>20</v>
      </c>
      <c r="M6332" t="s">
        <v>12420</v>
      </c>
      <c r="N6332" t="s">
        <v>14</v>
      </c>
    </row>
    <row r="6333" x14ac:dyDescent="0.25">
      <c r="A6333" t="n">
        <v>25</v>
      </c>
      <c r="B6333" t="s">
        <v>14</v>
      </c>
      <c r="C6333" t="s">
        <v>51</v>
      </c>
      <c r="D6333" s="2" t="s">
        <f>=HYPERLINK("https://main.knesset.gov.il/APPS/legislation/main/bills/2198413", "הצעת חוק המועצה להשכלה גבוהה (תיקון - ייצוג הולם), התשפ""ג-2023")</f>
        <v>12483</v>
      </c>
      <c r="E6333" t="s">
        <v>12483</v>
      </c>
      <c r="F6333" t="s">
        <v>12484</v>
      </c>
      <c r="G6333" t="s">
        <v>14</v>
      </c>
      <c r="H6333">
             </c>
      <c r="I6333" t="s">
        <v>14</v>
      </c>
      <c r="J6333" t="s">
        <v>242</v>
      </c>
      <c r="K6333" t="s">
        <v>14</v>
      </c>
      <c r="L6333" t="s">
        <v>20</v>
      </c>
      <c r="M6333" t="s">
        <v>12420</v>
      </c>
      <c r="N6333" t="s">
        <v>14</v>
      </c>
    </row>
    <row r="6334" x14ac:dyDescent="0.25">
      <c r="A6334" t="n">
        <v>25</v>
      </c>
      <c r="B6334" t="s">
        <v>14</v>
      </c>
      <c r="C6334" t="s">
        <v>51</v>
      </c>
      <c r="D6334" s="2" t="s">
        <f>=HYPERLINK("https://main.knesset.gov.il/APPS/legislation/main/bills/2196897", "הצעת חוק יסודות התקציב (תיקון - תאגיד בריאות המפעיל מעון יום שיקומי), התשפ""ג-2023")</f>
        <v>12485</v>
      </c>
      <c r="E6334" t="s">
        <v>12485</v>
      </c>
      <c r="F6334" t="s">
        <v>12486</v>
      </c>
      <c r="G6334" t="s">
        <v>14</v>
      </c>
      <c r="H6334">
             </c>
      <c r="I6334" t="s">
        <v>14</v>
      </c>
      <c r="J6334" t="s">
        <v>242</v>
      </c>
      <c r="K6334" t="s">
        <v>14</v>
      </c>
      <c r="L6334" t="s">
        <v>20</v>
      </c>
      <c r="M6334" t="s">
        <v>12420</v>
      </c>
      <c r="N6334" t="s">
        <v>14</v>
      </c>
    </row>
    <row r="6335" x14ac:dyDescent="0.25">
      <c r="A6335" t="n">
        <v>25</v>
      </c>
      <c r="B6335" t="s">
        <v>14</v>
      </c>
      <c r="C6335" t="s">
        <v>51</v>
      </c>
      <c r="D6335" s="2" t="s">
        <f>=HYPERLINK("https://main.knesset.gov.il/APPS/legislation/main/bills/2198358", "הצעת חוק זכויות הסטודנט (תיקון - ייעוץ אקדמי בערבית), התשפ""ג-2023")</f>
        <v>11957</v>
      </c>
      <c r="E6335" t="s">
        <v>11957</v>
      </c>
      <c r="F6335" t="s">
        <v>12487</v>
      </c>
      <c r="G6335" t="s">
        <v>14</v>
      </c>
      <c r="H6335">
             </c>
      <c r="I6335" t="s">
        <v>14</v>
      </c>
      <c r="J6335" t="s">
        <v>242</v>
      </c>
      <c r="K6335" t="s">
        <v>14</v>
      </c>
      <c r="L6335" t="s">
        <v>20</v>
      </c>
      <c r="M6335" t="s">
        <v>12420</v>
      </c>
      <c r="N6335" t="s">
        <v>14</v>
      </c>
    </row>
    <row r="6336" x14ac:dyDescent="0.25">
      <c r="A6336" t="n">
        <v>25</v>
      </c>
      <c r="B6336" t="s">
        <v>14</v>
      </c>
      <c r="C6336" t="s">
        <v>51</v>
      </c>
      <c r="D6336" s="2" t="s">
        <f>=HYPERLINK("https://main.knesset.gov.il/APPS/legislation/main/bills/2198193", "הצעת חוק מס ערך מוסף (תיקון - פטור ממס בגין תרומות לבתי חולים בפריפריה), התשפ""ג-2023")</f>
        <v>10083</v>
      </c>
      <c r="E6336" t="s">
        <v>10083</v>
      </c>
      <c r="F6336" t="s">
        <v>12488</v>
      </c>
      <c r="G6336" t="s">
        <v>14</v>
      </c>
      <c r="H6336">
             </c>
      <c r="I6336" t="s">
        <v>14</v>
      </c>
      <c r="J6336" t="s">
        <v>242</v>
      </c>
      <c r="K6336" t="s">
        <v>14</v>
      </c>
      <c r="L6336" t="s">
        <v>20</v>
      </c>
      <c r="M6336" t="s">
        <v>12420</v>
      </c>
      <c r="N6336" t="s">
        <v>14</v>
      </c>
    </row>
    <row r="6337" x14ac:dyDescent="0.25">
      <c r="A6337" t="n">
        <v>25</v>
      </c>
      <c r="B6337" t="s">
        <v>14</v>
      </c>
      <c r="C6337" t="s">
        <v>51</v>
      </c>
      <c r="D6337" s="2" t="s">
        <f>=HYPERLINK("https://main.knesset.gov.il/APPS/legislation/main/bills/2198035", "הצעת חוק ארוחה יומית לתלמיד (תיקון - הרחבת תחולת החוק), התשפ""ג-2023")</f>
        <v>9768</v>
      </c>
      <c r="E6337" t="s">
        <v>9768</v>
      </c>
      <c r="F6337" t="s">
        <v>12489</v>
      </c>
      <c r="G6337" t="s">
        <v>14</v>
      </c>
      <c r="H6337">
             </c>
      <c r="I6337" t="s">
        <v>14</v>
      </c>
      <c r="J6337" t="s">
        <v>242</v>
      </c>
      <c r="K6337" t="s">
        <v>14</v>
      </c>
      <c r="L6337" t="s">
        <v>20</v>
      </c>
      <c r="M6337" t="s">
        <v>12420</v>
      </c>
      <c r="N6337" t="s">
        <v>14</v>
      </c>
    </row>
    <row r="6338" x14ac:dyDescent="0.25">
      <c r="A6338" t="n">
        <v>25</v>
      </c>
      <c r="B6338" t="s">
        <v>14</v>
      </c>
      <c r="C6338" t="s">
        <v>51</v>
      </c>
      <c r="D6338" s="2" t="s">
        <f>=HYPERLINK("https://main.knesset.gov.il/APPS/legislation/main/bills/2198316", "הצעת חוק העונשין (תיקון - הכפלת ענישה בשל פגיעה ברגשי דת ומסורת), התשפ""ג-2023")</f>
        <v>12490</v>
      </c>
      <c r="E6338" t="s">
        <v>12490</v>
      </c>
      <c r="F6338" t="s">
        <v>12491</v>
      </c>
      <c r="G6338" t="s">
        <v>14</v>
      </c>
      <c r="H6338">
             </c>
      <c r="I6338" t="s">
        <v>14</v>
      </c>
      <c r="J6338" t="s">
        <v>242</v>
      </c>
      <c r="K6338" t="s">
        <v>14</v>
      </c>
      <c r="L6338" t="s">
        <v>20</v>
      </c>
      <c r="M6338" t="s">
        <v>12420</v>
      </c>
      <c r="N6338" t="s">
        <v>14</v>
      </c>
    </row>
    <row r="6339" x14ac:dyDescent="0.25">
      <c r="A6339" t="n">
        <v>25</v>
      </c>
      <c r="B6339" t="s">
        <v>14</v>
      </c>
      <c r="C6339" t="s">
        <v>51</v>
      </c>
      <c r="D6339" s="2" t="s">
        <f>=HYPERLINK("https://main.knesset.gov.il/APPS/legislation/main/bills/2198216", "הצעת חוק חסינות חיילי צה""ל באירועים מבצעיים, התשפ""ג-2023")</f>
        <v>12492</v>
      </c>
      <c r="E6339" t="s">
        <v>12492</v>
      </c>
      <c r="F6339" t="s">
        <v>12493</v>
      </c>
      <c r="G6339" t="s">
        <v>14</v>
      </c>
      <c r="H6339">
             </c>
      <c r="I6339" t="s">
        <v>14</v>
      </c>
      <c r="J6339" t="s">
        <v>242</v>
      </c>
      <c r="K6339" t="s">
        <v>14</v>
      </c>
      <c r="L6339" t="s">
        <v>20</v>
      </c>
      <c r="M6339" t="s">
        <v>12420</v>
      </c>
      <c r="N6339" t="s">
        <v>14</v>
      </c>
    </row>
    <row r="6340" x14ac:dyDescent="0.25">
      <c r="A6340" t="n">
        <v>25</v>
      </c>
      <c r="B6340" t="s">
        <v>14</v>
      </c>
      <c r="C6340" t="s">
        <v>51</v>
      </c>
      <c r="D6340" s="2" t="s">
        <f>=HYPERLINK("https://main.knesset.gov.il/APPS/legislation/main/bills/2197475", "הצעת חוק הסיוע המשפטי (תיקון - הוצאות מומחים), התשפ""ג-2023")</f>
        <v>12494</v>
      </c>
      <c r="E6340" t="s">
        <v>12494</v>
      </c>
      <c r="F6340" t="s">
        <v>12495</v>
      </c>
      <c r="G6340" t="s">
        <v>14</v>
      </c>
      <c r="H6340">
             </c>
      <c r="I6340" t="s">
        <v>14</v>
      </c>
      <c r="J6340" t="s">
        <v>242</v>
      </c>
      <c r="K6340" t="s">
        <v>14</v>
      </c>
      <c r="L6340" t="s">
        <v>20</v>
      </c>
      <c r="M6340" t="s">
        <v>12420</v>
      </c>
      <c r="N6340" t="s">
        <v>14</v>
      </c>
    </row>
    <row r="6341" x14ac:dyDescent="0.25">
      <c r="A6341" t="n">
        <v>25</v>
      </c>
      <c r="B6341" t="s">
        <v>14</v>
      </c>
      <c r="C6341" t="s">
        <v>51</v>
      </c>
      <c r="D6341" s="2" t="s">
        <f>=HYPERLINK("https://main.knesset.gov.il/APPS/legislation/main/bills/2198306", "הצעת חוק המועצה להשכלה גבוהה (תיקון - איסור דרישת בחינות כניסה וציון פסיכומטרי), התשפ""ג-2023")</f>
        <v>12496</v>
      </c>
      <c r="E6341" t="s">
        <v>12496</v>
      </c>
      <c r="F6341" t="s">
        <v>12497</v>
      </c>
      <c r="G6341" t="s">
        <v>14</v>
      </c>
      <c r="H6341">
             </c>
      <c r="I6341" t="s">
        <v>14</v>
      </c>
      <c r="J6341" t="s">
        <v>242</v>
      </c>
      <c r="K6341" t="s">
        <v>14</v>
      </c>
      <c r="L6341" t="s">
        <v>20</v>
      </c>
      <c r="M6341" t="s">
        <v>12420</v>
      </c>
      <c r="N6341" t="s">
        <v>14</v>
      </c>
    </row>
    <row r="6342" x14ac:dyDescent="0.25">
      <c r="A6342" t="n">
        <v>25</v>
      </c>
      <c r="B6342" t="s">
        <v>14</v>
      </c>
      <c r="C6342" t="s">
        <v>51</v>
      </c>
      <c r="D6342" s="2" t="s">
        <f>=HYPERLINK("https://main.knesset.gov.il/APPS/legislation/main/bills/2198052", "הצעת חוק להבטחת פיצוי לתושבי גבעת עמל, התשפ""ג-2023")</f>
        <v>12498</v>
      </c>
      <c r="E6342" t="s">
        <v>12498</v>
      </c>
      <c r="F6342" t="s">
        <v>12499</v>
      </c>
      <c r="G6342" t="s">
        <v>14</v>
      </c>
      <c r="H6342">
             </c>
      <c r="I6342" t="s">
        <v>14</v>
      </c>
      <c r="J6342" t="s">
        <v>242</v>
      </c>
      <c r="K6342" t="s">
        <v>14</v>
      </c>
      <c r="L6342" t="s">
        <v>20</v>
      </c>
      <c r="M6342" t="s">
        <v>12420</v>
      </c>
      <c r="N6342" t="s">
        <v>14</v>
      </c>
    </row>
    <row r="6343" x14ac:dyDescent="0.25">
      <c r="A6343" t="n">
        <v>25</v>
      </c>
      <c r="B6343" t="s">
        <v>14</v>
      </c>
      <c r="C6343" t="s">
        <v>51</v>
      </c>
      <c r="D6343" s="2" t="s">
        <f>=HYPERLINK("https://main.knesset.gov.il/APPS/legislation/main/bills/2198257", "הצעת חוק להגדלת שיעור ההשתתפות בכוח העבודה ולצמצום פערים חברתיים (מענק עבודה) (תיקון - אוטומציה בקבלת מענק העבודה), התשפ""ג-2023")</f>
        <v>12232</v>
      </c>
      <c r="E6343" t="s">
        <v>12232</v>
      </c>
      <c r="F6343" t="s">
        <v>12500</v>
      </c>
      <c r="G6343" t="s">
        <v>14</v>
      </c>
      <c r="H6343">
             </c>
      <c r="I6343" t="s">
        <v>14</v>
      </c>
      <c r="J6343" t="s">
        <v>242</v>
      </c>
      <c r="K6343" t="s">
        <v>14</v>
      </c>
      <c r="L6343" t="s">
        <v>20</v>
      </c>
      <c r="M6343" t="s">
        <v>12420</v>
      </c>
      <c r="N6343" t="s">
        <v>14</v>
      </c>
    </row>
    <row r="6344" x14ac:dyDescent="0.25">
      <c r="A6344" t="n">
        <v>25</v>
      </c>
      <c r="B6344" t="s">
        <v>14</v>
      </c>
      <c r="C6344" t="s">
        <v>51</v>
      </c>
      <c r="D6344" s="2" t="s">
        <f>=HYPERLINK("https://main.knesset.gov.il/APPS/legislation/main/bills/2198455", "הצעת חוק זכויות הסטודנט (תיקון - התאמות לסטודנטית לאחר לידה), התשפ""ג-2023")</f>
        <v>12501</v>
      </c>
      <c r="E6344" t="s">
        <v>12501</v>
      </c>
      <c r="F6344" t="s">
        <v>12502</v>
      </c>
      <c r="G6344" t="s">
        <v>14</v>
      </c>
      <c r="H6344">
             </c>
      <c r="I6344" t="s">
        <v>14</v>
      </c>
      <c r="J6344" t="s">
        <v>242</v>
      </c>
      <c r="K6344" t="s">
        <v>14</v>
      </c>
      <c r="L6344" t="s">
        <v>20</v>
      </c>
      <c r="M6344" t="s">
        <v>12420</v>
      </c>
      <c r="N6344" t="s">
        <v>14</v>
      </c>
    </row>
    <row r="6345" x14ac:dyDescent="0.25">
      <c r="A6345" t="n">
        <v>25</v>
      </c>
      <c r="B6345" t="s">
        <v>14</v>
      </c>
      <c r="C6345" t="s">
        <v>51</v>
      </c>
      <c r="D6345" s="2" t="s">
        <f>=HYPERLINK("https://main.knesset.gov.il/APPS/legislation/main/bills/2198043", "הצעת חוק פתיחת קבר של קטין יוצא תימן, המזרח או הבלקן לשם זיהוי ועריכת בדיקה גנטית לקשר משפחה (הוראת שעה) (תיקון - הארכת תוקף הוראת השעה ואישור בקשה מטעמים מיוחדים), התשפ""ג-2023")</f>
        <v>12503</v>
      </c>
      <c r="E6345" t="s">
        <v>12503</v>
      </c>
      <c r="F6345" t="s">
        <v>12504</v>
      </c>
      <c r="G6345" t="s">
        <v>14</v>
      </c>
      <c r="H6345">
             </c>
      <c r="I6345" t="s">
        <v>14</v>
      </c>
      <c r="J6345" t="s">
        <v>242</v>
      </c>
      <c r="K6345" t="s">
        <v>14</v>
      </c>
      <c r="L6345" t="s">
        <v>20</v>
      </c>
      <c r="M6345" t="s">
        <v>12420</v>
      </c>
      <c r="N6345" t="s">
        <v>14</v>
      </c>
    </row>
    <row r="6346" x14ac:dyDescent="0.25">
      <c r="A6346" t="n">
        <v>25</v>
      </c>
      <c r="B6346" t="s">
        <v>14</v>
      </c>
      <c r="C6346" t="s">
        <v>51</v>
      </c>
      <c r="D6346" s="2" t="s">
        <f>=HYPERLINK("https://main.knesset.gov.il/APPS/legislation/main/bills/2198459", "הצעת חוק הסדרים במשק המדינה (תיקוני חקיקה להשגת יעדי התקציב) (תיקון - פטור מארנונה לנשים ששהו במקלט לנשים מוכות), התשפ""ג-2023")</f>
        <v>12505</v>
      </c>
      <c r="E6346" t="s">
        <v>12505</v>
      </c>
      <c r="F6346" t="s">
        <v>12506</v>
      </c>
      <c r="G6346" t="s">
        <v>14</v>
      </c>
      <c r="H6346">
             </c>
      <c r="I6346" t="s">
        <v>14</v>
      </c>
      <c r="J6346" t="s">
        <v>242</v>
      </c>
      <c r="K6346" t="s">
        <v>14</v>
      </c>
      <c r="L6346" t="s">
        <v>20</v>
      </c>
      <c r="M6346" t="s">
        <v>12420</v>
      </c>
      <c r="N6346" t="s">
        <v>14</v>
      </c>
    </row>
    <row r="6347" x14ac:dyDescent="0.25">
      <c r="A6347" t="n">
        <v>25</v>
      </c>
      <c r="B6347" t="s">
        <v>14</v>
      </c>
      <c r="C6347" t="s">
        <v>51</v>
      </c>
      <c r="D6347" s="2" t="s">
        <f>=HYPERLINK("https://main.knesset.gov.il/APPS/legislation/main/bills/2197623", "הצעת חוק לתיקון פקודת התעבורה (חובת התקנת לחצן מצוקה באוטובוס), התשפ""ג-2023")</f>
        <v>12507</v>
      </c>
      <c r="E6347" t="s">
        <v>12507</v>
      </c>
      <c r="F6347" t="s">
        <v>12508</v>
      </c>
      <c r="G6347" t="s">
        <v>14</v>
      </c>
      <c r="H6347">
             </c>
      <c r="I6347" t="s">
        <v>14</v>
      </c>
      <c r="J6347" t="s">
        <v>242</v>
      </c>
      <c r="K6347" t="s">
        <v>14</v>
      </c>
      <c r="L6347" t="s">
        <v>20</v>
      </c>
      <c r="M6347" t="s">
        <v>12420</v>
      </c>
      <c r="N6347" t="s">
        <v>14</v>
      </c>
    </row>
    <row r="6348" x14ac:dyDescent="0.25">
      <c r="A6348" t="n">
        <v>25</v>
      </c>
      <c r="B6348" t="s">
        <v>14</v>
      </c>
      <c r="C6348" t="s">
        <v>51</v>
      </c>
      <c r="D6348" s="2" t="s">
        <f>=HYPERLINK("https://main.knesset.gov.il/APPS/legislation/main/bills/2198388", "הצעת חוק מס ערך מוסף (תיקון - מס בשיעור אפס על מוצרי היגיינה נשית), התשפ""ג-2023")</f>
        <v>8754</v>
      </c>
      <c r="E6348" t="s">
        <v>8754</v>
      </c>
      <c r="F6348" t="s">
        <v>12509</v>
      </c>
      <c r="G6348" t="s">
        <v>14</v>
      </c>
      <c r="H6348">
             </c>
      <c r="I6348" t="s">
        <v>14</v>
      </c>
      <c r="J6348" t="s">
        <v>242</v>
      </c>
      <c r="K6348" t="s">
        <v>14</v>
      </c>
      <c r="L6348" t="s">
        <v>20</v>
      </c>
      <c r="M6348" t="s">
        <v>12420</v>
      </c>
      <c r="N6348" t="s">
        <v>14</v>
      </c>
    </row>
    <row r="6349" x14ac:dyDescent="0.25">
      <c r="A6349" t="n">
        <v>25</v>
      </c>
      <c r="B6349" t="s">
        <v>14</v>
      </c>
      <c r="C6349" t="s">
        <v>51</v>
      </c>
      <c r="D6349" s="2" t="s">
        <f>=HYPERLINK("https://main.knesset.gov.il/APPS/legislation/main/bills/2198375", "הצעת חוק חובת המכרזים (תיקון - עידוד עסקים להעסקת בני החברה הערבית והחרדית), התשפ""ג-2023")</f>
        <v>8358</v>
      </c>
      <c r="E6349" t="s">
        <v>8358</v>
      </c>
      <c r="F6349" t="s">
        <v>12510</v>
      </c>
      <c r="G6349" t="s">
        <v>14</v>
      </c>
      <c r="H6349">
             </c>
      <c r="I6349" t="s">
        <v>14</v>
      </c>
      <c r="J6349" t="s">
        <v>242</v>
      </c>
      <c r="K6349" t="s">
        <v>14</v>
      </c>
      <c r="L6349" t="s">
        <v>20</v>
      </c>
      <c r="M6349" t="s">
        <v>12420</v>
      </c>
      <c r="N6349" t="s">
        <v>14</v>
      </c>
    </row>
    <row r="6350" x14ac:dyDescent="0.25">
      <c r="A6350" t="n">
        <v>25</v>
      </c>
      <c r="B6350" t="s">
        <v>14</v>
      </c>
      <c r="C6350" t="s">
        <v>51</v>
      </c>
      <c r="D6350" s="2" t="s">
        <f>=HYPERLINK("https://main.knesset.gov.il/APPS/legislation/main/bills/2198033", "הצעת חוק צער בעלי חיים (הגנה על בעלי חיים) (תיקון - ביטול כלובים בתעשיית הביצים), התשפ""ג-2023")</f>
        <v>12511</v>
      </c>
      <c r="E6350" t="s">
        <v>12511</v>
      </c>
      <c r="F6350" t="s">
        <v>12512</v>
      </c>
      <c r="G6350" t="s">
        <v>14</v>
      </c>
      <c r="H6350">
             </c>
      <c r="I6350" t="s">
        <v>14</v>
      </c>
      <c r="J6350" t="s">
        <v>242</v>
      </c>
      <c r="K6350" t="s">
        <v>14</v>
      </c>
      <c r="L6350" t="s">
        <v>20</v>
      </c>
      <c r="M6350" t="s">
        <v>12420</v>
      </c>
      <c r="N6350" t="s">
        <v>14</v>
      </c>
    </row>
    <row r="6351" x14ac:dyDescent="0.25">
      <c r="A6351" t="n">
        <v>25</v>
      </c>
      <c r="B6351" t="s">
        <v>14</v>
      </c>
      <c r="C6351" t="s">
        <v>51</v>
      </c>
      <c r="D6351" s="2" t="s">
        <f>=HYPERLINK("https://main.knesset.gov.il/APPS/legislation/main/bills/2198334", "הצעת חוק רמת הגולן (תיקון - ביטול החוק), התשפ""ג-2023")</f>
        <v>12513</v>
      </c>
      <c r="E6351" t="s">
        <v>12513</v>
      </c>
      <c r="F6351" t="s">
        <v>12514</v>
      </c>
      <c r="G6351" t="s">
        <v>14</v>
      </c>
      <c r="H6351">
             </c>
      <c r="I6351" t="s">
        <v>14</v>
      </c>
      <c r="J6351" t="s">
        <v>242</v>
      </c>
      <c r="K6351" t="s">
        <v>14</v>
      </c>
      <c r="L6351" t="s">
        <v>20</v>
      </c>
      <c r="M6351" t="s">
        <v>12420</v>
      </c>
      <c r="N6351" t="s">
        <v>14</v>
      </c>
    </row>
    <row r="6352" x14ac:dyDescent="0.25">
      <c r="A6352" t="n">
        <v>25</v>
      </c>
      <c r="B6352" t="s">
        <v>14</v>
      </c>
      <c r="C6352" t="s">
        <v>51</v>
      </c>
      <c r="D6352" s="2" t="s">
        <f>=HYPERLINK("https://main.knesset.gov.il/APPS/legislation/main/bills/2197258", "הצעת חוק הביטוח הלאומי (תיקון - התאמת קצבת הסיעוד להעלאת שכר המינימום), התשפ""ג-2023")</f>
        <v>12515</v>
      </c>
      <c r="E6352" t="s">
        <v>12515</v>
      </c>
      <c r="F6352" t="s">
        <v>12516</v>
      </c>
      <c r="G6352" t="s">
        <v>14</v>
      </c>
      <c r="H6352">
             </c>
      <c r="I6352" t="s">
        <v>14</v>
      </c>
      <c r="J6352" t="s">
        <v>242</v>
      </c>
      <c r="K6352" t="s">
        <v>14</v>
      </c>
      <c r="L6352" t="s">
        <v>20</v>
      </c>
      <c r="M6352" t="s">
        <v>12420</v>
      </c>
      <c r="N6352" t="s">
        <v>14</v>
      </c>
    </row>
    <row r="6353" x14ac:dyDescent="0.25">
      <c r="A6353" t="n">
        <v>25</v>
      </c>
      <c r="B6353" t="s">
        <v>14</v>
      </c>
      <c r="C6353" t="s">
        <v>51</v>
      </c>
      <c r="D6353" s="2" t="s">
        <f>=HYPERLINK("https://main.knesset.gov.il/APPS/legislation/main/bills/2197005", "הצעת חוק מס רכוש וקרן פיצויים (תיקון - פיצוי בגין נזק פגעי טבע ופיצוי בגין נזקי שריפה), התשפ""ג-2023")</f>
        <v>9700</v>
      </c>
      <c r="E6353" t="s">
        <v>9700</v>
      </c>
      <c r="F6353" t="s">
        <v>12517</v>
      </c>
      <c r="G6353" t="s">
        <v>14</v>
      </c>
      <c r="H6353">
             </c>
      <c r="I6353" t="s">
        <v>14</v>
      </c>
      <c r="J6353" t="s">
        <v>242</v>
      </c>
      <c r="K6353" t="s">
        <v>14</v>
      </c>
      <c r="L6353" t="s">
        <v>20</v>
      </c>
      <c r="M6353" t="s">
        <v>12420</v>
      </c>
      <c r="N6353" t="s">
        <v>14</v>
      </c>
    </row>
    <row r="6354" x14ac:dyDescent="0.25">
      <c r="A6354" t="n">
        <v>25</v>
      </c>
      <c r="B6354" t="s">
        <v>14</v>
      </c>
      <c r="C6354" t="s">
        <v>51</v>
      </c>
      <c r="D6354" s="2" t="s">
        <f>=HYPERLINK("https://main.knesset.gov.il/APPS/legislation/main/bills/2197098", "הצעת חוק קביעת אופן ההעסקה של מטפלות במשפחתונים המפוקחים על ידי משרד הכלכלה והתעשייה, התשפ""ג-2023")</f>
        <v>12518</v>
      </c>
      <c r="E6354" t="s">
        <v>12518</v>
      </c>
      <c r="F6354" t="s">
        <v>12519</v>
      </c>
      <c r="G6354" t="s">
        <v>14</v>
      </c>
      <c r="H6354">
             </c>
      <c r="I6354" t="s">
        <v>14</v>
      </c>
      <c r="J6354" t="s">
        <v>242</v>
      </c>
      <c r="K6354" t="s">
        <v>14</v>
      </c>
      <c r="L6354" t="s">
        <v>20</v>
      </c>
      <c r="M6354" t="s">
        <v>12420</v>
      </c>
      <c r="N6354" t="s">
        <v>14</v>
      </c>
    </row>
    <row r="6355" x14ac:dyDescent="0.25">
      <c r="A6355" t="n">
        <v>25</v>
      </c>
      <c r="B6355" t="s">
        <v>14</v>
      </c>
      <c r="C6355" t="s">
        <v>51</v>
      </c>
      <c r="D6355" s="2" t="s">
        <f>=HYPERLINK("https://main.knesset.gov.il/APPS/legislation/main/bills/2198255", "הצעת חוק ניירות ערך (תיקון - חובת דיווח על תמיכות סביבתיות), התשפ״ג-2023")</f>
        <v>12520</v>
      </c>
      <c r="E6355" t="s">
        <v>12520</v>
      </c>
      <c r="F6355" t="s">
        <v>12521</v>
      </c>
      <c r="G6355" t="s">
        <v>14</v>
      </c>
      <c r="H6355">
             </c>
      <c r="I6355" t="s">
        <v>14</v>
      </c>
      <c r="J6355" t="s">
        <v>242</v>
      </c>
      <c r="K6355" t="s">
        <v>14</v>
      </c>
      <c r="L6355" t="s">
        <v>20</v>
      </c>
      <c r="M6355" t="s">
        <v>12420</v>
      </c>
      <c r="N6355" t="s">
        <v>14</v>
      </c>
    </row>
    <row r="6356" x14ac:dyDescent="0.25">
      <c r="A6356" t="n">
        <v>25</v>
      </c>
      <c r="B6356" t="s">
        <v>14</v>
      </c>
      <c r="C6356" t="s">
        <v>51</v>
      </c>
      <c r="D6356" s="2" t="s">
        <f>=HYPERLINK("https://main.knesset.gov.il/APPS/legislation/main/bills/2198041", "הצעת חוק זכויות סוציאליות לנשים נפגעות אלימות (תיקוני חקיקה), התשפ""ג-2023")</f>
        <v>12522</v>
      </c>
      <c r="E6356" t="s">
        <v>12522</v>
      </c>
      <c r="F6356" t="s">
        <v>12523</v>
      </c>
      <c r="G6356" t="s">
        <v>14</v>
      </c>
      <c r="H6356">
             </c>
      <c r="I6356" t="s">
        <v>14</v>
      </c>
      <c r="J6356" t="s">
        <v>242</v>
      </c>
      <c r="K6356" t="s">
        <v>14</v>
      </c>
      <c r="L6356" t="s">
        <v>20</v>
      </c>
      <c r="M6356" t="s">
        <v>12420</v>
      </c>
      <c r="N6356" t="s">
        <v>14</v>
      </c>
    </row>
    <row r="6357" x14ac:dyDescent="0.25">
      <c r="A6357" t="n">
        <v>25</v>
      </c>
      <c r="B6357" t="s">
        <v>14</v>
      </c>
      <c r="C6357" t="s">
        <v>51</v>
      </c>
      <c r="D6357" s="2" t="s">
        <f>=HYPERLINK("https://main.knesset.gov.il/APPS/legislation/main/bills/2196763", "הצעת חוק למניעת אלימות במשפחה (תיקון - מניעת אלימות כלכלית), התשפ""ג-2023")</f>
        <v>12524</v>
      </c>
      <c r="E6357" t="s">
        <v>12524</v>
      </c>
      <c r="F6357" t="s">
        <v>12525</v>
      </c>
      <c r="G6357" t="s">
        <v>14</v>
      </c>
      <c r="H6357">
             </c>
      <c r="I6357" t="s">
        <v>14</v>
      </c>
      <c r="J6357" t="s">
        <v>242</v>
      </c>
      <c r="K6357" t="s">
        <v>14</v>
      </c>
      <c r="L6357" t="s">
        <v>20</v>
      </c>
      <c r="M6357" t="s">
        <v>12420</v>
      </c>
      <c r="N6357" t="s">
        <v>14</v>
      </c>
    </row>
    <row r="6358" x14ac:dyDescent="0.25">
      <c r="A6358" t="n">
        <v>25</v>
      </c>
      <c r="B6358" t="s">
        <v>14</v>
      </c>
      <c r="C6358" t="s">
        <v>51</v>
      </c>
      <c r="D6358" s="2" t="s">
        <f>=HYPERLINK("https://main.knesset.gov.il/APPS/legislation/main/bills/2197760", "הצעת חוק זכויות הדייר בדיור הציבורי (תיקון - זכות למגורים בדירה ציבורית לנשים ששהו במקלט לנשים מוכות), התשפ""ג-2023")</f>
        <v>12526</v>
      </c>
      <c r="E6358" t="s">
        <v>12526</v>
      </c>
      <c r="F6358" t="s">
        <v>12527</v>
      </c>
      <c r="G6358" t="s">
        <v>14</v>
      </c>
      <c r="H6358">
             </c>
      <c r="I6358" t="s">
        <v>14</v>
      </c>
      <c r="J6358" t="s">
        <v>242</v>
      </c>
      <c r="K6358" t="s">
        <v>14</v>
      </c>
      <c r="L6358" t="s">
        <v>20</v>
      </c>
      <c r="M6358" t="s">
        <v>12420</v>
      </c>
      <c r="N6358" t="s">
        <v>14</v>
      </c>
    </row>
    <row r="6359" x14ac:dyDescent="0.25">
      <c r="A6359" t="n">
        <v>25</v>
      </c>
      <c r="B6359" t="s">
        <v>14</v>
      </c>
      <c r="C6359" t="s">
        <v>51</v>
      </c>
      <c r="D6359" s="2" t="s">
        <f>=HYPERLINK("https://main.knesset.gov.il/APPS/legislation/main/bills/2197043", "הצעת חוק יסודות התקציב (תיקון - הפחתת תקציב או תמיכה בשל פעילות נגד עקרונות המדינה של עובד או נושא משרה), התשפ""ג-2023")</f>
        <v>12528</v>
      </c>
      <c r="E6359" t="s">
        <v>12528</v>
      </c>
      <c r="F6359" t="s">
        <v>12529</v>
      </c>
      <c r="G6359" t="s">
        <v>14</v>
      </c>
      <c r="H6359">
             </c>
      <c r="I6359" t="s">
        <v>14</v>
      </c>
      <c r="J6359" t="s">
        <v>242</v>
      </c>
      <c r="K6359" t="s">
        <v>14</v>
      </c>
      <c r="L6359" t="s">
        <v>20</v>
      </c>
      <c r="M6359" t="s">
        <v>12420</v>
      </c>
      <c r="N6359" t="s">
        <v>14</v>
      </c>
    </row>
    <row r="6360" x14ac:dyDescent="0.25">
      <c r="A6360" t="n">
        <v>25</v>
      </c>
      <c r="B6360" t="s">
        <v>14</v>
      </c>
      <c r="C6360" t="s">
        <v>51</v>
      </c>
      <c r="D6360" s="2" t="s">
        <f>=HYPERLINK("https://main.knesset.gov.il/APPS/legislation/main/bills/2198060", "הצעת חוק שידורי טלוויזיה (כתוביות ושפת סימנים) (תיקון - חובת ליווי בכתוביות תוכנית ותשדיר פרסומת), התשפ""ג-2023")</f>
        <v>12530</v>
      </c>
      <c r="E6360" t="s">
        <v>12530</v>
      </c>
      <c r="F6360" t="s">
        <v>12531</v>
      </c>
      <c r="G6360" t="s">
        <v>14</v>
      </c>
      <c r="H6360">
             </c>
      <c r="I6360" t="s">
        <v>14</v>
      </c>
      <c r="J6360" t="s">
        <v>242</v>
      </c>
      <c r="K6360" t="s">
        <v>14</v>
      </c>
      <c r="L6360" t="s">
        <v>20</v>
      </c>
      <c r="M6360" t="s">
        <v>12420</v>
      </c>
      <c r="N6360" t="s">
        <v>14</v>
      </c>
    </row>
    <row r="6361" x14ac:dyDescent="0.25">
      <c r="A6361" t="n">
        <v>25</v>
      </c>
      <c r="B6361" t="s">
        <v>14</v>
      </c>
      <c r="C6361" t="s">
        <v>51</v>
      </c>
      <c r="D6361" s="2" t="s">
        <f>=HYPERLINK("https://main.knesset.gov.il/APPS/legislation/main/bills/2198038", "הצעת חוק הרשות לטיפול בנפגעי הלם קרב, התשפ""ג-2023")</f>
        <v>12532</v>
      </c>
      <c r="E6361" t="s">
        <v>12532</v>
      </c>
      <c r="F6361" t="s">
        <v>12533</v>
      </c>
      <c r="G6361" t="s">
        <v>14</v>
      </c>
      <c r="H6361">
             </c>
      <c r="I6361" t="s">
        <v>14</v>
      </c>
      <c r="J6361" t="s">
        <v>242</v>
      </c>
      <c r="K6361" t="s">
        <v>14</v>
      </c>
      <c r="L6361" t="s">
        <v>20</v>
      </c>
      <c r="M6361" t="s">
        <v>12420</v>
      </c>
      <c r="N6361" t="s">
        <v>14</v>
      </c>
    </row>
    <row r="6362" x14ac:dyDescent="0.25">
      <c r="A6362" t="n">
        <v>25</v>
      </c>
      <c r="B6362" t="s">
        <v>14</v>
      </c>
      <c r="C6362" t="s">
        <v>51</v>
      </c>
      <c r="D6362" s="2" t="s">
        <f>=HYPERLINK("https://main.knesset.gov.il/APPS/legislation/main/bills/2197381", "הצעת חוק הביטוח הלאומי (תיקון - אי-שלילת זכאות לקצבת שאירים בשל הכנסה מפנסיה), התשפ""ג-2023")</f>
        <v>12534</v>
      </c>
      <c r="E6362" t="s">
        <v>12534</v>
      </c>
      <c r="F6362" t="s">
        <v>12535</v>
      </c>
      <c r="G6362" t="s">
        <v>14</v>
      </c>
      <c r="H6362">
             </c>
      <c r="I6362" t="s">
        <v>14</v>
      </c>
      <c r="J6362" t="s">
        <v>242</v>
      </c>
      <c r="K6362" t="s">
        <v>14</v>
      </c>
      <c r="L6362" t="s">
        <v>20</v>
      </c>
      <c r="M6362" t="s">
        <v>12420</v>
      </c>
      <c r="N6362" t="s">
        <v>14</v>
      </c>
    </row>
    <row r="6363" x14ac:dyDescent="0.25">
      <c r="A6363" t="n">
        <v>25</v>
      </c>
      <c r="B6363" t="s">
        <v>14</v>
      </c>
      <c r="C6363" t="s">
        <v>51</v>
      </c>
      <c r="D6363" s="2" t="s">
        <f>=HYPERLINK("https://main.knesset.gov.il/APPS/legislation/main/bills/2197998", "הצעת חוק לתיקון פקודת ביטוח רכב מנועי (חיוב שיווק פוליסה), התשפ""ג-2023")</f>
        <v>11674</v>
      </c>
      <c r="E6363" t="s">
        <v>11674</v>
      </c>
      <c r="F6363" t="s">
        <v>12536</v>
      </c>
      <c r="G6363" t="s">
        <v>14</v>
      </c>
      <c r="H6363">
             </c>
      <c r="I6363" t="s">
        <v>14</v>
      </c>
      <c r="J6363" t="s">
        <v>242</v>
      </c>
      <c r="K6363" t="s">
        <v>14</v>
      </c>
      <c r="L6363" t="s">
        <v>20</v>
      </c>
      <c r="M6363" t="s">
        <v>12420</v>
      </c>
      <c r="N6363" t="s">
        <v>14</v>
      </c>
    </row>
    <row r="6364" x14ac:dyDescent="0.25">
      <c r="A6364" t="n">
        <v>25</v>
      </c>
      <c r="B6364" t="s">
        <v>14</v>
      </c>
      <c r="C6364" t="s">
        <v>51</v>
      </c>
      <c r="D6364" s="2" t="s">
        <f>=HYPERLINK("https://main.knesset.gov.il/APPS/legislation/main/bills/2198050", "הצעת חוק הכשרות המשפטית והאפוטרופסות (תיקון - תנאים להוצאת אדם מביתו בניגוד לרצונו), התשפ""ג-2023")</f>
        <v>12537</v>
      </c>
      <c r="E6364" t="s">
        <v>12537</v>
      </c>
      <c r="F6364" t="s">
        <v>12538</v>
      </c>
      <c r="G6364" t="s">
        <v>14</v>
      </c>
      <c r="H6364">
             </c>
      <c r="I6364" t="s">
        <v>14</v>
      </c>
      <c r="J6364" t="s">
        <v>242</v>
      </c>
      <c r="K6364" t="s">
        <v>14</v>
      </c>
      <c r="L6364" t="s">
        <v>20</v>
      </c>
      <c r="M6364" t="s">
        <v>12420</v>
      </c>
      <c r="N6364" t="s">
        <v>14</v>
      </c>
    </row>
    <row r="6365" x14ac:dyDescent="0.25">
      <c r="A6365" t="n">
        <v>25</v>
      </c>
      <c r="B6365" t="s">
        <v>14</v>
      </c>
      <c r="C6365" t="s">
        <v>51</v>
      </c>
      <c r="D6365" s="2" t="s">
        <f>=HYPERLINK("https://main.knesset.gov.il/APPS/legislation/main/bills/2197466", "הצעת חוק איסור לשון הרע (תיקון - ביזוי אדם מחמת משקל), התשפ""ג-2023")</f>
        <v>12539</v>
      </c>
      <c r="E6365" t="s">
        <v>12539</v>
      </c>
      <c r="F6365" t="s">
        <v>12540</v>
      </c>
      <c r="G6365" t="s">
        <v>14</v>
      </c>
      <c r="H6365">
             </c>
      <c r="I6365" t="s">
        <v>14</v>
      </c>
      <c r="J6365" t="s">
        <v>242</v>
      </c>
      <c r="K6365" t="s">
        <v>14</v>
      </c>
      <c r="L6365" t="s">
        <v>20</v>
      </c>
      <c r="M6365" t="s">
        <v>12420</v>
      </c>
      <c r="N6365" t="s">
        <v>14</v>
      </c>
    </row>
    <row r="6366" x14ac:dyDescent="0.25">
      <c r="A6366" t="n">
        <v>25</v>
      </c>
      <c r="B6366" t="s">
        <v>14</v>
      </c>
      <c r="C6366" t="s">
        <v>51</v>
      </c>
      <c r="D6366" s="2" t="s">
        <f>=HYPERLINK("https://main.knesset.gov.il/APPS/legislation/main/bills/2197137", "הצעת חוק שעות עבודה ומנוחה (תיקון - סוף שבוע ארוך), התשפ""ג-2023")</f>
        <v>12541</v>
      </c>
      <c r="E6366" t="s">
        <v>12541</v>
      </c>
      <c r="F6366" t="s">
        <v>12542</v>
      </c>
      <c r="G6366" t="s">
        <v>14</v>
      </c>
      <c r="H6366">
             </c>
      <c r="I6366" t="s">
        <v>14</v>
      </c>
      <c r="J6366" t="s">
        <v>242</v>
      </c>
      <c r="K6366" t="s">
        <v>14</v>
      </c>
      <c r="L6366" t="s">
        <v>20</v>
      </c>
      <c r="M6366" t="s">
        <v>12420</v>
      </c>
      <c r="N6366" t="s">
        <v>14</v>
      </c>
    </row>
    <row r="6367" x14ac:dyDescent="0.25">
      <c r="A6367" t="n">
        <v>25</v>
      </c>
      <c r="B6367" t="s">
        <v>14</v>
      </c>
      <c r="C6367" t="s">
        <v>51</v>
      </c>
      <c r="D6367" s="2" t="s">
        <f>=HYPERLINK("https://main.knesset.gov.il/APPS/legislation/main/bills/2197933", "הצעת חוק המזונות (הבטחת תשלום) (תיקון - סכום שלא יובא בחשבון במבחן ההכנסה), התשפ""ג-2023")</f>
        <v>10532</v>
      </c>
      <c r="E6367" t="s">
        <v>10532</v>
      </c>
      <c r="F6367" t="s">
        <v>12543</v>
      </c>
      <c r="G6367" t="s">
        <v>14</v>
      </c>
      <c r="H6367">
             </c>
      <c r="I6367" t="s">
        <v>14</v>
      </c>
      <c r="J6367" t="s">
        <v>242</v>
      </c>
      <c r="K6367" t="s">
        <v>14</v>
      </c>
      <c r="L6367" t="s">
        <v>20</v>
      </c>
      <c r="M6367" t="s">
        <v>12420</v>
      </c>
      <c r="N6367" t="s">
        <v>14</v>
      </c>
    </row>
    <row r="6368" x14ac:dyDescent="0.25">
      <c r="A6368" t="n">
        <v>25</v>
      </c>
      <c r="B6368" t="s">
        <v>14</v>
      </c>
      <c r="C6368" t="s">
        <v>51</v>
      </c>
      <c r="D6368" s="2" t="s">
        <f>=HYPERLINK("https://main.knesset.gov.il/APPS/legislation/main/bills/2197439", "הצעת חוק הגנת הצרכן (תיקון - פריסת תשלומים בעסקה מתמשכת), התשפ""ג-2023")</f>
        <v>10871</v>
      </c>
      <c r="E6368" t="s">
        <v>10871</v>
      </c>
      <c r="F6368" t="s">
        <v>12544</v>
      </c>
      <c r="G6368" t="s">
        <v>14</v>
      </c>
      <c r="H6368">
             </c>
      <c r="I6368" t="s">
        <v>14</v>
      </c>
      <c r="J6368" t="s">
        <v>242</v>
      </c>
      <c r="K6368" t="s">
        <v>14</v>
      </c>
      <c r="L6368" t="s">
        <v>20</v>
      </c>
      <c r="M6368" t="s">
        <v>12420</v>
      </c>
      <c r="N6368" t="s">
        <v>14</v>
      </c>
    </row>
    <row r="6369" x14ac:dyDescent="0.25">
      <c r="A6369" t="n">
        <v>25</v>
      </c>
      <c r="B6369" t="s">
        <v>14</v>
      </c>
      <c r="C6369" t="s">
        <v>51</v>
      </c>
      <c r="D6369" s="2" t="s">
        <f>=HYPERLINK("https://main.knesset.gov.il/APPS/legislation/main/bills/2197471", "הצעת חוק העונשין (תיקון - אלימות במשפחה בנוכחות קטין או חסר ישע), התשפ""ג-2023")</f>
        <v>12545</v>
      </c>
      <c r="E6369" t="s">
        <v>12545</v>
      </c>
      <c r="F6369" t="s">
        <v>12546</v>
      </c>
      <c r="G6369" t="s">
        <v>14</v>
      </c>
      <c r="H6369">
             </c>
      <c r="I6369" t="s">
        <v>14</v>
      </c>
      <c r="J6369" t="s">
        <v>242</v>
      </c>
      <c r="K6369" t="s">
        <v>14</v>
      </c>
      <c r="L6369" t="s">
        <v>20</v>
      </c>
      <c r="M6369" t="s">
        <v>12420</v>
      </c>
      <c r="N6369" t="s">
        <v>14</v>
      </c>
    </row>
    <row r="6370" x14ac:dyDescent="0.25">
      <c r="A6370" t="n">
        <v>25</v>
      </c>
      <c r="B6370" t="s">
        <v>14</v>
      </c>
      <c r="C6370" t="s">
        <v>51</v>
      </c>
      <c r="D6370" s="2" t="s">
        <f>=HYPERLINK("https://main.knesset.gov.il/APPS/legislation/main/bills/2197897", "הצעת חוק הביטוח הלאומי (תיקון - דמי אבטלה לעצמאים), התשפ""ג-2023")</f>
        <v>9590</v>
      </c>
      <c r="E6370" t="s">
        <v>9590</v>
      </c>
      <c r="F6370" t="s">
        <v>12547</v>
      </c>
      <c r="G6370" t="s">
        <v>14</v>
      </c>
      <c r="H6370">
             </c>
      <c r="I6370" t="s">
        <v>14</v>
      </c>
      <c r="J6370" t="s">
        <v>242</v>
      </c>
      <c r="K6370" t="s">
        <v>14</v>
      </c>
      <c r="L6370" t="s">
        <v>20</v>
      </c>
      <c r="M6370" t="s">
        <v>12420</v>
      </c>
      <c r="N6370" t="s">
        <v>14</v>
      </c>
    </row>
    <row r="6371" x14ac:dyDescent="0.25">
      <c r="A6371" t="n">
        <v>25</v>
      </c>
      <c r="B6371" t="s">
        <v>14</v>
      </c>
      <c r="C6371" t="s">
        <v>51</v>
      </c>
      <c r="D6371" s="2" t="s">
        <f>=HYPERLINK("https://main.knesset.gov.il/APPS/legislation/main/bills/2197206", "הצעת חוק העונשין (תיקון - החמרת ענישה בגין אי-חובת דיווח), התשפ""ג-2023")</f>
        <v>9804</v>
      </c>
      <c r="E6371" t="s">
        <v>9804</v>
      </c>
      <c r="F6371" t="s">
        <v>12548</v>
      </c>
      <c r="G6371" t="s">
        <v>14</v>
      </c>
      <c r="H6371">
             </c>
      <c r="I6371" t="s">
        <v>14</v>
      </c>
      <c r="J6371" t="s">
        <v>242</v>
      </c>
      <c r="K6371" t="s">
        <v>14</v>
      </c>
      <c r="L6371" t="s">
        <v>20</v>
      </c>
      <c r="M6371" t="s">
        <v>12420</v>
      </c>
      <c r="N6371" t="s">
        <v>14</v>
      </c>
    </row>
    <row r="6372" x14ac:dyDescent="0.25">
      <c r="A6372" t="n">
        <v>25</v>
      </c>
      <c r="B6372" t="s">
        <v>14</v>
      </c>
      <c r="C6372" t="s">
        <v>51</v>
      </c>
      <c r="D6372" s="2" t="s">
        <f>=HYPERLINK("https://main.knesset.gov.il/APPS/legislation/main/bills/2197041", "הצעת חוק ביטוח בריאות ממלכתי (תיקון - החזר אגרת נסיעה באמבולנס), התשפ""ג-2023")</f>
        <v>11218</v>
      </c>
      <c r="E6372" t="s">
        <v>11218</v>
      </c>
      <c r="F6372" t="s">
        <v>12549</v>
      </c>
      <c r="G6372" t="s">
        <v>14</v>
      </c>
      <c r="H6372">
             </c>
      <c r="I6372" t="s">
        <v>14</v>
      </c>
      <c r="J6372" t="s">
        <v>242</v>
      </c>
      <c r="K6372" t="s">
        <v>14</v>
      </c>
      <c r="L6372" t="s">
        <v>20</v>
      </c>
      <c r="M6372" t="s">
        <v>12420</v>
      </c>
      <c r="N6372" t="s">
        <v>14</v>
      </c>
    </row>
    <row r="6373" x14ac:dyDescent="0.25">
      <c r="A6373" t="n">
        <v>25</v>
      </c>
      <c r="B6373" t="s">
        <v>14</v>
      </c>
      <c r="C6373" t="s">
        <v>51</v>
      </c>
      <c r="D6373" s="2" t="s">
        <f>=HYPERLINK("https://main.knesset.gov.il/APPS/legislation/main/bills/2197194", "הצעת חוק גוש אריאל, התשפ""ג-2023")</f>
        <v>9886</v>
      </c>
      <c r="E6373" t="s">
        <v>9886</v>
      </c>
      <c r="F6373" t="s">
        <v>12550</v>
      </c>
      <c r="G6373" t="s">
        <v>14</v>
      </c>
      <c r="H6373">
             </c>
      <c r="I6373" t="s">
        <v>14</v>
      </c>
      <c r="J6373" t="s">
        <v>242</v>
      </c>
      <c r="K6373" t="s">
        <v>14</v>
      </c>
      <c r="L6373" t="s">
        <v>20</v>
      </c>
      <c r="M6373" t="s">
        <v>12420</v>
      </c>
      <c r="N6373" t="s">
        <v>14</v>
      </c>
    </row>
    <row r="6374" x14ac:dyDescent="0.25">
      <c r="A6374" t="n">
        <v>25</v>
      </c>
      <c r="B6374" t="s">
        <v>14</v>
      </c>
      <c r="C6374" t="s">
        <v>51</v>
      </c>
      <c r="D6374" s="2" t="s">
        <f>=HYPERLINK("https://main.knesset.gov.il/APPS/legislation/main/bills/2197556", "הצעת חוק הבטחת הכנסה (תיקון - גמלאות להורה עצמאי), התשפ""ג-2023")</f>
        <v>12551</v>
      </c>
      <c r="E6374" t="s">
        <v>12551</v>
      </c>
      <c r="F6374" t="s">
        <v>12552</v>
      </c>
      <c r="G6374" t="s">
        <v>14</v>
      </c>
      <c r="H6374">
             </c>
      <c r="I6374" t="s">
        <v>14</v>
      </c>
      <c r="J6374" t="s">
        <v>242</v>
      </c>
      <c r="K6374" t="s">
        <v>14</v>
      </c>
      <c r="L6374" t="s">
        <v>20</v>
      </c>
      <c r="M6374" t="s">
        <v>12420</v>
      </c>
      <c r="N6374" t="s">
        <v>14</v>
      </c>
    </row>
    <row r="6375" x14ac:dyDescent="0.25">
      <c r="A6375" t="n">
        <v>25</v>
      </c>
      <c r="B6375" t="s">
        <v>14</v>
      </c>
      <c r="C6375" t="s">
        <v>51</v>
      </c>
      <c r="D6375" s="2" t="s">
        <f>=HYPERLINK("https://main.knesset.gov.il/APPS/legislation/main/bills/2197968", "הצעת חוק הגנת הצרכן (תיקון - משלוח חשבונית לצרכן בדרך מקוונת), התשפ""ג-2023")</f>
        <v>9681</v>
      </c>
      <c r="E6375" t="s">
        <v>9681</v>
      </c>
      <c r="F6375" t="s">
        <v>12553</v>
      </c>
      <c r="G6375" t="s">
        <v>14</v>
      </c>
      <c r="H6375">
             </c>
      <c r="I6375" t="s">
        <v>14</v>
      </c>
      <c r="J6375" t="s">
        <v>242</v>
      </c>
      <c r="K6375" t="s">
        <v>14</v>
      </c>
      <c r="L6375" t="s">
        <v>20</v>
      </c>
      <c r="M6375" t="s">
        <v>12420</v>
      </c>
      <c r="N6375" t="s">
        <v>14</v>
      </c>
    </row>
    <row r="6376" x14ac:dyDescent="0.25">
      <c r="A6376" t="n">
        <v>25</v>
      </c>
      <c r="B6376" t="s">
        <v>14</v>
      </c>
      <c r="C6376" t="s">
        <v>51</v>
      </c>
      <c r="D6376" s="2" t="s">
        <f>=HYPERLINK("https://main.knesset.gov.il/APPS/legislation/main/bills/2197191", "הצעת חוק גוש מערב השומרון, התשפ""ג-2023")</f>
        <v>12554</v>
      </c>
      <c r="E6376" t="s">
        <v>12554</v>
      </c>
      <c r="F6376" t="s">
        <v>12555</v>
      </c>
      <c r="G6376" t="s">
        <v>14</v>
      </c>
      <c r="H6376">
             </c>
      <c r="I6376" t="s">
        <v>14</v>
      </c>
      <c r="J6376" t="s">
        <v>242</v>
      </c>
      <c r="K6376" t="s">
        <v>14</v>
      </c>
      <c r="L6376" t="s">
        <v>20</v>
      </c>
      <c r="M6376" t="s">
        <v>12420</v>
      </c>
      <c r="N6376" t="s">
        <v>14</v>
      </c>
    </row>
    <row r="6377" x14ac:dyDescent="0.25">
      <c r="A6377" t="n">
        <v>25</v>
      </c>
      <c r="B6377" t="s">
        <v>14</v>
      </c>
      <c r="C6377" t="s">
        <v>51</v>
      </c>
      <c r="D6377" s="2" t="s">
        <f>=HYPERLINK("https://main.knesset.gov.il/APPS/legislation/main/bills/2196996", "הצעת חוק גוש לב השומרון, התשפ""ג-2023")</f>
        <v>12556</v>
      </c>
      <c r="E6377" t="s">
        <v>12556</v>
      </c>
      <c r="F6377" t="s">
        <v>12557</v>
      </c>
      <c r="G6377" t="s">
        <v>14</v>
      </c>
      <c r="H6377">
             </c>
      <c r="I6377" t="s">
        <v>14</v>
      </c>
      <c r="J6377" t="s">
        <v>242</v>
      </c>
      <c r="K6377" t="s">
        <v>14</v>
      </c>
      <c r="L6377" t="s">
        <v>20</v>
      </c>
      <c r="M6377" t="s">
        <v>12420</v>
      </c>
      <c r="N6377" t="s">
        <v>14</v>
      </c>
    </row>
    <row r="6378" x14ac:dyDescent="0.25">
      <c r="A6378" t="n">
        <v>25</v>
      </c>
      <c r="B6378" t="s">
        <v>14</v>
      </c>
      <c r="C6378" t="s">
        <v>51</v>
      </c>
      <c r="D6378" s="2" t="s">
        <f>=HYPERLINK("https://main.knesset.gov.il/APPS/legislation/main/bills/2197187", "הצעת חוק גוש מרכז בנימין, התשפ""ג-2023")</f>
        <v>12558</v>
      </c>
      <c r="E6378" t="s">
        <v>12558</v>
      </c>
      <c r="F6378" t="s">
        <v>12559</v>
      </c>
      <c r="G6378" t="s">
        <v>14</v>
      </c>
      <c r="H6378">
             </c>
      <c r="I6378" t="s">
        <v>14</v>
      </c>
      <c r="J6378" t="s">
        <v>242</v>
      </c>
      <c r="K6378" t="s">
        <v>14</v>
      </c>
      <c r="L6378" t="s">
        <v>20</v>
      </c>
      <c r="M6378" t="s">
        <v>12420</v>
      </c>
      <c r="N6378" t="s">
        <v>14</v>
      </c>
    </row>
    <row r="6379" x14ac:dyDescent="0.25">
      <c r="A6379" t="n">
        <v>25</v>
      </c>
      <c r="B6379" t="s">
        <v>14</v>
      </c>
      <c r="C6379" t="s">
        <v>51</v>
      </c>
      <c r="D6379" s="2" t="s">
        <f>=HYPERLINK("https://main.knesset.gov.il/APPS/legislation/main/bills/2196993", "הצעת חוק גוש מודיעין, התשפ""ג-2023")</f>
        <v>12560</v>
      </c>
      <c r="E6379" t="s">
        <v>12560</v>
      </c>
      <c r="F6379" t="s">
        <v>12561</v>
      </c>
      <c r="G6379" t="s">
        <v>14</v>
      </c>
      <c r="H6379">
             </c>
      <c r="I6379" t="s">
        <v>14</v>
      </c>
      <c r="J6379" t="s">
        <v>242</v>
      </c>
      <c r="K6379" t="s">
        <v>14</v>
      </c>
      <c r="L6379" t="s">
        <v>20</v>
      </c>
      <c r="M6379" t="s">
        <v>12420</v>
      </c>
      <c r="N6379" t="s">
        <v>14</v>
      </c>
    </row>
    <row r="6380" x14ac:dyDescent="0.25">
      <c r="A6380" t="n">
        <v>25</v>
      </c>
      <c r="B6380" t="s">
        <v>14</v>
      </c>
      <c r="C6380" t="s">
        <v>51</v>
      </c>
      <c r="D6380" s="2" t="s">
        <f>=HYPERLINK("https://main.knesset.gov.il/APPS/legislation/main/bills/2198409", "הצעת חוק חינוך ממלכתי (תיקון - חובת לימוד עברית וערבית), התשפ""ג-2023")</f>
        <v>12562</v>
      </c>
      <c r="E6380" t="s">
        <v>12562</v>
      </c>
      <c r="F6380" t="s">
        <v>12563</v>
      </c>
      <c r="G6380" t="s">
        <v>14</v>
      </c>
      <c r="H6380">
             </c>
      <c r="I6380" t="s">
        <v>14</v>
      </c>
      <c r="J6380" t="s">
        <v>242</v>
      </c>
      <c r="K6380" t="s">
        <v>14</v>
      </c>
      <c r="L6380" t="s">
        <v>20</v>
      </c>
      <c r="M6380" t="s">
        <v>12420</v>
      </c>
      <c r="N6380" t="s">
        <v>14</v>
      </c>
    </row>
    <row r="6381" x14ac:dyDescent="0.25">
      <c r="A6381" t="n">
        <v>25</v>
      </c>
      <c r="B6381" t="s">
        <v>14</v>
      </c>
      <c r="C6381" t="s">
        <v>51</v>
      </c>
      <c r="D6381" s="2" t="s">
        <f>=HYPERLINK("https://main.knesset.gov.il/APPS/legislation/main/bills/2198253", "הצעת חוק-יסוד: כבוד האדם וחירותו (תיקון - זכויות חברתיות)")</f>
        <v>12564</v>
      </c>
      <c r="E6381" t="s">
        <v>12564</v>
      </c>
      <c r="F6381" t="s">
        <v>12565</v>
      </c>
      <c r="G6381" t="s">
        <v>14</v>
      </c>
      <c r="H6381">
             </c>
      <c r="I6381" t="s">
        <v>14</v>
      </c>
      <c r="J6381" t="s">
        <v>242</v>
      </c>
      <c r="K6381" t="s">
        <v>14</v>
      </c>
      <c r="L6381" t="s">
        <v>20</v>
      </c>
      <c r="M6381" t="s">
        <v>12420</v>
      </c>
      <c r="N6381" t="s">
        <v>14</v>
      </c>
    </row>
    <row r="6382" x14ac:dyDescent="0.25">
      <c r="A6382" t="n">
        <v>25</v>
      </c>
      <c r="B6382" t="s">
        <v>14</v>
      </c>
      <c r="C6382" t="s">
        <v>51</v>
      </c>
      <c r="D6382" s="2" t="s">
        <f>=HYPERLINK("https://main.knesset.gov.il/APPS/legislation/main/bills/2197972", "הצעת חוק להגדלת שיעור ההשתתפות בכוח העבודה ולצמצום פערים חברתיים (מענק עבודה) (תיקון - זכות במקרקעין בקבוצת רכישה), התשפ""ג-2023")</f>
        <v>12566</v>
      </c>
      <c r="E6382" t="s">
        <v>12566</v>
      </c>
      <c r="F6382" t="s">
        <v>12567</v>
      </c>
      <c r="G6382" t="s">
        <v>14</v>
      </c>
      <c r="H6382">
             </c>
      <c r="I6382" t="s">
        <v>14</v>
      </c>
      <c r="J6382" t="s">
        <v>242</v>
      </c>
      <c r="K6382" t="s">
        <v>14</v>
      </c>
      <c r="L6382" t="s">
        <v>20</v>
      </c>
      <c r="M6382" t="s">
        <v>12420</v>
      </c>
      <c r="N6382" t="s">
        <v>14</v>
      </c>
    </row>
    <row r="6383" x14ac:dyDescent="0.25">
      <c r="A6383" t="n">
        <v>25</v>
      </c>
      <c r="B6383" t="s">
        <v>14</v>
      </c>
      <c r="C6383" t="s">
        <v>51</v>
      </c>
      <c r="D6383" s="2" t="s">
        <f>=HYPERLINK("https://main.knesset.gov.il/APPS/legislation/main/bills/2197002", "הצעת חוק מעלה אדומים, התשפ""ג-2023")</f>
        <v>12568</v>
      </c>
      <c r="E6383" t="s">
        <v>12568</v>
      </c>
      <c r="F6383" t="s">
        <v>12569</v>
      </c>
      <c r="G6383" t="s">
        <v>14</v>
      </c>
      <c r="H6383">
             </c>
      <c r="I6383" t="s">
        <v>14</v>
      </c>
      <c r="J6383" t="s">
        <v>242</v>
      </c>
      <c r="K6383" t="s">
        <v>14</v>
      </c>
      <c r="L6383" t="s">
        <v>20</v>
      </c>
      <c r="M6383" t="s">
        <v>12420</v>
      </c>
      <c r="N6383" t="s">
        <v>14</v>
      </c>
    </row>
    <row r="6384" x14ac:dyDescent="0.25">
      <c r="A6384" t="n">
        <v>25</v>
      </c>
      <c r="B6384" t="s">
        <v>14</v>
      </c>
      <c r="C6384" t="s">
        <v>51</v>
      </c>
      <c r="D6384" s="2" t="s">
        <f>=HYPERLINK("https://main.knesset.gov.il/APPS/legislation/main/bills/2198030", "הצעת חוק ההוצאה לפועל (תיקון - הודעה לחייב בטרם הגשת בקשה לביצוע משכנתה), התשפ""ג-2023")</f>
        <v>12570</v>
      </c>
      <c r="E6384" t="s">
        <v>12570</v>
      </c>
      <c r="F6384" t="s">
        <v>12571</v>
      </c>
      <c r="G6384" t="s">
        <v>14</v>
      </c>
      <c r="H6384">
             </c>
      <c r="I6384" t="s">
        <v>14</v>
      </c>
      <c r="J6384" t="s">
        <v>242</v>
      </c>
      <c r="K6384" t="s">
        <v>14</v>
      </c>
      <c r="L6384" t="s">
        <v>20</v>
      </c>
      <c r="M6384" t="s">
        <v>12420</v>
      </c>
      <c r="N6384" t="s">
        <v>14</v>
      </c>
    </row>
    <row r="6385" x14ac:dyDescent="0.25">
      <c r="A6385" t="n">
        <v>25</v>
      </c>
      <c r="B6385" t="s">
        <v>14</v>
      </c>
      <c r="C6385" t="s">
        <v>51</v>
      </c>
      <c r="D6385" s="2" t="s">
        <f>=HYPERLINK("https://main.knesset.gov.il/APPS/legislation/main/bills/2198308", "הצעת חוק פירוק החומה, התשפ""ג-2023")</f>
        <v>12572</v>
      </c>
      <c r="E6385" t="s">
        <v>12572</v>
      </c>
      <c r="F6385" t="s">
        <v>12573</v>
      </c>
      <c r="G6385" t="s">
        <v>14</v>
      </c>
      <c r="H6385">
             </c>
      <c r="I6385" t="s">
        <v>14</v>
      </c>
      <c r="J6385" t="s">
        <v>242</v>
      </c>
      <c r="K6385" t="s">
        <v>14</v>
      </c>
      <c r="L6385" t="s">
        <v>20</v>
      </c>
      <c r="M6385" t="s">
        <v>12420</v>
      </c>
      <c r="N6385" t="s">
        <v>14</v>
      </c>
    </row>
    <row r="6386" x14ac:dyDescent="0.25">
      <c r="A6386" t="n">
        <v>25</v>
      </c>
      <c r="B6386" t="s">
        <v>14</v>
      </c>
      <c r="C6386" t="s">
        <v>51</v>
      </c>
      <c r="D6386" s="2" t="s">
        <f>=HYPERLINK("https://main.knesset.gov.il/APPS/legislation/main/bills/2198085", "הצעת חוק תמיכה במימון פעילות ארגון נכי צה""ל ובתי הלוחם ובארגון נפגעי פעולות האיבה, התשפ""ג-2023")</f>
        <v>12574</v>
      </c>
      <c r="E6386" t="s">
        <v>12574</v>
      </c>
      <c r="F6386" t="s">
        <v>12575</v>
      </c>
      <c r="G6386" t="s">
        <v>14</v>
      </c>
      <c r="H6386">
             </c>
      <c r="I6386" t="s">
        <v>14</v>
      </c>
      <c r="J6386" t="s">
        <v>202</v>
      </c>
      <c r="K6386" t="s">
        <v>14</v>
      </c>
      <c r="L6386" t="s">
        <v>20</v>
      </c>
      <c r="M6386" t="s">
        <v>12420</v>
      </c>
      <c r="N6386" t="s">
        <v>14</v>
      </c>
    </row>
    <row r="6387" x14ac:dyDescent="0.25">
      <c r="A6387" t="n">
        <v>25</v>
      </c>
      <c r="B6387" t="s">
        <v>14</v>
      </c>
      <c r="C6387" t="s">
        <v>51</v>
      </c>
      <c r="D6387" s="2" t="s">
        <f>=HYPERLINK("https://main.knesset.gov.il/APPS/legislation/main/bills/2197614", "הצעת חוק כביש אגרה (כביש ארצי לישראל) (תיקון - פטור מאגרה בשל האטה ממהירות הנסיעה המותרת), התשפ""ג-2023")</f>
        <v>10895</v>
      </c>
      <c r="E6387" t="s">
        <v>10895</v>
      </c>
      <c r="F6387" t="s">
        <v>12576</v>
      </c>
      <c r="G6387" t="s">
        <v>14</v>
      </c>
      <c r="H6387">
             </c>
      <c r="I6387" t="s">
        <v>14</v>
      </c>
      <c r="J6387" t="s">
        <v>242</v>
      </c>
      <c r="K6387" t="s">
        <v>14</v>
      </c>
      <c r="L6387" t="s">
        <v>20</v>
      </c>
      <c r="M6387" t="s">
        <v>12420</v>
      </c>
      <c r="N6387" t="s">
        <v>14</v>
      </c>
    </row>
    <row r="6388" x14ac:dyDescent="0.25">
      <c r="A6388" t="n">
        <v>25</v>
      </c>
      <c r="B6388" t="s">
        <v>14</v>
      </c>
      <c r="C6388" t="s">
        <v>51</v>
      </c>
      <c r="D6388" s="2" t="s">
        <f>=HYPERLINK("https://main.knesset.gov.il/APPS/legislation/main/bills/2198051", "הצעת חוק שירותי הסעד (תיקון - איסור התניית מימון שירותי רווחה ברשויות מוחלשות), התשפ""ג-2023")</f>
        <v>12577</v>
      </c>
      <c r="E6388" t="s">
        <v>12577</v>
      </c>
      <c r="F6388" t="s">
        <v>12578</v>
      </c>
      <c r="G6388" t="s">
        <v>14</v>
      </c>
      <c r="H6388">
             </c>
      <c r="I6388" t="s">
        <v>14</v>
      </c>
      <c r="J6388" t="s">
        <v>242</v>
      </c>
      <c r="K6388" t="s">
        <v>14</v>
      </c>
      <c r="L6388" t="s">
        <v>20</v>
      </c>
      <c r="M6388" t="s">
        <v>12420</v>
      </c>
      <c r="N6388" t="s">
        <v>14</v>
      </c>
    </row>
    <row r="6389" x14ac:dyDescent="0.25">
      <c r="A6389" t="n">
        <v>25</v>
      </c>
      <c r="B6389" t="s">
        <v>14</v>
      </c>
      <c r="C6389" t="s">
        <v>51</v>
      </c>
      <c r="D6389" s="2" t="s">
        <f>=HYPERLINK("https://main.knesset.gov.il/APPS/legislation/main/bills/2197388", "הצעת חוק הגנת הצרכן (תיקון - תיעוד שיחות בין צרכן לעוסק ומסירתו לצרכן), התשפ""ג-2023")</f>
        <v>12579</v>
      </c>
      <c r="E6389" t="s">
        <v>12579</v>
      </c>
      <c r="F6389" t="s">
        <v>12580</v>
      </c>
      <c r="G6389" t="s">
        <v>14</v>
      </c>
      <c r="H6389">
             </c>
      <c r="I6389" t="s">
        <v>14</v>
      </c>
      <c r="J6389" t="s">
        <v>242</v>
      </c>
      <c r="K6389" t="s">
        <v>14</v>
      </c>
      <c r="L6389" t="s">
        <v>20</v>
      </c>
      <c r="M6389" t="s">
        <v>12420</v>
      </c>
      <c r="N6389" t="s">
        <v>14</v>
      </c>
    </row>
    <row r="6390" x14ac:dyDescent="0.25">
      <c r="A6390" t="n">
        <v>25</v>
      </c>
      <c r="B6390" t="s">
        <v>14</v>
      </c>
      <c r="C6390" t="s">
        <v>51</v>
      </c>
      <c r="D6390" s="2" t="s">
        <f>=HYPERLINK("https://main.knesset.gov.il/APPS/legislation/main/bills/2198162", "הצעת חוק לתיקון פקודת בריאות הציבור (מזון) (ציון מידע אודות רכיבים אלרגניים), התשפ""ג-2023")</f>
        <v>12581</v>
      </c>
      <c r="E6390" t="s">
        <v>12581</v>
      </c>
      <c r="F6390" t="s">
        <v>12582</v>
      </c>
      <c r="G6390" t="s">
        <v>14</v>
      </c>
      <c r="H6390">
             </c>
      <c r="I6390" t="s">
        <v>14</v>
      </c>
      <c r="J6390" t="s">
        <v>242</v>
      </c>
      <c r="K6390" t="s">
        <v>14</v>
      </c>
      <c r="L6390" t="s">
        <v>20</v>
      </c>
      <c r="M6390" t="s">
        <v>12420</v>
      </c>
      <c r="N6390" t="s">
        <v>14</v>
      </c>
    </row>
    <row r="6391" x14ac:dyDescent="0.25">
      <c r="A6391" t="n">
        <v>25</v>
      </c>
      <c r="B6391" t="s">
        <v>14</v>
      </c>
      <c r="C6391" t="s">
        <v>51</v>
      </c>
      <c r="D6391" s="2" t="s">
        <f>=HYPERLINK("https://main.knesset.gov.il/APPS/legislation/main/bills/2197479", "הצעת חוק יחסי ממון בין בני זוג (תיקון - הפקעת זכות האיזון מבן זוג שהורשע ברצח בן הזוג השני), התשפ""ג-2023")</f>
        <v>12583</v>
      </c>
      <c r="E6391" t="s">
        <v>12583</v>
      </c>
      <c r="F6391" t="s">
        <v>12584</v>
      </c>
      <c r="G6391" t="s">
        <v>14</v>
      </c>
      <c r="H6391">
             </c>
      <c r="I6391" t="s">
        <v>14</v>
      </c>
      <c r="J6391" t="s">
        <v>242</v>
      </c>
      <c r="K6391" t="s">
        <v>14</v>
      </c>
      <c r="L6391" t="s">
        <v>20</v>
      </c>
      <c r="M6391" t="s">
        <v>12420</v>
      </c>
      <c r="N6391" t="s">
        <v>14</v>
      </c>
    </row>
    <row r="6392" x14ac:dyDescent="0.25">
      <c r="A6392" t="n">
        <v>25</v>
      </c>
      <c r="B6392" t="s">
        <v>14</v>
      </c>
      <c r="C6392" t="s">
        <v>51</v>
      </c>
      <c r="D6392" s="2" t="s">
        <f>=HYPERLINK("https://main.knesset.gov.il/APPS/legislation/main/bills/2198040", "הצעת חוק ארוחה חמה לתלמיד בחופשה, התשפ""ג-2023")</f>
        <v>12585</v>
      </c>
      <c r="E6392" t="s">
        <v>12585</v>
      </c>
      <c r="F6392" t="s">
        <v>12586</v>
      </c>
      <c r="G6392" t="s">
        <v>14</v>
      </c>
      <c r="H6392">
             </c>
      <c r="I6392" t="s">
        <v>14</v>
      </c>
      <c r="J6392" t="s">
        <v>242</v>
      </c>
      <c r="K6392" t="s">
        <v>14</v>
      </c>
      <c r="L6392" t="s">
        <v>20</v>
      </c>
      <c r="M6392" t="s">
        <v>12420</v>
      </c>
      <c r="N6392" t="s">
        <v>14</v>
      </c>
    </row>
    <row r="6393" x14ac:dyDescent="0.25">
      <c r="A6393" t="n">
        <v>25</v>
      </c>
      <c r="B6393" t="s">
        <v>14</v>
      </c>
      <c r="C6393" t="s">
        <v>51</v>
      </c>
      <c r="D6393" s="2" t="s">
        <f>=HYPERLINK("https://main.knesset.gov.il/APPS/legislation/main/bills/2198300", "הצעת חוק אבטחה במוסדות חינוך, התשפ""ג-2023")</f>
        <v>10658</v>
      </c>
      <c r="E6393" t="s">
        <v>10658</v>
      </c>
      <c r="F6393" t="s">
        <v>12587</v>
      </c>
      <c r="G6393" t="s">
        <v>14</v>
      </c>
      <c r="H6393">
             </c>
      <c r="I6393" t="s">
        <v>14</v>
      </c>
      <c r="J6393" t="s">
        <v>242</v>
      </c>
      <c r="K6393" t="s">
        <v>14</v>
      </c>
      <c r="L6393" t="s">
        <v>20</v>
      </c>
      <c r="M6393" t="s">
        <v>12420</v>
      </c>
      <c r="N6393" t="s">
        <v>14</v>
      </c>
    </row>
    <row r="6394" x14ac:dyDescent="0.25">
      <c r="A6394" t="n">
        <v>25</v>
      </c>
      <c r="B6394" t="s">
        <v>14</v>
      </c>
      <c r="C6394" t="s">
        <v>51</v>
      </c>
      <c r="D6394" s="2" t="s">
        <f>=HYPERLINK("https://main.knesset.gov.il/APPS/legislation/main/bills/2198262", "הצעת חוק צער בעלי חיים (הגנה על בעלי חיים) (תיקון - איחוד סמכויות), התשפ""ג-2023")</f>
        <v>12588</v>
      </c>
      <c r="E6394" t="s">
        <v>12588</v>
      </c>
      <c r="F6394" t="s">
        <v>12589</v>
      </c>
      <c r="G6394" t="s">
        <v>14</v>
      </c>
      <c r="H6394">
             </c>
      <c r="I6394" t="s">
        <v>14</v>
      </c>
      <c r="J6394" t="s">
        <v>242</v>
      </c>
      <c r="K6394" t="s">
        <v>14</v>
      </c>
      <c r="L6394" t="s">
        <v>20</v>
      </c>
      <c r="M6394" t="s">
        <v>12420</v>
      </c>
      <c r="N6394" t="s">
        <v>14</v>
      </c>
    </row>
    <row r="6395" x14ac:dyDescent="0.25">
      <c r="A6395" t="n">
        <v>25</v>
      </c>
      <c r="B6395" t="s">
        <v>14</v>
      </c>
      <c r="C6395" t="s">
        <v>51</v>
      </c>
      <c r="D6395" s="2" t="s">
        <f>=HYPERLINK("https://main.knesset.gov.il/APPS/legislation/main/bills/2198540", "הצעת חוק לתיקון פקודת מס הכנסה (ניכוי ריבית על משכנתה), התשפ""ג-2023")</f>
        <v>9702</v>
      </c>
      <c r="E6395" t="s">
        <v>9702</v>
      </c>
      <c r="F6395" t="s">
        <v>12590</v>
      </c>
      <c r="G6395" t="s">
        <v>14</v>
      </c>
      <c r="H6395">
             </c>
      <c r="I6395" t="s">
        <v>14</v>
      </c>
      <c r="J6395" t="s">
        <v>242</v>
      </c>
      <c r="K6395" t="s">
        <v>14</v>
      </c>
      <c r="L6395" t="s">
        <v>20</v>
      </c>
      <c r="M6395" t="s">
        <v>12420</v>
      </c>
      <c r="N6395" t="s">
        <v>14</v>
      </c>
    </row>
    <row r="6396" x14ac:dyDescent="0.25">
      <c r="A6396" t="n">
        <v>25</v>
      </c>
      <c r="B6396" t="s">
        <v>14</v>
      </c>
      <c r="C6396" t="s">
        <v>51</v>
      </c>
      <c r="D6396" s="2" t="s">
        <f>=HYPERLINK("https://main.knesset.gov.il/APPS/legislation/main/bills/2198198", "הצעת חוק לתיקון פקודת מס הכנסה (משיכה מקרן השתלמות לרכישת דירה ראשונה), התשפ""ג-2023")</f>
        <v>8574</v>
      </c>
      <c r="E6396" t="s">
        <v>8574</v>
      </c>
      <c r="F6396" t="s">
        <v>12591</v>
      </c>
      <c r="G6396" t="s">
        <v>14</v>
      </c>
      <c r="H6396">
             </c>
      <c r="I6396" t="s">
        <v>14</v>
      </c>
      <c r="J6396" t="s">
        <v>242</v>
      </c>
      <c r="K6396" t="s">
        <v>14</v>
      </c>
      <c r="L6396" t="s">
        <v>20</v>
      </c>
      <c r="M6396" t="s">
        <v>12420</v>
      </c>
      <c r="N6396" t="s">
        <v>14</v>
      </c>
    </row>
    <row r="6397" x14ac:dyDescent="0.25">
      <c r="A6397" t="n">
        <v>25</v>
      </c>
      <c r="B6397" t="s">
        <v>14</v>
      </c>
      <c r="C6397" t="s">
        <v>51</v>
      </c>
      <c r="D6397" s="2" t="s">
        <f>=HYPERLINK("https://main.knesset.gov.il/APPS/legislation/main/bills/2198256", "הצעת חוק הביטוח הלאומי (תיקון - הארכת המועד להגשת תביעה לגמלה והתקופה שבעדה תשולם), התשפ""ג-2023")</f>
        <v>8519</v>
      </c>
      <c r="E6397" t="s">
        <v>8519</v>
      </c>
      <c r="F6397" t="s">
        <v>12592</v>
      </c>
      <c r="G6397" t="s">
        <v>14</v>
      </c>
      <c r="H6397">
             </c>
      <c r="I6397" t="s">
        <v>14</v>
      </c>
      <c r="J6397" t="s">
        <v>242</v>
      </c>
      <c r="K6397" t="s">
        <v>14</v>
      </c>
      <c r="L6397" t="s">
        <v>20</v>
      </c>
      <c r="M6397" t="s">
        <v>12420</v>
      </c>
      <c r="N6397" t="s">
        <v>14</v>
      </c>
    </row>
    <row r="6398" x14ac:dyDescent="0.25">
      <c r="A6398" t="n">
        <v>25</v>
      </c>
      <c r="B6398" t="s">
        <v>14</v>
      </c>
      <c r="C6398" t="s">
        <v>51</v>
      </c>
      <c r="D6398" s="2" t="s">
        <f>=HYPERLINK("https://main.knesset.gov.il/APPS/legislation/main/bills/2198047", "הצעת חוק העונשין (תיקון - תקיפת נהג אוטובוס ציבורי), התשפ""ג-2023")</f>
        <v>9685</v>
      </c>
      <c r="E6398" t="s">
        <v>9685</v>
      </c>
      <c r="F6398" t="s">
        <v>12593</v>
      </c>
      <c r="G6398" t="s">
        <v>14</v>
      </c>
      <c r="H6398">
             </c>
      <c r="I6398" t="s">
        <v>14</v>
      </c>
      <c r="J6398" t="s">
        <v>242</v>
      </c>
      <c r="K6398" t="s">
        <v>14</v>
      </c>
      <c r="L6398" t="s">
        <v>20</v>
      </c>
      <c r="M6398" t="s">
        <v>12420</v>
      </c>
      <c r="N6398" t="s">
        <v>14</v>
      </c>
    </row>
    <row r="6399" x14ac:dyDescent="0.25">
      <c r="A6399" t="n">
        <v>25</v>
      </c>
      <c r="B6399" t="s">
        <v>14</v>
      </c>
      <c r="C6399" t="s">
        <v>51</v>
      </c>
      <c r="D6399" s="2" t="s">
        <f>=HYPERLINK("https://main.knesset.gov.il/APPS/legislation/main/bills/2198302", "הצעת חוק זכויות הסטודנט (תיקון - ייצוג הולם במוסדות אגודת הסטודנטים), התשפ""ג-2023")</f>
        <v>12594</v>
      </c>
      <c r="E6399" t="s">
        <v>12594</v>
      </c>
      <c r="F6399" t="s">
        <v>12595</v>
      </c>
      <c r="G6399" t="s">
        <v>14</v>
      </c>
      <c r="H6399">
             </c>
      <c r="I6399" t="s">
        <v>14</v>
      </c>
      <c r="J6399" t="s">
        <v>242</v>
      </c>
      <c r="K6399" t="s">
        <v>14</v>
      </c>
      <c r="L6399" t="s">
        <v>20</v>
      </c>
      <c r="M6399" t="s">
        <v>12420</v>
      </c>
      <c r="N6399" t="s">
        <v>14</v>
      </c>
    </row>
    <row r="6400" x14ac:dyDescent="0.25">
      <c r="A6400" t="n">
        <v>25</v>
      </c>
      <c r="B6400" t="s">
        <v>14</v>
      </c>
      <c r="C6400" t="s">
        <v>51</v>
      </c>
      <c r="D6400" s="2" t="s">
        <f>=HYPERLINK("https://main.knesset.gov.il/APPS/legislation/main/bills/2198332", "הצעת חוק השכלה גבוהה חינם, התשפ""ג-2023")</f>
        <v>12596</v>
      </c>
      <c r="E6400" t="s">
        <v>12596</v>
      </c>
      <c r="F6400" t="s">
        <v>12597</v>
      </c>
      <c r="G6400" t="s">
        <v>14</v>
      </c>
      <c r="H6400">
             </c>
      <c r="I6400" t="s">
        <v>14</v>
      </c>
      <c r="J6400" t="s">
        <v>242</v>
      </c>
      <c r="K6400" t="s">
        <v>14</v>
      </c>
      <c r="L6400" t="s">
        <v>20</v>
      </c>
      <c r="M6400" t="s">
        <v>12420</v>
      </c>
      <c r="N6400" t="s">
        <v>14</v>
      </c>
    </row>
    <row r="6401" x14ac:dyDescent="0.25">
      <c r="A6401" t="n">
        <v>25</v>
      </c>
      <c r="B6401" t="s">
        <v>14</v>
      </c>
      <c r="C6401" t="s">
        <v>51</v>
      </c>
      <c r="D6401" s="2" t="s">
        <f>=HYPERLINK("https://main.knesset.gov.il/APPS/legislation/main/bills/2197200", "הצעת חוק השכלה גבוהה חינם, התשפ""ג-2023")</f>
        <v>12596</v>
      </c>
      <c r="E6401" t="s">
        <v>12596</v>
      </c>
      <c r="F6401" t="s">
        <v>12598</v>
      </c>
      <c r="G6401" t="s">
        <v>14</v>
      </c>
      <c r="H6401">
             </c>
      <c r="I6401" t="s">
        <v>14</v>
      </c>
      <c r="J6401" t="s">
        <v>242</v>
      </c>
      <c r="K6401" t="s">
        <v>14</v>
      </c>
      <c r="L6401" t="s">
        <v>20</v>
      </c>
      <c r="M6401" t="s">
        <v>12420</v>
      </c>
      <c r="N6401" t="s">
        <v>14</v>
      </c>
    </row>
    <row r="6402" x14ac:dyDescent="0.25">
      <c r="A6402" t="n">
        <v>25</v>
      </c>
      <c r="B6402" t="s">
        <v>14</v>
      </c>
      <c r="C6402" t="s">
        <v>51</v>
      </c>
      <c r="D6402" s="2" t="s">
        <f>=HYPERLINK("https://main.knesset.gov.il/APPS/legislation/main/bills/2197994", "הצעת חוק המים (תיקון - איסור הפסקת אספקת מים בשל חובות של רשויות מקומיות), התשפ""ג-2023")</f>
        <v>12599</v>
      </c>
      <c r="E6402" t="s">
        <v>12599</v>
      </c>
      <c r="F6402" t="s">
        <v>12600</v>
      </c>
      <c r="G6402" t="s">
        <v>14</v>
      </c>
      <c r="H6402">
             </c>
      <c r="I6402" t="s">
        <v>14</v>
      </c>
      <c r="J6402" t="s">
        <v>242</v>
      </c>
      <c r="K6402" t="s">
        <v>14</v>
      </c>
      <c r="L6402" t="s">
        <v>20</v>
      </c>
      <c r="M6402" t="s">
        <v>12420</v>
      </c>
      <c r="N6402" t="s">
        <v>14</v>
      </c>
    </row>
    <row r="6403" x14ac:dyDescent="0.25">
      <c r="A6403" t="n">
        <v>25</v>
      </c>
      <c r="B6403" t="s">
        <v>14</v>
      </c>
      <c r="C6403" t="s">
        <v>51</v>
      </c>
      <c r="D6403" s="2" t="s">
        <f>=HYPERLINK("https://main.knesset.gov.il/APPS/legislation/main/bills/2198254", "הצעת חוק מחלות יתומות, התשפ""ג-2023")</f>
        <v>12601</v>
      </c>
      <c r="E6403" t="s">
        <v>12601</v>
      </c>
      <c r="F6403" t="s">
        <v>12602</v>
      </c>
      <c r="G6403" t="s">
        <v>14</v>
      </c>
      <c r="H6403">
             </c>
      <c r="I6403" t="s">
        <v>14</v>
      </c>
      <c r="J6403" t="s">
        <v>242</v>
      </c>
      <c r="K6403" t="s">
        <v>14</v>
      </c>
      <c r="L6403" t="s">
        <v>20</v>
      </c>
      <c r="M6403" t="s">
        <v>12420</v>
      </c>
      <c r="N6403" t="s">
        <v>14</v>
      </c>
    </row>
    <row r="6404" x14ac:dyDescent="0.25">
      <c r="A6404" t="n">
        <v>25</v>
      </c>
      <c r="B6404" t="s">
        <v>14</v>
      </c>
      <c r="C6404" t="s">
        <v>51</v>
      </c>
      <c r="D6404" s="2" t="s">
        <f>=HYPERLINK("https://main.knesset.gov.il/APPS/legislation/main/bills/2197558", "הצעת חוק הפסקת היריון, התשפ""ג-2023")</f>
        <v>9028</v>
      </c>
      <c r="E6404" t="s">
        <v>9028</v>
      </c>
      <c r="F6404" t="s">
        <v>12603</v>
      </c>
      <c r="G6404" t="s">
        <v>14</v>
      </c>
      <c r="H6404">
             </c>
      <c r="I6404" t="s">
        <v>14</v>
      </c>
      <c r="J6404" t="s">
        <v>242</v>
      </c>
      <c r="K6404" t="s">
        <v>14</v>
      </c>
      <c r="L6404" t="s">
        <v>20</v>
      </c>
      <c r="M6404" t="s">
        <v>12420</v>
      </c>
      <c r="N6404" t="s">
        <v>14</v>
      </c>
    </row>
    <row r="6405" x14ac:dyDescent="0.25">
      <c r="A6405" t="n">
        <v>25</v>
      </c>
      <c r="B6405" t="s">
        <v>14</v>
      </c>
      <c r="C6405" t="s">
        <v>51</v>
      </c>
      <c r="D6405" s="2" t="s">
        <f>=HYPERLINK("https://main.knesset.gov.il/APPS/legislation/main/bills/2198044", "הצעת חוק שכר לחיילים בשירות סדיר, התשפ""ג-2023")</f>
        <v>12604</v>
      </c>
      <c r="E6405" t="s">
        <v>12604</v>
      </c>
      <c r="F6405" t="s">
        <v>12605</v>
      </c>
      <c r="G6405" t="s">
        <v>14</v>
      </c>
      <c r="H6405">
             </c>
      <c r="I6405" t="s">
        <v>14</v>
      </c>
      <c r="J6405" t="s">
        <v>242</v>
      </c>
      <c r="K6405" t="s">
        <v>14</v>
      </c>
      <c r="L6405" t="s">
        <v>20</v>
      </c>
      <c r="M6405" t="s">
        <v>12420</v>
      </c>
      <c r="N6405" t="s">
        <v>14</v>
      </c>
    </row>
    <row r="6406" x14ac:dyDescent="0.25">
      <c r="A6406" t="n">
        <v>25</v>
      </c>
      <c r="B6406" t="s">
        <v>14</v>
      </c>
      <c r="C6406" t="s">
        <v>51</v>
      </c>
      <c r="D6406" s="2" t="s">
        <f>=HYPERLINK("https://main.knesset.gov.il/APPS/legislation/main/bills/2197060", "הצעת חוק חברון ובנותיה, התשפ""ג-2023")</f>
        <v>12606</v>
      </c>
      <c r="E6406" t="s">
        <v>12606</v>
      </c>
      <c r="F6406" t="s">
        <v>12607</v>
      </c>
      <c r="G6406" t="s">
        <v>14</v>
      </c>
      <c r="H6406">
             </c>
      <c r="I6406" t="s">
        <v>14</v>
      </c>
      <c r="J6406" t="s">
        <v>242</v>
      </c>
      <c r="K6406" t="s">
        <v>14</v>
      </c>
      <c r="L6406" t="s">
        <v>20</v>
      </c>
      <c r="M6406" t="s">
        <v>12420</v>
      </c>
      <c r="N6406" t="s">
        <v>14</v>
      </c>
    </row>
    <row r="6407" x14ac:dyDescent="0.25">
      <c r="A6407" t="n">
        <v>25</v>
      </c>
      <c r="B6407" t="s">
        <v>14</v>
      </c>
      <c r="C6407" t="s">
        <v>51</v>
      </c>
      <c r="D6407" s="2" t="s">
        <f>=HYPERLINK("https://main.knesset.gov.il/APPS/legislation/main/bills/2197947", "הצעת חוק האקלים, התשפ""ג-2023")</f>
        <v>2358</v>
      </c>
      <c r="E6407" t="s">
        <v>2358</v>
      </c>
      <c r="F6407" t="s">
        <v>12608</v>
      </c>
      <c r="G6407" t="s">
        <v>14</v>
      </c>
      <c r="H6407">
             </c>
      <c r="I6407" t="s">
        <v>14</v>
      </c>
      <c r="J6407" t="s">
        <v>242</v>
      </c>
      <c r="K6407" t="s">
        <v>14</v>
      </c>
      <c r="L6407" t="s">
        <v>20</v>
      </c>
      <c r="M6407" t="s">
        <v>12420</v>
      </c>
      <c r="N6407" t="s">
        <v>14</v>
      </c>
    </row>
    <row r="6408" x14ac:dyDescent="0.25">
      <c r="A6408" t="n">
        <v>25</v>
      </c>
      <c r="B6408" t="s">
        <v>14</v>
      </c>
      <c r="C6408" t="s">
        <v>51</v>
      </c>
      <c r="D6408" s="2" t="s">
        <f>=HYPERLINK("https://main.knesset.gov.il/APPS/legislation/main/bills/2197613", "הצעת חוק משק החשמל (תיקון - איסור ניתוק חשמל), התשפ""ג-2023")</f>
        <v>11269</v>
      </c>
      <c r="E6408" t="s">
        <v>11269</v>
      </c>
      <c r="F6408" t="s">
        <v>12609</v>
      </c>
      <c r="G6408" t="s">
        <v>14</v>
      </c>
      <c r="H6408">
             </c>
      <c r="I6408" t="s">
        <v>14</v>
      </c>
      <c r="J6408" t="s">
        <v>242</v>
      </c>
      <c r="K6408" t="s">
        <v>14</v>
      </c>
      <c r="L6408" t="s">
        <v>20</v>
      </c>
      <c r="M6408" t="s">
        <v>12420</v>
      </c>
      <c r="N6408" t="s">
        <v>14</v>
      </c>
    </row>
    <row r="6409" x14ac:dyDescent="0.25">
      <c r="A6409" t="n">
        <v>25</v>
      </c>
      <c r="B6409" t="s">
        <v>14</v>
      </c>
      <c r="C6409" t="s">
        <v>51</v>
      </c>
      <c r="D6409" s="2" t="s">
        <f>=HYPERLINK("https://main.knesset.gov.il/APPS/legislation/main/bills/2197482", "הצעת חוק לתיקון פקודת התעבורה (הסדרי תנועה בקרבת בית ספר), התשפ""ג-2023")</f>
        <v>11776</v>
      </c>
      <c r="E6409" t="s">
        <v>11776</v>
      </c>
      <c r="F6409" t="s">
        <v>12610</v>
      </c>
      <c r="G6409" t="s">
        <v>14</v>
      </c>
      <c r="H6409">
             </c>
      <c r="I6409" t="s">
        <v>14</v>
      </c>
      <c r="J6409" t="s">
        <v>242</v>
      </c>
      <c r="K6409" t="s">
        <v>14</v>
      </c>
      <c r="L6409" t="s">
        <v>20</v>
      </c>
      <c r="M6409" t="s">
        <v>12420</v>
      </c>
      <c r="N6409" t="s">
        <v>14</v>
      </c>
    </row>
    <row r="6410" x14ac:dyDescent="0.25">
      <c r="A6410" t="n">
        <v>25</v>
      </c>
      <c r="B6410" t="s">
        <v>14</v>
      </c>
      <c r="C6410" t="s">
        <v>51</v>
      </c>
      <c r="D6410" s="2" t="s">
        <f>=HYPERLINK("https://main.knesset.gov.il/APPS/legislation/main/bills/2197616", "הצעת חוק כביש אגרה (כביש ארצי לישראל) (תיקון - הפחתת ריבית פיגורים על חוב חלוט), התשפ""ג-2023")</f>
        <v>12611</v>
      </c>
      <c r="E6410" t="s">
        <v>12611</v>
      </c>
      <c r="F6410" t="s">
        <v>12612</v>
      </c>
      <c r="G6410" t="s">
        <v>14</v>
      </c>
      <c r="H6410">
             </c>
      <c r="I6410" t="s">
        <v>14</v>
      </c>
      <c r="J6410" t="s">
        <v>242</v>
      </c>
      <c r="K6410" t="s">
        <v>14</v>
      </c>
      <c r="L6410" t="s">
        <v>20</v>
      </c>
      <c r="M6410" t="s">
        <v>12420</v>
      </c>
      <c r="N6410" t="s">
        <v>14</v>
      </c>
    </row>
    <row r="6411" x14ac:dyDescent="0.25">
      <c r="A6411" t="n">
        <v>25</v>
      </c>
      <c r="B6411" t="s">
        <v>14</v>
      </c>
      <c r="C6411" t="s">
        <v>51</v>
      </c>
      <c r="D6411" s="2" t="s">
        <f>=HYPERLINK("https://main.knesset.gov.il/APPS/legislation/main/bills/2197219", "הצעת חוק העונשין (תיקון - הפחתת ריבית פיגורים בשל אי תשלום קנס), התשפ""ג-2023")</f>
        <v>12613</v>
      </c>
      <c r="E6411" t="s">
        <v>12613</v>
      </c>
      <c r="F6411" t="s">
        <v>12614</v>
      </c>
      <c r="G6411" t="s">
        <v>14</v>
      </c>
      <c r="H6411">
             </c>
      <c r="I6411" t="s">
        <v>14</v>
      </c>
      <c r="J6411" t="s">
        <v>242</v>
      </c>
      <c r="K6411" t="s">
        <v>14</v>
      </c>
      <c r="L6411" t="s">
        <v>20</v>
      </c>
      <c r="M6411" t="s">
        <v>12420</v>
      </c>
      <c r="N6411" t="s">
        <v>14</v>
      </c>
    </row>
    <row r="6412" x14ac:dyDescent="0.25">
      <c r="A6412" t="n">
        <v>25</v>
      </c>
      <c r="B6412" t="s">
        <v>14</v>
      </c>
      <c r="C6412" t="s">
        <v>51</v>
      </c>
      <c r="D6412" s="2" t="s">
        <f>=HYPERLINK("https://main.knesset.gov.il/APPS/legislation/main/bills/2198046", "הצעת חוק תשלום פיצויים בשל נזקי אסון טבע, התשפ""ג-2023")</f>
        <v>11816</v>
      </c>
      <c r="E6412" t="s">
        <v>11816</v>
      </c>
      <c r="F6412" t="s">
        <v>12615</v>
      </c>
      <c r="G6412" t="s">
        <v>14</v>
      </c>
      <c r="H6412">
             </c>
      <c r="I6412" t="s">
        <v>14</v>
      </c>
      <c r="J6412" t="s">
        <v>242</v>
      </c>
      <c r="K6412" t="s">
        <v>14</v>
      </c>
      <c r="L6412" t="s">
        <v>20</v>
      </c>
      <c r="M6412" t="s">
        <v>12420</v>
      </c>
      <c r="N6412" t="s">
        <v>14</v>
      </c>
    </row>
    <row r="6413" x14ac:dyDescent="0.25">
      <c r="A6413" t="n">
        <v>25</v>
      </c>
      <c r="B6413" t="s">
        <v>14</v>
      </c>
      <c r="C6413" t="s">
        <v>51</v>
      </c>
      <c r="D6413" s="2" t="s">
        <f>=HYPERLINK("https://main.knesset.gov.il/APPS/legislation/main/bills/2196936", "הצעת חוק-יסוד: הכנסת (תיקון - ביטול סעיפים 7א ו-42א(ג))")</f>
        <v>12616</v>
      </c>
      <c r="E6413" t="s">
        <v>12616</v>
      </c>
      <c r="F6413" t="s">
        <v>12617</v>
      </c>
      <c r="G6413" t="s">
        <v>14</v>
      </c>
      <c r="H6413">
             </c>
      <c r="I6413" t="s">
        <v>14</v>
      </c>
      <c r="J6413" t="s">
        <v>242</v>
      </c>
      <c r="K6413" t="s">
        <v>14</v>
      </c>
      <c r="L6413" t="s">
        <v>20</v>
      </c>
      <c r="M6413" t="s">
        <v>12420</v>
      </c>
      <c r="N6413" t="s">
        <v>14</v>
      </c>
    </row>
    <row r="6414" x14ac:dyDescent="0.25">
      <c r="A6414" t="n">
        <v>25</v>
      </c>
      <c r="B6414" t="s">
        <v>14</v>
      </c>
      <c r="C6414" t="s">
        <v>51</v>
      </c>
      <c r="D6414" s="2" t="s">
        <f>=HYPERLINK("https://main.knesset.gov.il/APPS/legislation/main/bills/2197941", "הצעת חוק הגבלת השימוש ורישום פעולות בחלקי רכב משומשים (מניעת גניבות) (תיקון - ביטול האיסור על תיקון בשטחי האחריות האזרחית הפלסטינית), התשפ""ג-2023")</f>
        <v>12618</v>
      </c>
      <c r="E6414" t="s">
        <v>12618</v>
      </c>
      <c r="F6414" t="s">
        <v>12619</v>
      </c>
      <c r="G6414" t="s">
        <v>14</v>
      </c>
      <c r="H6414">
             </c>
      <c r="I6414" t="s">
        <v>14</v>
      </c>
      <c r="J6414" t="s">
        <v>242</v>
      </c>
      <c r="K6414" t="s">
        <v>14</v>
      </c>
      <c r="L6414" t="s">
        <v>20</v>
      </c>
      <c r="M6414" t="s">
        <v>12420</v>
      </c>
      <c r="N6414" t="s">
        <v>14</v>
      </c>
    </row>
    <row r="6415" x14ac:dyDescent="0.25">
      <c r="A6415" t="n">
        <v>25</v>
      </c>
      <c r="B6415" t="s">
        <v>14</v>
      </c>
      <c r="C6415" t="s">
        <v>51</v>
      </c>
      <c r="D6415" s="2" t="s">
        <f>=HYPERLINK("https://main.knesset.gov.il/APPS/legislation/main/bills/2197902", "הצעת חוק הדיינים (תיקון - מינוי דיין עמית בבית הדין הרבני הגדול), התשפ""ג-2023")</f>
        <v>12620</v>
      </c>
      <c r="E6415" t="s">
        <v>12620</v>
      </c>
      <c r="F6415" t="s">
        <v>12621</v>
      </c>
      <c r="G6415" t="s">
        <v>14</v>
      </c>
      <c r="H6415">
             </c>
      <c r="I6415" t="s">
        <v>14</v>
      </c>
      <c r="J6415" t="s">
        <v>242</v>
      </c>
      <c r="K6415" t="s">
        <v>14</v>
      </c>
      <c r="L6415" t="s">
        <v>20</v>
      </c>
      <c r="M6415" t="s">
        <v>12420</v>
      </c>
      <c r="N6415" t="s">
        <v>14</v>
      </c>
    </row>
    <row r="6416" x14ac:dyDescent="0.25">
      <c r="A6416" t="n">
        <v>25</v>
      </c>
      <c r="B6416" t="s">
        <v>14</v>
      </c>
      <c r="C6416" t="s">
        <v>51</v>
      </c>
      <c r="D6416" s="2" t="s">
        <f>=HYPERLINK("https://main.knesset.gov.il/APPS/legislation/main/bills/2196873", "הצעת חוק העונשין (תיקון - עונש מוות למחבלים), התשפ""ג-2023")</f>
        <v>1754</v>
      </c>
      <c r="E6416" t="s">
        <v>1754</v>
      </c>
      <c r="F6416" t="s">
        <v>12622</v>
      </c>
      <c r="G6416" t="s">
        <v>14</v>
      </c>
      <c r="H6416">
             </c>
      <c r="I6416" t="s">
        <v>14</v>
      </c>
      <c r="J6416" t="s">
        <v>242</v>
      </c>
      <c r="K6416" t="s">
        <v>14</v>
      </c>
      <c r="L6416" t="s">
        <v>20</v>
      </c>
      <c r="M6416" t="s">
        <v>12420</v>
      </c>
      <c r="N6416" t="s">
        <v>14</v>
      </c>
    </row>
    <row r="6417" x14ac:dyDescent="0.25">
      <c r="A6417" t="n">
        <v>25</v>
      </c>
      <c r="B6417" t="s">
        <v>14</v>
      </c>
      <c r="C6417" t="s">
        <v>51</v>
      </c>
      <c r="D6417" s="2" t="s">
        <f>=HYPERLINK("https://main.knesset.gov.il/APPS/legislation/main/bills/2198307", "הצעת חוק לתיקון פקודת בריאות העם (הגבלת תקופת כהונה של מנהלי מחלקות בבתי חולים ציבוריים), התשפ""ג-2023")</f>
        <v>12623</v>
      </c>
      <c r="E6417" t="s">
        <v>12623</v>
      </c>
      <c r="F6417" t="s">
        <v>12624</v>
      </c>
      <c r="G6417" t="s">
        <v>14</v>
      </c>
      <c r="H6417">
             </c>
      <c r="I6417" t="s">
        <v>14</v>
      </c>
      <c r="J6417" t="s">
        <v>242</v>
      </c>
      <c r="K6417" t="s">
        <v>14</v>
      </c>
      <c r="L6417" t="s">
        <v>20</v>
      </c>
      <c r="M6417" t="s">
        <v>12420</v>
      </c>
      <c r="N6417" t="s">
        <v>14</v>
      </c>
    </row>
    <row r="6418" x14ac:dyDescent="0.25">
      <c r="A6418" t="n">
        <v>25</v>
      </c>
      <c r="B6418" t="s">
        <v>14</v>
      </c>
      <c r="C6418" t="s">
        <v>51</v>
      </c>
      <c r="D6418" s="2" t="s">
        <f>=HYPERLINK("https://main.knesset.gov.il/APPS/legislation/main/bills/2196864", "הצעת חוק חינוך ממלכתי (תיקון - איסור תמיכה בטרור), התשפ""ג-2023")</f>
        <v>7617</v>
      </c>
      <c r="E6418" t="s">
        <v>7617</v>
      </c>
      <c r="F6418" t="s">
        <v>12625</v>
      </c>
      <c r="G6418" t="s">
        <v>14</v>
      </c>
      <c r="H6418">
             </c>
      <c r="I6418" t="s">
        <v>14</v>
      </c>
      <c r="J6418" t="s">
        <v>242</v>
      </c>
      <c r="K6418" t="s">
        <v>14</v>
      </c>
      <c r="L6418" t="s">
        <v>20</v>
      </c>
      <c r="M6418" t="s">
        <v>12420</v>
      </c>
      <c r="N6418" t="s">
        <v>14</v>
      </c>
    </row>
    <row r="6419" x14ac:dyDescent="0.25">
      <c r="A6419" t="n">
        <v>25</v>
      </c>
      <c r="B6419" t="s">
        <v>14</v>
      </c>
      <c r="C6419" t="s">
        <v>51</v>
      </c>
      <c r="D6419" s="2" t="s">
        <f>=HYPERLINK("https://main.knesset.gov.il/APPS/legislation/main/bills/2197204", "הצעת חוק דמי מחלה (היעדרות בשל מחלת ילד) (תיקון - היעדרות בעקבות תקיפה או התעללות בילד), התשפ""ג-2023")</f>
        <v>8399</v>
      </c>
      <c r="E6419" t="s">
        <v>8399</v>
      </c>
      <c r="F6419" t="s">
        <v>12626</v>
      </c>
      <c r="G6419" t="s">
        <v>14</v>
      </c>
      <c r="H6419">
             </c>
      <c r="I6419" t="s">
        <v>14</v>
      </c>
      <c r="J6419" t="s">
        <v>242</v>
      </c>
      <c r="K6419" t="s">
        <v>14</v>
      </c>
      <c r="L6419" t="s">
        <v>20</v>
      </c>
      <c r="M6419" t="s">
        <v>12420</v>
      </c>
      <c r="N6419" t="s">
        <v>14</v>
      </c>
    </row>
    <row r="6420" x14ac:dyDescent="0.25">
      <c r="A6420" t="n">
        <v>25</v>
      </c>
      <c r="B6420" t="s">
        <v>14</v>
      </c>
      <c r="C6420" t="s">
        <v>51</v>
      </c>
      <c r="D6420" s="2" t="s">
        <f>=HYPERLINK("https://main.knesset.gov.il/APPS/legislation/main/bills/2198526", "הצעת חוק מס ערך מוסף (תיקון - עוסק פטור חדש), התשפ""ג-2023")</f>
        <v>11051</v>
      </c>
      <c r="E6420" t="s">
        <v>11051</v>
      </c>
      <c r="F6420" t="s">
        <v>12627</v>
      </c>
      <c r="G6420" t="s">
        <v>14</v>
      </c>
      <c r="H6420">
             </c>
      <c r="I6420" t="s">
        <v>14</v>
      </c>
      <c r="J6420" t="s">
        <v>242</v>
      </c>
      <c r="K6420" t="s">
        <v>14</v>
      </c>
      <c r="L6420" t="s">
        <v>20</v>
      </c>
      <c r="M6420" t="s">
        <v>12420</v>
      </c>
      <c r="N6420" t="s">
        <v>14</v>
      </c>
    </row>
    <row r="6421" x14ac:dyDescent="0.25">
      <c r="A6421" t="n">
        <v>25</v>
      </c>
      <c r="B6421" t="s">
        <v>14</v>
      </c>
      <c r="C6421" t="s">
        <v>51</v>
      </c>
      <c r="D6421" s="2" t="s">
        <f>=HYPERLINK("https://main.knesset.gov.il/APPS/legislation/main/bills/2198174", "הצעת חוק הביטוח הלאומי (תיקון - השוואת קצבת אזרח ותיק וקצבת נכות לשכר מינימום), התשפ""ג-2023")</f>
        <v>4781</v>
      </c>
      <c r="E6421" t="s">
        <v>4781</v>
      </c>
      <c r="F6421" t="s">
        <v>12628</v>
      </c>
      <c r="G6421" t="s">
        <v>14</v>
      </c>
      <c r="H6421">
             </c>
      <c r="I6421" t="s">
        <v>14</v>
      </c>
      <c r="J6421" t="s">
        <v>202</v>
      </c>
      <c r="K6421" t="s">
        <v>14</v>
      </c>
      <c r="L6421" t="s">
        <v>20</v>
      </c>
      <c r="M6421" t="s">
        <v>12420</v>
      </c>
      <c r="N6421" t="s">
        <v>14</v>
      </c>
    </row>
    <row r="6422" x14ac:dyDescent="0.25">
      <c r="A6422" t="n">
        <v>25</v>
      </c>
      <c r="B6422" t="s">
        <v>14</v>
      </c>
      <c r="C6422" t="s">
        <v>51</v>
      </c>
      <c r="D6422" s="2" t="s">
        <f>=HYPERLINK("https://main.knesset.gov.il/APPS/legislation/main/bills/2198170", "הצעת חוק הביטוח הלאומי (תיקון - זכאות להטבות לקטועי ידיים על פי הסכם הניידות), התשפ""ג-2023")</f>
        <v>12629</v>
      </c>
      <c r="E6422" t="s">
        <v>12629</v>
      </c>
      <c r="F6422" t="s">
        <v>12630</v>
      </c>
      <c r="G6422" t="s">
        <v>14</v>
      </c>
      <c r="H6422">
             </c>
      <c r="I6422" t="s">
        <v>14</v>
      </c>
      <c r="J6422" t="s">
        <v>202</v>
      </c>
      <c r="K6422" t="s">
        <v>14</v>
      </c>
      <c r="L6422" t="s">
        <v>20</v>
      </c>
      <c r="M6422" t="s">
        <v>12420</v>
      </c>
      <c r="N6422" t="s">
        <v>14</v>
      </c>
    </row>
    <row r="6423" x14ac:dyDescent="0.25">
      <c r="A6423" t="n">
        <v>25</v>
      </c>
      <c r="B6423" t="s">
        <v>14</v>
      </c>
      <c r="C6423" t="s">
        <v>51</v>
      </c>
      <c r="D6423" s="2" t="s">
        <f>=HYPERLINK("https://main.knesset.gov.il/APPS/legislation/main/bills/2197866", "הצעת חוק להנצחה, מחקר ותיעוד של פרשת ילדי תימן, המזרח והבלקן, התשפ""ג-2023")</f>
        <v>12631</v>
      </c>
      <c r="E6423" t="s">
        <v>12631</v>
      </c>
      <c r="F6423" t="s">
        <v>12632</v>
      </c>
      <c r="G6423" t="s">
        <v>14</v>
      </c>
      <c r="H6423">
             </c>
      <c r="I6423" t="s">
        <v>14</v>
      </c>
      <c r="J6423" t="s">
        <v>242</v>
      </c>
      <c r="K6423" t="s">
        <v>14</v>
      </c>
      <c r="L6423" t="s">
        <v>20</v>
      </c>
      <c r="M6423" t="s">
        <v>12420</v>
      </c>
      <c r="N6423" t="s">
        <v>14</v>
      </c>
    </row>
    <row r="6424" x14ac:dyDescent="0.25">
      <c r="A6424" t="n">
        <v>25</v>
      </c>
      <c r="B6424" t="s">
        <v>14</v>
      </c>
      <c r="C6424" t="s">
        <v>51</v>
      </c>
      <c r="D6424" s="2" t="s">
        <f>=HYPERLINK("https://main.knesset.gov.il/APPS/legislation/main/bills/2197211", "הצעת חוק משק החשמל (תיקון - פיצוי והחזר בעבור ניתוק ממושך מחשמל), התשפ""ג-2023")</f>
        <v>12633</v>
      </c>
      <c r="E6424" t="s">
        <v>12633</v>
      </c>
      <c r="F6424" t="s">
        <v>12634</v>
      </c>
      <c r="G6424" t="s">
        <v>14</v>
      </c>
      <c r="H6424">
             </c>
      <c r="I6424" t="s">
        <v>14</v>
      </c>
      <c r="J6424" t="s">
        <v>242</v>
      </c>
      <c r="K6424" t="s">
        <v>14</v>
      </c>
      <c r="L6424" t="s">
        <v>20</v>
      </c>
      <c r="M6424" t="s">
        <v>12420</v>
      </c>
      <c r="N6424" t="s">
        <v>14</v>
      </c>
    </row>
    <row r="6425" x14ac:dyDescent="0.25">
      <c r="A6425" t="n">
        <v>25</v>
      </c>
      <c r="B6425" t="s">
        <v>14</v>
      </c>
      <c r="C6425" t="s">
        <v>51</v>
      </c>
      <c r="D6425" s="2" t="s">
        <f>=HYPERLINK("https://main.knesset.gov.il/APPS/legislation/main/bills/2198029", "הצעת חוק ההוצאה לפועל (תיקון - השהיית הליך ואי-נקיטתו כלפי שוהות במקלטים לנשים מוכות), התשפ""ג-2023")</f>
        <v>12635</v>
      </c>
      <c r="E6425" t="s">
        <v>12635</v>
      </c>
      <c r="F6425" t="s">
        <v>12636</v>
      </c>
      <c r="G6425" t="s">
        <v>14</v>
      </c>
      <c r="H6425">
             </c>
      <c r="I6425" t="s">
        <v>14</v>
      </c>
      <c r="J6425" t="s">
        <v>242</v>
      </c>
      <c r="K6425" t="s">
        <v>14</v>
      </c>
      <c r="L6425" t="s">
        <v>20</v>
      </c>
      <c r="M6425" t="s">
        <v>12420</v>
      </c>
      <c r="N6425" t="s">
        <v>14</v>
      </c>
    </row>
    <row r="6426" x14ac:dyDescent="0.25">
      <c r="A6426" t="n">
        <v>25</v>
      </c>
      <c r="B6426" t="s">
        <v>14</v>
      </c>
      <c r="C6426" t="s">
        <v>51</v>
      </c>
      <c r="D6426" s="2" t="s">
        <f>=HYPERLINK("https://main.knesset.gov.il/APPS/legislation/main/bills/2198028", "הצעת חוק הרשויות המקומיות (בחירת ראש הרשות וסגניו וכהונתם) (תיקון - הגבלת כהונה שלישית לראש רשות), התשפ""ג-2023")</f>
        <v>12637</v>
      </c>
      <c r="E6426" t="s">
        <v>12637</v>
      </c>
      <c r="F6426" t="s">
        <v>12638</v>
      </c>
      <c r="G6426" t="s">
        <v>14</v>
      </c>
      <c r="H6426">
             </c>
      <c r="I6426" t="s">
        <v>14</v>
      </c>
      <c r="J6426" t="s">
        <v>242</v>
      </c>
      <c r="K6426" t="s">
        <v>14</v>
      </c>
      <c r="L6426" t="s">
        <v>20</v>
      </c>
      <c r="M6426" t="s">
        <v>12420</v>
      </c>
      <c r="N6426" t="s">
        <v>14</v>
      </c>
    </row>
    <row r="6427" x14ac:dyDescent="0.25">
      <c r="A6427" t="n">
        <v>25</v>
      </c>
      <c r="B6427" t="s">
        <v>14</v>
      </c>
      <c r="C6427" t="s">
        <v>51</v>
      </c>
      <c r="D6427" s="2" t="s">
        <f>=HYPERLINK("https://main.knesset.gov.il/APPS/legislation/main/bills/2197189", "הצעת חוק המועצה להשכלה גבוהה (תיקון - הקמת מוסדות להשכלה גבוהה בפריפריה), התשפ""ג-2023")</f>
        <v>10024</v>
      </c>
      <c r="E6427" t="s">
        <v>10024</v>
      </c>
      <c r="F6427" t="s">
        <v>12639</v>
      </c>
      <c r="G6427" t="s">
        <v>14</v>
      </c>
      <c r="H6427">
             </c>
      <c r="I6427" t="s">
        <v>14</v>
      </c>
      <c r="J6427" t="s">
        <v>242</v>
      </c>
      <c r="K6427" t="s">
        <v>14</v>
      </c>
      <c r="L6427" t="s">
        <v>20</v>
      </c>
      <c r="M6427" t="s">
        <v>12420</v>
      </c>
      <c r="N6427" t="s">
        <v>14</v>
      </c>
    </row>
    <row r="6428" x14ac:dyDescent="0.25">
      <c r="A6428" t="n">
        <v>25</v>
      </c>
      <c r="B6428" t="s">
        <v>14</v>
      </c>
      <c r="C6428" t="s">
        <v>51</v>
      </c>
      <c r="D6428" s="2" t="s">
        <f>=HYPERLINK("https://main.knesset.gov.il/APPS/legislation/main/bills/2198026", "הצעת חוק פיצוי מפונים בני רשות, התשפ""ג-2023")</f>
        <v>12640</v>
      </c>
      <c r="E6428" t="s">
        <v>12640</v>
      </c>
      <c r="F6428" t="s">
        <v>12641</v>
      </c>
      <c r="G6428" t="s">
        <v>14</v>
      </c>
      <c r="H6428">
             </c>
      <c r="I6428" t="s">
        <v>14</v>
      </c>
      <c r="J6428" t="s">
        <v>242</v>
      </c>
      <c r="K6428" t="s">
        <v>14</v>
      </c>
      <c r="L6428" t="s">
        <v>20</v>
      </c>
      <c r="M6428" t="s">
        <v>12420</v>
      </c>
      <c r="N6428" t="s">
        <v>14</v>
      </c>
    </row>
    <row r="6429" x14ac:dyDescent="0.25">
      <c r="A6429" t="n">
        <v>25</v>
      </c>
      <c r="B6429" t="s">
        <v>14</v>
      </c>
      <c r="C6429" t="s">
        <v>51</v>
      </c>
      <c r="D6429" s="2" t="s">
        <f>=HYPERLINK("https://main.knesset.gov.il/APPS/legislation/main/bills/2198025", "הצעת חוק לתיקון פקודת מס הכנסה (נקודות זיכוי לאפוטרופוס), התשפ""ג-2023")</f>
        <v>12642</v>
      </c>
      <c r="E6429" t="s">
        <v>12642</v>
      </c>
      <c r="F6429" t="s">
        <v>12643</v>
      </c>
      <c r="G6429" t="s">
        <v>14</v>
      </c>
      <c r="H6429">
             </c>
      <c r="I6429" t="s">
        <v>14</v>
      </c>
      <c r="J6429" t="s">
        <v>242</v>
      </c>
      <c r="K6429" t="s">
        <v>14</v>
      </c>
      <c r="L6429" t="s">
        <v>20</v>
      </c>
      <c r="M6429" t="s">
        <v>12420</v>
      </c>
      <c r="N6429" t="s">
        <v>14</v>
      </c>
    </row>
    <row r="6430" x14ac:dyDescent="0.25">
      <c r="A6430" t="n">
        <v>25</v>
      </c>
      <c r="B6430" t="s">
        <v>14</v>
      </c>
      <c r="C6430" t="s">
        <v>51</v>
      </c>
      <c r="D6430" s="2" t="s">
        <f>=HYPERLINK("https://main.knesset.gov.il/APPS/legislation/main/bills/2197865", "הצעת חוק הכשרות המשפטית והאפוטרופסות (תיקון - מניעת פגיעה בקטין על ידי חשיפתו להורה אלים), התשפ""ג-2023")</f>
        <v>12644</v>
      </c>
      <c r="E6430" t="s">
        <v>12644</v>
      </c>
      <c r="F6430" t="s">
        <v>12645</v>
      </c>
      <c r="G6430" t="s">
        <v>14</v>
      </c>
      <c r="H6430">
             </c>
      <c r="I6430" t="s">
        <v>14</v>
      </c>
      <c r="J6430" t="s">
        <v>242</v>
      </c>
      <c r="K6430" t="s">
        <v>14</v>
      </c>
      <c r="L6430" t="s">
        <v>20</v>
      </c>
      <c r="M6430" t="s">
        <v>12420</v>
      </c>
      <c r="N6430" t="s">
        <v>14</v>
      </c>
    </row>
    <row r="6431" x14ac:dyDescent="0.25">
      <c r="A6431" t="n">
        <v>25</v>
      </c>
      <c r="B6431" t="s">
        <v>14</v>
      </c>
      <c r="C6431" t="s">
        <v>51</v>
      </c>
      <c r="D6431" s="2" t="s">
        <f>=HYPERLINK("https://main.knesset.gov.il/APPS/legislation/main/bills/2197862", "הצעת חוק ביטוח בריאות ממלכתי (תיקון - זמינות שירותים רפואיים), התשפ""ג-2023")</f>
        <v>12646</v>
      </c>
      <c r="E6431" t="s">
        <v>12646</v>
      </c>
      <c r="F6431" t="s">
        <v>12647</v>
      </c>
      <c r="G6431" t="s">
        <v>14</v>
      </c>
      <c r="H6431">
             </c>
      <c r="I6431" t="s">
        <v>14</v>
      </c>
      <c r="J6431" t="s">
        <v>242</v>
      </c>
      <c r="K6431" t="s">
        <v>14</v>
      </c>
      <c r="L6431" t="s">
        <v>20</v>
      </c>
      <c r="M6431" t="s">
        <v>12420</v>
      </c>
      <c r="N6431" t="s">
        <v>14</v>
      </c>
    </row>
    <row r="6432" x14ac:dyDescent="0.25">
      <c r="A6432" t="n">
        <v>25</v>
      </c>
      <c r="B6432" t="s">
        <v>14</v>
      </c>
      <c r="C6432" t="s">
        <v>51</v>
      </c>
      <c r="D6432" s="2" t="s">
        <f>=HYPERLINK("https://main.knesset.gov.il/APPS/legislation/main/bills/2197184", "הצעת חוק לתיקון פקודת מס הכנסה (משיכה מקרן השתלמות) (הוראת שעה), התשפ""ג-2023")</f>
        <v>10304</v>
      </c>
      <c r="E6432" t="s">
        <v>10304</v>
      </c>
      <c r="F6432" t="s">
        <v>12648</v>
      </c>
      <c r="G6432" t="s">
        <v>14</v>
      </c>
      <c r="H6432">
             </c>
      <c r="I6432" t="s">
        <v>14</v>
      </c>
      <c r="J6432" t="s">
        <v>242</v>
      </c>
      <c r="K6432" t="s">
        <v>14</v>
      </c>
      <c r="L6432" t="s">
        <v>20</v>
      </c>
      <c r="M6432" t="s">
        <v>12420</v>
      </c>
      <c r="N6432" t="s">
        <v>14</v>
      </c>
    </row>
    <row r="6433" x14ac:dyDescent="0.25">
      <c r="A6433" t="n">
        <v>25</v>
      </c>
      <c r="B6433" t="s">
        <v>14</v>
      </c>
      <c r="C6433" t="s">
        <v>51</v>
      </c>
      <c r="D6433" s="2" t="s">
        <f>=HYPERLINK("https://main.knesset.gov.il/APPS/legislation/main/bills/2197861", "הצעת חוק הביטוח הלאומי (תיקון - רכז תנועת נוער או ארגון נוער כעבודה מועדפת), התשפ""ג-2023")</f>
        <v>12649</v>
      </c>
      <c r="E6433" t="s">
        <v>12649</v>
      </c>
      <c r="F6433" t="s">
        <v>12650</v>
      </c>
      <c r="G6433" t="s">
        <v>14</v>
      </c>
      <c r="H6433">
             </c>
      <c r="I6433" t="s">
        <v>14</v>
      </c>
      <c r="J6433" t="s">
        <v>242</v>
      </c>
      <c r="K6433" t="s">
        <v>14</v>
      </c>
      <c r="L6433" t="s">
        <v>20</v>
      </c>
      <c r="M6433" t="s">
        <v>12420</v>
      </c>
      <c r="N6433" t="s">
        <v>14</v>
      </c>
    </row>
    <row r="6434" x14ac:dyDescent="0.25">
      <c r="A6434" t="n">
        <v>25</v>
      </c>
      <c r="B6434" t="s">
        <v>14</v>
      </c>
      <c r="C6434" t="s">
        <v>51</v>
      </c>
      <c r="D6434" s="2" t="s">
        <f>=HYPERLINK("https://main.knesset.gov.il/APPS/legislation/main/bills/2197174", "הצעת חוק הפחתת תוספות פיגור שנוספו על קנסות הנגבים בידי המרכז לגביית קנסות, אגרות והוצאות (הוראת שעה), התשפ""ג-2023")</f>
        <v>10403</v>
      </c>
      <c r="E6434" t="s">
        <v>10403</v>
      </c>
      <c r="F6434" t="s">
        <v>12651</v>
      </c>
      <c r="G6434" t="s">
        <v>14</v>
      </c>
      <c r="H6434">
             </c>
      <c r="I6434" t="s">
        <v>14</v>
      </c>
      <c r="J6434" t="s">
        <v>242</v>
      </c>
      <c r="K6434" t="s">
        <v>14</v>
      </c>
      <c r="L6434" t="s">
        <v>20</v>
      </c>
      <c r="M6434" t="s">
        <v>12420</v>
      </c>
      <c r="N6434" t="s">
        <v>14</v>
      </c>
    </row>
    <row r="6435" x14ac:dyDescent="0.25">
      <c r="A6435" t="n">
        <v>25</v>
      </c>
      <c r="B6435" t="s">
        <v>14</v>
      </c>
      <c r="C6435" t="s">
        <v>51</v>
      </c>
      <c r="D6435" s="2" t="s">
        <f>=HYPERLINK("https://main.knesset.gov.il/APPS/legislation/main/bills/2197860", "הצעת חוק לתיקון סדרי המינהל (החלטות והנמקות) (תיקון - קיצור זמן המענה בפניות ציבור), התשפ""ג-2023")</f>
        <v>10489</v>
      </c>
      <c r="E6435" t="s">
        <v>10489</v>
      </c>
      <c r="F6435" t="s">
        <v>12652</v>
      </c>
      <c r="G6435" t="s">
        <v>14</v>
      </c>
      <c r="H6435">
             </c>
      <c r="I6435" t="s">
        <v>14</v>
      </c>
      <c r="J6435" t="s">
        <v>242</v>
      </c>
      <c r="K6435" t="s">
        <v>14</v>
      </c>
      <c r="L6435" t="s">
        <v>20</v>
      </c>
      <c r="M6435" t="s">
        <v>12420</v>
      </c>
      <c r="N6435" t="s">
        <v>14</v>
      </c>
    </row>
    <row r="6436" x14ac:dyDescent="0.25">
      <c r="A6436" t="n">
        <v>25</v>
      </c>
      <c r="B6436" t="s">
        <v>14</v>
      </c>
      <c r="C6436" t="s">
        <v>51</v>
      </c>
      <c r="D6436" s="2" t="s">
        <f>=HYPERLINK("https://main.knesset.gov.il/APPS/legislation/main/bills/2197164", "הצעת חוק המועצה להשכלה גבוהה (תיקון - תנאי קבלה למוסד להשכלה גבוהה), התשפ""ג-2023")</f>
        <v>12653</v>
      </c>
      <c r="E6436" t="s">
        <v>12653</v>
      </c>
      <c r="F6436" t="s">
        <v>12654</v>
      </c>
      <c r="G6436" t="s">
        <v>14</v>
      </c>
      <c r="H6436">
             </c>
      <c r="I6436" t="s">
        <v>14</v>
      </c>
      <c r="J6436" t="s">
        <v>242</v>
      </c>
      <c r="K6436" t="s">
        <v>14</v>
      </c>
      <c r="L6436" t="s">
        <v>20</v>
      </c>
      <c r="M6436" t="s">
        <v>12420</v>
      </c>
      <c r="N6436" t="s">
        <v>14</v>
      </c>
    </row>
    <row r="6437" x14ac:dyDescent="0.25">
      <c r="A6437" t="n">
        <v>25</v>
      </c>
      <c r="B6437" t="s">
        <v>14</v>
      </c>
      <c r="C6437" t="s">
        <v>51</v>
      </c>
      <c r="D6437" s="2" t="s">
        <f>=HYPERLINK("https://main.knesset.gov.il/APPS/legislation/main/bills/2197858", "הצעת חוק הירושה (תיקון - בני זוג), התשפ""ג-2023")</f>
        <v>12655</v>
      </c>
      <c r="E6437" t="s">
        <v>12655</v>
      </c>
      <c r="F6437" t="s">
        <v>12656</v>
      </c>
      <c r="G6437" t="s">
        <v>14</v>
      </c>
      <c r="H6437">
             </c>
      <c r="I6437" t="s">
        <v>14</v>
      </c>
      <c r="J6437" t="s">
        <v>242</v>
      </c>
      <c r="K6437" t="s">
        <v>14</v>
      </c>
      <c r="L6437" t="s">
        <v>20</v>
      </c>
      <c r="M6437" t="s">
        <v>12420</v>
      </c>
      <c r="N6437" t="s">
        <v>14</v>
      </c>
    </row>
    <row r="6438" x14ac:dyDescent="0.25">
      <c r="A6438" t="n">
        <v>25</v>
      </c>
      <c r="B6438" t="s">
        <v>14</v>
      </c>
      <c r="C6438" t="s">
        <v>51</v>
      </c>
      <c r="D6438" s="2" t="s">
        <f>=HYPERLINK("https://main.knesset.gov.il/APPS/legislation/main/bills/2198401", "הצעת חוק עבודת נשים (תיקון - הארכת תקופת לידה והורות בתשלום), התשפ""ג-2023")</f>
        <v>11344</v>
      </c>
      <c r="E6438" t="s">
        <v>11344</v>
      </c>
      <c r="F6438" t="s">
        <v>12657</v>
      </c>
      <c r="G6438" t="s">
        <v>14</v>
      </c>
      <c r="H6438">
             </c>
      <c r="I6438" t="s">
        <v>14</v>
      </c>
      <c r="J6438" t="s">
        <v>242</v>
      </c>
      <c r="K6438" t="s">
        <v>14</v>
      </c>
      <c r="L6438" t="s">
        <v>20</v>
      </c>
      <c r="M6438" t="s">
        <v>12420</v>
      </c>
      <c r="N6438" t="s">
        <v>14</v>
      </c>
    </row>
    <row r="6439" x14ac:dyDescent="0.25">
      <c r="A6439" t="n">
        <v>25</v>
      </c>
      <c r="B6439" t="s">
        <v>14</v>
      </c>
      <c r="C6439" t="s">
        <v>51</v>
      </c>
      <c r="D6439" s="2" t="s">
        <f>=HYPERLINK("https://main.knesset.gov.il/APPS/legislation/main/bills/2198351", "הצעת חוק הביטוח הלאומי (תיקון - התפטרות הורה על מנת לטפל בילדו), התשפ""ג-2023")</f>
        <v>10381</v>
      </c>
      <c r="E6439" t="s">
        <v>10381</v>
      </c>
      <c r="F6439" t="s">
        <v>12658</v>
      </c>
      <c r="G6439" t="s">
        <v>14</v>
      </c>
      <c r="H6439">
             </c>
      <c r="I6439" t="s">
        <v>14</v>
      </c>
      <c r="J6439" t="s">
        <v>202</v>
      </c>
      <c r="K6439" t="s">
        <v>14</v>
      </c>
      <c r="L6439" t="s">
        <v>20</v>
      </c>
      <c r="M6439" t="s">
        <v>12420</v>
      </c>
      <c r="N6439" t="s">
        <v>14</v>
      </c>
    </row>
    <row r="6440" x14ac:dyDescent="0.25">
      <c r="A6440" t="n">
        <v>25</v>
      </c>
      <c r="B6440" t="s">
        <v>14</v>
      </c>
      <c r="C6440" t="s">
        <v>51</v>
      </c>
      <c r="D6440" s="2" t="s">
        <f>=HYPERLINK("https://main.knesset.gov.il/APPS/legislation/main/bills/2197161", "הצעת חוק שיקים ללא כיסוי (תיקון - מצב חירום בשל מגפה עולמית), התשפ""ג-2023")</f>
        <v>12659</v>
      </c>
      <c r="E6440" t="s">
        <v>12659</v>
      </c>
      <c r="F6440" t="s">
        <v>12660</v>
      </c>
      <c r="G6440" t="s">
        <v>14</v>
      </c>
      <c r="H6440">
             </c>
      <c r="I6440" t="s">
        <v>14</v>
      </c>
      <c r="J6440" t="s">
        <v>242</v>
      </c>
      <c r="K6440" t="s">
        <v>14</v>
      </c>
      <c r="L6440" t="s">
        <v>20</v>
      </c>
      <c r="M6440" t="s">
        <v>12420</v>
      </c>
      <c r="N6440" t="s">
        <v>14</v>
      </c>
    </row>
    <row r="6441" x14ac:dyDescent="0.25">
      <c r="A6441" t="n">
        <v>25</v>
      </c>
      <c r="B6441" t="s">
        <v>14</v>
      </c>
      <c r="C6441" t="s">
        <v>51</v>
      </c>
      <c r="D6441" s="2" t="s">
        <f>=HYPERLINK("https://main.knesset.gov.il/APPS/legislation/main/bills/2198408", "הצעת חוק שכר מינימום (תיקון - שכר מינימום לעובד שטרם מלאו לו 18 שנים), התשפ""ג-2023")</f>
        <v>11710</v>
      </c>
      <c r="E6441" t="s">
        <v>11710</v>
      </c>
      <c r="F6441" t="s">
        <v>12661</v>
      </c>
      <c r="G6441" t="s">
        <v>14</v>
      </c>
      <c r="H6441">
             </c>
      <c r="I6441" t="s">
        <v>14</v>
      </c>
      <c r="J6441" t="s">
        <v>242</v>
      </c>
      <c r="K6441" t="s">
        <v>14</v>
      </c>
      <c r="L6441" t="s">
        <v>20</v>
      </c>
      <c r="M6441" t="s">
        <v>12420</v>
      </c>
      <c r="N6441" t="s">
        <v>14</v>
      </c>
    </row>
    <row r="6442" x14ac:dyDescent="0.25">
      <c r="A6442" t="n">
        <v>25</v>
      </c>
      <c r="B6442" t="s">
        <v>14</v>
      </c>
      <c r="C6442" t="s">
        <v>51</v>
      </c>
      <c r="D6442" s="2" t="s">
        <f>=HYPERLINK("https://main.knesset.gov.il/APPS/legislation/main/bills/2197856", "הצעת חוק מיסוי רווחים ממשאבי טבע (תיקון - שקיפות הליכי השומה), התשפ""ג-2023")</f>
        <v>12662</v>
      </c>
      <c r="E6442" t="s">
        <v>12662</v>
      </c>
      <c r="F6442" t="s">
        <v>12663</v>
      </c>
      <c r="G6442" t="s">
        <v>14</v>
      </c>
      <c r="H6442">
             </c>
      <c r="I6442" t="s">
        <v>14</v>
      </c>
      <c r="J6442" t="s">
        <v>242</v>
      </c>
      <c r="K6442" t="s">
        <v>14</v>
      </c>
      <c r="L6442" t="s">
        <v>20</v>
      </c>
      <c r="M6442" t="s">
        <v>12420</v>
      </c>
      <c r="N6442" t="s">
        <v>14</v>
      </c>
    </row>
    <row r="6443" x14ac:dyDescent="0.25">
      <c r="A6443" t="n">
        <v>25</v>
      </c>
      <c r="B6443" t="s">
        <v>14</v>
      </c>
      <c r="C6443" t="s">
        <v>51</v>
      </c>
      <c r="D6443" s="2" t="s">
        <f>=HYPERLINK("https://main.knesset.gov.il/APPS/legislation/main/bills/2197155", "הצעת חוק מס ערך מוסף (תיקון - דחיית תשלום בתקופת חירום) (הוראת שעה), התשפ""ג-2023")</f>
        <v>12664</v>
      </c>
      <c r="E6443" t="s">
        <v>12664</v>
      </c>
      <c r="F6443" t="s">
        <v>12665</v>
      </c>
      <c r="G6443" t="s">
        <v>14</v>
      </c>
      <c r="H6443">
             </c>
      <c r="I6443" t="s">
        <v>14</v>
      </c>
      <c r="J6443" t="s">
        <v>242</v>
      </c>
      <c r="K6443" t="s">
        <v>14</v>
      </c>
      <c r="L6443" t="s">
        <v>20</v>
      </c>
      <c r="M6443" t="s">
        <v>12420</v>
      </c>
      <c r="N6443" t="s">
        <v>14</v>
      </c>
    </row>
    <row r="6444" x14ac:dyDescent="0.25">
      <c r="A6444" t="n">
        <v>25</v>
      </c>
      <c r="B6444" t="s">
        <v>14</v>
      </c>
      <c r="C6444" t="s">
        <v>51</v>
      </c>
      <c r="D6444" s="2" t="s">
        <f>=HYPERLINK("https://main.knesset.gov.il/APPS/legislation/main/bills/2197855", "הצעת חוק עבודת נשים (תיקון - תקופת לידה והורות לנשים בעבודה פיזית קשה), התשפ""ג-2023")</f>
        <v>12666</v>
      </c>
      <c r="E6444" t="s">
        <v>12666</v>
      </c>
      <c r="F6444" t="s">
        <v>12667</v>
      </c>
      <c r="G6444" t="s">
        <v>14</v>
      </c>
      <c r="H6444">
             </c>
      <c r="I6444" t="s">
        <v>14</v>
      </c>
      <c r="J6444" t="s">
        <v>242</v>
      </c>
      <c r="K6444" t="s">
        <v>14</v>
      </c>
      <c r="L6444" t="s">
        <v>20</v>
      </c>
      <c r="M6444" t="s">
        <v>12420</v>
      </c>
      <c r="N6444" t="s">
        <v>14</v>
      </c>
    </row>
    <row r="6445" x14ac:dyDescent="0.25">
      <c r="A6445" t="n">
        <v>25</v>
      </c>
      <c r="B6445" t="s">
        <v>14</v>
      </c>
      <c r="C6445" t="s">
        <v>51</v>
      </c>
      <c r="D6445" s="2" t="s">
        <f>=HYPERLINK("https://main.knesset.gov.il/APPS/legislation/main/bills/2198184", "הצעת חוק הביטוח הלאומי (תיקון - אי הפליה בשל שירות צבאי או שירות לאומי), התשפ""ג-2023")</f>
        <v>12668</v>
      </c>
      <c r="E6445" t="s">
        <v>12668</v>
      </c>
      <c r="F6445" t="s">
        <v>12669</v>
      </c>
      <c r="G6445" t="s">
        <v>14</v>
      </c>
      <c r="H6445">
             </c>
      <c r="I6445" t="s">
        <v>14</v>
      </c>
      <c r="J6445" t="s">
        <v>242</v>
      </c>
      <c r="K6445" t="s">
        <v>14</v>
      </c>
      <c r="L6445" t="s">
        <v>20</v>
      </c>
      <c r="M6445" t="s">
        <v>12420</v>
      </c>
      <c r="N6445" t="s">
        <v>14</v>
      </c>
    </row>
    <row r="6446" x14ac:dyDescent="0.25">
      <c r="A6446" t="n">
        <v>25</v>
      </c>
      <c r="B6446" t="s">
        <v>14</v>
      </c>
      <c r="C6446" t="s">
        <v>51</v>
      </c>
      <c r="D6446" s="2" t="s">
        <f>=HYPERLINK("https://main.knesset.gov.il/APPS/legislation/main/bills/2196982", "הצעת חוק הביטוח הלאומי (תיקון - דמי אבטלה לעצמאים), התשפ""ג-2023")</f>
        <v>9590</v>
      </c>
      <c r="E6446" t="s">
        <v>9590</v>
      </c>
      <c r="F6446" t="s">
        <v>12670</v>
      </c>
      <c r="G6446" t="s">
        <v>14</v>
      </c>
      <c r="H6446">
             </c>
      <c r="I6446" t="s">
        <v>14</v>
      </c>
      <c r="J6446" t="s">
        <v>242</v>
      </c>
      <c r="K6446" t="s">
        <v>14</v>
      </c>
      <c r="L6446" t="s">
        <v>20</v>
      </c>
      <c r="M6446" t="s">
        <v>12420</v>
      </c>
      <c r="N6446" t="s">
        <v>14</v>
      </c>
    </row>
    <row r="6447" x14ac:dyDescent="0.25">
      <c r="A6447" t="n">
        <v>25</v>
      </c>
      <c r="B6447" t="s">
        <v>14</v>
      </c>
      <c r="C6447" t="s">
        <v>51</v>
      </c>
      <c r="D6447" s="2" t="s">
        <f>=HYPERLINK("https://main.knesset.gov.il/APPS/legislation/main/bills/2196965", "הצעת חוק כלי הירייה (תיקון - זכאות לרישיון כלי ירייה למי ששירת כלוחם וכשוטר), התשפ""ג-2023")</f>
        <v>12671</v>
      </c>
      <c r="E6447" t="s">
        <v>12671</v>
      </c>
      <c r="F6447" t="s">
        <v>12672</v>
      </c>
      <c r="G6447" t="s">
        <v>14</v>
      </c>
      <c r="H6447">
             </c>
      <c r="I6447" t="s">
        <v>14</v>
      </c>
      <c r="J6447" t="s">
        <v>242</v>
      </c>
      <c r="K6447" t="s">
        <v>14</v>
      </c>
      <c r="L6447" t="s">
        <v>20</v>
      </c>
      <c r="M6447" t="s">
        <v>12420</v>
      </c>
      <c r="N6447" t="s">
        <v>14</v>
      </c>
    </row>
    <row r="6448" x14ac:dyDescent="0.25">
      <c r="A6448" t="n">
        <v>25</v>
      </c>
      <c r="B6448" t="s">
        <v>14</v>
      </c>
      <c r="C6448" t="s">
        <v>51</v>
      </c>
      <c r="D6448" s="2" t="s">
        <f>=HYPERLINK("https://main.knesset.gov.il/APPS/legislation/main/bills/2198405", "הצעת חוק שכר מינימום (תיקון - הצמדת שכר המינימום למדד המחירים לצרכן), התשפ""ג-2023")</f>
        <v>11769</v>
      </c>
      <c r="E6448" t="s">
        <v>11769</v>
      </c>
      <c r="F6448" t="s">
        <v>12673</v>
      </c>
      <c r="G6448" t="s">
        <v>14</v>
      </c>
      <c r="H6448">
             </c>
      <c r="I6448" t="s">
        <v>14</v>
      </c>
      <c r="J6448" t="s">
        <v>242</v>
      </c>
      <c r="K6448" t="s">
        <v>14</v>
      </c>
      <c r="L6448" t="s">
        <v>20</v>
      </c>
      <c r="M6448" t="s">
        <v>12420</v>
      </c>
      <c r="N6448" t="s">
        <v>14</v>
      </c>
    </row>
    <row r="6449" x14ac:dyDescent="0.25">
      <c r="A6449" t="n">
        <v>25</v>
      </c>
      <c r="B6449" t="s">
        <v>14</v>
      </c>
      <c r="C6449" t="s">
        <v>51</v>
      </c>
      <c r="D6449" s="2" t="s">
        <f>=HYPERLINK("https://main.knesset.gov.il/APPS/legislation/main/bills/2198338", "הצעת חוק הרשויות המקומיות (ממונה על בטיחות ילדים), התשפ""ג-2023")</f>
        <v>12674</v>
      </c>
      <c r="E6449" t="s">
        <v>12674</v>
      </c>
      <c r="F6449" t="s">
        <v>12675</v>
      </c>
      <c r="G6449" t="s">
        <v>14</v>
      </c>
      <c r="H6449">
             </c>
      <c r="I6449" t="s">
        <v>14</v>
      </c>
      <c r="J6449" t="s">
        <v>242</v>
      </c>
      <c r="K6449" t="s">
        <v>14</v>
      </c>
      <c r="L6449" t="s">
        <v>20</v>
      </c>
      <c r="M6449" t="s">
        <v>12420</v>
      </c>
      <c r="N6449" t="s">
        <v>14</v>
      </c>
    </row>
    <row r="6450" x14ac:dyDescent="0.25">
      <c r="A6450" t="n">
        <v>25</v>
      </c>
      <c r="B6450" t="s">
        <v>14</v>
      </c>
      <c r="C6450" t="s">
        <v>51</v>
      </c>
      <c r="D6450" s="2" t="s">
        <f>=HYPERLINK("https://main.knesset.gov.il/APPS/legislation/main/bills/2198429", "הצעת חוק לתיקון פקודת מס הכנסה (הטבות מס ליישובים), התשפ""ג-2023")</f>
        <v>9480</v>
      </c>
      <c r="E6450" t="s">
        <v>9480</v>
      </c>
      <c r="F6450" t="s">
        <v>12676</v>
      </c>
      <c r="G6450" t="s">
        <v>14</v>
      </c>
      <c r="H6450">
             </c>
      <c r="I6450" t="s">
        <v>14</v>
      </c>
      <c r="J6450" t="s">
        <v>242</v>
      </c>
      <c r="K6450" t="s">
        <v>14</v>
      </c>
      <c r="L6450" t="s">
        <v>20</v>
      </c>
      <c r="M6450" t="s">
        <v>12420</v>
      </c>
      <c r="N6450" t="s">
        <v>14</v>
      </c>
    </row>
    <row r="6451" x14ac:dyDescent="0.25">
      <c r="A6451" t="n">
        <v>25</v>
      </c>
      <c r="B6451" t="s">
        <v>14</v>
      </c>
      <c r="C6451" t="s">
        <v>51</v>
      </c>
      <c r="D6451" s="2" t="s">
        <f>=HYPERLINK("https://main.knesset.gov.il/APPS/legislation/main/bills/2197847", "הצעת חוק הרשויות המקומיות (בחירת ראש הרשות וסגניו וכהונתם) (תיקון - סגן ראש רשות ברשות מעורבת), התשפ""ג-2023")</f>
        <v>12677</v>
      </c>
      <c r="E6451" t="s">
        <v>12677</v>
      </c>
      <c r="F6451" t="s">
        <v>12678</v>
      </c>
      <c r="G6451" t="s">
        <v>14</v>
      </c>
      <c r="H6451">
             </c>
      <c r="I6451" t="s">
        <v>14</v>
      </c>
      <c r="J6451" t="s">
        <v>242</v>
      </c>
      <c r="K6451" t="s">
        <v>14</v>
      </c>
      <c r="L6451" t="s">
        <v>20</v>
      </c>
      <c r="M6451" t="s">
        <v>12420</v>
      </c>
      <c r="N6451" t="s">
        <v>14</v>
      </c>
    </row>
    <row r="6452" x14ac:dyDescent="0.25">
      <c r="A6452" t="n">
        <v>25</v>
      </c>
      <c r="B6452" t="s">
        <v>14</v>
      </c>
      <c r="C6452" t="s">
        <v>51</v>
      </c>
      <c r="D6452" s="2" t="s">
        <f>=HYPERLINK("https://main.knesset.gov.il/APPS/legislation/main/bills/2197102", "הצעת חוק הרשויות המקומיות (בחירת ראש הרשות וסגניו וכהונתם) (תיקון - סגן ראש רשות ברשות מעורבת), התשפ""ג-2023")</f>
        <v>12677</v>
      </c>
      <c r="E6452" t="s">
        <v>12677</v>
      </c>
      <c r="F6452" t="s">
        <v>12679</v>
      </c>
      <c r="G6452" t="s">
        <v>14</v>
      </c>
      <c r="H6452">
             </c>
      <c r="I6452" t="s">
        <v>14</v>
      </c>
      <c r="J6452" t="s">
        <v>242</v>
      </c>
      <c r="K6452" t="s">
        <v>14</v>
      </c>
      <c r="L6452" t="s">
        <v>20</v>
      </c>
      <c r="M6452" t="s">
        <v>12420</v>
      </c>
      <c r="N6452" t="s">
        <v>14</v>
      </c>
    </row>
    <row r="6453" x14ac:dyDescent="0.25">
      <c r="A6453" t="n">
        <v>25</v>
      </c>
      <c r="B6453" t="s">
        <v>14</v>
      </c>
      <c r="C6453" t="s">
        <v>51</v>
      </c>
      <c r="D6453" s="2" t="s">
        <f>=HYPERLINK("https://main.knesset.gov.il/APPS/legislation/main/bills/2198140", "הצעת חוק הגנת השכר (תיקון - תשלום שכר עבודה בעת הליכי מיון והשמה), התשפ""ג-2023")</f>
        <v>11722</v>
      </c>
      <c r="E6453" t="s">
        <v>11722</v>
      </c>
      <c r="F6453" t="s">
        <v>12680</v>
      </c>
      <c r="G6453" t="s">
        <v>14</v>
      </c>
      <c r="H6453">
             </c>
      <c r="I6453" t="s">
        <v>14</v>
      </c>
      <c r="J6453" t="s">
        <v>242</v>
      </c>
      <c r="K6453" t="s">
        <v>14</v>
      </c>
      <c r="L6453" t="s">
        <v>20</v>
      </c>
      <c r="M6453" t="s">
        <v>12420</v>
      </c>
      <c r="N6453" t="s">
        <v>14</v>
      </c>
    </row>
    <row r="6454" x14ac:dyDescent="0.25">
      <c r="A6454" t="n">
        <v>25</v>
      </c>
      <c r="B6454" t="s">
        <v>14</v>
      </c>
      <c r="C6454" t="s">
        <v>51</v>
      </c>
      <c r="D6454" s="2" t="s">
        <f>=HYPERLINK("https://main.knesset.gov.il/APPS/legislation/main/bills/2196914", "הצעת חוק הגנה על הציבור מפני עבריינים שביצעו עבירות אלימות חמורות, התשפ""ג-2023")</f>
        <v>12681</v>
      </c>
      <c r="E6454" t="s">
        <v>12681</v>
      </c>
      <c r="F6454" t="s">
        <v>12682</v>
      </c>
      <c r="G6454" t="s">
        <v>14</v>
      </c>
      <c r="H6454">
             </c>
      <c r="I6454" t="s">
        <v>14</v>
      </c>
      <c r="J6454" t="s">
        <v>242</v>
      </c>
      <c r="K6454" t="s">
        <v>14</v>
      </c>
      <c r="L6454" t="s">
        <v>20</v>
      </c>
      <c r="M6454" t="s">
        <v>12420</v>
      </c>
      <c r="N6454" t="s">
        <v>14</v>
      </c>
    </row>
    <row r="6455" x14ac:dyDescent="0.25">
      <c r="A6455" t="n">
        <v>25</v>
      </c>
      <c r="B6455" t="s">
        <v>14</v>
      </c>
      <c r="C6455" t="s">
        <v>51</v>
      </c>
      <c r="D6455" s="2" t="s">
        <f>=HYPERLINK("https://main.knesset.gov.il/APPS/legislation/main/bills/2198448", "הצעת חוק זכויות הדייר בדיור הציבורי (תיקון - זכות למגורים בדירה ציבורית לנשים ששהו במקלט לנשים מוכות), התשפ""ג-2023")</f>
        <v>12526</v>
      </c>
      <c r="E6455" t="s">
        <v>12526</v>
      </c>
      <c r="F6455" t="s">
        <v>12683</v>
      </c>
      <c r="G6455" t="s">
        <v>14</v>
      </c>
      <c r="H6455">
             </c>
      <c r="I6455" t="s">
        <v>14</v>
      </c>
      <c r="J6455" t="s">
        <v>202</v>
      </c>
      <c r="K6455" t="s">
        <v>14</v>
      </c>
      <c r="L6455" t="s">
        <v>20</v>
      </c>
      <c r="M6455" t="s">
        <v>12420</v>
      </c>
      <c r="N6455" t="s">
        <v>14</v>
      </c>
    </row>
    <row r="6456" x14ac:dyDescent="0.25">
      <c r="A6456" t="n">
        <v>25</v>
      </c>
      <c r="B6456" t="s">
        <v>14</v>
      </c>
      <c r="C6456" t="s">
        <v>51</v>
      </c>
      <c r="D6456" s="2" t="s">
        <f>=HYPERLINK("https://main.knesset.gov.il/APPS/legislation/main/bills/2198265", "הצעת חוק זכויות הדייר בדיור הציבורי (תיקון - זכות למגורים בדירה ציבורית לנשים ששהו במקלט לנשים מוכות), התשפ""ג-2023")</f>
        <v>12526</v>
      </c>
      <c r="E6456" t="s">
        <v>12526</v>
      </c>
      <c r="F6456" t="s">
        <v>12684</v>
      </c>
      <c r="G6456" t="s">
        <v>14</v>
      </c>
      <c r="H6456">
             </c>
      <c r="I6456" t="s">
        <v>14</v>
      </c>
      <c r="J6456" t="s">
        <v>242</v>
      </c>
      <c r="K6456" t="s">
        <v>14</v>
      </c>
      <c r="L6456" t="s">
        <v>20</v>
      </c>
      <c r="M6456" t="s">
        <v>12420</v>
      </c>
      <c r="N6456" t="s">
        <v>14</v>
      </c>
    </row>
    <row r="6457" x14ac:dyDescent="0.25">
      <c r="A6457" t="n">
        <v>25</v>
      </c>
      <c r="B6457" t="s">
        <v>14</v>
      </c>
      <c r="C6457" t="s">
        <v>51</v>
      </c>
      <c r="D6457" s="2" t="s">
        <f>=HYPERLINK("https://main.knesset.gov.il/APPS/legislation/main/bills/2198342", "הצעת חוק שוויון ההזדמנויות בעבודה (תיקון - ייצוג הולם לאוכלוסייה הערבית), התשפ""ג-2023")</f>
        <v>11576</v>
      </c>
      <c r="E6457" t="s">
        <v>11576</v>
      </c>
      <c r="F6457" t="s">
        <v>12685</v>
      </c>
      <c r="G6457" t="s">
        <v>14</v>
      </c>
      <c r="H6457">
             </c>
      <c r="I6457" t="s">
        <v>14</v>
      </c>
      <c r="J6457" t="s">
        <v>242</v>
      </c>
      <c r="K6457" t="s">
        <v>14</v>
      </c>
      <c r="L6457" t="s">
        <v>20</v>
      </c>
      <c r="M6457" t="s">
        <v>12420</v>
      </c>
      <c r="N6457" t="s">
        <v>14</v>
      </c>
    </row>
    <row r="6458" x14ac:dyDescent="0.25">
      <c r="A6458" t="n">
        <v>25</v>
      </c>
      <c r="B6458" t="s">
        <v>14</v>
      </c>
      <c r="C6458" t="s">
        <v>51</v>
      </c>
      <c r="D6458" s="2" t="s">
        <f>=HYPERLINK("https://main.knesset.gov.il/APPS/legislation/main/bills/2198432", "הצעת חוק לתיקון פקודת מס הכנסה (פטור ממס על משיכה הונית מקופת גמל), התשפ""ג-2023")</f>
        <v>12686</v>
      </c>
      <c r="E6458" t="s">
        <v>12686</v>
      </c>
      <c r="F6458" t="s">
        <v>12687</v>
      </c>
      <c r="G6458" t="s">
        <v>14</v>
      </c>
      <c r="H6458">
             </c>
      <c r="I6458" t="s">
        <v>14</v>
      </c>
      <c r="J6458" t="s">
        <v>242</v>
      </c>
      <c r="K6458" t="s">
        <v>14</v>
      </c>
      <c r="L6458" t="s">
        <v>20</v>
      </c>
      <c r="M6458" t="s">
        <v>12420</v>
      </c>
      <c r="N6458" t="s">
        <v>14</v>
      </c>
    </row>
    <row r="6459" x14ac:dyDescent="0.25">
      <c r="A6459" t="n">
        <v>25</v>
      </c>
      <c r="B6459" t="s">
        <v>14</v>
      </c>
      <c r="C6459" t="s">
        <v>51</v>
      </c>
      <c r="D6459" s="2" t="s">
        <f>=HYPERLINK("https://main.knesset.gov.il/APPS/legislation/main/bills/2198167", "הצעת חוק השכירות והשאילה (תיקון - הגבלה על העלאת דמי השכירות), התשפ""ג-2023")</f>
        <v>11456</v>
      </c>
      <c r="E6459" t="s">
        <v>11456</v>
      </c>
      <c r="F6459" t="s">
        <v>12688</v>
      </c>
      <c r="G6459" t="s">
        <v>14</v>
      </c>
      <c r="H6459">
             </c>
      <c r="I6459" t="s">
        <v>14</v>
      </c>
      <c r="J6459" t="s">
        <v>242</v>
      </c>
      <c r="K6459" t="s">
        <v>14</v>
      </c>
      <c r="L6459" t="s">
        <v>20</v>
      </c>
      <c r="M6459" t="s">
        <v>12420</v>
      </c>
      <c r="N6459" t="s">
        <v>14</v>
      </c>
    </row>
    <row r="6460" x14ac:dyDescent="0.25">
      <c r="A6460" t="n">
        <v>25</v>
      </c>
      <c r="B6460" t="s">
        <v>14</v>
      </c>
      <c r="C6460" t="s">
        <v>51</v>
      </c>
      <c r="D6460" s="2" t="s">
        <f>=HYPERLINK("https://main.knesset.gov.il/APPS/legislation/main/bills/2198176", "הצעת חוק הביטוח הלאומי (תיקון - השוואת קצבת נכות לשכר מינימום), התשפ""ג-2023")</f>
        <v>11102</v>
      </c>
      <c r="E6460" t="s">
        <v>11102</v>
      </c>
      <c r="F6460" t="s">
        <v>12689</v>
      </c>
      <c r="G6460" t="s">
        <v>14</v>
      </c>
      <c r="H6460">
             </c>
      <c r="I6460" t="s">
        <v>14</v>
      </c>
      <c r="J6460" t="s">
        <v>242</v>
      </c>
      <c r="K6460" t="s">
        <v>14</v>
      </c>
      <c r="L6460" t="s">
        <v>20</v>
      </c>
      <c r="M6460" t="s">
        <v>12420</v>
      </c>
      <c r="N6460" t="s">
        <v>14</v>
      </c>
    </row>
    <row r="6461" x14ac:dyDescent="0.25">
      <c r="A6461" t="n">
        <v>25</v>
      </c>
      <c r="B6461" t="s">
        <v>14</v>
      </c>
      <c r="C6461" t="s">
        <v>51</v>
      </c>
      <c r="D6461" s="2" t="s">
        <f>=HYPERLINK("https://main.knesset.gov.il/APPS/legislation/main/bills/2198454", "הצעת חוק הסניגוריה הציבורית (תיקון - ליווי משפטי בשפת חשוד שהוא קטין), התשפ""ג-2023")</f>
        <v>12690</v>
      </c>
      <c r="E6461" t="s">
        <v>12690</v>
      </c>
      <c r="F6461" t="s">
        <v>12691</v>
      </c>
      <c r="G6461" t="s">
        <v>14</v>
      </c>
      <c r="H6461">
             </c>
      <c r="I6461" t="s">
        <v>14</v>
      </c>
      <c r="J6461" t="s">
        <v>242</v>
      </c>
      <c r="K6461" t="s">
        <v>14</v>
      </c>
      <c r="L6461" t="s">
        <v>20</v>
      </c>
      <c r="M6461" t="s">
        <v>12420</v>
      </c>
      <c r="N6461" t="s">
        <v>14</v>
      </c>
    </row>
    <row r="6462" x14ac:dyDescent="0.25">
      <c r="A6462" t="n">
        <v>25</v>
      </c>
      <c r="B6462" t="s">
        <v>14</v>
      </c>
      <c r="C6462" t="s">
        <v>51</v>
      </c>
      <c r="D6462" s="2" t="s">
        <f>=HYPERLINK("https://main.knesset.gov.il/APPS/legislation/main/bills/2198068", "הצעת חוק המועצה להשכלה גבוהה (תיקון - איסור הגבלת גיל בהרשמה למוסד להשכלה גבוהה), התשפ""ג-2023")</f>
        <v>10137</v>
      </c>
      <c r="E6462" t="s">
        <v>10137</v>
      </c>
      <c r="F6462" t="s">
        <v>12692</v>
      </c>
      <c r="G6462" t="s">
        <v>14</v>
      </c>
      <c r="H6462">
             </c>
      <c r="I6462" t="s">
        <v>14</v>
      </c>
      <c r="J6462" t="s">
        <v>242</v>
      </c>
      <c r="K6462" t="s">
        <v>14</v>
      </c>
      <c r="L6462" t="s">
        <v>20</v>
      </c>
      <c r="M6462" t="s">
        <v>12420</v>
      </c>
      <c r="N6462" t="s">
        <v>14</v>
      </c>
    </row>
    <row r="6463" x14ac:dyDescent="0.25">
      <c r="A6463" t="n">
        <v>25</v>
      </c>
      <c r="B6463" t="s">
        <v>14</v>
      </c>
      <c r="C6463" t="s">
        <v>51</v>
      </c>
      <c r="D6463" s="2" t="s">
        <f>=HYPERLINK("https://main.knesset.gov.il/APPS/legislation/main/bills/2198450", "הצעת חוק העונשין (תיקון - הגנה עצמית בנסיבות של אלימות במשפחה), התשפ""ג-2023")</f>
        <v>12693</v>
      </c>
      <c r="E6463" t="s">
        <v>12693</v>
      </c>
      <c r="F6463" t="s">
        <v>12694</v>
      </c>
      <c r="G6463" t="s">
        <v>14</v>
      </c>
      <c r="H6463">
             </c>
      <c r="I6463" t="s">
        <v>14</v>
      </c>
      <c r="J6463" t="s">
        <v>242</v>
      </c>
      <c r="K6463" t="s">
        <v>14</v>
      </c>
      <c r="L6463" t="s">
        <v>20</v>
      </c>
      <c r="M6463" t="s">
        <v>12420</v>
      </c>
      <c r="N6463" t="s">
        <v>14</v>
      </c>
    </row>
    <row r="6464" x14ac:dyDescent="0.25">
      <c r="A6464" t="n">
        <v>25</v>
      </c>
      <c r="B6464" t="s">
        <v>14</v>
      </c>
      <c r="C6464" t="s">
        <v>51</v>
      </c>
      <c r="D6464" s="2" t="s">
        <f>=HYPERLINK("https://main.knesset.gov.il/APPS/legislation/main/bills/2197853", "הצעת חוק אוויר נקי (תיקון - איסור שימוש בתנורי עץ, סולר ונפט), התשפ""ג-2023")</f>
        <v>12695</v>
      </c>
      <c r="E6464" t="s">
        <v>12695</v>
      </c>
      <c r="F6464" t="s">
        <v>12696</v>
      </c>
      <c r="G6464" t="s">
        <v>14</v>
      </c>
      <c r="H6464">
             </c>
      <c r="I6464" t="s">
        <v>14</v>
      </c>
      <c r="J6464" t="s">
        <v>242</v>
      </c>
      <c r="K6464" t="s">
        <v>14</v>
      </c>
      <c r="L6464" t="s">
        <v>20</v>
      </c>
      <c r="M6464" t="s">
        <v>12420</v>
      </c>
      <c r="N6464" t="s">
        <v>14</v>
      </c>
    </row>
    <row r="6465" x14ac:dyDescent="0.25">
      <c r="A6465" t="n">
        <v>25</v>
      </c>
      <c r="B6465" t="s">
        <v>14</v>
      </c>
      <c r="C6465" t="s">
        <v>51</v>
      </c>
      <c r="D6465" s="2" t="s">
        <f>=HYPERLINK("https://main.knesset.gov.il/APPS/legislation/main/bills/2198397", "הצעת חוק הביטוח הלאומי (תיקון - קצבת לידה בשל לידת תאומים), התשפ""ג-2023")</f>
        <v>12697</v>
      </c>
      <c r="E6465" t="s">
        <v>12697</v>
      </c>
      <c r="F6465" t="s">
        <v>12698</v>
      </c>
      <c r="G6465" t="s">
        <v>14</v>
      </c>
      <c r="H6465">
             </c>
      <c r="I6465" t="s">
        <v>14</v>
      </c>
      <c r="J6465" t="s">
        <v>242</v>
      </c>
      <c r="K6465" t="s">
        <v>14</v>
      </c>
      <c r="L6465" t="s">
        <v>20</v>
      </c>
      <c r="M6465" t="s">
        <v>12420</v>
      </c>
      <c r="N6465" t="s">
        <v>14</v>
      </c>
    </row>
    <row r="6466" x14ac:dyDescent="0.25">
      <c r="A6466" t="n">
        <v>25</v>
      </c>
      <c r="B6466" t="s">
        <v>14</v>
      </c>
      <c r="C6466" t="s">
        <v>51</v>
      </c>
      <c r="D6466" s="2" t="s">
        <f>=HYPERLINK("https://main.knesset.gov.il/APPS/legislation/main/bills/2198296", "הצעת חוק העונשין (תיקון - חובת פיצוי נפגע עבירה וחובת הנמקה), התשפ""ג-2023")</f>
        <v>8928</v>
      </c>
      <c r="E6466" t="s">
        <v>8928</v>
      </c>
      <c r="F6466" t="s">
        <v>12699</v>
      </c>
      <c r="G6466" t="s">
        <v>14</v>
      </c>
      <c r="H6466">
             </c>
      <c r="I6466" t="s">
        <v>14</v>
      </c>
      <c r="J6466" t="s">
        <v>242</v>
      </c>
      <c r="K6466" t="s">
        <v>14</v>
      </c>
      <c r="L6466" t="s">
        <v>20</v>
      </c>
      <c r="M6466" t="s">
        <v>12420</v>
      </c>
      <c r="N6466" t="s">
        <v>14</v>
      </c>
    </row>
    <row r="6467" x14ac:dyDescent="0.25">
      <c r="A6467" t="n">
        <v>25</v>
      </c>
      <c r="B6467" t="s">
        <v>14</v>
      </c>
      <c r="C6467" t="s">
        <v>51</v>
      </c>
      <c r="D6467" s="2" t="s">
        <f>=HYPERLINK("https://main.knesset.gov.il/APPS/legislation/main/bills/2198076", "הצעת חוק לתיקון פקודת התעבורה (הקמת מאגר מידע לריכוז דוחות חניה), התשפ""ג-2023")</f>
        <v>9683</v>
      </c>
      <c r="E6467" t="s">
        <v>9683</v>
      </c>
      <c r="F6467" t="s">
        <v>12700</v>
      </c>
      <c r="G6467" t="s">
        <v>14</v>
      </c>
      <c r="H6467">
             </c>
      <c r="I6467" t="s">
        <v>14</v>
      </c>
      <c r="J6467" t="s">
        <v>242</v>
      </c>
      <c r="K6467" t="s">
        <v>14</v>
      </c>
      <c r="L6467" t="s">
        <v>20</v>
      </c>
      <c r="M6467" t="s">
        <v>12420</v>
      </c>
      <c r="N6467" t="s">
        <v>14</v>
      </c>
    </row>
    <row r="6468" x14ac:dyDescent="0.25">
      <c r="A6468" t="n">
        <v>25</v>
      </c>
      <c r="B6468" t="s">
        <v>14</v>
      </c>
      <c r="C6468" t="s">
        <v>51</v>
      </c>
      <c r="D6468" s="2" t="s">
        <f>=HYPERLINK("https://main.knesset.gov.il/APPS/legislation/main/bills/2198299", "הצעת חוק העונשין (תיקון - אחראי על קטין או חסר ישע לעניין חובת הדיווח), התשפ""ג-2023")</f>
        <v>12701</v>
      </c>
      <c r="E6468" t="s">
        <v>12701</v>
      </c>
      <c r="F6468" t="s">
        <v>12702</v>
      </c>
      <c r="G6468" t="s">
        <v>14</v>
      </c>
      <c r="H6468">
             </c>
      <c r="I6468" t="s">
        <v>14</v>
      </c>
      <c r="J6468" t="s">
        <v>242</v>
      </c>
      <c r="K6468" t="s">
        <v>14</v>
      </c>
      <c r="L6468" t="s">
        <v>20</v>
      </c>
      <c r="M6468" t="s">
        <v>12420</v>
      </c>
      <c r="N6468" t="s">
        <v>14</v>
      </c>
    </row>
    <row r="6469" x14ac:dyDescent="0.25">
      <c r="A6469" t="n">
        <v>25</v>
      </c>
      <c r="B6469" t="s">
        <v>14</v>
      </c>
      <c r="C6469" t="s">
        <v>51</v>
      </c>
      <c r="D6469" s="2" t="s">
        <f>=HYPERLINK("https://main.knesset.gov.il/APPS/legislation/main/bills/2198310", "הצעת חוק שיקום, פיצוי וסיוע משפטי לנפגעי עבירות מין, התשפ""ג-2023")</f>
        <v>9056</v>
      </c>
      <c r="E6469" t="s">
        <v>9056</v>
      </c>
      <c r="F6469" t="s">
        <v>12703</v>
      </c>
      <c r="G6469" t="s">
        <v>14</v>
      </c>
      <c r="H6469">
             </c>
      <c r="I6469" t="s">
        <v>14</v>
      </c>
      <c r="J6469" t="s">
        <v>242</v>
      </c>
      <c r="K6469" t="s">
        <v>14</v>
      </c>
      <c r="L6469" t="s">
        <v>20</v>
      </c>
      <c r="M6469" t="s">
        <v>12420</v>
      </c>
      <c r="N6469" t="s">
        <v>14</v>
      </c>
    </row>
    <row r="6470" x14ac:dyDescent="0.25">
      <c r="A6470" t="n">
        <v>25</v>
      </c>
      <c r="B6470" t="s">
        <v>14</v>
      </c>
      <c r="C6470" t="s">
        <v>51</v>
      </c>
      <c r="D6470" s="2" t="s">
        <f>=HYPERLINK("https://main.knesset.gov.il/APPS/legislation/main/bills/2198344", "הצעת חוק למניעת הטרדה מינית (תיקון - נקיטת אמצעים למניעת הטרדה מינית במקומות בילוי), התשפ""ג-2023")</f>
        <v>12704</v>
      </c>
      <c r="E6470" t="s">
        <v>12704</v>
      </c>
      <c r="F6470" t="s">
        <v>12705</v>
      </c>
      <c r="G6470" t="s">
        <v>14</v>
      </c>
      <c r="H6470">
             </c>
      <c r="I6470" t="s">
        <v>14</v>
      </c>
      <c r="J6470" t="s">
        <v>242</v>
      </c>
      <c r="K6470" t="s">
        <v>14</v>
      </c>
      <c r="L6470" t="s">
        <v>20</v>
      </c>
      <c r="M6470" t="s">
        <v>12420</v>
      </c>
      <c r="N6470" t="s">
        <v>14</v>
      </c>
    </row>
    <row r="6471" x14ac:dyDescent="0.25">
      <c r="A6471" t="n">
        <v>25</v>
      </c>
      <c r="B6471" t="s">
        <v>14</v>
      </c>
      <c r="C6471" t="s">
        <v>51</v>
      </c>
      <c r="D6471" s="2" t="s">
        <f>=HYPERLINK("https://main.knesset.gov.il/APPS/legislation/main/bills/2198069", "הצעת חוק צער בעלי חיים (הגנה על בעלי חיים) (תיקון - איסור קשירת כלבים), התשפ""ג-2023")</f>
        <v>12706</v>
      </c>
      <c r="E6471" t="s">
        <v>12706</v>
      </c>
      <c r="F6471" t="s">
        <v>12707</v>
      </c>
      <c r="G6471" t="s">
        <v>14</v>
      </c>
      <c r="H6471">
             </c>
      <c r="I6471" t="s">
        <v>14</v>
      </c>
      <c r="J6471" t="s">
        <v>242</v>
      </c>
      <c r="K6471" t="s">
        <v>14</v>
      </c>
      <c r="L6471" t="s">
        <v>20</v>
      </c>
      <c r="M6471" t="s">
        <v>12420</v>
      </c>
      <c r="N6471" t="s">
        <v>14</v>
      </c>
    </row>
    <row r="6472" x14ac:dyDescent="0.25">
      <c r="A6472" t="n">
        <v>25</v>
      </c>
      <c r="B6472" t="s">
        <v>14</v>
      </c>
      <c r="C6472" t="s">
        <v>51</v>
      </c>
      <c r="D6472" s="2" t="s">
        <f>=HYPERLINK("https://main.knesset.gov.il/APPS/legislation/main/bills/2198346", "הצעת חוק הביטוח הלאומי (תיקון - הכרה בפגיעה מינית בעבודה כתאונת עבודה), התשפ""ג-2023")</f>
        <v>12708</v>
      </c>
      <c r="E6472" t="s">
        <v>12708</v>
      </c>
      <c r="F6472" t="s">
        <v>12709</v>
      </c>
      <c r="G6472" t="s">
        <v>14</v>
      </c>
      <c r="H6472">
             </c>
      <c r="I6472" t="s">
        <v>14</v>
      </c>
      <c r="J6472" t="s">
        <v>242</v>
      </c>
      <c r="K6472" t="s">
        <v>14</v>
      </c>
      <c r="L6472" t="s">
        <v>20</v>
      </c>
      <c r="M6472" t="s">
        <v>12420</v>
      </c>
      <c r="N6472" t="s">
        <v>14</v>
      </c>
    </row>
    <row r="6473" x14ac:dyDescent="0.25">
      <c r="A6473" t="n">
        <v>25</v>
      </c>
      <c r="B6473" t="s">
        <v>14</v>
      </c>
      <c r="C6473" t="s">
        <v>51</v>
      </c>
      <c r="D6473" s="2" t="s">
        <f>=HYPERLINK("https://main.knesset.gov.il/APPS/legislation/main/bills/2197146", "הצעת חוק-יסוד: ישראל - מדינת הלאום של העם היהודי (תיקון - ביטול החוק)")</f>
        <v>4938</v>
      </c>
      <c r="E6473" t="s">
        <v>4938</v>
      </c>
      <c r="F6473" t="s">
        <v>12710</v>
      </c>
      <c r="G6473" t="s">
        <v>14</v>
      </c>
      <c r="H6473">
             </c>
      <c r="I6473" t="s">
        <v>14</v>
      </c>
      <c r="J6473" t="s">
        <v>242</v>
      </c>
      <c r="K6473" t="s">
        <v>14</v>
      </c>
      <c r="L6473" t="s">
        <v>20</v>
      </c>
      <c r="M6473" t="s">
        <v>12420</v>
      </c>
      <c r="N6473" t="s">
        <v>14</v>
      </c>
    </row>
    <row r="6474" x14ac:dyDescent="0.25">
      <c r="A6474" t="n">
        <v>25</v>
      </c>
      <c r="B6474" t="s">
        <v>14</v>
      </c>
      <c r="C6474" t="s">
        <v>51</v>
      </c>
      <c r="D6474" s="2" t="s">
        <f>=HYPERLINK("https://main.knesset.gov.il/APPS/legislation/main/bills/2198331", "הצעת חוק הפסקת שיטת ההעסקה הקבלנית, התשפ""ג-2023")</f>
        <v>12711</v>
      </c>
      <c r="E6474" t="s">
        <v>12711</v>
      </c>
      <c r="F6474" t="s">
        <v>12712</v>
      </c>
      <c r="G6474" t="s">
        <v>14</v>
      </c>
      <c r="H6474">
             </c>
      <c r="I6474" t="s">
        <v>14</v>
      </c>
      <c r="J6474" t="s">
        <v>242</v>
      </c>
      <c r="K6474" t="s">
        <v>14</v>
      </c>
      <c r="L6474" t="s">
        <v>20</v>
      </c>
      <c r="M6474" t="s">
        <v>12420</v>
      </c>
      <c r="N6474" t="s">
        <v>14</v>
      </c>
    </row>
    <row r="6475" x14ac:dyDescent="0.25">
      <c r="A6475" t="n">
        <v>25</v>
      </c>
      <c r="B6475" t="s">
        <v>14</v>
      </c>
      <c r="C6475" t="s">
        <v>51</v>
      </c>
      <c r="D6475" s="2" t="s">
        <f>=HYPERLINK("https://main.knesset.gov.il/APPS/legislation/main/bills/2197115", "הצעת חוק הביטוח הלאומי (תיקון - הצמדת קצבת אזרח ותיק לשכר הממוצע במשק), התשפ""ג-2023")</f>
        <v>12713</v>
      </c>
      <c r="E6475" t="s">
        <v>12713</v>
      </c>
      <c r="F6475" t="s">
        <v>12714</v>
      </c>
      <c r="G6475" t="s">
        <v>14</v>
      </c>
      <c r="H6475">
             </c>
      <c r="I6475" t="s">
        <v>14</v>
      </c>
      <c r="J6475" t="s">
        <v>242</v>
      </c>
      <c r="K6475" t="s">
        <v>14</v>
      </c>
      <c r="L6475" t="s">
        <v>20</v>
      </c>
      <c r="M6475" t="s">
        <v>12420</v>
      </c>
      <c r="N6475" t="s">
        <v>14</v>
      </c>
    </row>
    <row r="6476" x14ac:dyDescent="0.25">
      <c r="A6476" t="n">
        <v>25</v>
      </c>
      <c r="B6476" t="s">
        <v>14</v>
      </c>
      <c r="C6476" t="s">
        <v>51</v>
      </c>
      <c r="D6476" s="2" t="s">
        <f>=HYPERLINK("https://main.knesset.gov.il/APPS/legislation/main/bills/2197129", "הצעת חוק הרשויות המקומיות (זכויות וחובות של חברי מועצה), התשפ""ג-2023")</f>
        <v>3066</v>
      </c>
      <c r="E6476" t="s">
        <v>3066</v>
      </c>
      <c r="F6476" t="s">
        <v>12715</v>
      </c>
      <c r="G6476" t="s">
        <v>14</v>
      </c>
      <c r="H6476">
             </c>
      <c r="I6476" t="s">
        <v>14</v>
      </c>
      <c r="J6476" t="s">
        <v>202</v>
      </c>
      <c r="K6476" t="s">
        <v>14</v>
      </c>
      <c r="L6476" t="s">
        <v>20</v>
      </c>
      <c r="M6476" t="s">
        <v>12420</v>
      </c>
      <c r="N6476" t="s">
        <v>14</v>
      </c>
    </row>
    <row r="6477" x14ac:dyDescent="0.25">
      <c r="A6477" t="n">
        <v>25</v>
      </c>
      <c r="B6477" t="s">
        <v>14</v>
      </c>
      <c r="C6477" t="s">
        <v>51</v>
      </c>
      <c r="D6477" s="2" t="s">
        <f>=HYPERLINK("https://main.knesset.gov.il/APPS/legislation/main/bills/2197565", "הצעת חוק שירות המדינה (משמעת) (תיקון - הארכת תקופת ההתיישנות בהטרדות מיניות), התשפ""ג-2023")</f>
        <v>12716</v>
      </c>
      <c r="E6477" t="s">
        <v>12716</v>
      </c>
      <c r="F6477" t="s">
        <v>12717</v>
      </c>
      <c r="G6477" t="s">
        <v>14</v>
      </c>
      <c r="H6477">
             </c>
      <c r="I6477" t="s">
        <v>14</v>
      </c>
      <c r="J6477" t="s">
        <v>242</v>
      </c>
      <c r="K6477" t="s">
        <v>14</v>
      </c>
      <c r="L6477" t="s">
        <v>20</v>
      </c>
      <c r="M6477" t="s">
        <v>12420</v>
      </c>
      <c r="N6477" t="s">
        <v>14</v>
      </c>
    </row>
    <row r="6478" x14ac:dyDescent="0.25">
      <c r="A6478" t="n">
        <v>25</v>
      </c>
      <c r="B6478" t="s">
        <v>14</v>
      </c>
      <c r="C6478" t="s">
        <v>51</v>
      </c>
      <c r="D6478" s="2" t="s">
        <f>=HYPERLINK("https://main.knesset.gov.il/APPS/legislation/main/bills/2197121", "הצעת חוק המדיניות הכלכלית לשנים 2011 ו-2012 (תיקוני חקיקה) (תיקון - תנאים להתרת השקעה במניות כהוצאה), התשפ""ג-2023")</f>
        <v>12718</v>
      </c>
      <c r="E6478" t="s">
        <v>12718</v>
      </c>
      <c r="F6478" t="s">
        <v>12719</v>
      </c>
      <c r="G6478" t="s">
        <v>14</v>
      </c>
      <c r="H6478">
             </c>
      <c r="I6478" t="s">
        <v>14</v>
      </c>
      <c r="J6478" t="s">
        <v>242</v>
      </c>
      <c r="K6478" t="s">
        <v>14</v>
      </c>
      <c r="L6478" t="s">
        <v>20</v>
      </c>
      <c r="M6478" t="s">
        <v>12420</v>
      </c>
      <c r="N6478" t="s">
        <v>14</v>
      </c>
    </row>
    <row r="6479" x14ac:dyDescent="0.25">
      <c r="A6479" t="n">
        <v>25</v>
      </c>
      <c r="B6479" t="s">
        <v>14</v>
      </c>
      <c r="C6479" t="s">
        <v>51</v>
      </c>
      <c r="D6479" s="2" t="s">
        <f>=HYPERLINK("https://main.knesset.gov.il/APPS/legislation/main/bills/2198064", "הצעת חוק שירותי הדת היהודיים (תיקון - ייצוג הולם לנשים במועצות הדתיות), התשפ""ג-2023")</f>
        <v>12720</v>
      </c>
      <c r="E6479" t="s">
        <v>12720</v>
      </c>
      <c r="F6479" t="s">
        <v>12721</v>
      </c>
      <c r="G6479" t="s">
        <v>14</v>
      </c>
      <c r="H6479">
             </c>
      <c r="I6479" t="s">
        <v>14</v>
      </c>
      <c r="J6479" t="s">
        <v>242</v>
      </c>
      <c r="K6479" t="s">
        <v>14</v>
      </c>
      <c r="L6479" t="s">
        <v>20</v>
      </c>
      <c r="M6479" t="s">
        <v>12420</v>
      </c>
      <c r="N6479" t="s">
        <v>14</v>
      </c>
    </row>
    <row r="6480" x14ac:dyDescent="0.25">
      <c r="A6480" t="n">
        <v>25</v>
      </c>
      <c r="B6480" t="s">
        <v>14</v>
      </c>
      <c r="C6480" t="s">
        <v>51</v>
      </c>
      <c r="D6480" s="2" t="s">
        <f>=HYPERLINK("https://main.knesset.gov.il/APPS/legislation/main/bills/2198182", "הצעת חוק גיל פרישה (תיקון - שינוי גיל הפרישה לעובדים בענף הבניין), התשפ""ג-2023")</f>
        <v>11574</v>
      </c>
      <c r="E6480" t="s">
        <v>11574</v>
      </c>
      <c r="F6480" t="s">
        <v>12722</v>
      </c>
      <c r="G6480" t="s">
        <v>14</v>
      </c>
      <c r="H6480">
             </c>
      <c r="I6480" t="s">
        <v>14</v>
      </c>
      <c r="J6480" t="s">
        <v>242</v>
      </c>
      <c r="K6480" t="s">
        <v>14</v>
      </c>
      <c r="L6480" t="s">
        <v>20</v>
      </c>
      <c r="M6480" t="s">
        <v>12420</v>
      </c>
      <c r="N6480" t="s">
        <v>14</v>
      </c>
    </row>
    <row r="6481" x14ac:dyDescent="0.25">
      <c r="A6481" t="n">
        <v>25</v>
      </c>
      <c r="B6481" t="s">
        <v>14</v>
      </c>
      <c r="C6481" t="s">
        <v>51</v>
      </c>
      <c r="D6481" s="2" t="s">
        <f>=HYPERLINK("https://main.knesset.gov.il/APPS/legislation/main/bills/2197563", "הצעת חוק לתיקון פקודת סדרי השלטון והמשפט (יום האישה הבין-לאומי), התשפ""ג-2023")</f>
        <v>12723</v>
      </c>
      <c r="E6481" t="s">
        <v>12723</v>
      </c>
      <c r="F6481" t="s">
        <v>12724</v>
      </c>
      <c r="G6481" t="s">
        <v>14</v>
      </c>
      <c r="H6481">
             </c>
      <c r="I6481" t="s">
        <v>14</v>
      </c>
      <c r="J6481" t="s">
        <v>242</v>
      </c>
      <c r="K6481" t="s">
        <v>14</v>
      </c>
      <c r="L6481" t="s">
        <v>20</v>
      </c>
      <c r="M6481" t="s">
        <v>12420</v>
      </c>
      <c r="N6481" t="s">
        <v>14</v>
      </c>
    </row>
    <row r="6482" x14ac:dyDescent="0.25">
      <c r="A6482" t="n">
        <v>25</v>
      </c>
      <c r="B6482" t="s">
        <v>14</v>
      </c>
      <c r="C6482" t="s">
        <v>51</v>
      </c>
      <c r="D6482" s="2" t="s">
        <f>=HYPERLINK("https://main.knesset.gov.il/APPS/legislation/main/bills/2197499", "הצעת חוק להנצחת זכרו של רחבעם זאבי (תיקון - ביטול החוק), התשפ""ג-2023")</f>
        <v>12725</v>
      </c>
      <c r="E6482" t="s">
        <v>12725</v>
      </c>
      <c r="F6482" t="s">
        <v>12726</v>
      </c>
      <c r="G6482" t="s">
        <v>14</v>
      </c>
      <c r="H6482">
             </c>
      <c r="I6482" t="s">
        <v>14</v>
      </c>
      <c r="J6482" t="s">
        <v>242</v>
      </c>
      <c r="K6482" t="s">
        <v>14</v>
      </c>
      <c r="L6482" t="s">
        <v>20</v>
      </c>
      <c r="M6482" t="s">
        <v>12420</v>
      </c>
      <c r="N6482" t="s">
        <v>14</v>
      </c>
    </row>
    <row r="6483" x14ac:dyDescent="0.25">
      <c r="A6483" t="n">
        <v>25</v>
      </c>
      <c r="B6483" t="s">
        <v>14</v>
      </c>
      <c r="C6483" t="s">
        <v>51</v>
      </c>
      <c r="D6483" s="2" t="s">
        <f>=HYPERLINK("https://main.knesset.gov.il/APPS/legislation/main/bills/2197073", "הצעת חוק צער בעלי חיים (הגנה על בעלי חיים) (תיקון - קביעת עונש מינימום בגין התעללות בבעלי חיים), התשפ""ג-2023")</f>
        <v>525</v>
      </c>
      <c r="E6483" t="s">
        <v>525</v>
      </c>
      <c r="F6483" t="s">
        <v>12727</v>
      </c>
      <c r="G6483" t="s">
        <v>14</v>
      </c>
      <c r="H6483">
             </c>
      <c r="I6483" t="s">
        <v>14</v>
      </c>
      <c r="J6483" t="s">
        <v>242</v>
      </c>
      <c r="K6483" t="s">
        <v>14</v>
      </c>
      <c r="L6483" t="s">
        <v>20</v>
      </c>
      <c r="M6483" t="s">
        <v>12420</v>
      </c>
      <c r="N6483" t="s">
        <v>14</v>
      </c>
    </row>
    <row r="6484" x14ac:dyDescent="0.25">
      <c r="A6484" t="n">
        <v>25</v>
      </c>
      <c r="B6484" t="s">
        <v>14</v>
      </c>
      <c r="C6484" t="s">
        <v>51</v>
      </c>
      <c r="D6484" s="2" t="s">
        <f>=HYPERLINK("https://main.knesset.gov.il/APPS/legislation/main/bills/2198079", "הצעת חוק החברות הממשלתיות (תיקון - נבחרת הדירקטורים), התשפ""ג-2023")</f>
        <v>12728</v>
      </c>
      <c r="E6484" t="s">
        <v>12728</v>
      </c>
      <c r="F6484" t="s">
        <v>12729</v>
      </c>
      <c r="G6484" t="s">
        <v>14</v>
      </c>
      <c r="H6484">
             </c>
      <c r="I6484" t="s">
        <v>14</v>
      </c>
      <c r="J6484" t="s">
        <v>242</v>
      </c>
      <c r="K6484" t="s">
        <v>14</v>
      </c>
      <c r="L6484" t="s">
        <v>20</v>
      </c>
      <c r="M6484" t="s">
        <v>12420</v>
      </c>
      <c r="N6484" t="s">
        <v>14</v>
      </c>
    </row>
    <row r="6485" x14ac:dyDescent="0.25">
      <c r="A6485" t="n">
        <v>25</v>
      </c>
      <c r="B6485" t="s">
        <v>14</v>
      </c>
      <c r="C6485" t="s">
        <v>51</v>
      </c>
      <c r="D6485" s="2" t="s">
        <f>=HYPERLINK("https://main.knesset.gov.il/APPS/legislation/main/bills/2196806", "הצעת חוק למניעת השתלטות תושבי הרשות הפלסטינית על שטחי c, התשפ""ג-2023")</f>
        <v>10839</v>
      </c>
      <c r="E6485" t="s">
        <v>10839</v>
      </c>
      <c r="F6485" t="s">
        <v>12730</v>
      </c>
      <c r="G6485" t="s">
        <v>14</v>
      </c>
      <c r="H6485">
             </c>
      <c r="I6485" t="s">
        <v>14</v>
      </c>
      <c r="J6485" t="s">
        <v>242</v>
      </c>
      <c r="K6485" t="s">
        <v>14</v>
      </c>
      <c r="L6485" t="s">
        <v>20</v>
      </c>
      <c r="M6485" t="s">
        <v>12420</v>
      </c>
      <c r="N6485" t="s">
        <v>14</v>
      </c>
    </row>
    <row r="6486" x14ac:dyDescent="0.25">
      <c r="A6486" t="n">
        <v>25</v>
      </c>
      <c r="B6486" t="s">
        <v>14</v>
      </c>
      <c r="C6486" t="s">
        <v>51</v>
      </c>
      <c r="D6486" s="2" t="s">
        <f>=HYPERLINK("https://main.knesset.gov.il/APPS/legislation/main/bills/2197852", "הצעת חוק הסדרת מעמדם של אנשי צוות בהפקות מקומיות, התשפ""ג-2023")</f>
        <v>12731</v>
      </c>
      <c r="E6486" t="s">
        <v>12731</v>
      </c>
      <c r="F6486" t="s">
        <v>12732</v>
      </c>
      <c r="G6486" t="s">
        <v>14</v>
      </c>
      <c r="H6486">
             </c>
      <c r="I6486" t="s">
        <v>14</v>
      </c>
      <c r="J6486" t="s">
        <v>242</v>
      </c>
      <c r="K6486" t="s">
        <v>14</v>
      </c>
      <c r="L6486" t="s">
        <v>20</v>
      </c>
      <c r="M6486" t="s">
        <v>12420</v>
      </c>
      <c r="N6486" t="s">
        <v>14</v>
      </c>
    </row>
    <row r="6487" x14ac:dyDescent="0.25">
      <c r="A6487" t="n">
        <v>25</v>
      </c>
      <c r="B6487" t="s">
        <v>14</v>
      </c>
      <c r="C6487" t="s">
        <v>51</v>
      </c>
      <c r="D6487" s="2" t="s">
        <f>=HYPERLINK("https://main.knesset.gov.il/APPS/legislation/main/bills/2197851", "הצעת חוק לתיקון פקודת העיריות (ייצוג הולם לאוכלוסייה הערבית), התשפ""ג-2023")</f>
        <v>12461</v>
      </c>
      <c r="E6487" t="s">
        <v>12461</v>
      </c>
      <c r="F6487" t="s">
        <v>12733</v>
      </c>
      <c r="G6487" t="s">
        <v>14</v>
      </c>
      <c r="H6487">
             </c>
      <c r="I6487" t="s">
        <v>14</v>
      </c>
      <c r="J6487" t="s">
        <v>242</v>
      </c>
      <c r="K6487" t="s">
        <v>14</v>
      </c>
      <c r="L6487" t="s">
        <v>20</v>
      </c>
      <c r="M6487" t="s">
        <v>12420</v>
      </c>
      <c r="N6487" t="s">
        <v>14</v>
      </c>
    </row>
    <row r="6488" x14ac:dyDescent="0.25">
      <c r="A6488" t="n">
        <v>25</v>
      </c>
      <c r="B6488" t="s">
        <v>14</v>
      </c>
      <c r="C6488" t="s">
        <v>51</v>
      </c>
      <c r="D6488" s="2" t="s">
        <f>=HYPERLINK("https://main.knesset.gov.il/APPS/legislation/main/bills/2197850", "הצעת חוק הביטוח הלאומי (תיקון - עבודה מועדפת באילת), התשפ""ג-2023")</f>
        <v>12734</v>
      </c>
      <c r="E6488" t="s">
        <v>12734</v>
      </c>
      <c r="F6488" t="s">
        <v>12735</v>
      </c>
      <c r="G6488" t="s">
        <v>14</v>
      </c>
      <c r="H6488">
             </c>
      <c r="I6488" t="s">
        <v>14</v>
      </c>
      <c r="J6488" t="s">
        <v>242</v>
      </c>
      <c r="K6488" t="s">
        <v>14</v>
      </c>
      <c r="L6488" t="s">
        <v>20</v>
      </c>
      <c r="M6488" t="s">
        <v>12420</v>
      </c>
      <c r="N6488" t="s">
        <v>14</v>
      </c>
    </row>
    <row r="6489" x14ac:dyDescent="0.25">
      <c r="A6489" t="n">
        <v>25</v>
      </c>
      <c r="B6489" t="s">
        <v>14</v>
      </c>
      <c r="C6489" t="s">
        <v>51</v>
      </c>
      <c r="D6489" s="2" t="s">
        <f>=HYPERLINK("https://main.knesset.gov.il/APPS/legislation/main/bills/2197117", "הצעת חוק התכנון והבנייה (תיקון - חובת התקנת גלאי עשן), התשפ""ג-2023")</f>
        <v>12736</v>
      </c>
      <c r="E6489" t="s">
        <v>12736</v>
      </c>
      <c r="F6489" t="s">
        <v>12737</v>
      </c>
      <c r="G6489" t="s">
        <v>14</v>
      </c>
      <c r="H6489">
             </c>
      <c r="I6489" t="s">
        <v>14</v>
      </c>
      <c r="J6489" t="s">
        <v>242</v>
      </c>
      <c r="K6489" t="s">
        <v>14</v>
      </c>
      <c r="L6489" t="s">
        <v>20</v>
      </c>
      <c r="M6489" t="s">
        <v>12420</v>
      </c>
      <c r="N6489" t="s">
        <v>14</v>
      </c>
    </row>
    <row r="6490" x14ac:dyDescent="0.25">
      <c r="A6490" t="n">
        <v>25</v>
      </c>
      <c r="B6490" t="s">
        <v>14</v>
      </c>
      <c r="C6490" t="s">
        <v>51</v>
      </c>
      <c r="D6490" s="2" t="s">
        <f>=HYPERLINK("https://main.knesset.gov.il/APPS/legislation/main/bills/2197848", "הצעת חוק משכן הכנסת, רחבתו ומשמר הכנסת (תיקון - איסור העסקה קבלנית), התשפ""ג-2023")</f>
        <v>11917</v>
      </c>
      <c r="E6490" t="s">
        <v>11917</v>
      </c>
      <c r="F6490" t="s">
        <v>12738</v>
      </c>
      <c r="G6490" t="s">
        <v>14</v>
      </c>
      <c r="H6490">
             </c>
      <c r="I6490" t="s">
        <v>14</v>
      </c>
      <c r="J6490" t="s">
        <v>242</v>
      </c>
      <c r="K6490" t="s">
        <v>14</v>
      </c>
      <c r="L6490" t="s">
        <v>20</v>
      </c>
      <c r="M6490" t="s">
        <v>12420</v>
      </c>
      <c r="N6490" t="s">
        <v>14</v>
      </c>
    </row>
    <row r="6491" x14ac:dyDescent="0.25">
      <c r="A6491" t="n">
        <v>25</v>
      </c>
      <c r="B6491" t="s">
        <v>14</v>
      </c>
      <c r="C6491" t="s">
        <v>51</v>
      </c>
      <c r="D6491" s="2" t="s">
        <f>=HYPERLINK("https://main.knesset.gov.il/APPS/legislation/main/bills/2197494", "הצעת חוק לתיקון פקודת העיריות (שידור ישיבות מועצה), התשפ""ג-2023")</f>
        <v>12739</v>
      </c>
      <c r="E6491" t="s">
        <v>12739</v>
      </c>
      <c r="F6491" t="s">
        <v>12740</v>
      </c>
      <c r="G6491" t="s">
        <v>14</v>
      </c>
      <c r="H6491">
             </c>
      <c r="I6491" t="s">
        <v>14</v>
      </c>
      <c r="J6491" t="s">
        <v>242</v>
      </c>
      <c r="K6491" t="s">
        <v>14</v>
      </c>
      <c r="L6491" t="s">
        <v>20</v>
      </c>
      <c r="M6491" t="s">
        <v>12420</v>
      </c>
      <c r="N6491" t="s">
        <v>14</v>
      </c>
    </row>
    <row r="6492" x14ac:dyDescent="0.25">
      <c r="A6492" t="n">
        <v>25</v>
      </c>
      <c r="B6492" t="s">
        <v>14</v>
      </c>
      <c r="C6492" t="s">
        <v>51</v>
      </c>
      <c r="D6492" s="2" t="s">
        <f>=HYPERLINK("https://main.knesset.gov.il/APPS/legislation/main/bills/2197492", "הצעת חוק הביטוח הלאומי (תיקון - זכאות לדמי אבטלה מגיל 18), התשפ""ג-2023")</f>
        <v>12741</v>
      </c>
      <c r="E6492" t="s">
        <v>12741</v>
      </c>
      <c r="F6492" t="s">
        <v>12742</v>
      </c>
      <c r="G6492" t="s">
        <v>14</v>
      </c>
      <c r="H6492">
             </c>
      <c r="I6492" t="s">
        <v>14</v>
      </c>
      <c r="J6492" t="s">
        <v>242</v>
      </c>
      <c r="K6492" t="s">
        <v>14</v>
      </c>
      <c r="L6492" t="s">
        <v>20</v>
      </c>
      <c r="M6492" t="s">
        <v>12420</v>
      </c>
      <c r="N6492" t="s">
        <v>14</v>
      </c>
    </row>
    <row r="6493" x14ac:dyDescent="0.25">
      <c r="A6493" t="n">
        <v>25</v>
      </c>
      <c r="B6493" t="s">
        <v>14</v>
      </c>
      <c r="C6493" t="s">
        <v>51</v>
      </c>
      <c r="D6493" s="2" t="s">
        <f>=HYPERLINK("https://main.knesset.gov.il/APPS/legislation/main/bills/2197715", "הצעת חוק לתיקון פקודת בתי הסוהר (שיקום אסירי אלימות במשפחה), התשפ""ג-2023")</f>
        <v>12743</v>
      </c>
      <c r="E6493" t="s">
        <v>12743</v>
      </c>
      <c r="F6493" t="s">
        <v>12744</v>
      </c>
      <c r="G6493" t="s">
        <v>14</v>
      </c>
      <c r="H6493">
             </c>
      <c r="I6493" t="s">
        <v>14</v>
      </c>
      <c r="J6493" t="s">
        <v>242</v>
      </c>
      <c r="K6493" t="s">
        <v>14</v>
      </c>
      <c r="L6493" t="s">
        <v>20</v>
      </c>
      <c r="M6493" t="s">
        <v>12420</v>
      </c>
      <c r="N6493" t="s">
        <v>14</v>
      </c>
    </row>
    <row r="6494" x14ac:dyDescent="0.25">
      <c r="A6494" t="n">
        <v>25</v>
      </c>
      <c r="B6494" t="s">
        <v>14</v>
      </c>
      <c r="C6494" t="s">
        <v>51</v>
      </c>
      <c r="D6494" s="2" t="s">
        <f>=HYPERLINK("https://main.knesset.gov.il/APPS/legislation/main/bills/2197491", "הצעת חוק ביטוח בריאות ממלכתי (תיקון - פטור מתקופת המתנה לסטודנטים הלומדים בחו""ל), התשפ""ג-2023")</f>
        <v>9221</v>
      </c>
      <c r="E6494" t="s">
        <v>9221</v>
      </c>
      <c r="F6494" t="s">
        <v>12745</v>
      </c>
      <c r="G6494" t="s">
        <v>14</v>
      </c>
      <c r="H6494">
             </c>
      <c r="I6494" t="s">
        <v>14</v>
      </c>
      <c r="J6494" t="s">
        <v>242</v>
      </c>
      <c r="K6494" t="s">
        <v>14</v>
      </c>
      <c r="L6494" t="s">
        <v>20</v>
      </c>
      <c r="M6494" t="s">
        <v>12420</v>
      </c>
      <c r="N6494" t="s">
        <v>14</v>
      </c>
    </row>
    <row r="6495" x14ac:dyDescent="0.25">
      <c r="A6495" t="n">
        <v>25</v>
      </c>
      <c r="B6495" t="s">
        <v>14</v>
      </c>
      <c r="C6495" t="s">
        <v>51</v>
      </c>
      <c r="D6495" s="2" t="s">
        <f>=HYPERLINK("https://main.knesset.gov.il/APPS/legislation/main/bills/2197707", "הצעת חוק הפיקוח על מעונות יום לפעוטות (תיקון - הרחבת הפיקוח על מעונות יום), התשפ""ג-2023")</f>
        <v>10821</v>
      </c>
      <c r="E6495" t="s">
        <v>10821</v>
      </c>
      <c r="F6495" t="s">
        <v>12746</v>
      </c>
      <c r="G6495" t="s">
        <v>14</v>
      </c>
      <c r="H6495">
             </c>
      <c r="I6495" t="s">
        <v>14</v>
      </c>
      <c r="J6495" t="s">
        <v>242</v>
      </c>
      <c r="K6495" t="s">
        <v>14</v>
      </c>
      <c r="L6495" t="s">
        <v>20</v>
      </c>
      <c r="M6495" t="s">
        <v>12420</v>
      </c>
      <c r="N6495" t="s">
        <v>14</v>
      </c>
    </row>
    <row r="6496" x14ac:dyDescent="0.25">
      <c r="A6496" t="n">
        <v>25</v>
      </c>
      <c r="B6496" t="s">
        <v>14</v>
      </c>
      <c r="C6496" t="s">
        <v>51</v>
      </c>
      <c r="D6496" s="2" t="s">
        <f>=HYPERLINK("https://main.knesset.gov.il/APPS/legislation/main/bills/2197703", "הצעת חוק הקמת מיתקן פוטו-וולטאי ומיתקן אגירה בבית משותף המוקם במתחם פינוי ובינוי, התשפ""ג-2023")</f>
        <v>12747</v>
      </c>
      <c r="E6496" t="s">
        <v>12747</v>
      </c>
      <c r="F6496" t="s">
        <v>12748</v>
      </c>
      <c r="G6496" t="s">
        <v>14</v>
      </c>
      <c r="H6496">
             </c>
      <c r="I6496" t="s">
        <v>14</v>
      </c>
      <c r="J6496" t="s">
        <v>242</v>
      </c>
      <c r="K6496" t="s">
        <v>14</v>
      </c>
      <c r="L6496" t="s">
        <v>20</v>
      </c>
      <c r="M6496" t="s">
        <v>12420</v>
      </c>
      <c r="N6496" t="s">
        <v>14</v>
      </c>
    </row>
    <row r="6497" x14ac:dyDescent="0.25">
      <c r="A6497" t="n">
        <v>25</v>
      </c>
      <c r="B6497" t="s">
        <v>14</v>
      </c>
      <c r="C6497" t="s">
        <v>51</v>
      </c>
      <c r="D6497" s="2" t="s">
        <f>=HYPERLINK("https://main.knesset.gov.il/APPS/legislation/main/bills/2197489", "הצעת חוק לתיקון פקודת המשטרה (הרכב המחלקה לחקירת שוטרים), התשפ""ג-2023")</f>
        <v>12749</v>
      </c>
      <c r="E6497" t="s">
        <v>12749</v>
      </c>
      <c r="F6497" t="s">
        <v>12750</v>
      </c>
      <c r="G6497" t="s">
        <v>14</v>
      </c>
      <c r="H6497">
             </c>
      <c r="I6497" t="s">
        <v>14</v>
      </c>
      <c r="J6497" t="s">
        <v>242</v>
      </c>
      <c r="K6497" t="s">
        <v>14</v>
      </c>
      <c r="L6497" t="s">
        <v>20</v>
      </c>
      <c r="M6497" t="s">
        <v>12420</v>
      </c>
      <c r="N6497" t="s">
        <v>14</v>
      </c>
    </row>
    <row r="6498" x14ac:dyDescent="0.25">
      <c r="A6498" t="n">
        <v>25</v>
      </c>
      <c r="B6498" t="s">
        <v>14</v>
      </c>
      <c r="C6498" t="s">
        <v>51</v>
      </c>
      <c r="D6498" s="2" t="s">
        <f>=HYPERLINK("https://main.knesset.gov.il/APPS/legislation/main/bills/2197713", "הצעת חוק-יסוד: הכנסת (תיקון - תקופת לידה והורות לחברי הכנסת)")</f>
        <v>12751</v>
      </c>
      <c r="E6498" t="s">
        <v>12751</v>
      </c>
      <c r="F6498" t="s">
        <v>12752</v>
      </c>
      <c r="G6498" t="s">
        <v>14</v>
      </c>
      <c r="H6498">
             </c>
      <c r="I6498" t="s">
        <v>14</v>
      </c>
      <c r="J6498" t="s">
        <v>242</v>
      </c>
      <c r="K6498" t="s">
        <v>14</v>
      </c>
      <c r="L6498" t="s">
        <v>20</v>
      </c>
      <c r="M6498" t="s">
        <v>12420</v>
      </c>
      <c r="N6498" t="s">
        <v>14</v>
      </c>
    </row>
    <row r="6499" x14ac:dyDescent="0.25">
      <c r="A6499" t="n">
        <v>25</v>
      </c>
      <c r="B6499" t="s">
        <v>14</v>
      </c>
      <c r="C6499" t="s">
        <v>51</v>
      </c>
      <c r="D6499" s="2" t="s">
        <f>=HYPERLINK("https://main.knesset.gov.il/APPS/legislation/main/bills/2197687", "הצעת חוק יום לציון המאבק בגזענות, התשפ""ג-2023")</f>
        <v>12753</v>
      </c>
      <c r="E6499" t="s">
        <v>12753</v>
      </c>
      <c r="F6499" t="s">
        <v>12754</v>
      </c>
      <c r="G6499" t="s">
        <v>14</v>
      </c>
      <c r="H6499">
             </c>
      <c r="I6499" t="s">
        <v>14</v>
      </c>
      <c r="J6499" t="s">
        <v>242</v>
      </c>
      <c r="K6499" t="s">
        <v>14</v>
      </c>
      <c r="L6499" t="s">
        <v>20</v>
      </c>
      <c r="M6499" t="s">
        <v>12420</v>
      </c>
      <c r="N6499" t="s">
        <v>14</v>
      </c>
    </row>
    <row r="6500" x14ac:dyDescent="0.25">
      <c r="A6500" t="n">
        <v>25</v>
      </c>
      <c r="B6500" t="s">
        <v>14</v>
      </c>
      <c r="C6500" t="s">
        <v>51</v>
      </c>
      <c r="D6500" s="2" t="s">
        <f>=HYPERLINK("https://main.knesset.gov.il/APPS/legislation/main/bills/2197490", "הצעת חוק לתיקון פקודת סדרי השלטון והמשפט (יום הפועלים הבינלאומי), התשפ""ג-2023")</f>
        <v>12755</v>
      </c>
      <c r="E6500" t="s">
        <v>12755</v>
      </c>
      <c r="F6500" t="s">
        <v>12756</v>
      </c>
      <c r="G6500" t="s">
        <v>14</v>
      </c>
      <c r="H6500">
             </c>
      <c r="I6500" t="s">
        <v>14</v>
      </c>
      <c r="J6500" t="s">
        <v>242</v>
      </c>
      <c r="K6500" t="s">
        <v>14</v>
      </c>
      <c r="L6500" t="s">
        <v>20</v>
      </c>
      <c r="M6500" t="s">
        <v>12420</v>
      </c>
      <c r="N6500" t="s">
        <v>14</v>
      </c>
    </row>
    <row r="6501" x14ac:dyDescent="0.25">
      <c r="A6501" t="n">
        <v>25</v>
      </c>
      <c r="B6501" t="s">
        <v>14</v>
      </c>
      <c r="C6501" t="s">
        <v>51</v>
      </c>
      <c r="D6501" s="2" t="s">
        <f>=HYPERLINK("https://main.knesset.gov.il/APPS/legislation/main/bills/2197094", "הצעת חוק ההוצאה לפועל (תיקון - הגבלת סכום עיקול בידי צד שלישי שהוא תאגיד בנקאי), התשפ""ג-2023")</f>
        <v>10290</v>
      </c>
      <c r="E6501" t="s">
        <v>10290</v>
      </c>
      <c r="F6501" t="s">
        <v>12757</v>
      </c>
      <c r="G6501" t="s">
        <v>14</v>
      </c>
      <c r="H6501">
             </c>
      <c r="I6501" t="s">
        <v>14</v>
      </c>
      <c r="J6501" t="s">
        <v>242</v>
      </c>
      <c r="K6501" t="s">
        <v>14</v>
      </c>
      <c r="L6501" t="s">
        <v>20</v>
      </c>
      <c r="M6501" t="s">
        <v>12420</v>
      </c>
      <c r="N6501" t="s">
        <v>14</v>
      </c>
    </row>
    <row r="6502" x14ac:dyDescent="0.25">
      <c r="A6502" t="n">
        <v>25</v>
      </c>
      <c r="B6502" t="s">
        <v>14</v>
      </c>
      <c r="C6502" t="s">
        <v>51</v>
      </c>
      <c r="D6502" s="2" t="s">
        <f>=HYPERLINK("https://main.knesset.gov.il/APPS/legislation/main/bills/2197091", "הצעת חוק העונשין (תיקון - ביטול העבירה על העלבת עובד ציבור), התשפ""ג-2023")</f>
        <v>12758</v>
      </c>
      <c r="E6502" t="s">
        <v>12758</v>
      </c>
      <c r="F6502" t="s">
        <v>12759</v>
      </c>
      <c r="G6502" t="s">
        <v>14</v>
      </c>
      <c r="H6502">
             </c>
      <c r="I6502" t="s">
        <v>14</v>
      </c>
      <c r="J6502" t="s">
        <v>242</v>
      </c>
      <c r="K6502" t="s">
        <v>14</v>
      </c>
      <c r="L6502" t="s">
        <v>20</v>
      </c>
      <c r="M6502" t="s">
        <v>12420</v>
      </c>
      <c r="N6502" t="s">
        <v>14</v>
      </c>
    </row>
    <row r="6503" x14ac:dyDescent="0.25">
      <c r="A6503" t="n">
        <v>25</v>
      </c>
      <c r="B6503" t="s">
        <v>14</v>
      </c>
      <c r="C6503" t="s">
        <v>51</v>
      </c>
      <c r="D6503" s="2" t="s">
        <f>=HYPERLINK("https://main.knesset.gov.il/APPS/legislation/main/bills/2197011", "הצעת חוק חופשה שנתית (תיקון - ימי חופשה להורים שילדם נפטר), התשפ""ג-2023")</f>
        <v>10222</v>
      </c>
      <c r="E6503" t="s">
        <v>10222</v>
      </c>
      <c r="F6503" t="s">
        <v>12760</v>
      </c>
      <c r="G6503" t="s">
        <v>14</v>
      </c>
      <c r="H6503">
             </c>
      <c r="I6503" t="s">
        <v>14</v>
      </c>
      <c r="J6503" t="s">
        <v>242</v>
      </c>
      <c r="K6503" t="s">
        <v>14</v>
      </c>
      <c r="L6503" t="s">
        <v>20</v>
      </c>
      <c r="M6503" t="s">
        <v>12420</v>
      </c>
      <c r="N6503" t="s">
        <v>14</v>
      </c>
    </row>
    <row r="6504" x14ac:dyDescent="0.25">
      <c r="A6504" t="n">
        <v>25</v>
      </c>
      <c r="B6504" t="s">
        <v>14</v>
      </c>
      <c r="C6504" t="s">
        <v>51</v>
      </c>
      <c r="D6504" s="2" t="s">
        <f>=HYPERLINK("https://main.knesset.gov.il/APPS/legislation/main/bills/2197626", "הצעת חוק מס ריבוי דירות, התשפ""ג-2023")</f>
        <v>12761</v>
      </c>
      <c r="E6504" t="s">
        <v>12761</v>
      </c>
      <c r="F6504" t="s">
        <v>12762</v>
      </c>
      <c r="G6504" t="s">
        <v>14</v>
      </c>
      <c r="H6504">
             </c>
      <c r="I6504" t="s">
        <v>14</v>
      </c>
      <c r="J6504" t="s">
        <v>242</v>
      </c>
      <c r="K6504" t="s">
        <v>14</v>
      </c>
      <c r="L6504" t="s">
        <v>20</v>
      </c>
      <c r="M6504" t="s">
        <v>12420</v>
      </c>
      <c r="N6504" t="s">
        <v>14</v>
      </c>
    </row>
    <row r="6505" x14ac:dyDescent="0.25">
      <c r="A6505" t="n">
        <v>25</v>
      </c>
      <c r="B6505" t="s">
        <v>14</v>
      </c>
      <c r="C6505" t="s">
        <v>51</v>
      </c>
      <c r="D6505" s="2" t="s">
        <f>=HYPERLINK("https://main.knesset.gov.il/APPS/legislation/main/bills/2198027", "הצעת חוק שוויון ההזדמנויות בעבודה (תיקון - הארכת תקופת ההתיישנות), התשפ""ג-2023")</f>
        <v>6201</v>
      </c>
      <c r="E6505" t="s">
        <v>6201</v>
      </c>
      <c r="F6505" t="s">
        <v>12763</v>
      </c>
      <c r="G6505" t="s">
        <v>14</v>
      </c>
      <c r="H6505">
             </c>
      <c r="I6505" t="s">
        <v>14</v>
      </c>
      <c r="J6505" t="s">
        <v>242</v>
      </c>
      <c r="K6505" t="s">
        <v>14</v>
      </c>
      <c r="L6505" t="s">
        <v>20</v>
      </c>
      <c r="M6505" t="s">
        <v>12420</v>
      </c>
      <c r="N6505" t="s">
        <v>14</v>
      </c>
    </row>
    <row r="6506" x14ac:dyDescent="0.25">
      <c r="A6506" t="n">
        <v>25</v>
      </c>
      <c r="B6506" t="s">
        <v>14</v>
      </c>
      <c r="C6506" t="s">
        <v>51</v>
      </c>
      <c r="D6506" s="2" t="s">
        <f>=HYPERLINK("https://main.knesset.gov.il/APPS/legislation/main/bills/2197624", "הצעת חוק הבטחת הכנסה (תיקון - גמלה לתלמיד), התשפ""ג-2023")</f>
        <v>9724</v>
      </c>
      <c r="E6506" t="s">
        <v>9724</v>
      </c>
      <c r="F6506" t="s">
        <v>12764</v>
      </c>
      <c r="G6506" t="s">
        <v>14</v>
      </c>
      <c r="H6506">
             </c>
      <c r="I6506" t="s">
        <v>14</v>
      </c>
      <c r="J6506" t="s">
        <v>202</v>
      </c>
      <c r="K6506" t="s">
        <v>14</v>
      </c>
      <c r="L6506" t="s">
        <v>20</v>
      </c>
      <c r="M6506" t="s">
        <v>12420</v>
      </c>
      <c r="N6506" t="s">
        <v>14</v>
      </c>
    </row>
    <row r="6507" x14ac:dyDescent="0.25">
      <c r="A6507" t="n">
        <v>25</v>
      </c>
      <c r="B6507" t="s">
        <v>14</v>
      </c>
      <c r="C6507" t="s">
        <v>51</v>
      </c>
      <c r="D6507" s="2" t="s">
        <f>=HYPERLINK("https://main.knesset.gov.il/APPS/legislation/main/bills/2198191", "חוק לתיקון פקודת המשטרה (מס' 37), התשפ""ג-2022")</f>
        <v>12765</v>
      </c>
      <c r="E6507" t="s">
        <v>12765</v>
      </c>
      <c r="F6507" t="s">
        <v>10340</v>
      </c>
      <c r="G6507" t="s">
        <v>10341</v>
      </c>
      <c r="H6507" t="n">
        <v>3012</v>
      </c>
      <c r="I6507" t="s">
        <v>14</v>
      </c>
      <c r="J6507" t="s">
        <v>18</v>
      </c>
      <c r="K6507" t="s">
        <v>10342</v>
      </c>
      <c r="L6507" t="s">
        <v>20</v>
      </c>
      <c r="M6507" t="s">
        <v>12766</v>
      </c>
      <c r="N6507" t="s">
        <v>12767</v>
      </c>
    </row>
    <row r="6508" x14ac:dyDescent="0.25">
      <c r="A6508" t="n">
        <v>25</v>
      </c>
      <c r="B6508" t="s">
        <v>14</v>
      </c>
      <c r="C6508" t="s">
        <v>51</v>
      </c>
      <c r="D6508" s="2" t="s">
        <f>=HYPERLINK("https://main.knesset.gov.il/APPS/legislation/main/bills/2198130", "חוק-יסוד: הממשלה (תיקון מס' 11)")</f>
        <v>12768</v>
      </c>
      <c r="E6508" t="s">
        <v>12768</v>
      </c>
      <c r="F6508" t="s">
        <v>12769</v>
      </c>
      <c r="G6508" t="s">
        <v>12770</v>
      </c>
      <c r="H6508" t="n">
        <v>3011</v>
      </c>
      <c r="I6508" t="s">
        <v>14</v>
      </c>
      <c r="J6508" t="s">
        <v>18</v>
      </c>
      <c r="K6508" t="s">
        <v>12771</v>
      </c>
      <c r="L6508" t="s">
        <v>20</v>
      </c>
      <c r="M6508" t="s">
        <v>12772</v>
      </c>
      <c r="N6508" t="s">
        <v>12773</v>
      </c>
    </row>
    <row r="6509" x14ac:dyDescent="0.25">
      <c r="A6509" t="n">
        <v>25</v>
      </c>
      <c r="B6509" t="s">
        <v>14</v>
      </c>
      <c r="C6509" t="s">
        <v>51</v>
      </c>
      <c r="D6509" s="2" t="s">
        <f>=HYPERLINK("https://main.knesset.gov.il/APPS/legislation/main/bills/2197706", "הצעת חוק קרן לאזרחי ישראל (תיקון - ייצוג נשים במועצה), התשפ""ג-2023")</f>
        <v>12774</v>
      </c>
      <c r="E6509" t="s">
        <v>12774</v>
      </c>
      <c r="F6509" t="s">
        <v>12775</v>
      </c>
      <c r="G6509" t="s">
        <v>14</v>
      </c>
      <c r="H6509">
             </c>
      <c r="I6509" t="s">
        <v>14</v>
      </c>
      <c r="J6509" t="s">
        <v>242</v>
      </c>
      <c r="K6509" t="s">
        <v>14</v>
      </c>
      <c r="L6509" t="s">
        <v>20</v>
      </c>
      <c r="M6509" t="s">
        <v>12772</v>
      </c>
      <c r="N6509" t="s">
        <v>14</v>
      </c>
    </row>
    <row r="6510" x14ac:dyDescent="0.25">
      <c r="A6510" t="n">
        <v>25</v>
      </c>
      <c r="B6510" t="s">
        <v>14</v>
      </c>
      <c r="C6510" t="s">
        <v>51</v>
      </c>
      <c r="D6510" s="2" t="s">
        <f>=HYPERLINK("https://main.knesset.gov.il/APPS/legislation/main/bills/2197785", "הצעת חוק לתיקון פקודת בריאות העם (חובת קבורה בבית עלמין), התשפ""ג-2022 ")</f>
        <v>12776</v>
      </c>
      <c r="E6510" t="s">
        <v>12776</v>
      </c>
      <c r="F6510" t="s">
        <v>12777</v>
      </c>
      <c r="G6510" t="s">
        <v>14</v>
      </c>
      <c r="H6510">
             </c>
      <c r="I6510" t="s">
        <v>14</v>
      </c>
      <c r="J6510" t="s">
        <v>242</v>
      </c>
      <c r="K6510" t="s">
        <v>14</v>
      </c>
      <c r="L6510" t="s">
        <v>20</v>
      </c>
      <c r="M6510" t="s">
        <v>12772</v>
      </c>
      <c r="N6510" t="s">
        <v>14</v>
      </c>
    </row>
    <row r="6511" x14ac:dyDescent="0.25">
      <c r="A6511" t="n">
        <v>25</v>
      </c>
      <c r="B6511" t="s">
        <v>14</v>
      </c>
      <c r="C6511" t="s">
        <v>51</v>
      </c>
      <c r="D6511" s="2" t="s">
        <f>=HYPERLINK("https://main.knesset.gov.il/APPS/legislation/main/bills/2197764", "הצעת חוק הבטחת הכנסה (תיקון - גמלה להורה עצמאי), התשפ""ג-2022")</f>
        <v>12778</v>
      </c>
      <c r="E6511" t="s">
        <v>12778</v>
      </c>
      <c r="F6511" t="s">
        <v>12779</v>
      </c>
      <c r="G6511" t="s">
        <v>14</v>
      </c>
      <c r="H6511">
             </c>
      <c r="I6511" t="s">
        <v>14</v>
      </c>
      <c r="J6511" t="s">
        <v>242</v>
      </c>
      <c r="K6511" t="s">
        <v>14</v>
      </c>
      <c r="L6511" t="s">
        <v>20</v>
      </c>
      <c r="M6511" t="s">
        <v>12772</v>
      </c>
      <c r="N6511" t="s">
        <v>14</v>
      </c>
    </row>
    <row r="6512" x14ac:dyDescent="0.25">
      <c r="A6512" t="n">
        <v>25</v>
      </c>
      <c r="B6512" t="s">
        <v>14</v>
      </c>
      <c r="C6512" t="s">
        <v>51</v>
      </c>
      <c r="D6512" s="2" t="s">
        <f>=HYPERLINK("https://main.knesset.gov.il/APPS/legislation/main/bills/2197495", "הצעת חוק תרומת ביציות (תיקון - מימון הקפאת ביציות למטרת שמירת פוריות של התורמת), התשפ""ג-2022")</f>
        <v>12780</v>
      </c>
      <c r="E6512" t="s">
        <v>12780</v>
      </c>
      <c r="F6512" t="s">
        <v>12781</v>
      </c>
      <c r="G6512" t="s">
        <v>14</v>
      </c>
      <c r="H6512">
             </c>
      <c r="I6512" t="s">
        <v>14</v>
      </c>
      <c r="J6512" t="s">
        <v>242</v>
      </c>
      <c r="K6512" t="s">
        <v>14</v>
      </c>
      <c r="L6512" t="s">
        <v>20</v>
      </c>
      <c r="M6512" t="s">
        <v>12772</v>
      </c>
      <c r="N6512" t="s">
        <v>14</v>
      </c>
    </row>
    <row r="6513" x14ac:dyDescent="0.25">
      <c r="A6513" t="n">
        <v>25</v>
      </c>
      <c r="B6513" t="s">
        <v>14</v>
      </c>
      <c r="C6513" t="s">
        <v>51</v>
      </c>
      <c r="D6513" s="2" t="s">
        <f>=HYPERLINK("https://main.knesset.gov.il/APPS/legislation/main/bills/2197701", "הצעת חוק ארוחה יומית לתלמיד (תיקון - עודפי תקציב), התשפ""ג-2022")</f>
        <v>12782</v>
      </c>
      <c r="E6513" t="s">
        <v>12782</v>
      </c>
      <c r="F6513" t="s">
        <v>12783</v>
      </c>
      <c r="G6513" t="s">
        <v>14</v>
      </c>
      <c r="H6513">
             </c>
      <c r="I6513" t="s">
        <v>14</v>
      </c>
      <c r="J6513" t="s">
        <v>242</v>
      </c>
      <c r="K6513" t="s">
        <v>14</v>
      </c>
      <c r="L6513" t="s">
        <v>20</v>
      </c>
      <c r="M6513" t="s">
        <v>12772</v>
      </c>
      <c r="N6513" t="s">
        <v>14</v>
      </c>
    </row>
    <row r="6514" x14ac:dyDescent="0.25">
      <c r="A6514" t="n">
        <v>25</v>
      </c>
      <c r="B6514" t="s">
        <v>14</v>
      </c>
      <c r="C6514" t="s">
        <v>51</v>
      </c>
      <c r="D6514" s="2" t="s">
        <f>=HYPERLINK("https://main.knesset.gov.il/APPS/legislation/main/bills/2197422", "הצעת חוק רשת ביטחון לעצמאים בעת אירוע חירום, התשפ""ג-2022")</f>
        <v>12784</v>
      </c>
      <c r="E6514" t="s">
        <v>12784</v>
      </c>
      <c r="F6514" t="s">
        <v>12785</v>
      </c>
      <c r="G6514" t="s">
        <v>14</v>
      </c>
      <c r="H6514">
             </c>
      <c r="I6514" t="s">
        <v>14</v>
      </c>
      <c r="J6514" t="s">
        <v>242</v>
      </c>
      <c r="K6514" t="s">
        <v>14</v>
      </c>
      <c r="L6514" t="s">
        <v>20</v>
      </c>
      <c r="M6514" t="s">
        <v>12772</v>
      </c>
      <c r="N6514" t="s">
        <v>14</v>
      </c>
    </row>
    <row r="6515" x14ac:dyDescent="0.25">
      <c r="A6515" t="n">
        <v>25</v>
      </c>
      <c r="B6515" t="s">
        <v>14</v>
      </c>
      <c r="C6515" t="s">
        <v>51</v>
      </c>
      <c r="D6515" s="2" t="s">
        <f>=HYPERLINK("https://main.knesset.gov.il/APPS/legislation/main/bills/2197178", "הצעת חוק תשלום פיצויים בשל נזקי אסון טבע, התשפ""ג-2022")</f>
        <v>12786</v>
      </c>
      <c r="E6515" t="s">
        <v>12786</v>
      </c>
      <c r="F6515" t="s">
        <v>12787</v>
      </c>
      <c r="G6515" t="s">
        <v>14</v>
      </c>
      <c r="H6515">
             </c>
      <c r="I6515" t="s">
        <v>14</v>
      </c>
      <c r="J6515" t="s">
        <v>242</v>
      </c>
      <c r="K6515" t="s">
        <v>14</v>
      </c>
      <c r="L6515" t="s">
        <v>20</v>
      </c>
      <c r="M6515" t="s">
        <v>12772</v>
      </c>
      <c r="N6515" t="s">
        <v>14</v>
      </c>
    </row>
    <row r="6516" x14ac:dyDescent="0.25">
      <c r="A6516" t="n">
        <v>25</v>
      </c>
      <c r="B6516" t="s">
        <v>14</v>
      </c>
      <c r="C6516" t="s">
        <v>51</v>
      </c>
      <c r="D6516" s="2" t="s">
        <f>=HYPERLINK("https://main.knesset.gov.il/APPS/legislation/main/bills/2197410", "הצעת חוק מכירת זכויות לאירוע ספורט משמעותי, התשפ""ג-2022")</f>
        <v>12788</v>
      </c>
      <c r="E6516" t="s">
        <v>12788</v>
      </c>
      <c r="F6516" t="s">
        <v>12789</v>
      </c>
      <c r="G6516" t="s">
        <v>14</v>
      </c>
      <c r="H6516">
             </c>
      <c r="I6516" t="s">
        <v>14</v>
      </c>
      <c r="J6516" t="s">
        <v>242</v>
      </c>
      <c r="K6516" t="s">
        <v>14</v>
      </c>
      <c r="L6516" t="s">
        <v>20</v>
      </c>
      <c r="M6516" t="s">
        <v>12772</v>
      </c>
      <c r="N6516" t="s">
        <v>14</v>
      </c>
    </row>
    <row r="6517" x14ac:dyDescent="0.25">
      <c r="A6517" t="n">
        <v>25</v>
      </c>
      <c r="B6517" t="s">
        <v>14</v>
      </c>
      <c r="C6517" t="s">
        <v>51</v>
      </c>
      <c r="D6517" s="2" t="s">
        <f>=HYPERLINK("https://main.knesset.gov.il/APPS/legislation/main/bills/2197180", "הצעת חוק ערבויות מטעם המדינה בשעת חירום (תיקוני חקיקה), התשפ""ג-2022")</f>
        <v>12790</v>
      </c>
      <c r="E6517" t="s">
        <v>12790</v>
      </c>
      <c r="F6517" t="s">
        <v>12791</v>
      </c>
      <c r="G6517" t="s">
        <v>14</v>
      </c>
      <c r="H6517">
             </c>
      <c r="I6517" t="s">
        <v>14</v>
      </c>
      <c r="J6517" t="s">
        <v>242</v>
      </c>
      <c r="K6517" t="s">
        <v>14</v>
      </c>
      <c r="L6517" t="s">
        <v>20</v>
      </c>
      <c r="M6517" t="s">
        <v>12772</v>
      </c>
      <c r="N6517" t="s">
        <v>14</v>
      </c>
    </row>
    <row r="6518" x14ac:dyDescent="0.25">
      <c r="A6518" t="n">
        <v>25</v>
      </c>
      <c r="B6518" t="s">
        <v>14</v>
      </c>
      <c r="C6518" t="s">
        <v>51</v>
      </c>
      <c r="D6518" s="2" t="s">
        <f>=HYPERLINK("https://main.knesset.gov.il/APPS/legislation/main/bills/2197268", "הצעת חוק הגנת הצרכן (תיקון - השוואת תנאי צרכן ונותן שירות בעניין החזרת טובין), התשפ""ג-2022")</f>
        <v>12792</v>
      </c>
      <c r="E6518" t="s">
        <v>12792</v>
      </c>
      <c r="F6518" t="s">
        <v>12793</v>
      </c>
      <c r="G6518" t="s">
        <v>14</v>
      </c>
      <c r="H6518">
             </c>
      <c r="I6518" t="s">
        <v>14</v>
      </c>
      <c r="J6518" t="s">
        <v>242</v>
      </c>
      <c r="K6518" t="s">
        <v>14</v>
      </c>
      <c r="L6518" t="s">
        <v>20</v>
      </c>
      <c r="M6518" t="s">
        <v>12772</v>
      </c>
      <c r="N6518" t="s">
        <v>14</v>
      </c>
    </row>
    <row r="6519" x14ac:dyDescent="0.25">
      <c r="A6519" t="n">
        <v>25</v>
      </c>
      <c r="B6519" t="s">
        <v>14</v>
      </c>
      <c r="C6519" t="s">
        <v>51</v>
      </c>
      <c r="D6519" s="2" t="s">
        <f>=HYPERLINK("https://main.knesset.gov.il/APPS/legislation/main/bills/2196820", "הצעת חוק עמותות חוץ, התשפ""ג-2022")</f>
        <v>12794</v>
      </c>
      <c r="E6519" t="s">
        <v>12794</v>
      </c>
      <c r="F6519" t="s">
        <v>12795</v>
      </c>
      <c r="G6519" t="s">
        <v>14</v>
      </c>
      <c r="H6519">
             </c>
      <c r="I6519" t="s">
        <v>14</v>
      </c>
      <c r="J6519" t="s">
        <v>242</v>
      </c>
      <c r="K6519" t="s">
        <v>14</v>
      </c>
      <c r="L6519" t="s">
        <v>20</v>
      </c>
      <c r="M6519" t="s">
        <v>12772</v>
      </c>
      <c r="N6519" t="s">
        <v>14</v>
      </c>
    </row>
    <row r="6520" x14ac:dyDescent="0.25">
      <c r="A6520" t="n">
        <v>25</v>
      </c>
      <c r="B6520" t="s">
        <v>14</v>
      </c>
      <c r="C6520" t="s">
        <v>51</v>
      </c>
      <c r="D6520" s="2" t="s">
        <f>=HYPERLINK("https://main.knesset.gov.il/APPS/legislation/main/bills/2197255", "הצעת חוק רישוי עסקים (תיקון - מכירת יין ומשקאות אלכוהוליים בחנות גדולה), התשפ""ג-2022")</f>
        <v>12796</v>
      </c>
      <c r="E6520" t="s">
        <v>12796</v>
      </c>
      <c r="F6520" t="s">
        <v>12797</v>
      </c>
      <c r="G6520" t="s">
        <v>14</v>
      </c>
      <c r="H6520">
             </c>
      <c r="I6520" t="s">
        <v>14</v>
      </c>
      <c r="J6520" t="s">
        <v>242</v>
      </c>
      <c r="K6520" t="s">
        <v>14</v>
      </c>
      <c r="L6520" t="s">
        <v>20</v>
      </c>
      <c r="M6520" t="s">
        <v>12772</v>
      </c>
      <c r="N6520" t="s">
        <v>14</v>
      </c>
    </row>
    <row r="6521" x14ac:dyDescent="0.25">
      <c r="A6521" t="n">
        <v>25</v>
      </c>
      <c r="B6521" t="s">
        <v>14</v>
      </c>
      <c r="C6521" t="s">
        <v>51</v>
      </c>
      <c r="D6521" s="2" t="s">
        <f>=HYPERLINK("https://main.knesset.gov.il/APPS/legislation/main/bills/2197014", "הצעת חוק התכנון והבנייה (תיקון - ייצוג הולם לאוכלוסייה הערבית במוסדות התכנון), התשפ""ג-2022")</f>
        <v>12798</v>
      </c>
      <c r="E6521" t="s">
        <v>12798</v>
      </c>
      <c r="F6521" t="s">
        <v>12799</v>
      </c>
      <c r="G6521" t="s">
        <v>14</v>
      </c>
      <c r="H6521">
             </c>
      <c r="I6521" t="s">
        <v>14</v>
      </c>
      <c r="J6521" t="s">
        <v>242</v>
      </c>
      <c r="K6521" t="s">
        <v>14</v>
      </c>
      <c r="L6521" t="s">
        <v>20</v>
      </c>
      <c r="M6521" t="s">
        <v>12772</v>
      </c>
      <c r="N6521" t="s">
        <v>14</v>
      </c>
    </row>
    <row r="6522" x14ac:dyDescent="0.25">
      <c r="A6522" t="n">
        <v>25</v>
      </c>
      <c r="B6522" t="s">
        <v>14</v>
      </c>
      <c r="C6522" t="s">
        <v>51</v>
      </c>
      <c r="D6522" s="2" t="s">
        <f>=HYPERLINK("https://main.knesset.gov.il/APPS/legislation/main/bills/2196737", "הצעת חוק המקרקעין (תיקון - הארכת התקופה לשימוש בכוח נגד הסגת גבול), התשפ""ג-2022")</f>
        <v>12800</v>
      </c>
      <c r="E6522" t="s">
        <v>12800</v>
      </c>
      <c r="F6522" t="s">
        <v>12801</v>
      </c>
      <c r="G6522" t="s">
        <v>14</v>
      </c>
      <c r="H6522">
             </c>
      <c r="I6522" t="s">
        <v>14</v>
      </c>
      <c r="J6522" t="s">
        <v>242</v>
      </c>
      <c r="K6522" t="s">
        <v>14</v>
      </c>
      <c r="L6522" t="s">
        <v>20</v>
      </c>
      <c r="M6522" t="s">
        <v>12772</v>
      </c>
      <c r="N6522" t="s">
        <v>14</v>
      </c>
    </row>
    <row r="6523" x14ac:dyDescent="0.25">
      <c r="A6523" t="n">
        <v>25</v>
      </c>
      <c r="B6523" t="s">
        <v>14</v>
      </c>
      <c r="C6523" t="s">
        <v>51</v>
      </c>
      <c r="D6523" s="2" t="s">
        <f>=HYPERLINK("https://main.knesset.gov.il/APPS/legislation/main/bills/2197265", "הצעת חוק בתי המשפט (תיקון - שופט משנה), התשפ""ג-2022")</f>
        <v>12802</v>
      </c>
      <c r="E6523" t="s">
        <v>12802</v>
      </c>
      <c r="F6523" t="s">
        <v>12803</v>
      </c>
      <c r="G6523" t="s">
        <v>14</v>
      </c>
      <c r="H6523">
             </c>
      <c r="I6523" t="s">
        <v>14</v>
      </c>
      <c r="J6523" t="s">
        <v>242</v>
      </c>
      <c r="K6523" t="s">
        <v>14</v>
      </c>
      <c r="L6523" t="s">
        <v>20</v>
      </c>
      <c r="M6523" t="s">
        <v>12772</v>
      </c>
      <c r="N6523" t="s">
        <v>14</v>
      </c>
    </row>
    <row r="6524" x14ac:dyDescent="0.25">
      <c r="A6524" t="n">
        <v>25</v>
      </c>
      <c r="B6524" t="s">
        <v>14</v>
      </c>
      <c r="C6524" t="s">
        <v>51</v>
      </c>
      <c r="D6524" s="2" t="s">
        <f>=HYPERLINK("https://main.knesset.gov.il/APPS/legislation/main/bills/2197201", "הצעת חוק העונשין (תיקון - החמרת ענישה בגין ירי מנשק חם שלא כדין), התשפ""ג-2022")</f>
        <v>12804</v>
      </c>
      <c r="E6524" t="s">
        <v>12804</v>
      </c>
      <c r="F6524" t="s">
        <v>12805</v>
      </c>
      <c r="G6524" t="s">
        <v>14</v>
      </c>
      <c r="H6524">
             </c>
      <c r="I6524" t="s">
        <v>14</v>
      </c>
      <c r="J6524" t="s">
        <v>242</v>
      </c>
      <c r="K6524" t="s">
        <v>14</v>
      </c>
      <c r="L6524" t="s">
        <v>20</v>
      </c>
      <c r="M6524" t="s">
        <v>12772</v>
      </c>
      <c r="N6524" t="s">
        <v>14</v>
      </c>
    </row>
    <row r="6525" x14ac:dyDescent="0.25">
      <c r="A6525" t="n">
        <v>25</v>
      </c>
      <c r="B6525" t="s">
        <v>14</v>
      </c>
      <c r="C6525" t="s">
        <v>51</v>
      </c>
      <c r="D6525" s="2" t="s">
        <f>=HYPERLINK("https://main.knesset.gov.il/APPS/legislation/main/bills/2197054", "הצעת חוק החזר דמי נסיעה במונית לבית החולים (תיקוני חקיקה), התשפ""ג-2022")</f>
        <v>12806</v>
      </c>
      <c r="E6525" t="s">
        <v>12806</v>
      </c>
      <c r="F6525" t="s">
        <v>12807</v>
      </c>
      <c r="G6525" t="s">
        <v>14</v>
      </c>
      <c r="H6525">
             </c>
      <c r="I6525" t="s">
        <v>14</v>
      </c>
      <c r="J6525" t="s">
        <v>242</v>
      </c>
      <c r="K6525" t="s">
        <v>14</v>
      </c>
      <c r="L6525" t="s">
        <v>20</v>
      </c>
      <c r="M6525" t="s">
        <v>12772</v>
      </c>
      <c r="N6525" t="s">
        <v>14</v>
      </c>
    </row>
    <row r="6526" x14ac:dyDescent="0.25">
      <c r="A6526" t="n">
        <v>25</v>
      </c>
      <c r="B6526" t="s">
        <v>14</v>
      </c>
      <c r="C6526" t="s">
        <v>51</v>
      </c>
      <c r="D6526" s="2" t="s">
        <f>=HYPERLINK("https://main.knesset.gov.il/APPS/legislation/main/bills/2197003", "הצעת חוק לתיקון פקודת התעבורה (ריבית פיגורים בשל אי תשלום קנס על עבירת חניה), התשפ""ג-2022")</f>
        <v>12808</v>
      </c>
      <c r="E6526" t="s">
        <v>12808</v>
      </c>
      <c r="F6526" t="s">
        <v>12809</v>
      </c>
      <c r="G6526" t="s">
        <v>14</v>
      </c>
      <c r="H6526">
             </c>
      <c r="I6526" t="s">
        <v>14</v>
      </c>
      <c r="J6526" t="s">
        <v>242</v>
      </c>
      <c r="K6526" t="s">
        <v>14</v>
      </c>
      <c r="L6526" t="s">
        <v>20</v>
      </c>
      <c r="M6526" t="s">
        <v>12772</v>
      </c>
      <c r="N6526" t="s">
        <v>14</v>
      </c>
    </row>
    <row r="6527" x14ac:dyDescent="0.25">
      <c r="A6527" t="n">
        <v>25</v>
      </c>
      <c r="B6527" t="s">
        <v>14</v>
      </c>
      <c r="C6527" t="s">
        <v>51</v>
      </c>
      <c r="D6527" s="2" t="s">
        <f>=HYPERLINK("https://main.knesset.gov.il/APPS/legislation/main/bills/2195970", "הצעת חוק שוויון זכויות לאנשים עם מוגבלות (תיקון - מידע בדבר עמידת מעסיקים פרטיים גדולים ביעד הייצוג ההולם), התשפ""ג-2022")</f>
        <v>12810</v>
      </c>
      <c r="E6527" t="s">
        <v>12810</v>
      </c>
      <c r="F6527" t="s">
        <v>12811</v>
      </c>
      <c r="G6527" t="s">
        <v>14</v>
      </c>
      <c r="H6527">
             </c>
      <c r="I6527" t="s">
        <v>14</v>
      </c>
      <c r="J6527" t="s">
        <v>242</v>
      </c>
      <c r="K6527" t="s">
        <v>14</v>
      </c>
      <c r="L6527" t="s">
        <v>20</v>
      </c>
      <c r="M6527" t="s">
        <v>12772</v>
      </c>
      <c r="N6527" t="s">
        <v>14</v>
      </c>
    </row>
    <row r="6528" x14ac:dyDescent="0.25">
      <c r="A6528" t="n">
        <v>25</v>
      </c>
      <c r="B6528" t="s">
        <v>14</v>
      </c>
      <c r="C6528" t="s">
        <v>51</v>
      </c>
      <c r="D6528" s="2" t="s">
        <f>=HYPERLINK("https://main.knesset.gov.il/APPS/legislation/main/bills/2196880", "הצעת חוק חובת פרסום הודעות באינטרנט, התשפ""ג-2022 ")</f>
        <v>12812</v>
      </c>
      <c r="E6528" t="s">
        <v>12812</v>
      </c>
      <c r="F6528" t="s">
        <v>12813</v>
      </c>
      <c r="G6528" t="s">
        <v>14</v>
      </c>
      <c r="H6528">
             </c>
      <c r="I6528" t="s">
        <v>14</v>
      </c>
      <c r="J6528" t="s">
        <v>242</v>
      </c>
      <c r="K6528" t="s">
        <v>14</v>
      </c>
      <c r="L6528" t="s">
        <v>20</v>
      </c>
      <c r="M6528" t="s">
        <v>12772</v>
      </c>
      <c r="N6528" t="s">
        <v>14</v>
      </c>
    </row>
    <row r="6529" x14ac:dyDescent="0.25">
      <c r="A6529" t="n">
        <v>25</v>
      </c>
      <c r="B6529" t="s">
        <v>14</v>
      </c>
      <c r="C6529" t="s">
        <v>51</v>
      </c>
      <c r="D6529" s="2" t="s">
        <f>=HYPERLINK("https://main.knesset.gov.il/APPS/legislation/main/bills/2197025", "הצעת חוק הממשלה (תיקון - ועדת שרים לענייני חקיקה), התשפ""ג-2022")</f>
        <v>12814</v>
      </c>
      <c r="E6529" t="s">
        <v>12814</v>
      </c>
      <c r="F6529" t="s">
        <v>12815</v>
      </c>
      <c r="G6529" t="s">
        <v>14</v>
      </c>
      <c r="H6529">
             </c>
      <c r="I6529" t="s">
        <v>14</v>
      </c>
      <c r="J6529" t="s">
        <v>242</v>
      </c>
      <c r="K6529" t="s">
        <v>14</v>
      </c>
      <c r="L6529" t="s">
        <v>20</v>
      </c>
      <c r="M6529" t="s">
        <v>12772</v>
      </c>
      <c r="N6529" t="s">
        <v>14</v>
      </c>
    </row>
    <row r="6530" x14ac:dyDescent="0.25">
      <c r="A6530" t="n">
        <v>25</v>
      </c>
      <c r="B6530" t="s">
        <v>14</v>
      </c>
      <c r="C6530" t="s">
        <v>51</v>
      </c>
      <c r="D6530" s="2" t="s">
        <f>=HYPERLINK("https://main.knesset.gov.il/APPS/legislation/main/bills/2196811", "הצעת חוק העונשין (תיקון - עבירות אלימות במתחם הר הבית), התשפ""ג-2022")</f>
        <v>12816</v>
      </c>
      <c r="E6530" t="s">
        <v>12816</v>
      </c>
      <c r="F6530" t="s">
        <v>12817</v>
      </c>
      <c r="G6530" t="s">
        <v>14</v>
      </c>
      <c r="H6530">
             </c>
      <c r="I6530" t="s">
        <v>14</v>
      </c>
      <c r="J6530" t="s">
        <v>242</v>
      </c>
      <c r="K6530" t="s">
        <v>14</v>
      </c>
      <c r="L6530" t="s">
        <v>20</v>
      </c>
      <c r="M6530" t="s">
        <v>12772</v>
      </c>
      <c r="N6530" t="s">
        <v>14</v>
      </c>
    </row>
    <row r="6531" x14ac:dyDescent="0.25">
      <c r="A6531" t="n">
        <v>25</v>
      </c>
      <c r="B6531" t="s">
        <v>14</v>
      </c>
      <c r="C6531" t="s">
        <v>51</v>
      </c>
      <c r="D6531" s="2" t="s">
        <f>=HYPERLINK("https://main.knesset.gov.il/APPS/legislation/main/bills/2198236", "הצעת חוק לתיקון פקודת מס הכנסה (ניכוי ריבית על משכנתה וסיוע ברכישת דירה), התשפ""ג-2022")</f>
        <v>12818</v>
      </c>
      <c r="E6531" t="s">
        <v>12818</v>
      </c>
      <c r="F6531" t="s">
        <v>12819</v>
      </c>
      <c r="G6531" t="s">
        <v>14</v>
      </c>
      <c r="H6531">
             </c>
      <c r="I6531" t="s">
        <v>14</v>
      </c>
      <c r="J6531" t="s">
        <v>242</v>
      </c>
      <c r="K6531" t="s">
        <v>14</v>
      </c>
      <c r="L6531" t="s">
        <v>20</v>
      </c>
      <c r="M6531" t="s">
        <v>12772</v>
      </c>
      <c r="N6531" t="s">
        <v>14</v>
      </c>
    </row>
    <row r="6532" x14ac:dyDescent="0.25">
      <c r="A6532" t="n">
        <v>25</v>
      </c>
      <c r="B6532" t="s">
        <v>14</v>
      </c>
      <c r="C6532" t="s">
        <v>51</v>
      </c>
      <c r="D6532" s="2" t="s">
        <f>=HYPERLINK("https://main.knesset.gov.il/APPS/legislation/main/bills/2198507", "הצעת חוק החקלאות, התשפ״ג-2022")</f>
        <v>12820</v>
      </c>
      <c r="E6532" t="s">
        <v>12820</v>
      </c>
      <c r="F6532" t="s">
        <v>12821</v>
      </c>
      <c r="G6532" t="s">
        <v>14</v>
      </c>
      <c r="H6532">
             </c>
      <c r="I6532" t="s">
        <v>14</v>
      </c>
      <c r="J6532" t="s">
        <v>242</v>
      </c>
      <c r="K6532" t="s">
        <v>14</v>
      </c>
      <c r="L6532" t="s">
        <v>20</v>
      </c>
      <c r="M6532" t="s">
        <v>12772</v>
      </c>
      <c r="N6532" t="s">
        <v>14</v>
      </c>
    </row>
    <row r="6533" x14ac:dyDescent="0.25">
      <c r="A6533" t="n">
        <v>25</v>
      </c>
      <c r="B6533" t="s">
        <v>14</v>
      </c>
      <c r="C6533" t="s">
        <v>51</v>
      </c>
      <c r="D6533" s="2" t="s">
        <f>=HYPERLINK("https://main.knesset.gov.il/APPS/legislation/main/bills/2197007", "הצעת חוק ההוצאה לפועל (תיקון - ריבית ודמי פיגורים), התשפ""ג-2022")</f>
        <v>12822</v>
      </c>
      <c r="E6533" t="s">
        <v>12822</v>
      </c>
      <c r="F6533" t="s">
        <v>12823</v>
      </c>
      <c r="G6533" t="s">
        <v>14</v>
      </c>
      <c r="H6533">
             </c>
      <c r="I6533" t="s">
        <v>14</v>
      </c>
      <c r="J6533" t="s">
        <v>242</v>
      </c>
      <c r="K6533" t="s">
        <v>14</v>
      </c>
      <c r="L6533" t="s">
        <v>20</v>
      </c>
      <c r="M6533" t="s">
        <v>12772</v>
      </c>
      <c r="N6533" t="s">
        <v>14</v>
      </c>
    </row>
    <row r="6534" x14ac:dyDescent="0.25">
      <c r="A6534" t="n">
        <v>25</v>
      </c>
      <c r="B6534" t="s">
        <v>14</v>
      </c>
      <c r="C6534" t="s">
        <v>51</v>
      </c>
      <c r="D6534" s="2" t="s">
        <f>=HYPERLINK("https://main.knesset.gov.il/APPS/legislation/main/bills/2196084", "הצעת חוק המרכז למורשת יהדות תוניסיה וג'רבה, התשפ""ג-2022")</f>
        <v>12824</v>
      </c>
      <c r="E6534" t="s">
        <v>12824</v>
      </c>
      <c r="F6534" t="s">
        <v>12825</v>
      </c>
      <c r="G6534" t="s">
        <v>14</v>
      </c>
      <c r="H6534">
             </c>
      <c r="I6534" t="s">
        <v>14</v>
      </c>
      <c r="J6534" t="s">
        <v>242</v>
      </c>
      <c r="K6534" t="s">
        <v>14</v>
      </c>
      <c r="L6534" t="s">
        <v>20</v>
      </c>
      <c r="M6534" t="s">
        <v>12772</v>
      </c>
      <c r="N6534" t="s">
        <v>14</v>
      </c>
    </row>
    <row r="6535" x14ac:dyDescent="0.25">
      <c r="A6535" t="n">
        <v>25</v>
      </c>
      <c r="B6535" t="s">
        <v>14</v>
      </c>
      <c r="C6535" t="s">
        <v>51</v>
      </c>
      <c r="D6535" s="2" t="s">
        <f>=HYPERLINK("https://main.knesset.gov.il/APPS/legislation/main/bills/2198416", "הצעת חוק חסינות חברי הכנסת, זכויותיהם וחובותיהם (תיקון - חסינות בפני דין פלילי), התשפ""ג-2022")</f>
        <v>12826</v>
      </c>
      <c r="E6535" t="s">
        <v>12826</v>
      </c>
      <c r="F6535" t="s">
        <v>12827</v>
      </c>
      <c r="G6535" t="s">
        <v>14</v>
      </c>
      <c r="H6535">
             </c>
      <c r="I6535" t="s">
        <v>14</v>
      </c>
      <c r="J6535" t="s">
        <v>242</v>
      </c>
      <c r="K6535" t="s">
        <v>14</v>
      </c>
      <c r="L6535" t="s">
        <v>20</v>
      </c>
      <c r="M6535" t="s">
        <v>12772</v>
      </c>
      <c r="N6535" t="s">
        <v>14</v>
      </c>
    </row>
    <row r="6536" x14ac:dyDescent="0.25">
      <c r="A6536" t="n">
        <v>25</v>
      </c>
      <c r="B6536" t="s">
        <v>14</v>
      </c>
      <c r="C6536" t="s">
        <v>51</v>
      </c>
      <c r="D6536" s="2" t="s">
        <f>=HYPERLINK("https://main.knesset.gov.il/APPS/legislation/main/bills/2195874", "הצעת חוק זכויות החולה (תיקון - קביעת הוראות לעניין הכנסת חפצים ודברי מאכל למוסד רפואי), התשפ""ג-2022")</f>
        <v>12828</v>
      </c>
      <c r="E6536" t="s">
        <v>12828</v>
      </c>
      <c r="F6536" t="s">
        <v>12829</v>
      </c>
      <c r="G6536" t="s">
        <v>14</v>
      </c>
      <c r="H6536">
             </c>
      <c r="I6536" t="s">
        <v>14</v>
      </c>
      <c r="J6536" t="s">
        <v>242</v>
      </c>
      <c r="K6536" t="s">
        <v>14</v>
      </c>
      <c r="L6536" t="s">
        <v>20</v>
      </c>
      <c r="M6536" t="s">
        <v>12772</v>
      </c>
      <c r="N6536" t="s">
        <v>14</v>
      </c>
    </row>
    <row r="6537" x14ac:dyDescent="0.25">
      <c r="A6537" t="n">
        <v>25</v>
      </c>
      <c r="B6537" t="s">
        <v>14</v>
      </c>
      <c r="C6537" t="s">
        <v>51</v>
      </c>
      <c r="D6537" s="2" t="s">
        <f>=HYPERLINK("https://main.knesset.gov.il/APPS/legislation/main/bills/2196133", "הצעת חוק האזרחות (תיקון - ביטול האזרחות בגין מעשה אלימות בזמן מצב מיוחד בעורף), התשפ""ג-2022")</f>
        <v>12830</v>
      </c>
      <c r="E6537" t="s">
        <v>12830</v>
      </c>
      <c r="F6537" t="s">
        <v>12831</v>
      </c>
      <c r="G6537" t="s">
        <v>14</v>
      </c>
      <c r="H6537">
             </c>
      <c r="I6537" t="s">
        <v>14</v>
      </c>
      <c r="J6537" t="s">
        <v>242</v>
      </c>
      <c r="K6537" t="s">
        <v>14</v>
      </c>
      <c r="L6537" t="s">
        <v>20</v>
      </c>
      <c r="M6537" t="s">
        <v>12772</v>
      </c>
      <c r="N6537" t="s">
        <v>14</v>
      </c>
    </row>
    <row r="6538" x14ac:dyDescent="0.25">
      <c r="A6538" t="n">
        <v>25</v>
      </c>
      <c r="B6538" t="s">
        <v>14</v>
      </c>
      <c r="C6538" t="s">
        <v>51</v>
      </c>
      <c r="D6538" s="2" t="s">
        <f>=HYPERLINK("https://main.knesset.gov.il/APPS/legislation/main/bills/2197314", "הצעת חוק הביטוח הלאומי (תיקון - קצבת ילדים כפולה בלידת תאומים או יותר), התשפ""ג-2022")</f>
        <v>12832</v>
      </c>
      <c r="E6538" t="s">
        <v>12832</v>
      </c>
      <c r="F6538" t="s">
        <v>12833</v>
      </c>
      <c r="G6538" t="s">
        <v>14</v>
      </c>
      <c r="H6538">
             </c>
      <c r="I6538" t="s">
        <v>14</v>
      </c>
      <c r="J6538" t="s">
        <v>242</v>
      </c>
      <c r="K6538" t="s">
        <v>14</v>
      </c>
      <c r="L6538" t="s">
        <v>20</v>
      </c>
      <c r="M6538" t="s">
        <v>12772</v>
      </c>
      <c r="N6538" t="s">
        <v>14</v>
      </c>
    </row>
    <row r="6539" x14ac:dyDescent="0.25">
      <c r="A6539" t="n">
        <v>25</v>
      </c>
      <c r="B6539" t="s">
        <v>14</v>
      </c>
      <c r="C6539" t="s">
        <v>51</v>
      </c>
      <c r="D6539" s="2" t="s">
        <f>=HYPERLINK("https://main.knesset.gov.il/APPS/legislation/main/bills/2197321", "הצעת חוק הביטוח הלאומי (תיקון - מימון הסעת יולדת באמבולנס), התשפ""ג-2022")</f>
        <v>12834</v>
      </c>
      <c r="E6539" t="s">
        <v>12834</v>
      </c>
      <c r="F6539" t="s">
        <v>12835</v>
      </c>
      <c r="G6539" t="s">
        <v>14</v>
      </c>
      <c r="H6539">
             </c>
      <c r="I6539" t="s">
        <v>14</v>
      </c>
      <c r="J6539" t="s">
        <v>242</v>
      </c>
      <c r="K6539" t="s">
        <v>14</v>
      </c>
      <c r="L6539" t="s">
        <v>20</v>
      </c>
      <c r="M6539" t="s">
        <v>12772</v>
      </c>
      <c r="N6539" t="s">
        <v>14</v>
      </c>
    </row>
    <row r="6540" x14ac:dyDescent="0.25">
      <c r="A6540" t="n">
        <v>25</v>
      </c>
      <c r="B6540" t="s">
        <v>14</v>
      </c>
      <c r="C6540" t="s">
        <v>51</v>
      </c>
      <c r="D6540" s="2" t="s">
        <f>=HYPERLINK("https://main.knesset.gov.il/APPS/legislation/main/bills/2197328", "הצעת חוק ביטוח בריאות ממלכתי (תיקון - החזר דמי נסיעה באמבולנס), התשפ""ג-2022")</f>
        <v>12836</v>
      </c>
      <c r="E6540" t="s">
        <v>12836</v>
      </c>
      <c r="F6540" t="s">
        <v>12837</v>
      </c>
      <c r="G6540" t="s">
        <v>14</v>
      </c>
      <c r="H6540">
             </c>
      <c r="I6540" t="s">
        <v>14</v>
      </c>
      <c r="J6540" t="s">
        <v>242</v>
      </c>
      <c r="K6540" t="s">
        <v>14</v>
      </c>
      <c r="L6540" t="s">
        <v>20</v>
      </c>
      <c r="M6540" t="s">
        <v>12772</v>
      </c>
      <c r="N6540" t="s">
        <v>14</v>
      </c>
    </row>
    <row r="6541" x14ac:dyDescent="0.25">
      <c r="A6541" t="n">
        <v>25</v>
      </c>
      <c r="B6541" t="s">
        <v>14</v>
      </c>
      <c r="C6541" t="s">
        <v>51</v>
      </c>
      <c r="D6541" s="2" t="s">
        <f>=HYPERLINK("https://main.knesset.gov.il/APPS/legislation/main/bills/2196861", "הצעת חוק הרישום למוסדות להשכלה גבוהה, התשפ""ג-2022")</f>
        <v>12838</v>
      </c>
      <c r="E6541" t="s">
        <v>12838</v>
      </c>
      <c r="F6541" t="s">
        <v>12839</v>
      </c>
      <c r="G6541" t="s">
        <v>14</v>
      </c>
      <c r="H6541">
             </c>
      <c r="I6541" t="s">
        <v>14</v>
      </c>
      <c r="J6541" t="s">
        <v>242</v>
      </c>
      <c r="K6541" t="s">
        <v>14</v>
      </c>
      <c r="L6541" t="s">
        <v>20</v>
      </c>
      <c r="M6541" t="s">
        <v>12772</v>
      </c>
      <c r="N6541" t="s">
        <v>14</v>
      </c>
    </row>
    <row r="6542" x14ac:dyDescent="0.25">
      <c r="A6542" t="n">
        <v>25</v>
      </c>
      <c r="B6542" t="s">
        <v>14</v>
      </c>
      <c r="C6542" t="s">
        <v>51</v>
      </c>
      <c r="D6542" s="2" t="s">
        <f>=HYPERLINK("https://main.knesset.gov.il/APPS/legislation/main/bills/2196552", "הצעת חוק המאבק בטרור (תיקון - זכות להחזיק בגופות מחבלים לצורכי משא ומתן), התשפ""ג-2022")</f>
        <v>12840</v>
      </c>
      <c r="E6542" t="s">
        <v>12840</v>
      </c>
      <c r="F6542" t="s">
        <v>12841</v>
      </c>
      <c r="G6542" t="s">
        <v>14</v>
      </c>
      <c r="H6542">
             </c>
      <c r="I6542" t="s">
        <v>14</v>
      </c>
      <c r="J6542" t="s">
        <v>242</v>
      </c>
      <c r="K6542" t="s">
        <v>14</v>
      </c>
      <c r="L6542" t="s">
        <v>20</v>
      </c>
      <c r="M6542" t="s">
        <v>12772</v>
      </c>
      <c r="N6542" t="s">
        <v>14</v>
      </c>
    </row>
    <row r="6543" x14ac:dyDescent="0.25">
      <c r="A6543" t="n">
        <v>25</v>
      </c>
      <c r="B6543" t="s">
        <v>14</v>
      </c>
      <c r="C6543" t="s">
        <v>51</v>
      </c>
      <c r="D6543" s="2" t="s">
        <f>=HYPERLINK("https://main.knesset.gov.il/APPS/legislation/main/bills/2196337", "הצעת חוק הגנת הצרכן (תיקון - איסור גביית תשלום בכרטיסי חיוב בלבד), התשפ""ג-2022")</f>
        <v>12842</v>
      </c>
      <c r="E6543" t="s">
        <v>12842</v>
      </c>
      <c r="F6543" t="s">
        <v>12843</v>
      </c>
      <c r="G6543" t="s">
        <v>14</v>
      </c>
      <c r="H6543">
             </c>
      <c r="I6543" t="s">
        <v>14</v>
      </c>
      <c r="J6543" t="s">
        <v>242</v>
      </c>
      <c r="K6543" t="s">
        <v>14</v>
      </c>
      <c r="L6543" t="s">
        <v>20</v>
      </c>
      <c r="M6543" t="s">
        <v>12772</v>
      </c>
      <c r="N6543" t="s">
        <v>14</v>
      </c>
    </row>
    <row r="6544" x14ac:dyDescent="0.25">
      <c r="A6544" t="n">
        <v>25</v>
      </c>
      <c r="B6544" t="s">
        <v>14</v>
      </c>
      <c r="C6544" t="s">
        <v>51</v>
      </c>
      <c r="D6544" s="2" t="s">
        <f>=HYPERLINK("https://main.knesset.gov.il/APPS/legislation/main/bills/2197990", "הצעת חוק הפסיכולוגים (תיקון - פסיכולוג שהורשע בעבירת מין), התשפ""ג-2022")</f>
        <v>12844</v>
      </c>
      <c r="E6544" t="s">
        <v>12844</v>
      </c>
      <c r="F6544" t="s">
        <v>12845</v>
      </c>
      <c r="G6544" t="s">
        <v>14</v>
      </c>
      <c r="H6544">
             </c>
      <c r="I6544" t="s">
        <v>14</v>
      </c>
      <c r="J6544" t="s">
        <v>242</v>
      </c>
      <c r="K6544" t="s">
        <v>14</v>
      </c>
      <c r="L6544" t="s">
        <v>20</v>
      </c>
      <c r="M6544" t="s">
        <v>12772</v>
      </c>
      <c r="N6544" t="s">
        <v>14</v>
      </c>
    </row>
    <row r="6545" x14ac:dyDescent="0.25">
      <c r="A6545" t="n">
        <v>25</v>
      </c>
      <c r="B6545" t="s">
        <v>14</v>
      </c>
      <c r="C6545" t="s">
        <v>51</v>
      </c>
      <c r="D6545" s="2" t="s">
        <f>=HYPERLINK("https://main.knesset.gov.il/APPS/legislation/main/bills/2196562", "הצעת חוק פרס כספי בעבור לכידת מחבל, התשפ""ג-2022")</f>
        <v>12846</v>
      </c>
      <c r="E6545" t="s">
        <v>12846</v>
      </c>
      <c r="F6545" t="s">
        <v>12847</v>
      </c>
      <c r="G6545" t="s">
        <v>14</v>
      </c>
      <c r="H6545">
             </c>
      <c r="I6545" t="s">
        <v>14</v>
      </c>
      <c r="J6545" t="s">
        <v>242</v>
      </c>
      <c r="K6545" t="s">
        <v>14</v>
      </c>
      <c r="L6545" t="s">
        <v>20</v>
      </c>
      <c r="M6545" t="s">
        <v>12772</v>
      </c>
      <c r="N6545" t="s">
        <v>14</v>
      </c>
    </row>
    <row r="6546" x14ac:dyDescent="0.25">
      <c r="A6546" t="n">
        <v>25</v>
      </c>
      <c r="B6546" t="s">
        <v>14</v>
      </c>
      <c r="C6546" t="s">
        <v>51</v>
      </c>
      <c r="D6546" s="2" t="s">
        <f>=HYPERLINK("https://main.knesset.gov.il/APPS/legislation/main/bills/2198154", "הצעת חוק הצמדת שכר חברי הכנסת, השרים וסגני השרים לשכר המינימום (תיקוני חקיקה), התשפ""ג-2022")</f>
        <v>12848</v>
      </c>
      <c r="E6546" t="s">
        <v>12848</v>
      </c>
      <c r="F6546" t="s">
        <v>12849</v>
      </c>
      <c r="G6546" t="s">
        <v>14</v>
      </c>
      <c r="H6546">
             </c>
      <c r="I6546" t="s">
        <v>14</v>
      </c>
      <c r="J6546" t="s">
        <v>242</v>
      </c>
      <c r="K6546" t="s">
        <v>14</v>
      </c>
      <c r="L6546" t="s">
        <v>20</v>
      </c>
      <c r="M6546" t="s">
        <v>12772</v>
      </c>
      <c r="N6546" t="s">
        <v>14</v>
      </c>
    </row>
    <row r="6547" x14ac:dyDescent="0.25">
      <c r="A6547" t="n">
        <v>25</v>
      </c>
      <c r="B6547" t="s">
        <v>14</v>
      </c>
      <c r="C6547" t="s">
        <v>51</v>
      </c>
      <c r="D6547" s="2" t="s">
        <f>=HYPERLINK("https://main.knesset.gov.il/APPS/legislation/main/bills/2197198", "הצעת חוק להגדלת שיעור ההשתתפות בכוח העבודה ולצמצום פערים חברתיים (מענק עבודה) (תיקון - זכות במקרקעין בקבוצת רכישה), התשפ""ג-2022")</f>
        <v>12850</v>
      </c>
      <c r="E6547" t="s">
        <v>12850</v>
      </c>
      <c r="F6547" t="s">
        <v>12851</v>
      </c>
      <c r="G6547" t="s">
        <v>14</v>
      </c>
      <c r="H6547">
             </c>
      <c r="I6547" t="s">
        <v>14</v>
      </c>
      <c r="J6547" t="s">
        <v>242</v>
      </c>
      <c r="K6547" t="s">
        <v>14</v>
      </c>
      <c r="L6547" t="s">
        <v>20</v>
      </c>
      <c r="M6547" t="s">
        <v>12772</v>
      </c>
      <c r="N6547" t="s">
        <v>14</v>
      </c>
    </row>
    <row r="6548" x14ac:dyDescent="0.25">
      <c r="A6548" t="n">
        <v>25</v>
      </c>
      <c r="B6548" t="s">
        <v>14</v>
      </c>
      <c r="C6548" t="s">
        <v>51</v>
      </c>
      <c r="D6548" s="2" t="s">
        <f>=HYPERLINK("https://main.knesset.gov.il/APPS/legislation/main/bills/2197665", "הצעת חוק שירות המדינה (משמעת) (תיקון - בית הדין), התשפ""ג-2022")</f>
        <v>12852</v>
      </c>
      <c r="E6548" t="s">
        <v>12852</v>
      </c>
      <c r="F6548" t="s">
        <v>12853</v>
      </c>
      <c r="G6548" t="s">
        <v>14</v>
      </c>
      <c r="H6548">
             </c>
      <c r="I6548" t="s">
        <v>14</v>
      </c>
      <c r="J6548" t="s">
        <v>242</v>
      </c>
      <c r="K6548" t="s">
        <v>14</v>
      </c>
      <c r="L6548" t="s">
        <v>20</v>
      </c>
      <c r="M6548" t="s">
        <v>12772</v>
      </c>
      <c r="N6548" t="s">
        <v>14</v>
      </c>
    </row>
    <row r="6549" x14ac:dyDescent="0.25">
      <c r="A6549" t="n">
        <v>25</v>
      </c>
      <c r="B6549" t="s">
        <v>14</v>
      </c>
      <c r="C6549" t="s">
        <v>51</v>
      </c>
      <c r="D6549" s="2" t="s">
        <f>=HYPERLINK("https://main.knesset.gov.il/APPS/legislation/main/bills/2197100", "הצעת חוק הסדרת העיסוק במקצועות הבריאות (תיקון - מתן תעודה במקצועות הבריאות לבעלי הכשרה מקצועית) (הוראת שעה), התשפ""ג-2022")</f>
        <v>12854</v>
      </c>
      <c r="E6549" t="s">
        <v>12854</v>
      </c>
      <c r="F6549" t="s">
        <v>12855</v>
      </c>
      <c r="G6549" t="s">
        <v>14</v>
      </c>
      <c r="H6549">
             </c>
      <c r="I6549" t="s">
        <v>14</v>
      </c>
      <c r="J6549" t="s">
        <v>242</v>
      </c>
      <c r="K6549" t="s">
        <v>14</v>
      </c>
      <c r="L6549" t="s">
        <v>20</v>
      </c>
      <c r="M6549" t="s">
        <v>12772</v>
      </c>
      <c r="N6549" t="s">
        <v>14</v>
      </c>
    </row>
    <row r="6550" x14ac:dyDescent="0.25">
      <c r="A6550" t="n">
        <v>25</v>
      </c>
      <c r="B6550" t="s">
        <v>14</v>
      </c>
      <c r="C6550" t="s">
        <v>51</v>
      </c>
      <c r="D6550" s="2" t="s">
        <f>=HYPERLINK("https://main.knesset.gov.il/APPS/legislation/main/bills/2197655", "הצעת חוק סדר הדין הפלילי (תיקון - התיישנות בעבירות מין שנעשו במסגרת יחסי תלות או מרות), התשפ""ג-2022")</f>
        <v>12856</v>
      </c>
      <c r="E6550" t="s">
        <v>12856</v>
      </c>
      <c r="F6550" t="s">
        <v>12857</v>
      </c>
      <c r="G6550" t="s">
        <v>14</v>
      </c>
      <c r="H6550">
             </c>
      <c r="I6550" t="s">
        <v>14</v>
      </c>
      <c r="J6550" t="s">
        <v>242</v>
      </c>
      <c r="K6550" t="s">
        <v>14</v>
      </c>
      <c r="L6550" t="s">
        <v>20</v>
      </c>
      <c r="M6550" t="s">
        <v>12772</v>
      </c>
      <c r="N6550" t="s">
        <v>14</v>
      </c>
    </row>
    <row r="6551" x14ac:dyDescent="0.25">
      <c r="A6551" t="n">
        <v>25</v>
      </c>
      <c r="B6551" t="s">
        <v>14</v>
      </c>
      <c r="C6551" t="s">
        <v>51</v>
      </c>
      <c r="D6551" s="2" t="s">
        <f>=HYPERLINK("https://main.knesset.gov.il/APPS/legislation/main/bills/2197210", "הצעת חוק העונשין (תיקון - הגנה עצמית מפני בקבוק תבערה), התשפ""ג-2022")</f>
        <v>12858</v>
      </c>
      <c r="E6551" t="s">
        <v>12858</v>
      </c>
      <c r="F6551" t="s">
        <v>12859</v>
      </c>
      <c r="G6551" t="s">
        <v>14</v>
      </c>
      <c r="H6551">
             </c>
      <c r="I6551" t="s">
        <v>14</v>
      </c>
      <c r="J6551" t="s">
        <v>242</v>
      </c>
      <c r="K6551" t="s">
        <v>14</v>
      </c>
      <c r="L6551" t="s">
        <v>20</v>
      </c>
      <c r="M6551" t="s">
        <v>12772</v>
      </c>
      <c r="N6551" t="s">
        <v>14</v>
      </c>
    </row>
    <row r="6552" x14ac:dyDescent="0.25">
      <c r="A6552" t="n">
        <v>25</v>
      </c>
      <c r="B6552" t="s">
        <v>14</v>
      </c>
      <c r="C6552" t="s">
        <v>51</v>
      </c>
      <c r="D6552" s="2" t="s">
        <f>=HYPERLINK("https://main.knesset.gov.il/APPS/legislation/main/bills/2197306", "הצעת חוק הסדרת העיסוק במקצועות הבריאות (תיקון - הסדרת העיסוק בניתוח התנהגות), התשפ""ג - 2022")</f>
        <v>12860</v>
      </c>
      <c r="E6552" t="s">
        <v>12860</v>
      </c>
      <c r="F6552" t="s">
        <v>12861</v>
      </c>
      <c r="G6552" t="s">
        <v>14</v>
      </c>
      <c r="H6552">
             </c>
      <c r="I6552" t="s">
        <v>14</v>
      </c>
      <c r="J6552" t="s">
        <v>242</v>
      </c>
      <c r="K6552" t="s">
        <v>14</v>
      </c>
      <c r="L6552" t="s">
        <v>20</v>
      </c>
      <c r="M6552" t="s">
        <v>12772</v>
      </c>
      <c r="N6552" t="s">
        <v>14</v>
      </c>
    </row>
    <row r="6553" x14ac:dyDescent="0.25">
      <c r="A6553" t="n">
        <v>25</v>
      </c>
      <c r="B6553" t="s">
        <v>14</v>
      </c>
      <c r="C6553" t="s">
        <v>51</v>
      </c>
      <c r="D6553" s="2" t="s">
        <f>=HYPERLINK("https://main.knesset.gov.il/APPS/legislation/main/bills/2196158", "הצעת חוק הפיקוח על שירותים פיננסיים (ביטוח) (תיקון - הוספת רישיון הנפקה), התשפ""ג-2022")</f>
        <v>12862</v>
      </c>
      <c r="E6553" t="s">
        <v>12862</v>
      </c>
      <c r="F6553" t="s">
        <v>12863</v>
      </c>
      <c r="G6553" t="s">
        <v>14</v>
      </c>
      <c r="H6553">
             </c>
      <c r="I6553" t="s">
        <v>14</v>
      </c>
      <c r="J6553" t="s">
        <v>242</v>
      </c>
      <c r="K6553" t="s">
        <v>14</v>
      </c>
      <c r="L6553" t="s">
        <v>20</v>
      </c>
      <c r="M6553" t="s">
        <v>12772</v>
      </c>
      <c r="N6553" t="s">
        <v>14</v>
      </c>
    </row>
    <row r="6554" x14ac:dyDescent="0.25">
      <c r="A6554" t="n">
        <v>25</v>
      </c>
      <c r="B6554" t="s">
        <v>14</v>
      </c>
      <c r="C6554" t="s">
        <v>51</v>
      </c>
      <c r="D6554" s="2" t="s">
        <f>=HYPERLINK("https://main.knesset.gov.il/APPS/legislation/main/bills/2196166", "הצעת חוק לתיקון פקודת הרוקחים (חיוב רישום רכיבי תמרוקים ומוצרי ניקיון), התשפ""ג-2022")</f>
        <v>12864</v>
      </c>
      <c r="E6554" t="s">
        <v>12864</v>
      </c>
      <c r="F6554" t="s">
        <v>12865</v>
      </c>
      <c r="G6554" t="s">
        <v>14</v>
      </c>
      <c r="H6554">
             </c>
      <c r="I6554" t="s">
        <v>14</v>
      </c>
      <c r="J6554" t="s">
        <v>242</v>
      </c>
      <c r="K6554" t="s">
        <v>14</v>
      </c>
      <c r="L6554" t="s">
        <v>20</v>
      </c>
      <c r="M6554" t="s">
        <v>12772</v>
      </c>
      <c r="N6554" t="s">
        <v>14</v>
      </c>
    </row>
    <row r="6555" x14ac:dyDescent="0.25">
      <c r="A6555" t="n">
        <v>25</v>
      </c>
      <c r="B6555" t="s">
        <v>14</v>
      </c>
      <c r="C6555" t="s">
        <v>51</v>
      </c>
      <c r="D6555" s="2" t="s">
        <f>=HYPERLINK("https://main.knesset.gov.il/APPS/legislation/main/bills/2196041", "הצעת חוק יישובים ושכונות בהליכי הסדרה, התשפ""ג-2022")</f>
        <v>12866</v>
      </c>
      <c r="E6555" t="s">
        <v>12866</v>
      </c>
      <c r="F6555" t="s">
        <v>12867</v>
      </c>
      <c r="G6555" t="s">
        <v>14</v>
      </c>
      <c r="H6555">
             </c>
      <c r="I6555" t="s">
        <v>14</v>
      </c>
      <c r="J6555" t="s">
        <v>242</v>
      </c>
      <c r="K6555" t="s">
        <v>14</v>
      </c>
      <c r="L6555" t="s">
        <v>20</v>
      </c>
      <c r="M6555" t="s">
        <v>12772</v>
      </c>
      <c r="N6555" t="s">
        <v>14</v>
      </c>
    </row>
    <row r="6556" x14ac:dyDescent="0.25">
      <c r="A6556" t="n">
        <v>25</v>
      </c>
      <c r="B6556" t="s">
        <v>14</v>
      </c>
      <c r="C6556" t="s">
        <v>51</v>
      </c>
      <c r="D6556" s="2" t="s">
        <f>=HYPERLINK("https://main.knesset.gov.il/APPS/legislation/main/bills/2197307", "הצעת חוק כביש אגרה (כביש ארצי לישראל) (תיקון - פטור מאגרה לתחבורה ציבורית), התשפ""ג-2022")</f>
        <v>12868</v>
      </c>
      <c r="E6556" t="s">
        <v>12868</v>
      </c>
      <c r="F6556" t="s">
        <v>12869</v>
      </c>
      <c r="G6556" t="s">
        <v>14</v>
      </c>
      <c r="H6556">
             </c>
      <c r="I6556" t="s">
        <v>14</v>
      </c>
      <c r="J6556" t="s">
        <v>242</v>
      </c>
      <c r="K6556" t="s">
        <v>14</v>
      </c>
      <c r="L6556" t="s">
        <v>20</v>
      </c>
      <c r="M6556" t="s">
        <v>12772</v>
      </c>
      <c r="N6556" t="s">
        <v>14</v>
      </c>
    </row>
    <row r="6557" x14ac:dyDescent="0.25">
      <c r="A6557" t="n">
        <v>25</v>
      </c>
      <c r="B6557" t="s">
        <v>14</v>
      </c>
      <c r="C6557" t="s">
        <v>51</v>
      </c>
      <c r="D6557" s="2" t="s">
        <f>=HYPERLINK("https://main.knesset.gov.il/APPS/legislation/main/bills/2197300", "הצעת חוק רישום רכב ניזוק שנמכר על ידי מבטח או תאגיד, התשפ""ג-2022")</f>
        <v>12870</v>
      </c>
      <c r="E6557" t="s">
        <v>12870</v>
      </c>
      <c r="F6557" t="s">
        <v>12871</v>
      </c>
      <c r="G6557" t="s">
        <v>14</v>
      </c>
      <c r="H6557">
             </c>
      <c r="I6557" t="s">
        <v>14</v>
      </c>
      <c r="J6557" t="s">
        <v>242</v>
      </c>
      <c r="K6557" t="s">
        <v>14</v>
      </c>
      <c r="L6557" t="s">
        <v>20</v>
      </c>
      <c r="M6557" t="s">
        <v>12772</v>
      </c>
      <c r="N6557" t="s">
        <v>14</v>
      </c>
    </row>
    <row r="6558" x14ac:dyDescent="0.25">
      <c r="A6558" t="n">
        <v>25</v>
      </c>
      <c r="B6558" t="s">
        <v>14</v>
      </c>
      <c r="C6558" t="s">
        <v>51</v>
      </c>
      <c r="D6558" s="2" t="s">
        <f>=HYPERLINK("https://main.knesset.gov.il/APPS/legislation/main/bills/2197026", "הצעת חוק לתיקון פקודת המסים (גבייה) (פיצוי עקב טעות), התשפ""ג-2022")</f>
        <v>12872</v>
      </c>
      <c r="E6558" t="s">
        <v>12872</v>
      </c>
      <c r="F6558" t="s">
        <v>12873</v>
      </c>
      <c r="G6558" t="s">
        <v>14</v>
      </c>
      <c r="H6558">
             </c>
      <c r="I6558" t="s">
        <v>14</v>
      </c>
      <c r="J6558" t="s">
        <v>242</v>
      </c>
      <c r="K6558" t="s">
        <v>14</v>
      </c>
      <c r="L6558" t="s">
        <v>20</v>
      </c>
      <c r="M6558" t="s">
        <v>12772</v>
      </c>
      <c r="N6558" t="s">
        <v>14</v>
      </c>
    </row>
    <row r="6559" x14ac:dyDescent="0.25">
      <c r="A6559" t="n">
        <v>25</v>
      </c>
      <c r="B6559" t="s">
        <v>14</v>
      </c>
      <c r="C6559" t="s">
        <v>51</v>
      </c>
      <c r="D6559" s="2" t="s">
        <f>=HYPERLINK("https://main.knesset.gov.il/APPS/legislation/main/bills/2196875", "הצעת חוק השבות (תיקון - זכויות בני משפחה), התשפ""ג-2022")</f>
        <v>12874</v>
      </c>
      <c r="E6559" t="s">
        <v>12874</v>
      </c>
      <c r="F6559" t="s">
        <v>12875</v>
      </c>
      <c r="G6559" t="s">
        <v>14</v>
      </c>
      <c r="H6559">
             </c>
      <c r="I6559" t="s">
        <v>14</v>
      </c>
      <c r="J6559" t="s">
        <v>242</v>
      </c>
      <c r="K6559" t="s">
        <v>14</v>
      </c>
      <c r="L6559" t="s">
        <v>20</v>
      </c>
      <c r="M6559" t="s">
        <v>12772</v>
      </c>
      <c r="N6559" t="s">
        <v>14</v>
      </c>
    </row>
    <row r="6560" x14ac:dyDescent="0.25">
      <c r="A6560" t="n">
        <v>25</v>
      </c>
      <c r="B6560" t="s">
        <v>14</v>
      </c>
      <c r="C6560" t="s">
        <v>51</v>
      </c>
      <c r="D6560" s="2" t="s">
        <f>=HYPERLINK("https://main.knesset.gov.il/APPS/legislation/main/bills/2196025", "הצעת חוק לתיקון פקודת התעבורה (הקמת מערך מידע וניתוח נתונים לשיפור התחבורה הציבורית), התשפ""ג-2022")</f>
        <v>12876</v>
      </c>
      <c r="E6560" t="s">
        <v>12876</v>
      </c>
      <c r="F6560" t="s">
        <v>12877</v>
      </c>
      <c r="G6560" t="s">
        <v>14</v>
      </c>
      <c r="H6560">
             </c>
      <c r="I6560" t="s">
        <v>14</v>
      </c>
      <c r="J6560" t="s">
        <v>242</v>
      </c>
      <c r="K6560" t="s">
        <v>14</v>
      </c>
      <c r="L6560" t="s">
        <v>20</v>
      </c>
      <c r="M6560" t="s">
        <v>12772</v>
      </c>
      <c r="N6560" t="s">
        <v>14</v>
      </c>
    </row>
    <row r="6561" x14ac:dyDescent="0.25">
      <c r="A6561" t="n">
        <v>25</v>
      </c>
      <c r="B6561" t="s">
        <v>14</v>
      </c>
      <c r="C6561" t="s">
        <v>51</v>
      </c>
      <c r="D6561" s="2" t="s">
        <f>=HYPERLINK("https://main.knesset.gov.il/APPS/legislation/main/bills/2195954", "הצעת חוק הלוואות לדיור (תיקון - הצמדת סכום ההלוואה למדד), התשפ""ג-2022")</f>
        <v>12878</v>
      </c>
      <c r="E6561" t="s">
        <v>12878</v>
      </c>
      <c r="F6561" t="s">
        <v>12879</v>
      </c>
      <c r="G6561" t="s">
        <v>14</v>
      </c>
      <c r="H6561">
             </c>
      <c r="I6561" t="s">
        <v>14</v>
      </c>
      <c r="J6561" t="s">
        <v>242</v>
      </c>
      <c r="K6561" t="s">
        <v>14</v>
      </c>
      <c r="L6561" t="s">
        <v>20</v>
      </c>
      <c r="M6561" t="s">
        <v>12772</v>
      </c>
      <c r="N6561" t="s">
        <v>14</v>
      </c>
    </row>
    <row r="6562" x14ac:dyDescent="0.25">
      <c r="A6562" t="n">
        <v>25</v>
      </c>
      <c r="B6562" t="s">
        <v>14</v>
      </c>
      <c r="C6562" t="s">
        <v>51</v>
      </c>
      <c r="D6562" s="2" t="s">
        <f>=HYPERLINK("https://main.knesset.gov.il/APPS/legislation/main/bills/2196863", "הצעת חוק ליווי בני משפחות של משרתים בגופי ביטחון ששלחו יד בנפשם, התשפ""ג-2022")</f>
        <v>12880</v>
      </c>
      <c r="E6562" t="s">
        <v>12880</v>
      </c>
      <c r="F6562" t="s">
        <v>12881</v>
      </c>
      <c r="G6562" t="s">
        <v>14</v>
      </c>
      <c r="H6562">
             </c>
      <c r="I6562" t="s">
        <v>14</v>
      </c>
      <c r="J6562" t="s">
        <v>242</v>
      </c>
      <c r="K6562" t="s">
        <v>14</v>
      </c>
      <c r="L6562" t="s">
        <v>20</v>
      </c>
      <c r="M6562" t="s">
        <v>12772</v>
      </c>
      <c r="N6562" t="s">
        <v>14</v>
      </c>
    </row>
    <row r="6563" x14ac:dyDescent="0.25">
      <c r="A6563" t="n">
        <v>25</v>
      </c>
      <c r="B6563" t="s">
        <v>14</v>
      </c>
      <c r="C6563" t="s">
        <v>51</v>
      </c>
      <c r="D6563" s="2" t="s">
        <f>=HYPERLINK("https://main.knesset.gov.il/APPS/legislation/main/bills/2197325", "הצעת חוק הביטוח הלאומי (תיקון - קצבת תלויים וקצבת אזרח ותיק), התשפ""ג-2022")</f>
        <v>12882</v>
      </c>
      <c r="E6563" t="s">
        <v>12882</v>
      </c>
      <c r="F6563" t="s">
        <v>12883</v>
      </c>
      <c r="G6563" t="s">
        <v>14</v>
      </c>
      <c r="H6563">
             </c>
      <c r="I6563" t="s">
        <v>14</v>
      </c>
      <c r="J6563" t="s">
        <v>242</v>
      </c>
      <c r="K6563" t="s">
        <v>14</v>
      </c>
      <c r="L6563" t="s">
        <v>20</v>
      </c>
      <c r="M6563" t="s">
        <v>12772</v>
      </c>
      <c r="N6563" t="s">
        <v>14</v>
      </c>
    </row>
    <row r="6564" x14ac:dyDescent="0.25">
      <c r="A6564" t="n">
        <v>25</v>
      </c>
      <c r="B6564" t="s">
        <v>14</v>
      </c>
      <c r="C6564" t="s">
        <v>51</v>
      </c>
      <c r="D6564" s="2" t="s">
        <f>=HYPERLINK("https://main.knesset.gov.il/APPS/legislation/main/bills/2197324", "הצעת חוק הביטוח הלאומי (תיקון - קביעת דרגת נכות לנפגעי עבודה), התשפ""ג-2022")</f>
        <v>12884</v>
      </c>
      <c r="E6564" t="s">
        <v>12884</v>
      </c>
      <c r="F6564" t="s">
        <v>12885</v>
      </c>
      <c r="G6564" t="s">
        <v>14</v>
      </c>
      <c r="H6564">
             </c>
      <c r="I6564" t="s">
        <v>14</v>
      </c>
      <c r="J6564" t="s">
        <v>242</v>
      </c>
      <c r="K6564" t="s">
        <v>14</v>
      </c>
      <c r="L6564" t="s">
        <v>20</v>
      </c>
      <c r="M6564" t="s">
        <v>12772</v>
      </c>
      <c r="N6564" t="s">
        <v>14</v>
      </c>
    </row>
    <row r="6565" x14ac:dyDescent="0.25">
      <c r="A6565" t="n">
        <v>25</v>
      </c>
      <c r="B6565" t="s">
        <v>14</v>
      </c>
      <c r="C6565" t="s">
        <v>51</v>
      </c>
      <c r="D6565" s="2" t="s">
        <f>=HYPERLINK("https://main.knesset.gov.il/APPS/legislation/main/bills/2195973", "הצעת חוק לתיקון פקודת הסמים המסוכנים (שידול לייבוא או ייצוא חומר הנחשב לסם בחו""ל), התשפ""ג-2022")</f>
        <v>12886</v>
      </c>
      <c r="E6565" t="s">
        <v>12886</v>
      </c>
      <c r="F6565" t="s">
        <v>12887</v>
      </c>
      <c r="G6565" t="s">
        <v>14</v>
      </c>
      <c r="H6565">
             </c>
      <c r="I6565" t="s">
        <v>14</v>
      </c>
      <c r="J6565" t="s">
        <v>242</v>
      </c>
      <c r="K6565" t="s">
        <v>14</v>
      </c>
      <c r="L6565" t="s">
        <v>20</v>
      </c>
      <c r="M6565" t="s">
        <v>12772</v>
      </c>
      <c r="N6565" t="s">
        <v>14</v>
      </c>
    </row>
    <row r="6566" x14ac:dyDescent="0.25">
      <c r="A6566" t="n">
        <v>25</v>
      </c>
      <c r="B6566" t="s">
        <v>14</v>
      </c>
      <c r="C6566" t="s">
        <v>51</v>
      </c>
      <c r="D6566" s="2" t="s">
        <f>=HYPERLINK("https://main.knesset.gov.il/APPS/legislation/main/bills/2196326", "הצעת חוק לתיקון פקודת העיריות (תקופת כהונה של יועץ משפטי), התשפ""ג-2022")</f>
        <v>12888</v>
      </c>
      <c r="E6566" t="s">
        <v>12888</v>
      </c>
      <c r="F6566" t="s">
        <v>12889</v>
      </c>
      <c r="G6566" t="s">
        <v>14</v>
      </c>
      <c r="H6566">
             </c>
      <c r="I6566" t="s">
        <v>14</v>
      </c>
      <c r="J6566" t="s">
        <v>202</v>
      </c>
      <c r="K6566" t="s">
        <v>14</v>
      </c>
      <c r="L6566" t="s">
        <v>20</v>
      </c>
      <c r="M6566" t="s">
        <v>12772</v>
      </c>
      <c r="N6566" t="s">
        <v>14</v>
      </c>
    </row>
    <row r="6567" x14ac:dyDescent="0.25">
      <c r="A6567" t="n">
        <v>25</v>
      </c>
      <c r="B6567" t="s">
        <v>14</v>
      </c>
      <c r="C6567" t="s">
        <v>51</v>
      </c>
      <c r="D6567" s="2" t="s">
        <f>=HYPERLINK("https://main.knesset.gov.il/APPS/legislation/main/bills/2197913", "הצעת חוק סדר הדין הפלילי (תיקון - הגבלת משך זמן החקירה המשטרתית וחקירת הפרקליטות), התשפ""ג-2022")</f>
        <v>12890</v>
      </c>
      <c r="E6567" t="s">
        <v>12890</v>
      </c>
      <c r="F6567" t="s">
        <v>12891</v>
      </c>
      <c r="G6567" t="s">
        <v>14</v>
      </c>
      <c r="H6567">
             </c>
      <c r="I6567" t="s">
        <v>14</v>
      </c>
      <c r="J6567" t="s">
        <v>242</v>
      </c>
      <c r="K6567" t="s">
        <v>14</v>
      </c>
      <c r="L6567" t="s">
        <v>20</v>
      </c>
      <c r="M6567" t="s">
        <v>12772</v>
      </c>
      <c r="N6567" t="s">
        <v>14</v>
      </c>
    </row>
    <row r="6568" x14ac:dyDescent="0.25">
      <c r="A6568" t="n">
        <v>25</v>
      </c>
      <c r="B6568" t="s">
        <v>14</v>
      </c>
      <c r="C6568" t="s">
        <v>51</v>
      </c>
      <c r="D6568" s="2" t="s">
        <f>=HYPERLINK("https://main.knesset.gov.il/APPS/legislation/main/bills/2195977", "הצעת חוק התכנון והבנייה (תיקון - הגדרת חדר מחוזק כמרחב מוגן), התשפ""ג-2022")</f>
        <v>12892</v>
      </c>
      <c r="E6568" t="s">
        <v>12892</v>
      </c>
      <c r="F6568" t="s">
        <v>12893</v>
      </c>
      <c r="G6568" t="s">
        <v>14</v>
      </c>
      <c r="H6568">
             </c>
      <c r="I6568" t="s">
        <v>14</v>
      </c>
      <c r="J6568" t="s">
        <v>242</v>
      </c>
      <c r="K6568" t="s">
        <v>14</v>
      </c>
      <c r="L6568" t="s">
        <v>20</v>
      </c>
      <c r="M6568" t="s">
        <v>12772</v>
      </c>
      <c r="N6568" t="s">
        <v>14</v>
      </c>
    </row>
    <row r="6569" x14ac:dyDescent="0.25">
      <c r="A6569" t="n">
        <v>25</v>
      </c>
      <c r="B6569" t="s">
        <v>14</v>
      </c>
      <c r="C6569" t="s">
        <v>51</v>
      </c>
      <c r="D6569" s="2" t="s">
        <f>=HYPERLINK("https://main.knesset.gov.il/APPS/legislation/main/bills/2195976", "הצעת חוק שירותי הדת היהודיים (תיקון - מינוי רבני התיישבות, רבנים אזוריים ורבני שכונות), התשפ""ג-2022")</f>
        <v>12894</v>
      </c>
      <c r="E6569" t="s">
        <v>12894</v>
      </c>
      <c r="F6569" t="s">
        <v>12895</v>
      </c>
      <c r="G6569" t="s">
        <v>14</v>
      </c>
      <c r="H6569">
             </c>
      <c r="I6569" t="s">
        <v>14</v>
      </c>
      <c r="J6569" t="s">
        <v>242</v>
      </c>
      <c r="K6569" t="s">
        <v>14</v>
      </c>
      <c r="L6569" t="s">
        <v>20</v>
      </c>
      <c r="M6569" t="s">
        <v>12772</v>
      </c>
      <c r="N6569" t="s">
        <v>14</v>
      </c>
    </row>
    <row r="6570" x14ac:dyDescent="0.25">
      <c r="A6570" t="n">
        <v>25</v>
      </c>
      <c r="B6570" t="s">
        <v>14</v>
      </c>
      <c r="C6570" t="s">
        <v>51</v>
      </c>
      <c r="D6570" s="2" t="s">
        <f>=HYPERLINK("https://main.knesset.gov.il/APPS/legislation/main/bills/2197359", "הצעת חוק מס הכנסה (פטור ממס על הכנסה מהשכרת דירת מגורים) (תיקון - פטור למוסד חינוך), התשפ""ג-2022")</f>
        <v>12896</v>
      </c>
      <c r="E6570" t="s">
        <v>12896</v>
      </c>
      <c r="F6570" t="s">
        <v>12897</v>
      </c>
      <c r="G6570" t="s">
        <v>14</v>
      </c>
      <c r="H6570">
             </c>
      <c r="I6570" t="s">
        <v>14</v>
      </c>
      <c r="J6570" t="s">
        <v>242</v>
      </c>
      <c r="K6570" t="s">
        <v>14</v>
      </c>
      <c r="L6570" t="s">
        <v>20</v>
      </c>
      <c r="M6570" t="s">
        <v>12772</v>
      </c>
      <c r="N6570" t="s">
        <v>14</v>
      </c>
    </row>
    <row r="6571" x14ac:dyDescent="0.25">
      <c r="A6571" t="n">
        <v>25</v>
      </c>
      <c r="B6571" t="s">
        <v>14</v>
      </c>
      <c r="C6571" t="s">
        <v>51</v>
      </c>
      <c r="D6571" s="2" t="s">
        <f>=HYPERLINK("https://main.knesset.gov.il/APPS/legislation/main/bills/2197323", "הצעת חוק הביטוח הלאומי (תיקון - ערעור על החלטת ועדה לעררים), התשפ""ג-2022")</f>
        <v>12898</v>
      </c>
      <c r="E6571" t="s">
        <v>12898</v>
      </c>
      <c r="F6571" t="s">
        <v>12899</v>
      </c>
      <c r="G6571" t="s">
        <v>14</v>
      </c>
      <c r="H6571">
             </c>
      <c r="I6571" t="s">
        <v>14</v>
      </c>
      <c r="J6571" t="s">
        <v>242</v>
      </c>
      <c r="K6571" t="s">
        <v>14</v>
      </c>
      <c r="L6571" t="s">
        <v>20</v>
      </c>
      <c r="M6571" t="s">
        <v>12772</v>
      </c>
      <c r="N6571" t="s">
        <v>14</v>
      </c>
    </row>
    <row r="6572" x14ac:dyDescent="0.25">
      <c r="A6572" t="n">
        <v>25</v>
      </c>
      <c r="B6572" t="s">
        <v>14</v>
      </c>
      <c r="C6572" t="s">
        <v>51</v>
      </c>
      <c r="D6572" s="2" t="s">
        <f>=HYPERLINK("https://main.knesset.gov.il/APPS/legislation/main/bills/2197291", "הצעת חוק לתיקון פקודת התעבורה (סדרי דין מיוחדים לעניין שירות לתועלת הציבור בעבירות תעבורה), התשפ""ג-2022")</f>
        <v>12900</v>
      </c>
      <c r="E6572" t="s">
        <v>12900</v>
      </c>
      <c r="F6572" t="s">
        <v>12901</v>
      </c>
      <c r="G6572" t="s">
        <v>14</v>
      </c>
      <c r="H6572">
             </c>
      <c r="I6572" t="s">
        <v>14</v>
      </c>
      <c r="J6572" t="s">
        <v>242</v>
      </c>
      <c r="K6572" t="s">
        <v>14</v>
      </c>
      <c r="L6572" t="s">
        <v>20</v>
      </c>
      <c r="M6572" t="s">
        <v>12772</v>
      </c>
      <c r="N6572" t="s">
        <v>14</v>
      </c>
    </row>
    <row r="6573" x14ac:dyDescent="0.25">
      <c r="A6573" t="n">
        <v>25</v>
      </c>
      <c r="B6573" t="s">
        <v>14</v>
      </c>
      <c r="C6573" t="s">
        <v>51</v>
      </c>
      <c r="D6573" s="2" t="s">
        <f>=HYPERLINK("https://main.knesset.gov.il/APPS/legislation/main/bills/2197694", "הצעת חוק התכנון והבנייה (תיקון - התקנת מנגנון שבת למשאבות מים), התשפ""ג-2022")</f>
        <v>12902</v>
      </c>
      <c r="E6573" t="s">
        <v>12902</v>
      </c>
      <c r="F6573" t="s">
        <v>12903</v>
      </c>
      <c r="G6573" t="s">
        <v>14</v>
      </c>
      <c r="H6573">
             </c>
      <c r="I6573" t="s">
        <v>14</v>
      </c>
      <c r="J6573" t="s">
        <v>242</v>
      </c>
      <c r="K6573" t="s">
        <v>14</v>
      </c>
      <c r="L6573" t="s">
        <v>20</v>
      </c>
      <c r="M6573" t="s">
        <v>12772</v>
      </c>
      <c r="N6573" t="s">
        <v>14</v>
      </c>
    </row>
    <row r="6574" x14ac:dyDescent="0.25">
      <c r="A6574" t="n">
        <v>25</v>
      </c>
      <c r="B6574" t="s">
        <v>14</v>
      </c>
      <c r="C6574" t="s">
        <v>51</v>
      </c>
      <c r="D6574" s="2" t="s">
        <f>=HYPERLINK("https://main.knesset.gov.il/APPS/legislation/main/bills/2198010", "הצעת חוק-יסוד: השפיטה (תיקון - שינוי הרכב הוועדה לבחירת שופטים)")</f>
        <v>12904</v>
      </c>
      <c r="E6574" t="s">
        <v>12904</v>
      </c>
      <c r="F6574" t="s">
        <v>12905</v>
      </c>
      <c r="G6574" t="s">
        <v>14</v>
      </c>
      <c r="H6574">
             </c>
      <c r="I6574" t="s">
        <v>14</v>
      </c>
      <c r="J6574" t="s">
        <v>242</v>
      </c>
      <c r="K6574" t="s">
        <v>14</v>
      </c>
      <c r="L6574" t="s">
        <v>20</v>
      </c>
      <c r="M6574" t="s">
        <v>12772</v>
      </c>
      <c r="N6574" t="s">
        <v>14</v>
      </c>
    </row>
    <row r="6575" x14ac:dyDescent="0.25">
      <c r="A6575" t="n">
        <v>25</v>
      </c>
      <c r="B6575" t="s">
        <v>14</v>
      </c>
      <c r="C6575" t="s">
        <v>51</v>
      </c>
      <c r="D6575" s="2" t="s">
        <f>=HYPERLINK("https://main.knesset.gov.il/APPS/legislation/main/bills/2198101", "הצעת חוק הגנת הצרכן (תיקון - סימון תאריך ייצור ומועד תפוגה עברי), התשפ""ג-2022")</f>
        <v>12906</v>
      </c>
      <c r="E6575" t="s">
        <v>12906</v>
      </c>
      <c r="F6575" t="s">
        <v>12907</v>
      </c>
      <c r="G6575" t="s">
        <v>14</v>
      </c>
      <c r="H6575">
             </c>
      <c r="I6575" t="s">
        <v>14</v>
      </c>
      <c r="J6575" t="s">
        <v>242</v>
      </c>
      <c r="K6575" t="s">
        <v>14</v>
      </c>
      <c r="L6575" t="s">
        <v>20</v>
      </c>
      <c r="M6575" t="s">
        <v>12772</v>
      </c>
      <c r="N6575" t="s">
        <v>14</v>
      </c>
    </row>
    <row r="6576" x14ac:dyDescent="0.25">
      <c r="A6576" t="n">
        <v>25</v>
      </c>
      <c r="B6576" t="s">
        <v>14</v>
      </c>
      <c r="C6576" t="s">
        <v>51</v>
      </c>
      <c r="D6576" s="2" t="s">
        <f>=HYPERLINK("https://main.knesset.gov.il/APPS/legislation/main/bills/2198106", "הצעת חוק מעונות יום שיקומיים (תיקון - הקדמת גיל הזכאות), התשפ""ג-2022")</f>
        <v>12908</v>
      </c>
      <c r="E6576" t="s">
        <v>12908</v>
      </c>
      <c r="F6576" t="s">
        <v>12909</v>
      </c>
      <c r="G6576" t="s">
        <v>14</v>
      </c>
      <c r="H6576">
             </c>
      <c r="I6576" t="s">
        <v>14</v>
      </c>
      <c r="J6576" t="s">
        <v>242</v>
      </c>
      <c r="K6576" t="s">
        <v>14</v>
      </c>
      <c r="L6576" t="s">
        <v>20</v>
      </c>
      <c r="M6576" t="s">
        <v>12772</v>
      </c>
      <c r="N6576" t="s">
        <v>14</v>
      </c>
    </row>
    <row r="6577" x14ac:dyDescent="0.25">
      <c r="A6577" t="n">
        <v>25</v>
      </c>
      <c r="B6577" t="s">
        <v>14</v>
      </c>
      <c r="C6577" t="s">
        <v>51</v>
      </c>
      <c r="D6577" s="2" t="s">
        <f>=HYPERLINK("https://main.knesset.gov.il/APPS/legislation/main/bills/2198042", "הצעת חוק לתיקון פקודת העיריות (בניין שניזוק או נהרס), התשפ""ג-2022")</f>
        <v>12910</v>
      </c>
      <c r="E6577" t="s">
        <v>12910</v>
      </c>
      <c r="F6577" t="s">
        <v>12911</v>
      </c>
      <c r="G6577" t="s">
        <v>14</v>
      </c>
      <c r="H6577">
             </c>
      <c r="I6577" t="s">
        <v>14</v>
      </c>
      <c r="J6577" t="s">
        <v>242</v>
      </c>
      <c r="K6577" t="s">
        <v>14</v>
      </c>
      <c r="L6577" t="s">
        <v>20</v>
      </c>
      <c r="M6577" t="s">
        <v>12772</v>
      </c>
      <c r="N6577" t="s">
        <v>14</v>
      </c>
    </row>
    <row r="6578" x14ac:dyDescent="0.25">
      <c r="A6578" t="n">
        <v>25</v>
      </c>
      <c r="B6578" t="s">
        <v>14</v>
      </c>
      <c r="C6578" t="s">
        <v>51</v>
      </c>
      <c r="D6578" s="2" t="s">
        <f>=HYPERLINK("https://main.knesset.gov.il/APPS/legislation/main/bills/2198055", "הצעת חוק מס ערך מוסף (תיקון - פטור ממס בגין תרומות לבתי חולים בפריפריה), התשפ""ג-2022")</f>
        <v>12912</v>
      </c>
      <c r="E6578" t="s">
        <v>12912</v>
      </c>
      <c r="F6578" t="s">
        <v>12913</v>
      </c>
      <c r="G6578" t="s">
        <v>14</v>
      </c>
      <c r="H6578">
             </c>
      <c r="I6578" t="s">
        <v>14</v>
      </c>
      <c r="J6578" t="s">
        <v>242</v>
      </c>
      <c r="K6578" t="s">
        <v>14</v>
      </c>
      <c r="L6578" t="s">
        <v>20</v>
      </c>
      <c r="M6578" t="s">
        <v>12772</v>
      </c>
      <c r="N6578" t="s">
        <v>14</v>
      </c>
    </row>
    <row r="6579" x14ac:dyDescent="0.25">
      <c r="A6579" t="n">
        <v>25</v>
      </c>
      <c r="B6579" t="s">
        <v>14</v>
      </c>
      <c r="C6579" t="s">
        <v>51</v>
      </c>
      <c r="D6579" s="2" t="s">
        <f>=HYPERLINK("https://main.knesset.gov.il/APPS/legislation/main/bills/2197080", "הצעת חוק צער בעלי חיים (הגנה על בעלי חיים) (תיקון - איסור ייצוא בעלי חיים לשחיטה לשם שימוש בעורותיהם לתעשיית הקוסמטיקה), התשפ""ג-2022")</f>
        <v>12914</v>
      </c>
      <c r="E6579" t="s">
        <v>12914</v>
      </c>
      <c r="F6579" t="s">
        <v>12915</v>
      </c>
      <c r="G6579" t="s">
        <v>14</v>
      </c>
      <c r="H6579">
             </c>
      <c r="I6579" t="s">
        <v>14</v>
      </c>
      <c r="J6579" t="s">
        <v>242</v>
      </c>
      <c r="K6579" t="s">
        <v>14</v>
      </c>
      <c r="L6579" t="s">
        <v>20</v>
      </c>
      <c r="M6579" t="s">
        <v>12772</v>
      </c>
      <c r="N6579" t="s">
        <v>14</v>
      </c>
    </row>
    <row r="6580" x14ac:dyDescent="0.25">
      <c r="A6580" t="n">
        <v>25</v>
      </c>
      <c r="B6580" t="s">
        <v>14</v>
      </c>
      <c r="C6580" t="s">
        <v>51</v>
      </c>
      <c r="D6580" s="2" t="s">
        <f>=HYPERLINK("https://main.knesset.gov.il/APPS/legislation/main/bills/2198125", "הצעת חוק בתי המשפט (תיקון - הארכת תקופת הצינון והרחבת תחולתה), התשפ""ג-2022")</f>
        <v>12916</v>
      </c>
      <c r="E6580" t="s">
        <v>12916</v>
      </c>
      <c r="F6580" t="s">
        <v>12917</v>
      </c>
      <c r="G6580" t="s">
        <v>14</v>
      </c>
      <c r="H6580">
             </c>
      <c r="I6580" t="s">
        <v>14</v>
      </c>
      <c r="J6580" t="s">
        <v>242</v>
      </c>
      <c r="K6580" t="s">
        <v>14</v>
      </c>
      <c r="L6580" t="s">
        <v>20</v>
      </c>
      <c r="M6580" t="s">
        <v>12772</v>
      </c>
      <c r="N6580" t="s">
        <v>14</v>
      </c>
    </row>
    <row r="6581" x14ac:dyDescent="0.25">
      <c r="A6581" t="n">
        <v>25</v>
      </c>
      <c r="B6581" t="s">
        <v>14</v>
      </c>
      <c r="C6581" t="s">
        <v>51</v>
      </c>
      <c r="D6581" s="2" t="s">
        <f>=HYPERLINK("https://main.knesset.gov.il/APPS/legislation/main/bills/2198329", "הצעת חוק לביטול ההתיישנות בעבירות מין במשפחה (תיקוני חקיקה), התשפ""ג-2022")</f>
        <v>12918</v>
      </c>
      <c r="E6581" t="s">
        <v>12918</v>
      </c>
      <c r="F6581" t="s">
        <v>12919</v>
      </c>
      <c r="G6581" t="s">
        <v>14</v>
      </c>
      <c r="H6581">
             </c>
      <c r="I6581" t="s">
        <v>14</v>
      </c>
      <c r="J6581" t="s">
        <v>242</v>
      </c>
      <c r="K6581" t="s">
        <v>14</v>
      </c>
      <c r="L6581" t="s">
        <v>20</v>
      </c>
      <c r="M6581" t="s">
        <v>12772</v>
      </c>
      <c r="N6581" t="s">
        <v>14</v>
      </c>
    </row>
    <row r="6582" x14ac:dyDescent="0.25">
      <c r="A6582" t="n">
        <v>25</v>
      </c>
      <c r="B6582" t="s">
        <v>14</v>
      </c>
      <c r="C6582" t="s">
        <v>51</v>
      </c>
      <c r="D6582" s="2" t="s">
        <f>=HYPERLINK("https://main.knesset.gov.il/APPS/legislation/main/bills/2197745", "הצעת חוק מס ערך מוסף (תיקון - פטור בעת קניית דירה ראשונה לזוגות צעירים בכל הארץ), התשפ""ג-2022")</f>
        <v>12920</v>
      </c>
      <c r="E6582" t="s">
        <v>12920</v>
      </c>
      <c r="F6582" t="s">
        <v>12921</v>
      </c>
      <c r="G6582" t="s">
        <v>14</v>
      </c>
      <c r="H6582">
             </c>
      <c r="I6582" t="s">
        <v>14</v>
      </c>
      <c r="J6582" t="s">
        <v>242</v>
      </c>
      <c r="K6582" t="s">
        <v>14</v>
      </c>
      <c r="L6582" t="s">
        <v>20</v>
      </c>
      <c r="M6582" t="s">
        <v>12772</v>
      </c>
      <c r="N6582" t="s">
        <v>14</v>
      </c>
    </row>
    <row r="6583" x14ac:dyDescent="0.25">
      <c r="A6583" t="n">
        <v>25</v>
      </c>
      <c r="B6583" t="s">
        <v>14</v>
      </c>
      <c r="C6583" t="s">
        <v>51</v>
      </c>
      <c r="D6583" s="2" t="s">
        <f>=HYPERLINK("https://main.knesset.gov.il/APPS/legislation/main/bills/2197367", "הצעת חוק יישוב סכסוכי עבודה (תיקון - ריכוז מידע על שביתות והשבתות), התשפ""ג-2022")</f>
        <v>12922</v>
      </c>
      <c r="E6583" t="s">
        <v>12922</v>
      </c>
      <c r="F6583" t="s">
        <v>12923</v>
      </c>
      <c r="G6583" t="s">
        <v>14</v>
      </c>
      <c r="H6583">
             </c>
      <c r="I6583" t="s">
        <v>14</v>
      </c>
      <c r="J6583" t="s">
        <v>242</v>
      </c>
      <c r="K6583" t="s">
        <v>14</v>
      </c>
      <c r="L6583" t="s">
        <v>20</v>
      </c>
      <c r="M6583" t="s">
        <v>12772</v>
      </c>
      <c r="N6583" t="s">
        <v>14</v>
      </c>
    </row>
    <row r="6584" x14ac:dyDescent="0.25">
      <c r="A6584" t="n">
        <v>25</v>
      </c>
      <c r="B6584" t="s">
        <v>14</v>
      </c>
      <c r="C6584" t="s">
        <v>51</v>
      </c>
      <c r="D6584" s="2" t="s">
        <f>=HYPERLINK("https://main.knesset.gov.il/APPS/legislation/main/bills/2197345", "הצעת חוק זכויות החולה (תיקון - מתן הסכמה לטיפול רפואי), התשפ""ג-2022")</f>
        <v>12924</v>
      </c>
      <c r="E6584" t="s">
        <v>12924</v>
      </c>
      <c r="F6584" t="s">
        <v>12925</v>
      </c>
      <c r="G6584" t="s">
        <v>14</v>
      </c>
      <c r="H6584">
             </c>
      <c r="I6584" t="s">
        <v>14</v>
      </c>
      <c r="J6584" t="s">
        <v>242</v>
      </c>
      <c r="K6584" t="s">
        <v>14</v>
      </c>
      <c r="L6584" t="s">
        <v>20</v>
      </c>
      <c r="M6584" t="s">
        <v>12772</v>
      </c>
      <c r="N6584" t="s">
        <v>14</v>
      </c>
    </row>
    <row r="6585" x14ac:dyDescent="0.25">
      <c r="A6585" t="n">
        <v>25</v>
      </c>
      <c r="B6585" t="s">
        <v>14</v>
      </c>
      <c r="C6585" t="s">
        <v>51</v>
      </c>
      <c r="D6585" s="2" t="s">
        <f>=HYPERLINK("https://main.knesset.gov.il/APPS/legislation/main/bills/2198082", "הצעת חוק לתיקון פקודת התעבורה (הפעלה של רמזור), התשפ""ג-2022")</f>
        <v>12926</v>
      </c>
      <c r="E6585" t="s">
        <v>12926</v>
      </c>
      <c r="F6585" t="s">
        <v>12927</v>
      </c>
      <c r="G6585" t="s">
        <v>14</v>
      </c>
      <c r="H6585">
             </c>
      <c r="I6585" t="s">
        <v>14</v>
      </c>
      <c r="J6585" t="s">
        <v>242</v>
      </c>
      <c r="K6585" t="s">
        <v>14</v>
      </c>
      <c r="L6585" t="s">
        <v>20</v>
      </c>
      <c r="M6585" t="s">
        <v>12772</v>
      </c>
      <c r="N6585" t="s">
        <v>14</v>
      </c>
    </row>
    <row r="6586" x14ac:dyDescent="0.25">
      <c r="A6586" t="n">
        <v>25</v>
      </c>
      <c r="B6586" t="s">
        <v>14</v>
      </c>
      <c r="C6586" t="s">
        <v>51</v>
      </c>
      <c r="D6586" s="2" t="s">
        <f>=HYPERLINK("https://main.knesset.gov.il/APPS/legislation/main/bills/2197366", "הצעת חוק לתיקון פקודת מס הכנסה (פטור ממס להכנסות קשיש וניכוי הוצאות שכר דירה), התשפ""ג-2022")</f>
        <v>12928</v>
      </c>
      <c r="E6586" t="s">
        <v>12928</v>
      </c>
      <c r="F6586" t="s">
        <v>12929</v>
      </c>
      <c r="G6586" t="s">
        <v>14</v>
      </c>
      <c r="H6586">
             </c>
      <c r="I6586" t="s">
        <v>14</v>
      </c>
      <c r="J6586" t="s">
        <v>242</v>
      </c>
      <c r="K6586" t="s">
        <v>14</v>
      </c>
      <c r="L6586" t="s">
        <v>20</v>
      </c>
      <c r="M6586" t="s">
        <v>12772</v>
      </c>
      <c r="N6586" t="s">
        <v>14</v>
      </c>
    </row>
    <row r="6587" x14ac:dyDescent="0.25">
      <c r="A6587" t="n">
        <v>25</v>
      </c>
      <c r="B6587" t="s">
        <v>14</v>
      </c>
      <c r="C6587" t="s">
        <v>51</v>
      </c>
      <c r="D6587" s="2" t="s">
        <f>=HYPERLINK("https://main.knesset.gov.il/APPS/legislation/main/bills/2197989", "הצעת חוק יום בריאות הנפש, התשפ""ג-2022")</f>
        <v>12930</v>
      </c>
      <c r="E6587" t="s">
        <v>12930</v>
      </c>
      <c r="F6587" t="s">
        <v>12931</v>
      </c>
      <c r="G6587" t="s">
        <v>14</v>
      </c>
      <c r="H6587">
             </c>
      <c r="I6587" t="s">
        <v>14</v>
      </c>
      <c r="J6587" t="s">
        <v>242</v>
      </c>
      <c r="K6587" t="s">
        <v>14</v>
      </c>
      <c r="L6587" t="s">
        <v>20</v>
      </c>
      <c r="M6587" t="s">
        <v>12772</v>
      </c>
      <c r="N6587" t="s">
        <v>14</v>
      </c>
    </row>
    <row r="6588" x14ac:dyDescent="0.25">
      <c r="A6588" t="n">
        <v>25</v>
      </c>
      <c r="B6588" t="s">
        <v>14</v>
      </c>
      <c r="C6588" t="s">
        <v>51</v>
      </c>
      <c r="D6588" s="2" t="s">
        <f>=HYPERLINK("https://main.knesset.gov.il/APPS/legislation/main/bills/2197365", "הצעת חוק להארכת מועד לקבלת דברי דואר (הוראת שעה), התשפ""ג-2022")</f>
        <v>12932</v>
      </c>
      <c r="E6588" t="s">
        <v>12932</v>
      </c>
      <c r="F6588" t="s">
        <v>12933</v>
      </c>
      <c r="G6588" t="s">
        <v>14</v>
      </c>
      <c r="H6588">
             </c>
      <c r="I6588" t="s">
        <v>14</v>
      </c>
      <c r="J6588" t="s">
        <v>242</v>
      </c>
      <c r="K6588" t="s">
        <v>14</v>
      </c>
      <c r="L6588" t="s">
        <v>20</v>
      </c>
      <c r="M6588" t="s">
        <v>12772</v>
      </c>
      <c r="N6588" t="s">
        <v>14</v>
      </c>
    </row>
    <row r="6589" x14ac:dyDescent="0.25">
      <c r="A6589" t="n">
        <v>25</v>
      </c>
      <c r="B6589" t="s">
        <v>14</v>
      </c>
      <c r="C6589" t="s">
        <v>51</v>
      </c>
      <c r="D6589" s="2" t="s">
        <f>=HYPERLINK("https://main.knesset.gov.il/APPS/legislation/main/bills/2197262", "הצעת חוק משק החשמל (תיקון - גביית תשלומים), התשפ""ג-2022")</f>
        <v>12934</v>
      </c>
      <c r="E6589" t="s">
        <v>12934</v>
      </c>
      <c r="F6589" t="s">
        <v>12935</v>
      </c>
      <c r="G6589" t="s">
        <v>14</v>
      </c>
      <c r="H6589">
             </c>
      <c r="I6589" t="s">
        <v>14</v>
      </c>
      <c r="J6589" t="s">
        <v>242</v>
      </c>
      <c r="K6589" t="s">
        <v>14</v>
      </c>
      <c r="L6589" t="s">
        <v>20</v>
      </c>
      <c r="M6589" t="s">
        <v>12772</v>
      </c>
      <c r="N6589" t="s">
        <v>14</v>
      </c>
    </row>
    <row r="6590" x14ac:dyDescent="0.25">
      <c r="A6590" t="n">
        <v>25</v>
      </c>
      <c r="B6590" t="s">
        <v>14</v>
      </c>
      <c r="C6590" t="s">
        <v>51</v>
      </c>
      <c r="D6590" s="2" t="s">
        <f>=HYPERLINK("https://main.knesset.gov.il/APPS/legislation/main/bills/2197337", "הצעת חוק הגנת הצרכן (תיקון - חובת פרסום שם יצרן ודגם מוצר), התשפ""ג-2022")</f>
        <v>12936</v>
      </c>
      <c r="E6590" t="s">
        <v>12936</v>
      </c>
      <c r="F6590" t="s">
        <v>12937</v>
      </c>
      <c r="G6590" t="s">
        <v>14</v>
      </c>
      <c r="H6590">
             </c>
      <c r="I6590" t="s">
        <v>14</v>
      </c>
      <c r="J6590" t="s">
        <v>242</v>
      </c>
      <c r="K6590" t="s">
        <v>14</v>
      </c>
      <c r="L6590" t="s">
        <v>20</v>
      </c>
      <c r="M6590" t="s">
        <v>12772</v>
      </c>
      <c r="N6590" t="s">
        <v>14</v>
      </c>
    </row>
    <row r="6591" x14ac:dyDescent="0.25">
      <c r="A6591" t="n">
        <v>25</v>
      </c>
      <c r="B6591" t="s">
        <v>14</v>
      </c>
      <c r="C6591" t="s">
        <v>51</v>
      </c>
      <c r="D6591" s="2" t="s">
        <f>=HYPERLINK("https://main.knesset.gov.il/APPS/legislation/main/bills/2197199", "הצעת חוק ביטוח בריאות ממלכתי (תיקון - החזר דמי נסיעות והסעות לטיפולי אונקולוגיה ודיאליזה), התשפ""ג-2022")</f>
        <v>12938</v>
      </c>
      <c r="E6591" t="s">
        <v>12938</v>
      </c>
      <c r="F6591" t="s">
        <v>12939</v>
      </c>
      <c r="G6591" t="s">
        <v>14</v>
      </c>
      <c r="H6591">
             </c>
      <c r="I6591" t="s">
        <v>14</v>
      </c>
      <c r="J6591" t="s">
        <v>242</v>
      </c>
      <c r="K6591" t="s">
        <v>14</v>
      </c>
      <c r="L6591" t="s">
        <v>20</v>
      </c>
      <c r="M6591" t="s">
        <v>12772</v>
      </c>
      <c r="N6591" t="s">
        <v>14</v>
      </c>
    </row>
    <row r="6592" x14ac:dyDescent="0.25">
      <c r="A6592" t="n">
        <v>25</v>
      </c>
      <c r="B6592" t="s">
        <v>14</v>
      </c>
      <c r="C6592" t="s">
        <v>51</v>
      </c>
      <c r="D6592" s="2" t="s">
        <f>=HYPERLINK("https://main.knesset.gov.il/APPS/legislation/main/bills/2197197", "הצעת חוק הגנת הצרכן (תיקון - מענה אנושי בשירות טלפוני לאזרח ותיק), התשפ""ג-2022")</f>
        <v>12940</v>
      </c>
      <c r="E6592" t="s">
        <v>12940</v>
      </c>
      <c r="F6592" t="s">
        <v>12941</v>
      </c>
      <c r="G6592" t="s">
        <v>14</v>
      </c>
      <c r="H6592">
             </c>
      <c r="I6592" t="s">
        <v>14</v>
      </c>
      <c r="J6592" t="s">
        <v>242</v>
      </c>
      <c r="K6592" t="s">
        <v>14</v>
      </c>
      <c r="L6592" t="s">
        <v>20</v>
      </c>
      <c r="M6592" t="s">
        <v>12772</v>
      </c>
      <c r="N6592" t="s">
        <v>14</v>
      </c>
    </row>
    <row r="6593" x14ac:dyDescent="0.25">
      <c r="A6593" t="n">
        <v>25</v>
      </c>
      <c r="B6593" t="s">
        <v>14</v>
      </c>
      <c r="C6593" t="s">
        <v>51</v>
      </c>
      <c r="D6593" s="2" t="s">
        <f>=HYPERLINK("https://main.knesset.gov.il/APPS/legislation/main/bills/2197766", "הצעת חוק לתיקון פקודת מס הכנסה (ניכוי בגין הוצאות טיפול בילדים), התשפ""ג-2022")</f>
        <v>12942</v>
      </c>
      <c r="E6593" t="s">
        <v>12942</v>
      </c>
      <c r="F6593" t="s">
        <v>12943</v>
      </c>
      <c r="G6593" t="s">
        <v>14</v>
      </c>
      <c r="H6593">
             </c>
      <c r="I6593" t="s">
        <v>14</v>
      </c>
      <c r="J6593" t="s">
        <v>242</v>
      </c>
      <c r="K6593" t="s">
        <v>14</v>
      </c>
      <c r="L6593" t="s">
        <v>20</v>
      </c>
      <c r="M6593" t="s">
        <v>12772</v>
      </c>
      <c r="N6593" t="s">
        <v>14</v>
      </c>
    </row>
    <row r="6594" x14ac:dyDescent="0.25">
      <c r="A6594" t="n">
        <v>25</v>
      </c>
      <c r="B6594" t="s">
        <v>14</v>
      </c>
      <c r="C6594" t="s">
        <v>51</v>
      </c>
      <c r="D6594" s="2" t="s">
        <f>=HYPERLINK("https://main.knesset.gov.il/APPS/legislation/main/bills/2197762", "הצעת חוק עבודת נשים (תיקון - הארכת תקופת לידה והורות בתשלום), התשפ""ג-2022")</f>
        <v>12944</v>
      </c>
      <c r="E6594" t="s">
        <v>12944</v>
      </c>
      <c r="F6594" t="s">
        <v>12945</v>
      </c>
      <c r="G6594" t="s">
        <v>14</v>
      </c>
      <c r="H6594">
             </c>
      <c r="I6594" t="s">
        <v>14</v>
      </c>
      <c r="J6594" t="s">
        <v>242</v>
      </c>
      <c r="K6594" t="s">
        <v>14</v>
      </c>
      <c r="L6594" t="s">
        <v>20</v>
      </c>
      <c r="M6594" t="s">
        <v>12772</v>
      </c>
      <c r="N6594" t="s">
        <v>14</v>
      </c>
    </row>
    <row r="6595" x14ac:dyDescent="0.25">
      <c r="A6595" t="n">
        <v>25</v>
      </c>
      <c r="B6595" t="s">
        <v>14</v>
      </c>
      <c r="C6595" t="s">
        <v>51</v>
      </c>
      <c r="D6595" s="2" t="s">
        <f>=HYPERLINK("https://main.knesset.gov.il/APPS/legislation/main/bills/2197357", "הצעת חוק האזרחים הוותיקים (תיקון - לחצן מצוקה לקשיש), התשפ""ג-2022")</f>
        <v>12946</v>
      </c>
      <c r="E6595" t="s">
        <v>12946</v>
      </c>
      <c r="F6595" t="s">
        <v>12947</v>
      </c>
      <c r="G6595" t="s">
        <v>14</v>
      </c>
      <c r="H6595">
             </c>
      <c r="I6595" t="s">
        <v>14</v>
      </c>
      <c r="J6595" t="s">
        <v>242</v>
      </c>
      <c r="K6595" t="s">
        <v>14</v>
      </c>
      <c r="L6595" t="s">
        <v>20</v>
      </c>
      <c r="M6595" t="s">
        <v>12772</v>
      </c>
      <c r="N6595" t="s">
        <v>14</v>
      </c>
    </row>
    <row r="6596" x14ac:dyDescent="0.25">
      <c r="A6596" t="n">
        <v>25</v>
      </c>
      <c r="B6596" t="s">
        <v>14</v>
      </c>
      <c r="C6596" t="s">
        <v>51</v>
      </c>
      <c r="D6596" s="2" t="s">
        <f>=HYPERLINK("https://main.knesset.gov.il/APPS/legislation/main/bills/2197292", "הצעת חוק לתיקון פקודת התעבורה (הסדר ארצי אחיד לעניין גרירת רכב), התשפ""ג-2022")</f>
        <v>12948</v>
      </c>
      <c r="E6596" t="s">
        <v>12948</v>
      </c>
      <c r="F6596" t="s">
        <v>12949</v>
      </c>
      <c r="G6596" t="s">
        <v>14</v>
      </c>
      <c r="H6596">
             </c>
      <c r="I6596" t="s">
        <v>14</v>
      </c>
      <c r="J6596" t="s">
        <v>242</v>
      </c>
      <c r="K6596" t="s">
        <v>14</v>
      </c>
      <c r="L6596" t="s">
        <v>20</v>
      </c>
      <c r="M6596" t="s">
        <v>12772</v>
      </c>
      <c r="N6596" t="s">
        <v>14</v>
      </c>
    </row>
    <row r="6597" x14ac:dyDescent="0.25">
      <c r="A6597" t="n">
        <v>25</v>
      </c>
      <c r="B6597" t="s">
        <v>14</v>
      </c>
      <c r="C6597" t="s">
        <v>51</v>
      </c>
      <c r="D6597" s="2" t="s">
        <f>=HYPERLINK("https://main.knesset.gov.il/APPS/legislation/main/bills/2197720", "הצעת חוק הכשרות לאנשי מקצוע בנושא זיהוי ודיווח על התעללות בקטין או בחסר ישע, התשפ""ג-2022")</f>
        <v>12950</v>
      </c>
      <c r="E6597" t="s">
        <v>12950</v>
      </c>
      <c r="F6597" t="s">
        <v>12951</v>
      </c>
      <c r="G6597" t="s">
        <v>14</v>
      </c>
      <c r="H6597">
             </c>
      <c r="I6597" t="s">
        <v>14</v>
      </c>
      <c r="J6597" t="s">
        <v>242</v>
      </c>
      <c r="K6597" t="s">
        <v>14</v>
      </c>
      <c r="L6597" t="s">
        <v>20</v>
      </c>
      <c r="M6597" t="s">
        <v>12772</v>
      </c>
      <c r="N6597" t="s">
        <v>14</v>
      </c>
    </row>
    <row r="6598" x14ac:dyDescent="0.25">
      <c r="A6598" t="n">
        <v>25</v>
      </c>
      <c r="B6598" t="s">
        <v>14</v>
      </c>
      <c r="C6598" t="s">
        <v>51</v>
      </c>
      <c r="D6598" s="2" t="s">
        <f>=HYPERLINK("https://main.knesset.gov.il/APPS/legislation/main/bills/2197846", "הצעת חוק לביטול ההתיישנות בעבירות מין (תיקוני חקיקה), התשפ""ג-2022")</f>
        <v>12952</v>
      </c>
      <c r="E6598" t="s">
        <v>12952</v>
      </c>
      <c r="F6598" t="s">
        <v>12953</v>
      </c>
      <c r="G6598" t="s">
        <v>14</v>
      </c>
      <c r="H6598">
             </c>
      <c r="I6598" t="s">
        <v>14</v>
      </c>
      <c r="J6598" t="s">
        <v>242</v>
      </c>
      <c r="K6598" t="s">
        <v>14</v>
      </c>
      <c r="L6598" t="s">
        <v>20</v>
      </c>
      <c r="M6598" t="s">
        <v>12772</v>
      </c>
      <c r="N6598" t="s">
        <v>14</v>
      </c>
    </row>
    <row r="6599" x14ac:dyDescent="0.25">
      <c r="A6599" t="n">
        <v>25</v>
      </c>
      <c r="B6599" t="s">
        <v>14</v>
      </c>
      <c r="C6599" t="s">
        <v>51</v>
      </c>
      <c r="D6599" s="2" t="s">
        <f>=HYPERLINK("https://main.knesset.gov.il/APPS/legislation/main/bills/2196849", "הצעת חוק הלוואה מותנית ללימוד נהיגה, התשפ""ג-2022 ")</f>
        <v>12954</v>
      </c>
      <c r="E6599" t="s">
        <v>12954</v>
      </c>
      <c r="F6599" t="s">
        <v>12955</v>
      </c>
      <c r="G6599" t="s">
        <v>14</v>
      </c>
      <c r="H6599">
             </c>
      <c r="I6599" t="s">
        <v>14</v>
      </c>
      <c r="J6599" t="s">
        <v>242</v>
      </c>
      <c r="K6599" t="s">
        <v>14</v>
      </c>
      <c r="L6599" t="s">
        <v>20</v>
      </c>
      <c r="M6599" t="s">
        <v>12772</v>
      </c>
      <c r="N6599" t="s">
        <v>14</v>
      </c>
    </row>
    <row r="6600" x14ac:dyDescent="0.25">
      <c r="A6600" t="n">
        <v>25</v>
      </c>
      <c r="B6600" t="s">
        <v>14</v>
      </c>
      <c r="C6600" t="s">
        <v>51</v>
      </c>
      <c r="D6600" s="2" t="s">
        <f>=HYPERLINK("https://main.knesset.gov.il/APPS/legislation/main/bills/2197647", "הצעת חוק השיפוט הצבאי (תיקון - פקודת מעצר), התשפ""ג-2022")</f>
        <v>12956</v>
      </c>
      <c r="E6600" t="s">
        <v>12956</v>
      </c>
      <c r="F6600" t="s">
        <v>12957</v>
      </c>
      <c r="G6600" t="s">
        <v>14</v>
      </c>
      <c r="H6600">
             </c>
      <c r="I6600" t="s">
        <v>14</v>
      </c>
      <c r="J6600" t="s">
        <v>242</v>
      </c>
      <c r="K6600" t="s">
        <v>14</v>
      </c>
      <c r="L6600" t="s">
        <v>20</v>
      </c>
      <c r="M6600" t="s">
        <v>12772</v>
      </c>
      <c r="N6600" t="s">
        <v>14</v>
      </c>
    </row>
    <row r="6601" x14ac:dyDescent="0.25">
      <c r="A6601" t="n">
        <v>25</v>
      </c>
      <c r="B6601" t="s">
        <v>14</v>
      </c>
      <c r="C6601" t="s">
        <v>51</v>
      </c>
      <c r="D6601" s="2" t="s">
        <f>=HYPERLINK("https://main.knesset.gov.il/APPS/legislation/main/bills/2197721", "הצעת חוק עיטור הפציעה הקרבית, התשפ""ג-2022")</f>
        <v>12958</v>
      </c>
      <c r="E6601" t="s">
        <v>12958</v>
      </c>
      <c r="F6601" t="s">
        <v>12959</v>
      </c>
      <c r="G6601" t="s">
        <v>14</v>
      </c>
      <c r="H6601">
             </c>
      <c r="I6601" t="s">
        <v>14</v>
      </c>
      <c r="J6601" t="s">
        <v>242</v>
      </c>
      <c r="K6601" t="s">
        <v>14</v>
      </c>
      <c r="L6601" t="s">
        <v>20</v>
      </c>
      <c r="M6601" t="s">
        <v>12772</v>
      </c>
      <c r="N6601" t="s">
        <v>14</v>
      </c>
    </row>
    <row r="6602" x14ac:dyDescent="0.25">
      <c r="A6602" t="n">
        <v>25</v>
      </c>
      <c r="B6602" t="s">
        <v>14</v>
      </c>
      <c r="C6602" t="s">
        <v>51</v>
      </c>
      <c r="D6602" s="2" t="s">
        <f>=HYPERLINK("https://main.knesset.gov.il/APPS/legislation/main/bills/2197587", "הצעת חוק יום ירושלים (תיקון - יום שבתון), התשפ""ג-2022")</f>
        <v>12960</v>
      </c>
      <c r="E6602" t="s">
        <v>12960</v>
      </c>
      <c r="F6602" t="s">
        <v>12961</v>
      </c>
      <c r="G6602" t="s">
        <v>14</v>
      </c>
      <c r="H6602">
             </c>
      <c r="I6602" t="s">
        <v>14</v>
      </c>
      <c r="J6602" t="s">
        <v>242</v>
      </c>
      <c r="K6602" t="s">
        <v>14</v>
      </c>
      <c r="L6602" t="s">
        <v>20</v>
      </c>
      <c r="M6602" t="s">
        <v>12772</v>
      </c>
      <c r="N6602" t="s">
        <v>14</v>
      </c>
    </row>
    <row r="6603" x14ac:dyDescent="0.25">
      <c r="A6603" t="n">
        <v>25</v>
      </c>
      <c r="B6603" t="s">
        <v>14</v>
      </c>
      <c r="C6603" t="s">
        <v>51</v>
      </c>
      <c r="D6603" s="2" t="s">
        <f>=HYPERLINK("https://main.knesset.gov.il/APPS/legislation/main/bills/2197934", "הצעת חוק בתי המשפט (תיקון - רוב רגיל למינוי שופט בית המשפט העליון), התשפ""ג-2022")</f>
        <v>12962</v>
      </c>
      <c r="E6603" t="s">
        <v>12962</v>
      </c>
      <c r="F6603" t="s">
        <v>12963</v>
      </c>
      <c r="G6603" t="s">
        <v>14</v>
      </c>
      <c r="H6603">
             </c>
      <c r="I6603" t="s">
        <v>14</v>
      </c>
      <c r="J6603" t="s">
        <v>242</v>
      </c>
      <c r="K6603" t="s">
        <v>14</v>
      </c>
      <c r="L6603" t="s">
        <v>20</v>
      </c>
      <c r="M6603" t="s">
        <v>12772</v>
      </c>
      <c r="N6603" t="s">
        <v>14</v>
      </c>
    </row>
    <row r="6604" x14ac:dyDescent="0.25">
      <c r="A6604" t="n">
        <v>25</v>
      </c>
      <c r="B6604" t="s">
        <v>14</v>
      </c>
      <c r="C6604" t="s">
        <v>51</v>
      </c>
      <c r="D6604" s="2" t="s">
        <f>=HYPERLINK("https://main.knesset.gov.il/APPS/legislation/main/bills/2196064", "הצעת חוק רישוי סוכני אונייה, התשפ""ג-2022")</f>
        <v>12964</v>
      </c>
      <c r="E6604" t="s">
        <v>12964</v>
      </c>
      <c r="F6604" t="s">
        <v>12965</v>
      </c>
      <c r="G6604" t="s">
        <v>14</v>
      </c>
      <c r="H6604">
             </c>
      <c r="I6604" t="s">
        <v>14</v>
      </c>
      <c r="J6604" t="s">
        <v>242</v>
      </c>
      <c r="K6604" t="s">
        <v>14</v>
      </c>
      <c r="L6604" t="s">
        <v>20</v>
      </c>
      <c r="M6604" t="s">
        <v>12772</v>
      </c>
      <c r="N6604" t="s">
        <v>14</v>
      </c>
    </row>
    <row r="6605" x14ac:dyDescent="0.25">
      <c r="A6605" t="n">
        <v>25</v>
      </c>
      <c r="B6605" t="s">
        <v>14</v>
      </c>
      <c r="C6605" t="s">
        <v>51</v>
      </c>
      <c r="D6605" s="2" t="s">
        <f>=HYPERLINK("https://main.knesset.gov.il/APPS/legislation/main/bills/2195964", "הצעת חוק דמי מחלה (היעדרות בשל מחלת ילד) (תיקון - היעדרות בשל אשפוז ילד), התשפ""ג-2022")</f>
        <v>12966</v>
      </c>
      <c r="E6605" t="s">
        <v>12966</v>
      </c>
      <c r="F6605" t="s">
        <v>12967</v>
      </c>
      <c r="G6605" t="s">
        <v>14</v>
      </c>
      <c r="H6605">
             </c>
      <c r="I6605" t="s">
        <v>14</v>
      </c>
      <c r="J6605" t="s">
        <v>242</v>
      </c>
      <c r="K6605" t="s">
        <v>14</v>
      </c>
      <c r="L6605" t="s">
        <v>20</v>
      </c>
      <c r="M6605" t="s">
        <v>12772</v>
      </c>
      <c r="N6605" t="s">
        <v>14</v>
      </c>
    </row>
    <row r="6606" x14ac:dyDescent="0.25">
      <c r="A6606" t="n">
        <v>25</v>
      </c>
      <c r="B6606" t="s">
        <v>14</v>
      </c>
      <c r="C6606" t="s">
        <v>51</v>
      </c>
      <c r="D6606" s="2" t="s">
        <f>=HYPERLINK("https://main.knesset.gov.il/APPS/legislation/main/bills/2197483", "הצעת חוק הרשות לקידום מעמד האישה (תיקון - הרשות לקידום מעמד האישה ושוויון מגדרי), התשפ""ג-2022")</f>
        <v>12968</v>
      </c>
      <c r="E6606" t="s">
        <v>12968</v>
      </c>
      <c r="F6606" t="s">
        <v>12969</v>
      </c>
      <c r="G6606" t="s">
        <v>14</v>
      </c>
      <c r="H6606">
             </c>
      <c r="I6606" t="s">
        <v>14</v>
      </c>
      <c r="J6606" t="s">
        <v>242</v>
      </c>
      <c r="K6606" t="s">
        <v>14</v>
      </c>
      <c r="L6606" t="s">
        <v>20</v>
      </c>
      <c r="M6606" t="s">
        <v>12772</v>
      </c>
      <c r="N6606" t="s">
        <v>14</v>
      </c>
    </row>
    <row r="6607" x14ac:dyDescent="0.25">
      <c r="A6607" t="n">
        <v>25</v>
      </c>
      <c r="B6607" t="s">
        <v>14</v>
      </c>
      <c r="C6607" t="s">
        <v>51</v>
      </c>
      <c r="D6607" s="2" t="s">
        <f>=HYPERLINK("https://main.knesset.gov.il/APPS/legislation/main/bills/2197580", "הצעת חוק לתיקון פקודת בתי הסוהר (פיקוח על ערוצי טלויזיה ורדיו), התשפ""ג-2022")</f>
        <v>12970</v>
      </c>
      <c r="E6607" t="s">
        <v>12970</v>
      </c>
      <c r="F6607" t="s">
        <v>12971</v>
      </c>
      <c r="G6607" t="s">
        <v>14</v>
      </c>
      <c r="H6607">
             </c>
      <c r="I6607" t="s">
        <v>14</v>
      </c>
      <c r="J6607" t="s">
        <v>242</v>
      </c>
      <c r="K6607" t="s">
        <v>14</v>
      </c>
      <c r="L6607" t="s">
        <v>20</v>
      </c>
      <c r="M6607" t="s">
        <v>12772</v>
      </c>
      <c r="N6607" t="s">
        <v>14</v>
      </c>
    </row>
    <row r="6608" x14ac:dyDescent="0.25">
      <c r="A6608" t="n">
        <v>25</v>
      </c>
      <c r="B6608" t="s">
        <v>14</v>
      </c>
      <c r="C6608" t="s">
        <v>51</v>
      </c>
      <c r="D6608" s="2" t="s">
        <f>=HYPERLINK("https://main.knesset.gov.il/APPS/legislation/main/bills/2197574", "הצעת חוק לתיקון פקודת בתי הסוהר (טיפול אינדיבידואלי באסיר ביטחוני), התשפ""ג-2022")</f>
        <v>12972</v>
      </c>
      <c r="E6608" t="s">
        <v>12972</v>
      </c>
      <c r="F6608" t="s">
        <v>12973</v>
      </c>
      <c r="G6608" t="s">
        <v>14</v>
      </c>
      <c r="H6608">
             </c>
      <c r="I6608" t="s">
        <v>14</v>
      </c>
      <c r="J6608" t="s">
        <v>242</v>
      </c>
      <c r="K6608" t="s">
        <v>14</v>
      </c>
      <c r="L6608" t="s">
        <v>20</v>
      </c>
      <c r="M6608" t="s">
        <v>12772</v>
      </c>
      <c r="N6608" t="s">
        <v>14</v>
      </c>
    </row>
    <row r="6609" x14ac:dyDescent="0.25">
      <c r="A6609" t="n">
        <v>25</v>
      </c>
      <c r="B6609" t="s">
        <v>14</v>
      </c>
      <c r="C6609" t="s">
        <v>51</v>
      </c>
      <c r="D6609" s="2" t="s">
        <f>=HYPERLINK("https://main.knesset.gov.il/APPS/legislation/main/bills/2197298", "הצעת חוק הביטוח הלאומי (תיקון - גמלה בשל דיכאון לאחר לידה), התשפ""ג-2022")</f>
        <v>12974</v>
      </c>
      <c r="E6609" t="s">
        <v>12974</v>
      </c>
      <c r="F6609" t="s">
        <v>12975</v>
      </c>
      <c r="G6609" t="s">
        <v>14</v>
      </c>
      <c r="H6609">
             </c>
      <c r="I6609" t="s">
        <v>14</v>
      </c>
      <c r="J6609" t="s">
        <v>242</v>
      </c>
      <c r="K6609" t="s">
        <v>14</v>
      </c>
      <c r="L6609" t="s">
        <v>20</v>
      </c>
      <c r="M6609" t="s">
        <v>12772</v>
      </c>
      <c r="N6609" t="s">
        <v>14</v>
      </c>
    </row>
    <row r="6610" x14ac:dyDescent="0.25">
      <c r="A6610" t="n">
        <v>25</v>
      </c>
      <c r="B6610" t="s">
        <v>14</v>
      </c>
      <c r="C6610" t="s">
        <v>51</v>
      </c>
      <c r="D6610" s="2" t="s">
        <f>=HYPERLINK("https://main.knesset.gov.il/APPS/legislation/main/bills/2197630", "הצעת חוק העתיקות (תיקון - הודעה ומחיקת הערה בפנקסי המקרקעין), התשפ""ג-2022")</f>
        <v>12976</v>
      </c>
      <c r="E6610" t="s">
        <v>12976</v>
      </c>
      <c r="F6610" t="s">
        <v>12977</v>
      </c>
      <c r="G6610" t="s">
        <v>14</v>
      </c>
      <c r="H6610">
             </c>
      <c r="I6610" t="s">
        <v>14</v>
      </c>
      <c r="J6610" t="s">
        <v>242</v>
      </c>
      <c r="K6610" t="s">
        <v>14</v>
      </c>
      <c r="L6610" t="s">
        <v>20</v>
      </c>
      <c r="M6610" t="s">
        <v>12772</v>
      </c>
      <c r="N6610" t="s">
        <v>14</v>
      </c>
    </row>
    <row r="6611" x14ac:dyDescent="0.25">
      <c r="A6611" t="n">
        <v>25</v>
      </c>
      <c r="B6611" t="s">
        <v>14</v>
      </c>
      <c r="C6611" t="s">
        <v>51</v>
      </c>
      <c r="D6611" s="2" t="s">
        <f>=HYPERLINK("https://main.knesset.gov.il/APPS/legislation/main/bills/2197631", "הצעת חוק מס ערך מוסף (תיקון - מס בשיעור אפס על מוצרי היגיינה נשית), התשפ""ג-2022")</f>
        <v>12978</v>
      </c>
      <c r="E6611" t="s">
        <v>12978</v>
      </c>
      <c r="F6611" t="s">
        <v>12979</v>
      </c>
      <c r="G6611" t="s">
        <v>14</v>
      </c>
      <c r="H6611">
             </c>
      <c r="I6611" t="s">
        <v>14</v>
      </c>
      <c r="J6611" t="s">
        <v>242</v>
      </c>
      <c r="K6611" t="s">
        <v>14</v>
      </c>
      <c r="L6611" t="s">
        <v>20</v>
      </c>
      <c r="M6611" t="s">
        <v>12772</v>
      </c>
      <c r="N6611" t="s">
        <v>14</v>
      </c>
    </row>
    <row r="6612" x14ac:dyDescent="0.25">
      <c r="A6612" t="n">
        <v>25</v>
      </c>
      <c r="B6612" t="s">
        <v>14</v>
      </c>
      <c r="C6612" t="s">
        <v>51</v>
      </c>
      <c r="D6612" s="2" t="s">
        <f>=HYPERLINK("https://main.knesset.gov.il/APPS/legislation/main/bills/2197443", "הצעת חוק להקמת קרן למוצרי מזון בריא, התשפ''ג-2022")</f>
        <v>12980</v>
      </c>
      <c r="E6612" t="s">
        <v>12980</v>
      </c>
      <c r="F6612" t="s">
        <v>12981</v>
      </c>
      <c r="G6612" t="s">
        <v>14</v>
      </c>
      <c r="H6612">
             </c>
      <c r="I6612" t="s">
        <v>14</v>
      </c>
      <c r="J6612" t="s">
        <v>242</v>
      </c>
      <c r="K6612" t="s">
        <v>14</v>
      </c>
      <c r="L6612" t="s">
        <v>20</v>
      </c>
      <c r="M6612" t="s">
        <v>12772</v>
      </c>
      <c r="N6612" t="s">
        <v>14</v>
      </c>
    </row>
    <row r="6613" x14ac:dyDescent="0.25">
      <c r="A6613" t="n">
        <v>25</v>
      </c>
      <c r="B6613" t="s">
        <v>14</v>
      </c>
      <c r="C6613" t="s">
        <v>51</v>
      </c>
      <c r="D6613" s="2" t="s">
        <f>=HYPERLINK("https://main.knesset.gov.il/APPS/legislation/main/bills/2197151", "הצעת חוק הבנקאות (שירות ללקוח) (תיקון - קיצור משך זמן לביטול שעבוד), התשפ""ג-2022")</f>
        <v>12982</v>
      </c>
      <c r="E6613" t="s">
        <v>12982</v>
      </c>
      <c r="F6613" t="s">
        <v>12983</v>
      </c>
      <c r="G6613" t="s">
        <v>14</v>
      </c>
      <c r="H6613">
             </c>
      <c r="I6613" t="s">
        <v>14</v>
      </c>
      <c r="J6613" t="s">
        <v>202</v>
      </c>
      <c r="K6613" t="s">
        <v>14</v>
      </c>
      <c r="L6613" t="s">
        <v>20</v>
      </c>
      <c r="M6613" t="s">
        <v>12772</v>
      </c>
      <c r="N6613" t="s">
        <v>14</v>
      </c>
    </row>
    <row r="6614" x14ac:dyDescent="0.25">
      <c r="A6614" t="n">
        <v>25</v>
      </c>
      <c r="B6614" t="s">
        <v>14</v>
      </c>
      <c r="C6614" t="s">
        <v>51</v>
      </c>
      <c r="D6614" s="2" t="s">
        <f>=HYPERLINK("https://main.knesset.gov.il/APPS/legislation/main/bills/2196859", "הצעת חוק הבנקאות (שירות ללקוח) (תיקון - הפחתת יוקר תשלומי הלוואה לדיור), התשפ""ג-2022")</f>
        <v>12984</v>
      </c>
      <c r="E6614" t="s">
        <v>12984</v>
      </c>
      <c r="F6614" t="s">
        <v>12985</v>
      </c>
      <c r="G6614" t="s">
        <v>14</v>
      </c>
      <c r="H6614">
             </c>
      <c r="I6614" t="s">
        <v>14</v>
      </c>
      <c r="J6614" t="s">
        <v>242</v>
      </c>
      <c r="K6614" t="s">
        <v>14</v>
      </c>
      <c r="L6614" t="s">
        <v>20</v>
      </c>
      <c r="M6614" t="s">
        <v>12772</v>
      </c>
      <c r="N6614" t="s">
        <v>14</v>
      </c>
    </row>
    <row r="6615" x14ac:dyDescent="0.25">
      <c r="A6615" t="n">
        <v>25</v>
      </c>
      <c r="B6615" t="s">
        <v>14</v>
      </c>
      <c r="C6615" t="s">
        <v>51</v>
      </c>
      <c r="D6615" s="2" t="s">
        <f>=HYPERLINK("https://main.knesset.gov.il/APPS/legislation/main/bills/2196843", "הצעת חוק המועצה להשכלה גבוהה (תיקון - איסור הנפת דגל של ישות עוינת במוסד מוכר), התשפ""ג-2022")</f>
        <v>12986</v>
      </c>
      <c r="E6615" t="s">
        <v>12986</v>
      </c>
      <c r="F6615" t="s">
        <v>12987</v>
      </c>
      <c r="G6615" t="s">
        <v>14</v>
      </c>
      <c r="H6615">
             </c>
      <c r="I6615" t="s">
        <v>14</v>
      </c>
      <c r="J6615" t="s">
        <v>242</v>
      </c>
      <c r="K6615" t="s">
        <v>14</v>
      </c>
      <c r="L6615" t="s">
        <v>20</v>
      </c>
      <c r="M6615" t="s">
        <v>12772</v>
      </c>
      <c r="N6615" t="s">
        <v>14</v>
      </c>
    </row>
    <row r="6616" x14ac:dyDescent="0.25">
      <c r="A6616" t="n">
        <v>25</v>
      </c>
      <c r="B6616" t="s">
        <v>14</v>
      </c>
      <c r="C6616" t="s">
        <v>51</v>
      </c>
      <c r="D6616" s="2" t="s">
        <f>=HYPERLINK("https://main.knesset.gov.il/APPS/legislation/main/bills/2195962", "הצעת חוק העונשין (תיקון - גזענות נגד קבוצה דתית), התשפ""ג-2022")</f>
        <v>8285</v>
      </c>
      <c r="E6616" t="s">
        <v>8285</v>
      </c>
      <c r="F6616" t="s">
        <v>12988</v>
      </c>
      <c r="G6616" t="s">
        <v>14</v>
      </c>
      <c r="H6616">
             </c>
      <c r="I6616" t="s">
        <v>14</v>
      </c>
      <c r="J6616" t="s">
        <v>242</v>
      </c>
      <c r="K6616" t="s">
        <v>14</v>
      </c>
      <c r="L6616" t="s">
        <v>20</v>
      </c>
      <c r="M6616" t="s">
        <v>12772</v>
      </c>
      <c r="N6616" t="s">
        <v>14</v>
      </c>
    </row>
    <row r="6617" x14ac:dyDescent="0.25">
      <c r="A6617" t="n">
        <v>25</v>
      </c>
      <c r="B6617" t="s">
        <v>14</v>
      </c>
      <c r="C6617" t="s">
        <v>51</v>
      </c>
      <c r="D6617" s="2" t="s">
        <f>=HYPERLINK("https://main.knesset.gov.il/APPS/legislation/main/bills/2195961", "הצעת חוק להגברת האכיפה של דיני העבודה (תיקון - הפרות בטיחות בעבודה בתחום הבנייה), התשפ""ג-2022")</f>
        <v>12989</v>
      </c>
      <c r="E6617" t="s">
        <v>12989</v>
      </c>
      <c r="F6617" t="s">
        <v>12990</v>
      </c>
      <c r="G6617" t="s">
        <v>14</v>
      </c>
      <c r="H6617">
             </c>
      <c r="I6617" t="s">
        <v>14</v>
      </c>
      <c r="J6617" t="s">
        <v>242</v>
      </c>
      <c r="K6617" t="s">
        <v>14</v>
      </c>
      <c r="L6617" t="s">
        <v>20</v>
      </c>
      <c r="M6617" t="s">
        <v>12772</v>
      </c>
      <c r="N6617" t="s">
        <v>14</v>
      </c>
    </row>
    <row r="6618" x14ac:dyDescent="0.25">
      <c r="A6618" t="n">
        <v>25</v>
      </c>
      <c r="B6618" t="s">
        <v>14</v>
      </c>
      <c r="C6618" t="s">
        <v>51</v>
      </c>
      <c r="D6618" s="2" t="s">
        <f>=HYPERLINK("https://main.knesset.gov.il/APPS/legislation/main/bills/2197143", "הצעת חוק הגנת הצרכן (תיקון - הארכת תקופת האחריות), התשפ""ג-2022")</f>
        <v>12991</v>
      </c>
      <c r="E6618" t="s">
        <v>12991</v>
      </c>
      <c r="F6618" t="s">
        <v>12992</v>
      </c>
      <c r="G6618" t="s">
        <v>14</v>
      </c>
      <c r="H6618">
             </c>
      <c r="I6618" t="s">
        <v>14</v>
      </c>
      <c r="J6618" t="s">
        <v>242</v>
      </c>
      <c r="K6618" t="s">
        <v>14</v>
      </c>
      <c r="L6618" t="s">
        <v>20</v>
      </c>
      <c r="M6618" t="s">
        <v>12772</v>
      </c>
      <c r="N6618" t="s">
        <v>14</v>
      </c>
    </row>
    <row r="6619" x14ac:dyDescent="0.25">
      <c r="A6619" t="n">
        <v>25</v>
      </c>
      <c r="B6619" t="s">
        <v>14</v>
      </c>
      <c r="C6619" t="s">
        <v>51</v>
      </c>
      <c r="D6619" s="2" t="s">
        <f>=HYPERLINK("https://main.knesset.gov.il/APPS/legislation/main/bills/2198034", "הצעת חוק ארוחת בוקר במוסדות חינוך, התשפ""ג-2022")</f>
        <v>12993</v>
      </c>
      <c r="E6619" t="s">
        <v>12993</v>
      </c>
      <c r="F6619" t="s">
        <v>12994</v>
      </c>
      <c r="G6619" t="s">
        <v>14</v>
      </c>
      <c r="H6619">
             </c>
      <c r="I6619" t="s">
        <v>14</v>
      </c>
      <c r="J6619" t="s">
        <v>242</v>
      </c>
      <c r="K6619" t="s">
        <v>14</v>
      </c>
      <c r="L6619" t="s">
        <v>20</v>
      </c>
      <c r="M6619" t="s">
        <v>12772</v>
      </c>
      <c r="N6619" t="s">
        <v>14</v>
      </c>
    </row>
    <row r="6620" x14ac:dyDescent="0.25">
      <c r="A6620" t="n">
        <v>25</v>
      </c>
      <c r="B6620" t="s">
        <v>14</v>
      </c>
      <c r="C6620" t="s">
        <v>51</v>
      </c>
      <c r="D6620" s="2" t="s">
        <f>=HYPERLINK("https://main.knesset.gov.il/APPS/legislation/main/bills/2197369", "הצעת חוק ארוחת בוקר במוסדות חינוך, התשפ""ג-2022")</f>
        <v>12993</v>
      </c>
      <c r="E6620" t="s">
        <v>12993</v>
      </c>
      <c r="F6620" t="s">
        <v>12995</v>
      </c>
      <c r="G6620" t="s">
        <v>14</v>
      </c>
      <c r="H6620">
             </c>
      <c r="I6620" t="s">
        <v>14</v>
      </c>
      <c r="J6620" t="s">
        <v>242</v>
      </c>
      <c r="K6620" t="s">
        <v>14</v>
      </c>
      <c r="L6620" t="s">
        <v>20</v>
      </c>
      <c r="M6620" t="s">
        <v>12772</v>
      </c>
      <c r="N6620" t="s">
        <v>14</v>
      </c>
    </row>
    <row r="6621" x14ac:dyDescent="0.25">
      <c r="A6621" t="n">
        <v>25</v>
      </c>
      <c r="B6621" t="s">
        <v>14</v>
      </c>
      <c r="C6621" t="s">
        <v>51</v>
      </c>
      <c r="D6621" s="2" t="s">
        <f>=HYPERLINK("https://main.knesset.gov.il/APPS/legislation/main/bills/2197252", "הצעת חוק ביטוח בריאות ממלכתי (תיקון - העברת תיק רפואי במעבר בין קופות), התשפ""ג-2022")</f>
        <v>12996</v>
      </c>
      <c r="E6621" t="s">
        <v>12996</v>
      </c>
      <c r="F6621" t="s">
        <v>12997</v>
      </c>
      <c r="G6621" t="s">
        <v>14</v>
      </c>
      <c r="H6621">
             </c>
      <c r="I6621" t="s">
        <v>14</v>
      </c>
      <c r="J6621" t="s">
        <v>242</v>
      </c>
      <c r="K6621" t="s">
        <v>14</v>
      </c>
      <c r="L6621" t="s">
        <v>20</v>
      </c>
      <c r="M6621" t="s">
        <v>12772</v>
      </c>
      <c r="N6621" t="s">
        <v>14</v>
      </c>
    </row>
    <row r="6622" x14ac:dyDescent="0.25">
      <c r="A6622" t="n">
        <v>25</v>
      </c>
      <c r="B6622" t="s">
        <v>14</v>
      </c>
      <c r="C6622" t="s">
        <v>51</v>
      </c>
      <c r="D6622" s="2" t="s">
        <f>=HYPERLINK("https://main.knesset.gov.il/APPS/legislation/main/bills/2197305", "הצעת חוק מס ערך מוסף (תיקון - פטור ממס במכירת תרופות מצילות חיים שאינן כלולות בסל הבריאות), התשפ""ג-2022")</f>
        <v>12998</v>
      </c>
      <c r="E6622" t="s">
        <v>12998</v>
      </c>
      <c r="F6622" t="s">
        <v>12999</v>
      </c>
      <c r="G6622" t="s">
        <v>14</v>
      </c>
      <c r="H6622">
             </c>
      <c r="I6622" t="s">
        <v>14</v>
      </c>
      <c r="J6622" t="s">
        <v>242</v>
      </c>
      <c r="K6622" t="s">
        <v>14</v>
      </c>
      <c r="L6622" t="s">
        <v>20</v>
      </c>
      <c r="M6622" t="s">
        <v>12772</v>
      </c>
      <c r="N6622" t="s">
        <v>14</v>
      </c>
    </row>
    <row r="6623" x14ac:dyDescent="0.25">
      <c r="A6623" t="n">
        <v>25</v>
      </c>
      <c r="B6623" t="s">
        <v>14</v>
      </c>
      <c r="C6623" t="s">
        <v>51</v>
      </c>
      <c r="D6623" s="2" t="s">
        <f>=HYPERLINK("https://main.knesset.gov.il/APPS/legislation/main/bills/2197361", "הצעת חוק מס ערך מוסף (תיקון - פטור ממס במכירת תרופות מצילות חיים שאינן כלולות בסל הבריאות), התשפ""ג-2022")</f>
        <v>12998</v>
      </c>
      <c r="E6623" t="s">
        <v>12998</v>
      </c>
      <c r="F6623" t="s">
        <v>13000</v>
      </c>
      <c r="G6623" t="s">
        <v>14</v>
      </c>
      <c r="H6623">
             </c>
      <c r="I6623" t="s">
        <v>14</v>
      </c>
      <c r="J6623" t="s">
        <v>242</v>
      </c>
      <c r="K6623" t="s">
        <v>14</v>
      </c>
      <c r="L6623" t="s">
        <v>20</v>
      </c>
      <c r="M6623" t="s">
        <v>12772</v>
      </c>
      <c r="N6623" t="s">
        <v>14</v>
      </c>
    </row>
    <row r="6624" x14ac:dyDescent="0.25">
      <c r="A6624" t="n">
        <v>25</v>
      </c>
      <c r="B6624" t="s">
        <v>14</v>
      </c>
      <c r="C6624" t="s">
        <v>51</v>
      </c>
      <c r="D6624" s="2" t="s">
        <f>=HYPERLINK("https://main.knesset.gov.il/APPS/legislation/main/bills/2197569", "הצעת חוק הבטחת הכנסה (תיקון - תוספת לגמלה בעד הילד השלישי ואילך), התשפ""ג-2022")</f>
        <v>13001</v>
      </c>
      <c r="E6624" t="s">
        <v>13001</v>
      </c>
      <c r="F6624" t="s">
        <v>13002</v>
      </c>
      <c r="G6624" t="s">
        <v>14</v>
      </c>
      <c r="H6624">
             </c>
      <c r="I6624" t="s">
        <v>14</v>
      </c>
      <c r="J6624" t="s">
        <v>242</v>
      </c>
      <c r="K6624" t="s">
        <v>14</v>
      </c>
      <c r="L6624" t="s">
        <v>20</v>
      </c>
      <c r="M6624" t="s">
        <v>12772</v>
      </c>
      <c r="N6624" t="s">
        <v>14</v>
      </c>
    </row>
    <row r="6625" x14ac:dyDescent="0.25">
      <c r="A6625" t="n">
        <v>25</v>
      </c>
      <c r="B6625" t="s">
        <v>14</v>
      </c>
      <c r="C6625" t="s">
        <v>51</v>
      </c>
      <c r="D6625" s="2" t="s">
        <f>=HYPERLINK("https://main.knesset.gov.il/APPS/legislation/main/bills/2196937", "הצעת חוק-יסוד: השפיטה (תיקון - בחירת נשיא בית המשפט העליון בידי הכנסת)")</f>
        <v>4573</v>
      </c>
      <c r="E6625" t="s">
        <v>4573</v>
      </c>
      <c r="F6625" t="s">
        <v>13003</v>
      </c>
      <c r="G6625" t="s">
        <v>14</v>
      </c>
      <c r="H6625">
             </c>
      <c r="I6625" t="s">
        <v>14</v>
      </c>
      <c r="J6625" t="s">
        <v>242</v>
      </c>
      <c r="K6625" t="s">
        <v>14</v>
      </c>
      <c r="L6625" t="s">
        <v>20</v>
      </c>
      <c r="M6625" t="s">
        <v>12772</v>
      </c>
      <c r="N6625" t="s">
        <v>14</v>
      </c>
    </row>
    <row r="6626" x14ac:dyDescent="0.25">
      <c r="A6626" t="n">
        <v>25</v>
      </c>
      <c r="B6626" t="s">
        <v>14</v>
      </c>
      <c r="C6626" t="s">
        <v>51</v>
      </c>
      <c r="D6626" s="2" t="s">
        <f>=HYPERLINK("https://main.knesset.gov.il/APPS/legislation/main/bills/2196348", "הצעת חוק הבטחת הכנסה (תיקון - תוספת לגמלה בעד הילד השלישי ואילך), התשפ""ג-2022")</f>
        <v>13001</v>
      </c>
      <c r="E6626" t="s">
        <v>13001</v>
      </c>
      <c r="F6626" t="s">
        <v>13004</v>
      </c>
      <c r="G6626" t="s">
        <v>14</v>
      </c>
      <c r="H6626">
             </c>
      <c r="I6626" t="s">
        <v>14</v>
      </c>
      <c r="J6626" t="s">
        <v>242</v>
      </c>
      <c r="K6626" t="s">
        <v>14</v>
      </c>
      <c r="L6626" t="s">
        <v>20</v>
      </c>
      <c r="M6626" t="s">
        <v>12772</v>
      </c>
      <c r="N6626" t="s">
        <v>14</v>
      </c>
    </row>
    <row r="6627" x14ac:dyDescent="0.25">
      <c r="A6627" t="n">
        <v>25</v>
      </c>
      <c r="B6627" t="s">
        <v>14</v>
      </c>
      <c r="C6627" t="s">
        <v>51</v>
      </c>
      <c r="D6627" s="2" t="s">
        <f>=HYPERLINK("https://main.knesset.gov.il/APPS/legislation/main/bills/2197274", "הצעת חוק פיצוי לנפגעי פוליו (תיקון - הכרה באחוזי נכות של נפגע פוליו לצורך דינים אחרים), התשפ""ג-2022")</f>
        <v>13005</v>
      </c>
      <c r="E6627" t="s">
        <v>13005</v>
      </c>
      <c r="F6627" t="s">
        <v>13006</v>
      </c>
      <c r="G6627" t="s">
        <v>14</v>
      </c>
      <c r="H6627">
             </c>
      <c r="I6627" t="s">
        <v>14</v>
      </c>
      <c r="J6627" t="s">
        <v>242</v>
      </c>
      <c r="K6627" t="s">
        <v>14</v>
      </c>
      <c r="L6627" t="s">
        <v>20</v>
      </c>
      <c r="M6627" t="s">
        <v>12772</v>
      </c>
      <c r="N6627" t="s">
        <v>14</v>
      </c>
    </row>
    <row r="6628" x14ac:dyDescent="0.25">
      <c r="A6628" t="n">
        <v>25</v>
      </c>
      <c r="B6628" t="s">
        <v>14</v>
      </c>
      <c r="C6628" t="s">
        <v>51</v>
      </c>
      <c r="D6628" s="2" t="s">
        <f>=HYPERLINK("https://main.knesset.gov.il/APPS/legislation/main/bills/2197241", "הצעת חוק לתיקון פקודת התעבורה (ביטול קנס בשל רכישת מערכות בטיחות מתקדמות), התשפ""ג-2022")</f>
        <v>13007</v>
      </c>
      <c r="E6628" t="s">
        <v>13007</v>
      </c>
      <c r="F6628" t="s">
        <v>13008</v>
      </c>
      <c r="G6628" t="s">
        <v>14</v>
      </c>
      <c r="H6628">
             </c>
      <c r="I6628" t="s">
        <v>14</v>
      </c>
      <c r="J6628" t="s">
        <v>242</v>
      </c>
      <c r="K6628" t="s">
        <v>14</v>
      </c>
      <c r="L6628" t="s">
        <v>20</v>
      </c>
      <c r="M6628" t="s">
        <v>12772</v>
      </c>
      <c r="N6628" t="s">
        <v>14</v>
      </c>
    </row>
    <row r="6629" x14ac:dyDescent="0.25">
      <c r="A6629" t="n">
        <v>25</v>
      </c>
      <c r="B6629" t="s">
        <v>14</v>
      </c>
      <c r="C6629" t="s">
        <v>51</v>
      </c>
      <c r="D6629" s="2" t="s">
        <f>=HYPERLINK("https://main.knesset.gov.il/APPS/legislation/main/bills/2195949", "הצעת חוק ביטוח בריאות ממלכתי (תיקון - תושב ששהה מחוץ לישראל ואין לו קרוב משפחה), התשפ""ג-2022")</f>
        <v>13009</v>
      </c>
      <c r="E6629" t="s">
        <v>13009</v>
      </c>
      <c r="F6629" t="s">
        <v>13010</v>
      </c>
      <c r="G6629" t="s">
        <v>14</v>
      </c>
      <c r="H6629">
             </c>
      <c r="I6629" t="s">
        <v>14</v>
      </c>
      <c r="J6629" t="s">
        <v>242</v>
      </c>
      <c r="K6629" t="s">
        <v>14</v>
      </c>
      <c r="L6629" t="s">
        <v>20</v>
      </c>
      <c r="M6629" t="s">
        <v>12772</v>
      </c>
      <c r="N6629" t="s">
        <v>14</v>
      </c>
    </row>
    <row r="6630" x14ac:dyDescent="0.25">
      <c r="A6630" t="n">
        <v>25</v>
      </c>
      <c r="B6630" t="s">
        <v>14</v>
      </c>
      <c r="C6630" t="s">
        <v>51</v>
      </c>
      <c r="D6630" s="2" t="s">
        <f>=HYPERLINK("https://main.knesset.gov.il/APPS/legislation/main/bills/2195946", "הצעת חוק בית המשפט לענייני משפחה (תיקון - רשימת כונסי נכסים), התשפ""ג-2022")</f>
        <v>13011</v>
      </c>
      <c r="E6630" t="s">
        <v>13011</v>
      </c>
      <c r="F6630" t="s">
        <v>13012</v>
      </c>
      <c r="G6630" t="s">
        <v>14</v>
      </c>
      <c r="H6630">
             </c>
      <c r="I6630" t="s">
        <v>14</v>
      </c>
      <c r="J6630" t="s">
        <v>242</v>
      </c>
      <c r="K6630" t="s">
        <v>14</v>
      </c>
      <c r="L6630" t="s">
        <v>20</v>
      </c>
      <c r="M6630" t="s">
        <v>12772</v>
      </c>
      <c r="N6630" t="s">
        <v>14</v>
      </c>
    </row>
    <row r="6631" x14ac:dyDescent="0.25">
      <c r="A6631" t="n">
        <v>25</v>
      </c>
      <c r="B6631" t="s">
        <v>14</v>
      </c>
      <c r="C6631" t="s">
        <v>51</v>
      </c>
      <c r="D6631" s="2" t="s">
        <f>=HYPERLINK("https://main.knesset.gov.il/APPS/legislation/main/bills/2195959", "הצעת חוק עבודת נשים (תיקון - שעות היעדרות מעבודה לאישה בהריון בר-סיכון), התשפ""ג-2022")</f>
        <v>13013</v>
      </c>
      <c r="E6631" t="s">
        <v>13013</v>
      </c>
      <c r="F6631" t="s">
        <v>13014</v>
      </c>
      <c r="G6631" t="s">
        <v>14</v>
      </c>
      <c r="H6631">
             </c>
      <c r="I6631" t="s">
        <v>14</v>
      </c>
      <c r="J6631" t="s">
        <v>242</v>
      </c>
      <c r="K6631" t="s">
        <v>14</v>
      </c>
      <c r="L6631" t="s">
        <v>20</v>
      </c>
      <c r="M6631" t="s">
        <v>12772</v>
      </c>
      <c r="N6631" t="s">
        <v>14</v>
      </c>
    </row>
    <row r="6632" x14ac:dyDescent="0.25">
      <c r="A6632" t="n">
        <v>25</v>
      </c>
      <c r="B6632" t="s">
        <v>14</v>
      </c>
      <c r="C6632" t="s">
        <v>51</v>
      </c>
      <c r="D6632" s="2" t="s">
        <f>=HYPERLINK("https://main.knesset.gov.il/APPS/legislation/main/bills/2197235", "הצעת חוק לעידוד חקלאות גגות (תיקוני חקיקה), התשפ""ג-2022")</f>
        <v>13015</v>
      </c>
      <c r="E6632" t="s">
        <v>13015</v>
      </c>
      <c r="F6632" t="s">
        <v>13016</v>
      </c>
      <c r="G6632" t="s">
        <v>14</v>
      </c>
      <c r="H6632">
             </c>
      <c r="I6632" t="s">
        <v>14</v>
      </c>
      <c r="J6632" t="s">
        <v>242</v>
      </c>
      <c r="K6632" t="s">
        <v>14</v>
      </c>
      <c r="L6632" t="s">
        <v>20</v>
      </c>
      <c r="M6632" t="s">
        <v>12772</v>
      </c>
      <c r="N6632" t="s">
        <v>14</v>
      </c>
    </row>
    <row r="6633" x14ac:dyDescent="0.25">
      <c r="A6633" t="n">
        <v>25</v>
      </c>
      <c r="B6633" t="s">
        <v>14</v>
      </c>
      <c r="C6633" t="s">
        <v>51</v>
      </c>
      <c r="D6633" s="2" t="s">
        <f>=HYPERLINK("https://main.knesset.gov.il/APPS/legislation/main/bills/2197212", "הצעת חוק יום לציון פועלו וזכרו של אלי כהן, התשפ""ג-2022")</f>
        <v>13017</v>
      </c>
      <c r="E6633" t="s">
        <v>13017</v>
      </c>
      <c r="F6633" t="s">
        <v>13018</v>
      </c>
      <c r="G6633" t="s">
        <v>14</v>
      </c>
      <c r="H6633">
             </c>
      <c r="I6633" t="s">
        <v>14</v>
      </c>
      <c r="J6633" t="s">
        <v>242</v>
      </c>
      <c r="K6633" t="s">
        <v>14</v>
      </c>
      <c r="L6633" t="s">
        <v>20</v>
      </c>
      <c r="M6633" t="s">
        <v>12772</v>
      </c>
      <c r="N6633" t="s">
        <v>14</v>
      </c>
    </row>
    <row r="6634" x14ac:dyDescent="0.25">
      <c r="A6634" t="n">
        <v>25</v>
      </c>
      <c r="B6634" t="s">
        <v>14</v>
      </c>
      <c r="C6634" t="s">
        <v>51</v>
      </c>
      <c r="D6634" s="2" t="s">
        <f>=HYPERLINK("https://main.knesset.gov.il/APPS/legislation/main/bills/2197118", "הצעת חוק לתיקון פקודת מס הכנסה (חישוב שווי שימוש ברכב לשומרי שבת וחג), התשפ""ג-2022")</f>
        <v>13019</v>
      </c>
      <c r="E6634" t="s">
        <v>13019</v>
      </c>
      <c r="F6634" t="s">
        <v>13020</v>
      </c>
      <c r="G6634" t="s">
        <v>14</v>
      </c>
      <c r="H6634">
             </c>
      <c r="I6634" t="s">
        <v>14</v>
      </c>
      <c r="J6634" t="s">
        <v>242</v>
      </c>
      <c r="K6634" t="s">
        <v>14</v>
      </c>
      <c r="L6634" t="s">
        <v>20</v>
      </c>
      <c r="M6634" t="s">
        <v>12772</v>
      </c>
      <c r="N6634" t="s">
        <v>14</v>
      </c>
    </row>
    <row r="6635" x14ac:dyDescent="0.25">
      <c r="A6635" t="n">
        <v>25</v>
      </c>
      <c r="B6635" t="s">
        <v>14</v>
      </c>
      <c r="C6635" t="s">
        <v>51</v>
      </c>
      <c r="D6635" s="2" t="s">
        <f>=HYPERLINK("https://main.knesset.gov.il/APPS/legislation/main/bills/2197173", "הצעת חוק ביטוח בריאות ממלכתי (תיקון - הרחבת הסדרי הבחירה), התשפ""ג-2022")</f>
        <v>13021</v>
      </c>
      <c r="E6635" t="s">
        <v>13021</v>
      </c>
      <c r="F6635" t="s">
        <v>13022</v>
      </c>
      <c r="G6635" t="s">
        <v>14</v>
      </c>
      <c r="H6635">
             </c>
      <c r="I6635" t="s">
        <v>14</v>
      </c>
      <c r="J6635" t="s">
        <v>242</v>
      </c>
      <c r="K6635" t="s">
        <v>14</v>
      </c>
      <c r="L6635" t="s">
        <v>20</v>
      </c>
      <c r="M6635" t="s">
        <v>12772</v>
      </c>
      <c r="N6635" t="s">
        <v>14</v>
      </c>
    </row>
    <row r="6636" x14ac:dyDescent="0.25">
      <c r="A6636" t="n">
        <v>25</v>
      </c>
      <c r="B6636" t="s">
        <v>14</v>
      </c>
      <c r="C6636" t="s">
        <v>51</v>
      </c>
      <c r="D6636" s="2" t="s">
        <f>=HYPERLINK("https://main.knesset.gov.il/APPS/legislation/main/bills/2196181", "הצעת חוק בתי המשפט (תיקון - שימוע ובחירות חשאיות לשופטי בית המשפט העליון), התשפ""ג-2022")</f>
        <v>13023</v>
      </c>
      <c r="E6636" t="s">
        <v>13023</v>
      </c>
      <c r="F6636" t="s">
        <v>13024</v>
      </c>
      <c r="G6636" t="s">
        <v>14</v>
      </c>
      <c r="H6636">
             </c>
      <c r="I6636" t="s">
        <v>14</v>
      </c>
      <c r="J6636" t="s">
        <v>242</v>
      </c>
      <c r="K6636" t="s">
        <v>14</v>
      </c>
      <c r="L6636" t="s">
        <v>20</v>
      </c>
      <c r="M6636" t="s">
        <v>12772</v>
      </c>
      <c r="N6636" t="s">
        <v>14</v>
      </c>
    </row>
    <row r="6637" x14ac:dyDescent="0.25">
      <c r="A6637" t="n">
        <v>25</v>
      </c>
      <c r="B6637" t="s">
        <v>14</v>
      </c>
      <c r="C6637" t="s">
        <v>51</v>
      </c>
      <c r="D6637" s="2" t="s">
        <f>=HYPERLINK("https://main.knesset.gov.il/APPS/legislation/main/bills/2196870", "הצעת חוק הקמת חדר מיון בקריית שמונה, התשפ""ג-2022")</f>
        <v>13025</v>
      </c>
      <c r="E6637" t="s">
        <v>13025</v>
      </c>
      <c r="F6637" t="s">
        <v>13026</v>
      </c>
      <c r="G6637" t="s">
        <v>14</v>
      </c>
      <c r="H6637">
             </c>
      <c r="I6637" t="s">
        <v>14</v>
      </c>
      <c r="J6637" t="s">
        <v>242</v>
      </c>
      <c r="K6637" t="s">
        <v>14</v>
      </c>
      <c r="L6637" t="s">
        <v>20</v>
      </c>
      <c r="M6637" t="s">
        <v>12772</v>
      </c>
      <c r="N6637" t="s">
        <v>14</v>
      </c>
    </row>
    <row r="6638" x14ac:dyDescent="0.25">
      <c r="A6638" t="n">
        <v>25</v>
      </c>
      <c r="B6638" t="s">
        <v>14</v>
      </c>
      <c r="C6638" t="s">
        <v>51</v>
      </c>
      <c r="D6638" s="2" t="s">
        <f>=HYPERLINK("https://main.knesset.gov.il/APPS/legislation/main/bills/2196866", "הצעת חוק הקמת חדר מיון בנתיבות, התשפ""ג-2022")</f>
        <v>13027</v>
      </c>
      <c r="E6638" t="s">
        <v>13027</v>
      </c>
      <c r="F6638" t="s">
        <v>13028</v>
      </c>
      <c r="G6638" t="s">
        <v>14</v>
      </c>
      <c r="H6638">
             </c>
      <c r="I6638" t="s">
        <v>14</v>
      </c>
      <c r="J6638" t="s">
        <v>242</v>
      </c>
      <c r="K6638" t="s">
        <v>14</v>
      </c>
      <c r="L6638" t="s">
        <v>20</v>
      </c>
      <c r="M6638" t="s">
        <v>12772</v>
      </c>
      <c r="N6638" t="s">
        <v>14</v>
      </c>
    </row>
    <row r="6639" x14ac:dyDescent="0.25">
      <c r="A6639" t="n">
        <v>25</v>
      </c>
      <c r="B6639" t="s">
        <v>14</v>
      </c>
      <c r="C6639" t="s">
        <v>51</v>
      </c>
      <c r="D6639" s="2" t="s">
        <f>=HYPERLINK("https://main.knesset.gov.il/APPS/legislation/main/bills/2196290", "הצעת חוק הגנת הצרכן (תיקון - צירוף הוראות שימוש בשפה העברית למוצרי חשמל), התשפ""ג-2022 ")</f>
        <v>13029</v>
      </c>
      <c r="E6639" t="s">
        <v>13029</v>
      </c>
      <c r="F6639" t="s">
        <v>13030</v>
      </c>
      <c r="G6639" t="s">
        <v>14</v>
      </c>
      <c r="H6639">
             </c>
      <c r="I6639" t="s">
        <v>14</v>
      </c>
      <c r="J6639" t="s">
        <v>242</v>
      </c>
      <c r="K6639" t="s">
        <v>14</v>
      </c>
      <c r="L6639" t="s">
        <v>20</v>
      </c>
      <c r="M6639" t="s">
        <v>12772</v>
      </c>
      <c r="N6639" t="s">
        <v>14</v>
      </c>
    </row>
    <row r="6640" x14ac:dyDescent="0.25">
      <c r="A6640" t="n">
        <v>25</v>
      </c>
      <c r="B6640" t="s">
        <v>14</v>
      </c>
      <c r="C6640" t="s">
        <v>51</v>
      </c>
      <c r="D6640" s="2" t="s">
        <f>=HYPERLINK("https://main.knesset.gov.il/APPS/legislation/main/bills/2197316", "הצעת חוק הביטוח הלאומי (תיקון - תנאי זכאות לגמלה לשמירת היריון), התשפ""ג-2022")</f>
        <v>13031</v>
      </c>
      <c r="E6640" t="s">
        <v>13031</v>
      </c>
      <c r="F6640" t="s">
        <v>13032</v>
      </c>
      <c r="G6640" t="s">
        <v>14</v>
      </c>
      <c r="H6640">
             </c>
      <c r="I6640" t="s">
        <v>14</v>
      </c>
      <c r="J6640" t="s">
        <v>242</v>
      </c>
      <c r="K6640" t="s">
        <v>14</v>
      </c>
      <c r="L6640" t="s">
        <v>20</v>
      </c>
      <c r="M6640" t="s">
        <v>12772</v>
      </c>
      <c r="N6640" t="s">
        <v>14</v>
      </c>
    </row>
    <row r="6641" x14ac:dyDescent="0.25">
      <c r="A6641" t="n">
        <v>25</v>
      </c>
      <c r="B6641" t="s">
        <v>14</v>
      </c>
      <c r="C6641" t="s">
        <v>51</v>
      </c>
      <c r="D6641" s="2" t="s">
        <f>=HYPERLINK("https://main.knesset.gov.il/APPS/legislation/main/bills/2197290", "הצעת חוק לתיקון פקודת התעבורה (הפחתת גובה קנס בשל תשלום מיידי), התשפ""ג-2022")</f>
        <v>13033</v>
      </c>
      <c r="E6641" t="s">
        <v>13033</v>
      </c>
      <c r="F6641" t="s">
        <v>13034</v>
      </c>
      <c r="G6641" t="s">
        <v>14</v>
      </c>
      <c r="H6641">
             </c>
      <c r="I6641" t="s">
        <v>14</v>
      </c>
      <c r="J6641" t="s">
        <v>242</v>
      </c>
      <c r="K6641" t="s">
        <v>14</v>
      </c>
      <c r="L6641" t="s">
        <v>20</v>
      </c>
      <c r="M6641" t="s">
        <v>12772</v>
      </c>
      <c r="N6641" t="s">
        <v>14</v>
      </c>
    </row>
    <row r="6642" x14ac:dyDescent="0.25">
      <c r="A6642" t="n">
        <v>25</v>
      </c>
      <c r="B6642" t="s">
        <v>14</v>
      </c>
      <c r="C6642" t="s">
        <v>51</v>
      </c>
      <c r="D6642" s="2" t="s">
        <f>=HYPERLINK("https://main.knesset.gov.il/APPS/legislation/main/bills/2197105", "הצעת חוק דמי נסיעה לסטודנטים בתחבורה ציבורית (תיקוני חקיקה), התשפ""ג-2022")</f>
        <v>13035</v>
      </c>
      <c r="E6642" t="s">
        <v>13035</v>
      </c>
      <c r="F6642" t="s">
        <v>13036</v>
      </c>
      <c r="G6642" t="s">
        <v>14</v>
      </c>
      <c r="H6642">
             </c>
      <c r="I6642" t="s">
        <v>14</v>
      </c>
      <c r="J6642" t="s">
        <v>242</v>
      </c>
      <c r="K6642" t="s">
        <v>14</v>
      </c>
      <c r="L6642" t="s">
        <v>20</v>
      </c>
      <c r="M6642" t="s">
        <v>12772</v>
      </c>
      <c r="N6642" t="s">
        <v>14</v>
      </c>
    </row>
    <row r="6643" x14ac:dyDescent="0.25">
      <c r="A6643" t="n">
        <v>25</v>
      </c>
      <c r="B6643" t="s">
        <v>14</v>
      </c>
      <c r="C6643" t="s">
        <v>51</v>
      </c>
      <c r="D6643" s="2" t="s">
        <f>=HYPERLINK("https://main.knesset.gov.il/APPS/legislation/main/bills/2196838", "הצעת חוק הכנסת (תיקון - אישור אמנות בין-לאומיות), התשפ""ג-2022")</f>
        <v>13037</v>
      </c>
      <c r="E6643" t="s">
        <v>13037</v>
      </c>
      <c r="F6643" t="s">
        <v>13038</v>
      </c>
      <c r="G6643" t="s">
        <v>14</v>
      </c>
      <c r="H6643">
             </c>
      <c r="I6643" t="s">
        <v>14</v>
      </c>
      <c r="J6643" t="s">
        <v>242</v>
      </c>
      <c r="K6643" t="s">
        <v>14</v>
      </c>
      <c r="L6643" t="s">
        <v>20</v>
      </c>
      <c r="M6643" t="s">
        <v>12772</v>
      </c>
      <c r="N6643" t="s">
        <v>14</v>
      </c>
    </row>
    <row r="6644" x14ac:dyDescent="0.25">
      <c r="A6644" t="n">
        <v>25</v>
      </c>
      <c r="B6644" t="s">
        <v>14</v>
      </c>
      <c r="C6644" t="s">
        <v>51</v>
      </c>
      <c r="D6644" s="2" t="s">
        <f>=HYPERLINK("https://main.knesset.gov.il/APPS/legislation/main/bills/2198054", "הצעת חוק שעות עבודה ומנוחה (תיקון - הפסקה בין יום עבודה למשנהו שלא עולה על 8 שעות), התשפ""ג-2022")</f>
        <v>13039</v>
      </c>
      <c r="E6644" t="s">
        <v>13039</v>
      </c>
      <c r="F6644" t="s">
        <v>13040</v>
      </c>
      <c r="G6644" t="s">
        <v>14</v>
      </c>
      <c r="H6644">
             </c>
      <c r="I6644" t="s">
        <v>14</v>
      </c>
      <c r="J6644" t="s">
        <v>242</v>
      </c>
      <c r="K6644" t="s">
        <v>14</v>
      </c>
      <c r="L6644" t="s">
        <v>20</v>
      </c>
      <c r="M6644" t="s">
        <v>12772</v>
      </c>
      <c r="N6644" t="s">
        <v>14</v>
      </c>
    </row>
    <row r="6645" x14ac:dyDescent="0.25">
      <c r="A6645" t="n">
        <v>25</v>
      </c>
      <c r="B6645" t="s">
        <v>14</v>
      </c>
      <c r="C6645" t="s">
        <v>51</v>
      </c>
      <c r="D6645" s="2" t="s">
        <f>=HYPERLINK("https://main.knesset.gov.il/APPS/legislation/main/bills/2195944", "הצעת חוק שיפוט בתי דין רבניים (נישואין וגירושין) (תיקון - תשלומי מזונות לילדי בני הזוג), התשפ""ג-2022")</f>
        <v>13041</v>
      </c>
      <c r="E6645" t="s">
        <v>13041</v>
      </c>
      <c r="F6645" t="s">
        <v>13042</v>
      </c>
      <c r="G6645" t="s">
        <v>14</v>
      </c>
      <c r="H6645">
             </c>
      <c r="I6645" t="s">
        <v>14</v>
      </c>
      <c r="J6645" t="s">
        <v>242</v>
      </c>
      <c r="K6645" t="s">
        <v>14</v>
      </c>
      <c r="L6645" t="s">
        <v>20</v>
      </c>
      <c r="M6645" t="s">
        <v>12772</v>
      </c>
      <c r="N6645" t="s">
        <v>14</v>
      </c>
    </row>
    <row r="6646" x14ac:dyDescent="0.25">
      <c r="A6646" t="n">
        <v>25</v>
      </c>
      <c r="B6646" t="s">
        <v>14</v>
      </c>
      <c r="C6646" t="s">
        <v>51</v>
      </c>
      <c r="D6646" s="2" t="s">
        <f>=HYPERLINK("https://main.knesset.gov.il/APPS/legislation/main/bills/2197222", "הצעת חוק הביטוח הלאומי (תיקון - תשלום גמלת ילד נכה לאומן בעד ילד הנמצא אצלו באומנה), התשפ""ג-2022")</f>
        <v>13043</v>
      </c>
      <c r="E6646" t="s">
        <v>13043</v>
      </c>
      <c r="F6646" t="s">
        <v>13044</v>
      </c>
      <c r="G6646" t="s">
        <v>14</v>
      </c>
      <c r="H6646">
             </c>
      <c r="I6646" t="s">
        <v>14</v>
      </c>
      <c r="J6646" t="s">
        <v>242</v>
      </c>
      <c r="K6646" t="s">
        <v>14</v>
      </c>
      <c r="L6646" t="s">
        <v>20</v>
      </c>
      <c r="M6646" t="s">
        <v>12772</v>
      </c>
      <c r="N6646" t="s">
        <v>14</v>
      </c>
    </row>
    <row r="6647" x14ac:dyDescent="0.25">
      <c r="A6647" t="n">
        <v>25</v>
      </c>
      <c r="B6647" t="s">
        <v>14</v>
      </c>
      <c r="C6647" t="s">
        <v>51</v>
      </c>
      <c r="D6647" s="2" t="s">
        <f>=HYPERLINK("https://main.knesset.gov.il/APPS/legislation/main/bills/2197175", "הצעת חוק שוויון זכויות לאנשים עם מוגבלות (תיקון – הרחבת הזכאות למתן שירות בלא המתנה בתור), התשפ""ג–2022")</f>
        <v>13045</v>
      </c>
      <c r="E6647" t="s">
        <v>13045</v>
      </c>
      <c r="F6647" t="s">
        <v>13046</v>
      </c>
      <c r="G6647" t="s">
        <v>14</v>
      </c>
      <c r="H6647">
             </c>
      <c r="I6647" t="s">
        <v>14</v>
      </c>
      <c r="J6647" t="s">
        <v>242</v>
      </c>
      <c r="K6647" t="s">
        <v>14</v>
      </c>
      <c r="L6647" t="s">
        <v>20</v>
      </c>
      <c r="M6647" t="s">
        <v>12772</v>
      </c>
      <c r="N6647" t="s">
        <v>14</v>
      </c>
    </row>
    <row r="6648" x14ac:dyDescent="0.25">
      <c r="A6648" t="n">
        <v>25</v>
      </c>
      <c r="B6648" t="s">
        <v>14</v>
      </c>
      <c r="C6648" t="s">
        <v>51</v>
      </c>
      <c r="D6648" s="2" t="s">
        <f>=HYPERLINK("https://main.knesset.gov.il/APPS/legislation/main/bills/2196818", "הצעת חוק סדר הדין הפלילי (תיקון - החרגת עובד מערכת אכיפת החוק מתקופת ההתיישנות), התשפ""ג-2022")</f>
        <v>13047</v>
      </c>
      <c r="E6648" t="s">
        <v>13047</v>
      </c>
      <c r="F6648" t="s">
        <v>13048</v>
      </c>
      <c r="G6648" t="s">
        <v>14</v>
      </c>
      <c r="H6648">
             </c>
      <c r="I6648" t="s">
        <v>14</v>
      </c>
      <c r="J6648" t="s">
        <v>242</v>
      </c>
      <c r="K6648" t="s">
        <v>14</v>
      </c>
      <c r="L6648" t="s">
        <v>20</v>
      </c>
      <c r="M6648" t="s">
        <v>12772</v>
      </c>
      <c r="N6648" t="s">
        <v>14</v>
      </c>
    </row>
    <row r="6649" x14ac:dyDescent="0.25">
      <c r="A6649" t="n">
        <v>25</v>
      </c>
      <c r="B6649" t="s">
        <v>14</v>
      </c>
      <c r="C6649" t="s">
        <v>51</v>
      </c>
      <c r="D6649" s="2" t="s">
        <f>=HYPERLINK("https://main.knesset.gov.il/APPS/legislation/main/bills/2196815", "הצעת חוק עידוד שירות צבאי, לאומי או לאומי-אזרחי, התשפ""ג-2022")</f>
        <v>13049</v>
      </c>
      <c r="E6649" t="s">
        <v>13049</v>
      </c>
      <c r="F6649" t="s">
        <v>13050</v>
      </c>
      <c r="G6649" t="s">
        <v>14</v>
      </c>
      <c r="H6649">
             </c>
      <c r="I6649" t="s">
        <v>14</v>
      </c>
      <c r="J6649" t="s">
        <v>242</v>
      </c>
      <c r="K6649" t="s">
        <v>14</v>
      </c>
      <c r="L6649" t="s">
        <v>20</v>
      </c>
      <c r="M6649" t="s">
        <v>12772</v>
      </c>
      <c r="N6649" t="s">
        <v>14</v>
      </c>
    </row>
    <row r="6650" x14ac:dyDescent="0.25">
      <c r="A6650" t="n">
        <v>25</v>
      </c>
      <c r="B6650" t="s">
        <v>14</v>
      </c>
      <c r="C6650" t="s">
        <v>51</v>
      </c>
      <c r="D6650" s="2" t="s">
        <f>=HYPERLINK("https://main.knesset.gov.il/APPS/legislation/main/bills/2197172", "הצעת חוק הגנת הצרכן (תיקון - שינוי פרטים בכרטיס טיסה או בכרטיס לשיט), התשפ""ג-2022")</f>
        <v>13051</v>
      </c>
      <c r="E6650" t="s">
        <v>13051</v>
      </c>
      <c r="F6650" t="s">
        <v>13052</v>
      </c>
      <c r="G6650" t="s">
        <v>14</v>
      </c>
      <c r="H6650">
             </c>
      <c r="I6650" t="s">
        <v>14</v>
      </c>
      <c r="J6650" t="s">
        <v>242</v>
      </c>
      <c r="K6650" t="s">
        <v>14</v>
      </c>
      <c r="L6650" t="s">
        <v>20</v>
      </c>
      <c r="M6650" t="s">
        <v>12772</v>
      </c>
      <c r="N6650" t="s">
        <v>14</v>
      </c>
    </row>
    <row r="6651" x14ac:dyDescent="0.25">
      <c r="A6651" t="n">
        <v>25</v>
      </c>
      <c r="B6651" t="s">
        <v>14</v>
      </c>
      <c r="C6651" t="s">
        <v>51</v>
      </c>
      <c r="D6651" s="2" t="s">
        <f>=HYPERLINK("https://main.knesset.gov.il/APPS/legislation/main/bills/2197233", "הצעת חוק פינוי ובינוי (עידוד מיזמי פינוי ובינוי) (תיקון - מבנה מסוכן), התשפ""ג-2022")</f>
        <v>13053</v>
      </c>
      <c r="E6651" t="s">
        <v>13053</v>
      </c>
      <c r="F6651" t="s">
        <v>13054</v>
      </c>
      <c r="G6651" t="s">
        <v>14</v>
      </c>
      <c r="H6651">
             </c>
      <c r="I6651" t="s">
        <v>14</v>
      </c>
      <c r="J6651" t="s">
        <v>242</v>
      </c>
      <c r="K6651" t="s">
        <v>14</v>
      </c>
      <c r="L6651" t="s">
        <v>20</v>
      </c>
      <c r="M6651" t="s">
        <v>12772</v>
      </c>
      <c r="N6651" t="s">
        <v>14</v>
      </c>
    </row>
    <row r="6652" x14ac:dyDescent="0.25">
      <c r="A6652" t="n">
        <v>25</v>
      </c>
      <c r="B6652" t="s">
        <v>14</v>
      </c>
      <c r="C6652" t="s">
        <v>51</v>
      </c>
      <c r="D6652" s="2" t="s">
        <f>=HYPERLINK("https://main.knesset.gov.il/APPS/legislation/main/bills/2197271", "הצעת חוק ביטוח בריאות ממלכתי (תיקון - העברת שירותי הגמילה לאחריות קופות החולים וטיפול בהתמכרויות), התשפ""ג-2022")</f>
        <v>13055</v>
      </c>
      <c r="E6652" t="s">
        <v>13055</v>
      </c>
      <c r="F6652" t="s">
        <v>13056</v>
      </c>
      <c r="G6652" t="s">
        <v>14</v>
      </c>
      <c r="H6652">
             </c>
      <c r="I6652" t="s">
        <v>14</v>
      </c>
      <c r="J6652" t="s">
        <v>242</v>
      </c>
      <c r="K6652" t="s">
        <v>14</v>
      </c>
      <c r="L6652" t="s">
        <v>20</v>
      </c>
      <c r="M6652" t="s">
        <v>12772</v>
      </c>
      <c r="N6652" t="s">
        <v>14</v>
      </c>
    </row>
    <row r="6653" x14ac:dyDescent="0.25">
      <c r="A6653" t="n">
        <v>25</v>
      </c>
      <c r="B6653" t="s">
        <v>14</v>
      </c>
      <c r="C6653" t="s">
        <v>51</v>
      </c>
      <c r="D6653" s="2" t="s">
        <f>=HYPERLINK("https://main.knesset.gov.il/APPS/legislation/main/bills/2197170", "הצעת חוק מאבק בנטילת דמי חסות (אכיפה וענישה) (תיקוני חקיקה והוראת שעה), התשפ""ג-2022")</f>
        <v>13057</v>
      </c>
      <c r="E6653" t="s">
        <v>13057</v>
      </c>
      <c r="F6653" t="s">
        <v>13058</v>
      </c>
      <c r="G6653" t="s">
        <v>14</v>
      </c>
      <c r="H6653">
             </c>
      <c r="I6653" t="s">
        <v>14</v>
      </c>
      <c r="J6653" t="s">
        <v>242</v>
      </c>
      <c r="K6653" t="s">
        <v>14</v>
      </c>
      <c r="L6653" t="s">
        <v>20</v>
      </c>
      <c r="M6653" t="s">
        <v>12772</v>
      </c>
      <c r="N6653" t="s">
        <v>14</v>
      </c>
    </row>
    <row r="6654" x14ac:dyDescent="0.25">
      <c r="A6654" t="n">
        <v>25</v>
      </c>
      <c r="B6654" t="s">
        <v>14</v>
      </c>
      <c r="C6654" t="s">
        <v>51</v>
      </c>
      <c r="D6654" s="2" t="s">
        <f>=HYPERLINK("https://main.knesset.gov.il/APPS/legislation/main/bills/2197176", "הצעת חוק הדגל, הסמל והמנון המדינה (תיקון - פגיעה בכבוד דגל המדינה או סמלה), התשפ״ג-2022")</f>
        <v>13059</v>
      </c>
      <c r="E6654" t="s">
        <v>13059</v>
      </c>
      <c r="F6654" t="s">
        <v>13060</v>
      </c>
      <c r="G6654" t="s">
        <v>14</v>
      </c>
      <c r="H6654">
             </c>
      <c r="I6654" t="s">
        <v>14</v>
      </c>
      <c r="J6654" t="s">
        <v>242</v>
      </c>
      <c r="K6654" t="s">
        <v>14</v>
      </c>
      <c r="L6654" t="s">
        <v>20</v>
      </c>
      <c r="M6654" t="s">
        <v>12772</v>
      </c>
      <c r="N6654" t="s">
        <v>14</v>
      </c>
    </row>
    <row r="6655" x14ac:dyDescent="0.25">
      <c r="A6655" t="n">
        <v>25</v>
      </c>
      <c r="B6655" t="s">
        <v>14</v>
      </c>
      <c r="C6655" t="s">
        <v>51</v>
      </c>
      <c r="D6655" s="2" t="s">
        <f>=HYPERLINK("https://main.knesset.gov.il/APPS/legislation/main/bills/2197272", "הצעת חוק התכנון והבנייה (תיקון - מבנה מחוזק), התשפ""ג-2022")</f>
        <v>13061</v>
      </c>
      <c r="E6655" t="s">
        <v>13061</v>
      </c>
      <c r="F6655" t="s">
        <v>13062</v>
      </c>
      <c r="G6655" t="s">
        <v>14</v>
      </c>
      <c r="H6655">
             </c>
      <c r="I6655" t="s">
        <v>14</v>
      </c>
      <c r="J6655" t="s">
        <v>242</v>
      </c>
      <c r="K6655" t="s">
        <v>14</v>
      </c>
      <c r="L6655" t="s">
        <v>20</v>
      </c>
      <c r="M6655" t="s">
        <v>12772</v>
      </c>
      <c r="N6655" t="s">
        <v>14</v>
      </c>
    </row>
    <row r="6656" x14ac:dyDescent="0.25">
      <c r="A6656" t="n">
        <v>25</v>
      </c>
      <c r="B6656" t="s">
        <v>14</v>
      </c>
      <c r="C6656" t="s">
        <v>51</v>
      </c>
      <c r="D6656" s="2" t="s">
        <f>=HYPERLINK("https://main.knesset.gov.il/APPS/legislation/main/bills/2197156", "הצעת חוק למניעת פגיעה במדינת ישראל באמצעות חרם (תיקון - מניעת זכאות לפרס), התשפ""ג-2022")</f>
        <v>13063</v>
      </c>
      <c r="E6656" t="s">
        <v>13063</v>
      </c>
      <c r="F6656" t="s">
        <v>13064</v>
      </c>
      <c r="G6656" t="s">
        <v>14</v>
      </c>
      <c r="H6656">
             </c>
      <c r="I6656" t="s">
        <v>14</v>
      </c>
      <c r="J6656" t="s">
        <v>242</v>
      </c>
      <c r="K6656" t="s">
        <v>14</v>
      </c>
      <c r="L6656" t="s">
        <v>20</v>
      </c>
      <c r="M6656" t="s">
        <v>12772</v>
      </c>
      <c r="N6656" t="s">
        <v>14</v>
      </c>
    </row>
    <row r="6657" x14ac:dyDescent="0.25">
      <c r="A6657" t="n">
        <v>25</v>
      </c>
      <c r="B6657" t="s">
        <v>14</v>
      </c>
      <c r="C6657" t="s">
        <v>51</v>
      </c>
      <c r="D6657" s="2" t="s">
        <f>=HYPERLINK("https://main.knesset.gov.il/APPS/legislation/main/bills/2197253", "הצעת חוק להסדרת מקצוע עוזר רופא, התשפ""ג-2022")</f>
        <v>13065</v>
      </c>
      <c r="E6657" t="s">
        <v>13065</v>
      </c>
      <c r="F6657" t="s">
        <v>13066</v>
      </c>
      <c r="G6657" t="s">
        <v>14</v>
      </c>
      <c r="H6657">
             </c>
      <c r="I6657" t="s">
        <v>14</v>
      </c>
      <c r="J6657" t="s">
        <v>242</v>
      </c>
      <c r="K6657" t="s">
        <v>14</v>
      </c>
      <c r="L6657" t="s">
        <v>20</v>
      </c>
      <c r="M6657" t="s">
        <v>12772</v>
      </c>
      <c r="N6657" t="s">
        <v>14</v>
      </c>
    </row>
    <row r="6658" x14ac:dyDescent="0.25">
      <c r="A6658" t="n">
        <v>25</v>
      </c>
      <c r="B6658" t="s">
        <v>14</v>
      </c>
      <c r="C6658" t="s">
        <v>51</v>
      </c>
      <c r="D6658" s="2" t="s">
        <f>=HYPERLINK("https://main.knesset.gov.il/APPS/legislation/main/bills/2197250", "הצעת חוק הגנת הצרכן (תיקון - הנגשת הודעת תשלום לצרכנים שאינם דוברי עברית), התשפ""ג-2022")</f>
        <v>13067</v>
      </c>
      <c r="E6658" t="s">
        <v>13067</v>
      </c>
      <c r="F6658" t="s">
        <v>13068</v>
      </c>
      <c r="G6658" t="s">
        <v>14</v>
      </c>
      <c r="H6658">
             </c>
      <c r="I6658" t="s">
        <v>14</v>
      </c>
      <c r="J6658" t="s">
        <v>242</v>
      </c>
      <c r="K6658" t="s">
        <v>14</v>
      </c>
      <c r="L6658" t="s">
        <v>20</v>
      </c>
      <c r="M6658" t="s">
        <v>12772</v>
      </c>
      <c r="N6658" t="s">
        <v>14</v>
      </c>
    </row>
    <row r="6659" x14ac:dyDescent="0.25">
      <c r="A6659" t="n">
        <v>25</v>
      </c>
      <c r="B6659" t="s">
        <v>14</v>
      </c>
      <c r="C6659" t="s">
        <v>51</v>
      </c>
      <c r="D6659" s="2" t="s">
        <f>=HYPERLINK("https://main.knesset.gov.il/APPS/legislation/main/bills/2197067", "הצעת חוק שירות ביטחון (תיקון - יציאה לחו""ל בדחיית שירות), התשפ""ג-2022")</f>
        <v>13069</v>
      </c>
      <c r="E6659" t="s">
        <v>13069</v>
      </c>
      <c r="F6659" t="s">
        <v>13070</v>
      </c>
      <c r="G6659" t="s">
        <v>14</v>
      </c>
      <c r="H6659">
             </c>
      <c r="I6659" t="s">
        <v>14</v>
      </c>
      <c r="J6659" t="s">
        <v>242</v>
      </c>
      <c r="K6659" t="s">
        <v>14</v>
      </c>
      <c r="L6659" t="s">
        <v>20</v>
      </c>
      <c r="M6659" t="s">
        <v>12772</v>
      </c>
      <c r="N6659" t="s">
        <v>14</v>
      </c>
    </row>
    <row r="6660" x14ac:dyDescent="0.25">
      <c r="A6660" t="n">
        <v>25</v>
      </c>
      <c r="B6660" t="s">
        <v>14</v>
      </c>
      <c r="C6660" t="s">
        <v>51</v>
      </c>
      <c r="D6660" s="2" t="s">
        <f>=HYPERLINK("https://main.knesset.gov.il/APPS/legislation/main/bills/2197077", "הצעת חוק נציבות תלונות הציבור על מייצגי המדינה בערכאות (תיקון - הסדרת מעמד הנציבות כגוף ביקורת עצמאי), התשפ""ג-2022")</f>
        <v>13071</v>
      </c>
      <c r="E6660" t="s">
        <v>13071</v>
      </c>
      <c r="F6660" t="s">
        <v>13072</v>
      </c>
      <c r="G6660" t="s">
        <v>14</v>
      </c>
      <c r="H6660">
             </c>
      <c r="I6660" t="s">
        <v>14</v>
      </c>
      <c r="J6660" t="s">
        <v>202</v>
      </c>
      <c r="K6660" t="s">
        <v>14</v>
      </c>
      <c r="L6660" t="s">
        <v>20</v>
      </c>
      <c r="M6660" t="s">
        <v>12772</v>
      </c>
      <c r="N6660" t="s">
        <v>14</v>
      </c>
    </row>
    <row r="6661" x14ac:dyDescent="0.25">
      <c r="A6661" t="n">
        <v>25</v>
      </c>
      <c r="B6661" t="s">
        <v>14</v>
      </c>
      <c r="C6661" t="s">
        <v>51</v>
      </c>
      <c r="D6661" s="2" t="s">
        <f>=HYPERLINK("https://main.knesset.gov.il/APPS/legislation/main/bills/2197004", "הצעת חוק מרשם האוכלוסין (תיקון - מיהו יהודי), התשפ""ג-2022")</f>
        <v>13073</v>
      </c>
      <c r="E6661" t="s">
        <v>13073</v>
      </c>
      <c r="F6661" t="s">
        <v>13074</v>
      </c>
      <c r="G6661" t="s">
        <v>14</v>
      </c>
      <c r="H6661">
             </c>
      <c r="I6661" t="s">
        <v>14</v>
      </c>
      <c r="J6661" t="s">
        <v>242</v>
      </c>
      <c r="K6661" t="s">
        <v>14</v>
      </c>
      <c r="L6661" t="s">
        <v>20</v>
      </c>
      <c r="M6661" t="s">
        <v>12772</v>
      </c>
      <c r="N6661" t="s">
        <v>14</v>
      </c>
    </row>
    <row r="6662" x14ac:dyDescent="0.25">
      <c r="A6662" t="n">
        <v>25</v>
      </c>
      <c r="B6662" t="s">
        <v>14</v>
      </c>
      <c r="C6662" t="s">
        <v>51</v>
      </c>
      <c r="D6662" s="2" t="s">
        <f>=HYPERLINK("https://main.knesset.gov.il/APPS/legislation/main/bills/2197317", "הצעת חוק הגנת השכר (תיקון - איסור ניכוי חוב או קנס), התשפ""ג-2022")</f>
        <v>13075</v>
      </c>
      <c r="E6662" t="s">
        <v>13075</v>
      </c>
      <c r="F6662" t="s">
        <v>13076</v>
      </c>
      <c r="G6662" t="s">
        <v>14</v>
      </c>
      <c r="H6662">
             </c>
      <c r="I6662" t="s">
        <v>14</v>
      </c>
      <c r="J6662" t="s">
        <v>242</v>
      </c>
      <c r="K6662" t="s">
        <v>14</v>
      </c>
      <c r="L6662" t="s">
        <v>20</v>
      </c>
      <c r="M6662" t="s">
        <v>12772</v>
      </c>
      <c r="N6662" t="s">
        <v>14</v>
      </c>
    </row>
    <row r="6663" x14ac:dyDescent="0.25">
      <c r="A6663" t="n">
        <v>25</v>
      </c>
      <c r="B6663" t="s">
        <v>14</v>
      </c>
      <c r="C6663" t="s">
        <v>51</v>
      </c>
      <c r="D6663" s="2" t="s">
        <f>=HYPERLINK("https://main.knesset.gov.il/APPS/legislation/main/bills/2197319", "הצעת חוק הביטוח הלאומי (תיקון - גמלה לשמירת היריון לאם שילדה פג), התשפ""ג-2022")</f>
        <v>13077</v>
      </c>
      <c r="E6663" t="s">
        <v>13077</v>
      </c>
      <c r="F6663" t="s">
        <v>13078</v>
      </c>
      <c r="G6663" t="s">
        <v>14</v>
      </c>
      <c r="H6663">
             </c>
      <c r="I6663" t="s">
        <v>14</v>
      </c>
      <c r="J6663" t="s">
        <v>242</v>
      </c>
      <c r="K6663" t="s">
        <v>14</v>
      </c>
      <c r="L6663" t="s">
        <v>20</v>
      </c>
      <c r="M6663" t="s">
        <v>12772</v>
      </c>
      <c r="N6663" t="s">
        <v>14</v>
      </c>
    </row>
    <row r="6664" x14ac:dyDescent="0.25">
      <c r="A6664" t="n">
        <v>25</v>
      </c>
      <c r="B6664" t="s">
        <v>14</v>
      </c>
      <c r="C6664" t="s">
        <v>51</v>
      </c>
      <c r="D6664" s="2" t="s">
        <f>=HYPERLINK("https://main.knesset.gov.il/APPS/legislation/main/bills/2196801", "הצעת חוק נציבות תלונות הציבור על מייצגי המדינה בערכאות (תיקון - הסדרת מעמד הנציבות כגוף ביקורת עצמאי), התשפ""ג-2022")</f>
        <v>13071</v>
      </c>
      <c r="E6664" t="s">
        <v>13071</v>
      </c>
      <c r="F6664" t="s">
        <v>13079</v>
      </c>
      <c r="G6664" t="s">
        <v>14</v>
      </c>
      <c r="H6664">
             </c>
      <c r="I6664" t="s">
        <v>14</v>
      </c>
      <c r="J6664" t="s">
        <v>242</v>
      </c>
      <c r="K6664" t="s">
        <v>14</v>
      </c>
      <c r="L6664" t="s">
        <v>20</v>
      </c>
      <c r="M6664" t="s">
        <v>12772</v>
      </c>
      <c r="N6664" t="s">
        <v>14</v>
      </c>
    </row>
    <row r="6665" x14ac:dyDescent="0.25">
      <c r="A6665" t="n">
        <v>25</v>
      </c>
      <c r="B6665" t="s">
        <v>14</v>
      </c>
      <c r="C6665" t="s">
        <v>51</v>
      </c>
      <c r="D6665" s="2" t="s">
        <f>=HYPERLINK("https://main.knesset.gov.il/APPS/legislation/main/bills/2196998", "הצעת חוק שיקים ללא כיסוי (תיקון - חשבון פרטי וחשבון עסקי), התשפ""ג-2022")</f>
        <v>13080</v>
      </c>
      <c r="E6665" t="s">
        <v>13080</v>
      </c>
      <c r="F6665" t="s">
        <v>13081</v>
      </c>
      <c r="G6665" t="s">
        <v>14</v>
      </c>
      <c r="H6665">
             </c>
      <c r="I6665" t="s">
        <v>14</v>
      </c>
      <c r="J6665" t="s">
        <v>242</v>
      </c>
      <c r="K6665" t="s">
        <v>14</v>
      </c>
      <c r="L6665" t="s">
        <v>20</v>
      </c>
      <c r="M6665" t="s">
        <v>12772</v>
      </c>
      <c r="N6665" t="s">
        <v>14</v>
      </c>
    </row>
    <row r="6666" x14ac:dyDescent="0.25">
      <c r="A6666" t="n">
        <v>25</v>
      </c>
      <c r="B6666" t="s">
        <v>14</v>
      </c>
      <c r="C6666" t="s">
        <v>51</v>
      </c>
      <c r="D6666" s="2" t="s">
        <f>=HYPERLINK("https://main.knesset.gov.il/APPS/legislation/main/bills/2196938", "הצעת חוק-יסוד: הממשלה (תיקון - הפסקת כהונה של שר וסגן שר בשל חשד לפלילים) ")</f>
        <v>13082</v>
      </c>
      <c r="E6666" t="s">
        <v>13082</v>
      </c>
      <c r="F6666" t="s">
        <v>13083</v>
      </c>
      <c r="G6666" t="s">
        <v>14</v>
      </c>
      <c r="H6666">
             </c>
      <c r="I6666" t="s">
        <v>14</v>
      </c>
      <c r="J6666" t="s">
        <v>242</v>
      </c>
      <c r="K6666" t="s">
        <v>14</v>
      </c>
      <c r="L6666" t="s">
        <v>20</v>
      </c>
      <c r="M6666" t="s">
        <v>12772</v>
      </c>
      <c r="N6666" t="s">
        <v>14</v>
      </c>
    </row>
    <row r="6667" x14ac:dyDescent="0.25">
      <c r="A6667" t="n">
        <v>25</v>
      </c>
      <c r="B6667" t="s">
        <v>14</v>
      </c>
      <c r="C6667" t="s">
        <v>51</v>
      </c>
      <c r="D6667" s="2" t="s">
        <f>=HYPERLINK("https://main.knesset.gov.il/APPS/legislation/main/bills/2197020", "הצעת חוק מענק לבניית מרחב מוגן, התשפ""ג-2022")</f>
        <v>13084</v>
      </c>
      <c r="E6667" t="s">
        <v>13084</v>
      </c>
      <c r="F6667" t="s">
        <v>13085</v>
      </c>
      <c r="G6667" t="s">
        <v>14</v>
      </c>
      <c r="H6667">
             </c>
      <c r="I6667" t="s">
        <v>14</v>
      </c>
      <c r="J6667" t="s">
        <v>202</v>
      </c>
      <c r="K6667" t="s">
        <v>14</v>
      </c>
      <c r="L6667" t="s">
        <v>20</v>
      </c>
      <c r="M6667" t="s">
        <v>12772</v>
      </c>
      <c r="N6667" t="s">
        <v>14</v>
      </c>
    </row>
    <row r="6668" x14ac:dyDescent="0.25">
      <c r="A6668" t="n">
        <v>25</v>
      </c>
      <c r="B6668" t="s">
        <v>14</v>
      </c>
      <c r="C6668" t="s">
        <v>51</v>
      </c>
      <c r="D6668" s="2" t="s">
        <f>=HYPERLINK("https://main.knesset.gov.il/APPS/legislation/main/bills/2196798", "הצעת חוק נציב תלונות הציבור על שופטים (תיקון - מינוי הנציב), התשפ""ג-2022")</f>
        <v>13086</v>
      </c>
      <c r="E6668" t="s">
        <v>13086</v>
      </c>
      <c r="F6668" t="s">
        <v>13087</v>
      </c>
      <c r="G6668" t="s">
        <v>14</v>
      </c>
      <c r="H6668">
             </c>
      <c r="I6668" t="s">
        <v>14</v>
      </c>
      <c r="J6668" t="s">
        <v>242</v>
      </c>
      <c r="K6668" t="s">
        <v>14</v>
      </c>
      <c r="L6668" t="s">
        <v>20</v>
      </c>
      <c r="M6668" t="s">
        <v>12772</v>
      </c>
      <c r="N6668" t="s">
        <v>14</v>
      </c>
    </row>
    <row r="6669" x14ac:dyDescent="0.25">
      <c r="A6669" t="n">
        <v>25</v>
      </c>
      <c r="B6669" t="s">
        <v>14</v>
      </c>
      <c r="C6669" t="s">
        <v>51</v>
      </c>
      <c r="D6669" s="2" t="s">
        <f>=HYPERLINK("https://main.knesset.gov.il/APPS/legislation/main/bills/2195936", "הצעת חוק החברות הממשלתיות (תיקון - ייצוג הולם בתאגידים שהוקמו בחוק ובחברות ממשלתיות), התשפ""ג-2022")</f>
        <v>13088</v>
      </c>
      <c r="E6669" t="s">
        <v>13088</v>
      </c>
      <c r="F6669" t="s">
        <v>13089</v>
      </c>
      <c r="G6669" t="s">
        <v>14</v>
      </c>
      <c r="H6669">
             </c>
      <c r="I6669" t="s">
        <v>14</v>
      </c>
      <c r="J6669" t="s">
        <v>242</v>
      </c>
      <c r="K6669" t="s">
        <v>14</v>
      </c>
      <c r="L6669" t="s">
        <v>20</v>
      </c>
      <c r="M6669" t="s">
        <v>12772</v>
      </c>
      <c r="N6669" t="s">
        <v>14</v>
      </c>
    </row>
    <row r="6670" x14ac:dyDescent="0.25">
      <c r="A6670" t="n">
        <v>25</v>
      </c>
      <c r="B6670" t="s">
        <v>14</v>
      </c>
      <c r="C6670" t="s">
        <v>51</v>
      </c>
      <c r="D6670" s="2" t="s">
        <f>=HYPERLINK("https://main.knesset.gov.il/APPS/legislation/main/bills/2197320", "הצעת חוק הביטוח הלאומי (תיקון - זכות טיעון לפני שלילת גמלה), התשפ""ג-2022")</f>
        <v>13090</v>
      </c>
      <c r="E6670" t="s">
        <v>13090</v>
      </c>
      <c r="F6670" t="s">
        <v>13091</v>
      </c>
      <c r="G6670" t="s">
        <v>14</v>
      </c>
      <c r="H6670">
             </c>
      <c r="I6670" t="s">
        <v>14</v>
      </c>
      <c r="J6670" t="s">
        <v>242</v>
      </c>
      <c r="K6670" t="s">
        <v>14</v>
      </c>
      <c r="L6670" t="s">
        <v>20</v>
      </c>
      <c r="M6670" t="s">
        <v>12772</v>
      </c>
      <c r="N6670" t="s">
        <v>14</v>
      </c>
    </row>
    <row r="6671" x14ac:dyDescent="0.25">
      <c r="A6671" t="n">
        <v>25</v>
      </c>
      <c r="B6671" t="s">
        <v>14</v>
      </c>
      <c r="C6671" t="s">
        <v>51</v>
      </c>
      <c r="D6671" s="2" t="s">
        <f>=HYPERLINK("https://main.knesset.gov.il/APPS/legislation/main/bills/2195978", "הצעת חוק לימוד חובה (תיקון - חובת דיווח על היעדרות תלמיד), התשפ""ג-2022")</f>
        <v>13092</v>
      </c>
      <c r="E6671" t="s">
        <v>13092</v>
      </c>
      <c r="F6671" t="s">
        <v>13093</v>
      </c>
      <c r="G6671" t="s">
        <v>14</v>
      </c>
      <c r="H6671">
             </c>
      <c r="I6671" t="s">
        <v>14</v>
      </c>
      <c r="J6671" t="s">
        <v>242</v>
      </c>
      <c r="K6671" t="s">
        <v>14</v>
      </c>
      <c r="L6671" t="s">
        <v>20</v>
      </c>
      <c r="M6671" t="s">
        <v>12772</v>
      </c>
      <c r="N6671" t="s">
        <v>14</v>
      </c>
    </row>
    <row r="6672" x14ac:dyDescent="0.25">
      <c r="A6672" t="n">
        <v>25</v>
      </c>
      <c r="B6672" t="s">
        <v>14</v>
      </c>
      <c r="C6672" t="s">
        <v>51</v>
      </c>
      <c r="D6672" s="2" t="s">
        <f>=HYPERLINK("https://main.knesset.gov.il/APPS/legislation/main/bills/2197289", "הצעת חוק לתיקון פקודת התעבורה (חובת התקנת חיישן בטיחות), התשפ""ג-2022")</f>
        <v>13094</v>
      </c>
      <c r="E6672" t="s">
        <v>13094</v>
      </c>
      <c r="F6672" t="s">
        <v>13095</v>
      </c>
      <c r="G6672" t="s">
        <v>14</v>
      </c>
      <c r="H6672">
             </c>
      <c r="I6672" t="s">
        <v>14</v>
      </c>
      <c r="J6672" t="s">
        <v>242</v>
      </c>
      <c r="K6672" t="s">
        <v>14</v>
      </c>
      <c r="L6672" t="s">
        <v>20</v>
      </c>
      <c r="M6672" t="s">
        <v>12772</v>
      </c>
      <c r="N6672" t="s">
        <v>14</v>
      </c>
    </row>
    <row r="6673" x14ac:dyDescent="0.25">
      <c r="A6673" t="n">
        <v>25</v>
      </c>
      <c r="B6673" t="s">
        <v>14</v>
      </c>
      <c r="C6673" t="s">
        <v>51</v>
      </c>
      <c r="D6673" s="2" t="s">
        <f>=HYPERLINK("https://main.knesset.gov.il/APPS/legislation/main/bills/2197288", "הצעת חוק לתיקון פקודת התעבורה (פיצוי למתלונן), התשפ""ג-2022")</f>
        <v>13096</v>
      </c>
      <c r="E6673" t="s">
        <v>13096</v>
      </c>
      <c r="F6673" t="s">
        <v>13097</v>
      </c>
      <c r="G6673" t="s">
        <v>14</v>
      </c>
      <c r="H6673">
             </c>
      <c r="I6673" t="s">
        <v>14</v>
      </c>
      <c r="J6673" t="s">
        <v>242</v>
      </c>
      <c r="K6673" t="s">
        <v>14</v>
      </c>
      <c r="L6673" t="s">
        <v>20</v>
      </c>
      <c r="M6673" t="s">
        <v>12772</v>
      </c>
      <c r="N6673" t="s">
        <v>14</v>
      </c>
    </row>
    <row r="6674" x14ac:dyDescent="0.25">
      <c r="A6674" t="n">
        <v>25</v>
      </c>
      <c r="B6674" t="s">
        <v>14</v>
      </c>
      <c r="C6674" t="s">
        <v>51</v>
      </c>
      <c r="D6674" s="2" t="s">
        <f>=HYPERLINK("https://main.knesset.gov.il/APPS/legislation/main/bills/2197287", "הצעת חוק לתיקון פקודת התעבורה (סימון שונה במקומות שבהם היתר החניה תלוי בשעות), התשפ""ג-2022")</f>
        <v>13098</v>
      </c>
      <c r="E6674" t="s">
        <v>13098</v>
      </c>
      <c r="F6674" t="s">
        <v>13099</v>
      </c>
      <c r="G6674" t="s">
        <v>14</v>
      </c>
      <c r="H6674">
             </c>
      <c r="I6674" t="s">
        <v>14</v>
      </c>
      <c r="J6674" t="s">
        <v>242</v>
      </c>
      <c r="K6674" t="s">
        <v>14</v>
      </c>
      <c r="L6674" t="s">
        <v>20</v>
      </c>
      <c r="M6674" t="s">
        <v>12772</v>
      </c>
      <c r="N6674" t="s">
        <v>14</v>
      </c>
    </row>
    <row r="6675" x14ac:dyDescent="0.25">
      <c r="A6675" t="n">
        <v>25</v>
      </c>
      <c r="B6675" t="s">
        <v>14</v>
      </c>
      <c r="C6675" t="s">
        <v>51</v>
      </c>
      <c r="D6675" s="2" t="s">
        <f>=HYPERLINK("https://main.knesset.gov.il/APPS/legislation/main/bills/2197276", "הצעת חוק יסודות התקציב (תיקון - ועדת ערר לתמיכה במוסד ציבור), התשפ""ג-2022")</f>
        <v>13100</v>
      </c>
      <c r="E6675" t="s">
        <v>13100</v>
      </c>
      <c r="F6675" t="s">
        <v>13101</v>
      </c>
      <c r="G6675" t="s">
        <v>14</v>
      </c>
      <c r="H6675">
             </c>
      <c r="I6675" t="s">
        <v>14</v>
      </c>
      <c r="J6675" t="s">
        <v>242</v>
      </c>
      <c r="K6675" t="s">
        <v>14</v>
      </c>
      <c r="L6675" t="s">
        <v>20</v>
      </c>
      <c r="M6675" t="s">
        <v>12772</v>
      </c>
      <c r="N6675" t="s">
        <v>14</v>
      </c>
    </row>
    <row r="6676" x14ac:dyDescent="0.25">
      <c r="A6676" t="n">
        <v>25</v>
      </c>
      <c r="B6676" t="s">
        <v>14</v>
      </c>
      <c r="C6676" t="s">
        <v>51</v>
      </c>
      <c r="D6676" s="2" t="s">
        <f>=HYPERLINK("https://main.knesset.gov.il/APPS/legislation/main/bills/2197267", "הצעת חוק הגנת השכר (תיקון - מתכונת אחידה לפנקס שכר ותלוש שכר), התשפ""ג-2022")</f>
        <v>13102</v>
      </c>
      <c r="E6676" t="s">
        <v>13102</v>
      </c>
      <c r="F6676" t="s">
        <v>13103</v>
      </c>
      <c r="G6676" t="s">
        <v>14</v>
      </c>
      <c r="H6676">
             </c>
      <c r="I6676" t="s">
        <v>14</v>
      </c>
      <c r="J6676" t="s">
        <v>242</v>
      </c>
      <c r="K6676" t="s">
        <v>14</v>
      </c>
      <c r="L6676" t="s">
        <v>20</v>
      </c>
      <c r="M6676" t="s">
        <v>12772</v>
      </c>
      <c r="N6676" t="s">
        <v>14</v>
      </c>
    </row>
    <row r="6677" x14ac:dyDescent="0.25">
      <c r="A6677" t="n">
        <v>25</v>
      </c>
      <c r="B6677" t="s">
        <v>14</v>
      </c>
      <c r="C6677" t="s">
        <v>51</v>
      </c>
      <c r="D6677" s="2" t="s">
        <f>=HYPERLINK("https://main.knesset.gov.il/APPS/legislation/main/bills/2195951", "הצעת חוק להקפאת כספים ששילמה הרשות הפלסטינית בזיקה לטרור מהכספים המועברים אליה מממשלת ישראל (תיקון - הקפאת כספי תגמולים לתושבי האזור מכוח חוק התגמולים לנפגעי פעולות איבה), התשפ""ג-2022")</f>
        <v>13104</v>
      </c>
      <c r="E6677" t="s">
        <v>13104</v>
      </c>
      <c r="F6677" t="s">
        <v>13105</v>
      </c>
      <c r="G6677" t="s">
        <v>14</v>
      </c>
      <c r="H6677">
             </c>
      <c r="I6677" t="s">
        <v>14</v>
      </c>
      <c r="J6677" t="s">
        <v>242</v>
      </c>
      <c r="K6677" t="s">
        <v>14</v>
      </c>
      <c r="L6677" t="s">
        <v>20</v>
      </c>
      <c r="M6677" t="s">
        <v>12772</v>
      </c>
      <c r="N6677" t="s">
        <v>14</v>
      </c>
    </row>
    <row r="6678" x14ac:dyDescent="0.25">
      <c r="A6678" t="n">
        <v>25</v>
      </c>
      <c r="B6678" t="s">
        <v>14</v>
      </c>
      <c r="C6678" t="s">
        <v>51</v>
      </c>
      <c r="D6678" s="2" t="s">
        <f>=HYPERLINK("https://main.knesset.gov.il/APPS/legislation/main/bills/2195943", "הצעת חוק לתיקון פקודת הבנקאות (הוראות ניהול בנקאי תקין להלוואה בערבות מדינה בשעת חירום), התשפ""ג-2022")</f>
        <v>13106</v>
      </c>
      <c r="E6678" t="s">
        <v>13106</v>
      </c>
      <c r="F6678" t="s">
        <v>13107</v>
      </c>
      <c r="G6678" t="s">
        <v>14</v>
      </c>
      <c r="H6678">
             </c>
      <c r="I6678" t="s">
        <v>14</v>
      </c>
      <c r="J6678" t="s">
        <v>242</v>
      </c>
      <c r="K6678" t="s">
        <v>14</v>
      </c>
      <c r="L6678" t="s">
        <v>20</v>
      </c>
      <c r="M6678" t="s">
        <v>12772</v>
      </c>
      <c r="N6678" t="s">
        <v>14</v>
      </c>
    </row>
    <row r="6679" x14ac:dyDescent="0.25">
      <c r="A6679" t="n">
        <v>25</v>
      </c>
      <c r="B6679" t="s">
        <v>14</v>
      </c>
      <c r="C6679" t="s">
        <v>51</v>
      </c>
      <c r="D6679" s="2" t="s">
        <f>=HYPERLINK("https://main.knesset.gov.il/APPS/legislation/main/bills/2195941", "הצעת חוק העונשין (תיקון - תקיפת עורך דין כתקיפת עובד ציבור), התשפ""ג-2022")</f>
        <v>13108</v>
      </c>
      <c r="E6679" t="s">
        <v>13108</v>
      </c>
      <c r="F6679" t="s">
        <v>13109</v>
      </c>
      <c r="G6679" t="s">
        <v>14</v>
      </c>
      <c r="H6679">
             </c>
      <c r="I6679" t="s">
        <v>14</v>
      </c>
      <c r="J6679" t="s">
        <v>242</v>
      </c>
      <c r="K6679" t="s">
        <v>14</v>
      </c>
      <c r="L6679" t="s">
        <v>20</v>
      </c>
      <c r="M6679" t="s">
        <v>12772</v>
      </c>
      <c r="N6679" t="s">
        <v>14</v>
      </c>
    </row>
    <row r="6680" x14ac:dyDescent="0.25">
      <c r="A6680" t="n">
        <v>25</v>
      </c>
      <c r="B6680" t="s">
        <v>14</v>
      </c>
      <c r="C6680" t="s">
        <v>51</v>
      </c>
      <c r="D6680" s="2" t="s">
        <f>=HYPERLINK("https://main.knesset.gov.il/APPS/legislation/main/bills/2196184", "הצעת חוק-יסוד: השפיטה (תיקון - הרכב הוועדה לבחירת שופטים) ")</f>
        <v>13110</v>
      </c>
      <c r="E6680" t="s">
        <v>13110</v>
      </c>
      <c r="F6680" t="s">
        <v>13111</v>
      </c>
      <c r="G6680" t="s">
        <v>14</v>
      </c>
      <c r="H6680">
             </c>
      <c r="I6680" t="s">
        <v>14</v>
      </c>
      <c r="J6680" t="s">
        <v>242</v>
      </c>
      <c r="K6680" t="s">
        <v>14</v>
      </c>
      <c r="L6680" t="s">
        <v>20</v>
      </c>
      <c r="M6680" t="s">
        <v>12772</v>
      </c>
      <c r="N6680" t="s">
        <v>14</v>
      </c>
    </row>
    <row r="6681" x14ac:dyDescent="0.25">
      <c r="A6681" t="n">
        <v>25</v>
      </c>
      <c r="B6681" t="s">
        <v>14</v>
      </c>
      <c r="C6681" t="s">
        <v>51</v>
      </c>
      <c r="D6681" s="2" t="s">
        <f>=HYPERLINK("https://main.knesset.gov.il/APPS/legislation/main/bills/2196814", "הצעת חוק ההוצאה לפועל (תיקון - קביעת תעריף מקסימלי לשכר טרחת עורך דין), התשפ""ג-2022")</f>
        <v>13112</v>
      </c>
      <c r="E6681" t="s">
        <v>13112</v>
      </c>
      <c r="F6681" t="s">
        <v>13113</v>
      </c>
      <c r="G6681" t="s">
        <v>14</v>
      </c>
      <c r="H6681">
             </c>
      <c r="I6681" t="s">
        <v>14</v>
      </c>
      <c r="J6681" t="s">
        <v>242</v>
      </c>
      <c r="K6681" t="s">
        <v>14</v>
      </c>
      <c r="L6681" t="s">
        <v>20</v>
      </c>
      <c r="M6681" t="s">
        <v>12772</v>
      </c>
      <c r="N6681" t="s">
        <v>14</v>
      </c>
    </row>
    <row r="6682" x14ac:dyDescent="0.25">
      <c r="A6682" t="n">
        <v>25</v>
      </c>
      <c r="B6682" t="s">
        <v>14</v>
      </c>
      <c r="C6682" t="s">
        <v>51</v>
      </c>
      <c r="D6682" s="2" t="s">
        <f>=HYPERLINK("https://main.knesset.gov.il/APPS/legislation/main/bills/2195929", "הצעת חוק הביטוח הלאומי (תיקון - הארכת המועד להגשת תביעות ליקוי שמיעה), התשפ""ג-2022")</f>
        <v>13114</v>
      </c>
      <c r="E6682" t="s">
        <v>13114</v>
      </c>
      <c r="F6682" t="s">
        <v>13115</v>
      </c>
      <c r="G6682" t="s">
        <v>14</v>
      </c>
      <c r="H6682">
             </c>
      <c r="I6682" t="s">
        <v>14</v>
      </c>
      <c r="J6682" t="s">
        <v>242</v>
      </c>
      <c r="K6682" t="s">
        <v>14</v>
      </c>
      <c r="L6682" t="s">
        <v>20</v>
      </c>
      <c r="M6682" t="s">
        <v>12772</v>
      </c>
      <c r="N6682" t="s">
        <v>14</v>
      </c>
    </row>
    <row r="6683" x14ac:dyDescent="0.25">
      <c r="A6683" t="n">
        <v>25</v>
      </c>
      <c r="B6683" t="s">
        <v>14</v>
      </c>
      <c r="C6683" t="s">
        <v>51</v>
      </c>
      <c r="D6683" s="2" t="s">
        <f>=HYPERLINK("https://main.knesset.gov.il/APPS/legislation/main/bills/2196812", "הצעת חוק הוועדה למינוי בכירים (תיקוני חקיקה), התשפ""ג-2022")</f>
        <v>13116</v>
      </c>
      <c r="E6683" t="s">
        <v>13116</v>
      </c>
      <c r="F6683" t="s">
        <v>13117</v>
      </c>
      <c r="G6683" t="s">
        <v>14</v>
      </c>
      <c r="H6683">
             </c>
      <c r="I6683" t="s">
        <v>14</v>
      </c>
      <c r="J6683" t="s">
        <v>242</v>
      </c>
      <c r="K6683" t="s">
        <v>14</v>
      </c>
      <c r="L6683" t="s">
        <v>20</v>
      </c>
      <c r="M6683" t="s">
        <v>12772</v>
      </c>
      <c r="N6683" t="s">
        <v>14</v>
      </c>
    </row>
    <row r="6684" x14ac:dyDescent="0.25">
      <c r="A6684" t="n">
        <v>25</v>
      </c>
      <c r="B6684" t="s">
        <v>14</v>
      </c>
      <c r="C6684" t="s">
        <v>51</v>
      </c>
      <c r="D6684" s="2" t="s">
        <f>=HYPERLINK("https://main.knesset.gov.il/APPS/legislation/main/bills/2196808", "הצעת חוק לתיקון פקודת הראיות (עדות יועץ תקשורת או דובר), התשפ""ג-2022")</f>
        <v>13118</v>
      </c>
      <c r="E6684" t="s">
        <v>13118</v>
      </c>
      <c r="F6684" t="s">
        <v>13119</v>
      </c>
      <c r="G6684" t="s">
        <v>14</v>
      </c>
      <c r="H6684">
             </c>
      <c r="I6684" t="s">
        <v>14</v>
      </c>
      <c r="J6684" t="s">
        <v>242</v>
      </c>
      <c r="K6684" t="s">
        <v>14</v>
      </c>
      <c r="L6684" t="s">
        <v>20</v>
      </c>
      <c r="M6684" t="s">
        <v>12772</v>
      </c>
      <c r="N6684" t="s">
        <v>14</v>
      </c>
    </row>
    <row r="6685" x14ac:dyDescent="0.25">
      <c r="A6685" t="n">
        <v>25</v>
      </c>
      <c r="B6685" t="s">
        <v>14</v>
      </c>
      <c r="C6685" t="s">
        <v>51</v>
      </c>
      <c r="D6685" s="2" t="s">
        <f>=HYPERLINK("https://main.knesset.gov.il/APPS/legislation/main/bills/2195928", "הצעת חוק להגדלת שיעור ההשתתפות בכוח העבודה ולצמצום פערים חברתיים (מענק עבודה) (תיקון - זכאות להטבות נלוות), התשפ""ג-2022")</f>
        <v>13120</v>
      </c>
      <c r="E6685" t="s">
        <v>13120</v>
      </c>
      <c r="F6685" t="s">
        <v>13121</v>
      </c>
      <c r="G6685" t="s">
        <v>14</v>
      </c>
      <c r="H6685">
             </c>
      <c r="I6685" t="s">
        <v>14</v>
      </c>
      <c r="J6685" t="s">
        <v>242</v>
      </c>
      <c r="K6685" t="s">
        <v>14</v>
      </c>
      <c r="L6685" t="s">
        <v>20</v>
      </c>
      <c r="M6685" t="s">
        <v>12772</v>
      </c>
      <c r="N6685" t="s">
        <v>14</v>
      </c>
    </row>
    <row r="6686" x14ac:dyDescent="0.25">
      <c r="A6686" t="n">
        <v>25</v>
      </c>
      <c r="B6686" t="s">
        <v>14</v>
      </c>
      <c r="C6686" t="s">
        <v>51</v>
      </c>
      <c r="D6686" s="2" t="s">
        <f>=HYPERLINK("https://main.knesset.gov.il/APPS/legislation/main/bills/2196110", "הצעת חוק הפקדות וזכויות סוציאליות לעצמאים (תיקוני חקיקה), התשפ""ג-2022")</f>
        <v>13122</v>
      </c>
      <c r="E6686" t="s">
        <v>13122</v>
      </c>
      <c r="F6686" t="s">
        <v>13123</v>
      </c>
      <c r="G6686" t="s">
        <v>14</v>
      </c>
      <c r="H6686">
             </c>
      <c r="I6686" t="s">
        <v>14</v>
      </c>
      <c r="J6686" t="s">
        <v>242</v>
      </c>
      <c r="K6686" t="s">
        <v>14</v>
      </c>
      <c r="L6686" t="s">
        <v>20</v>
      </c>
      <c r="M6686" t="s">
        <v>12772</v>
      </c>
      <c r="N6686" t="s">
        <v>14</v>
      </c>
    </row>
    <row r="6687" x14ac:dyDescent="0.25">
      <c r="A6687" t="n">
        <v>25</v>
      </c>
      <c r="B6687" t="s">
        <v>14</v>
      </c>
      <c r="C6687" t="s">
        <v>51</v>
      </c>
      <c r="D6687" s="2" t="s">
        <f>=HYPERLINK("https://main.knesset.gov.il/APPS/legislation/main/bills/2197577", "הצעת חוק לתיקון פקודת בתי הסוהר (תנאי אסיר ביטחוני בבתי הסוהר), התשפ""ג-2022")</f>
        <v>13124</v>
      </c>
      <c r="E6687" t="s">
        <v>13124</v>
      </c>
      <c r="F6687" t="s">
        <v>13125</v>
      </c>
      <c r="G6687" t="s">
        <v>14</v>
      </c>
      <c r="H6687">
             </c>
      <c r="I6687" t="s">
        <v>14</v>
      </c>
      <c r="J6687" t="s">
        <v>242</v>
      </c>
      <c r="K6687" t="s">
        <v>14</v>
      </c>
      <c r="L6687" t="s">
        <v>20</v>
      </c>
      <c r="M6687" t="s">
        <v>12772</v>
      </c>
      <c r="N6687" t="s">
        <v>14</v>
      </c>
    </row>
    <row r="6688" x14ac:dyDescent="0.25">
      <c r="A6688" t="n">
        <v>25</v>
      </c>
      <c r="B6688" t="s">
        <v>14</v>
      </c>
      <c r="C6688" t="s">
        <v>51</v>
      </c>
      <c r="D6688" s="2" t="s">
        <f>=HYPERLINK("https://main.knesset.gov.il/APPS/legislation/main/bills/2196066", "הצעת חוק הכשרות המשפטית והאפוטרופסות (תיקון - הסדרי ראיה לדודים ודודות), התשפ""ג-2022")</f>
        <v>13126</v>
      </c>
      <c r="E6688" t="s">
        <v>13126</v>
      </c>
      <c r="F6688" t="s">
        <v>13127</v>
      </c>
      <c r="G6688" t="s">
        <v>14</v>
      </c>
      <c r="H6688">
             </c>
      <c r="I6688" t="s">
        <v>14</v>
      </c>
      <c r="J6688" t="s">
        <v>242</v>
      </c>
      <c r="K6688" t="s">
        <v>14</v>
      </c>
      <c r="L6688" t="s">
        <v>20</v>
      </c>
      <c r="M6688" t="s">
        <v>12772</v>
      </c>
      <c r="N6688" t="s">
        <v>14</v>
      </c>
    </row>
    <row r="6689" x14ac:dyDescent="0.25">
      <c r="A6689" t="n">
        <v>25</v>
      </c>
      <c r="B6689" t="s">
        <v>14</v>
      </c>
      <c r="C6689" t="s">
        <v>51</v>
      </c>
      <c r="D6689" s="2" t="s">
        <f>=HYPERLINK("https://main.knesset.gov.il/APPS/legislation/main/bills/2196860", "הצעת חוק-יסוד: כבוד האדם וחירותו (תיקון - פגיעה בזכויות)")</f>
        <v>13128</v>
      </c>
      <c r="E6689" t="s">
        <v>13128</v>
      </c>
      <c r="F6689" t="s">
        <v>13129</v>
      </c>
      <c r="G6689" t="s">
        <v>14</v>
      </c>
      <c r="H6689">
             </c>
      <c r="I6689" t="s">
        <v>14</v>
      </c>
      <c r="J6689" t="s">
        <v>242</v>
      </c>
      <c r="K6689" t="s">
        <v>14</v>
      </c>
      <c r="L6689" t="s">
        <v>20</v>
      </c>
      <c r="M6689" t="s">
        <v>12772</v>
      </c>
      <c r="N6689" t="s">
        <v>14</v>
      </c>
    </row>
    <row r="6690" x14ac:dyDescent="0.25">
      <c r="A6690" t="n">
        <v>25</v>
      </c>
      <c r="B6690" t="s">
        <v>14</v>
      </c>
      <c r="C6690" t="s">
        <v>51</v>
      </c>
      <c r="D6690" s="2" t="s">
        <f>=HYPERLINK("https://main.knesset.gov.il/APPS/legislation/main/bills/2198103", "הצעת חוק הרשויות המקומיות (גמול השתתפות בישיבות והחזר הוצאות לחברי מועצה), התשפ""ג-2022")</f>
        <v>13130</v>
      </c>
      <c r="E6690" t="s">
        <v>13130</v>
      </c>
      <c r="F6690" t="s">
        <v>13131</v>
      </c>
      <c r="G6690" t="s">
        <v>14</v>
      </c>
      <c r="H6690">
             </c>
      <c r="I6690" t="s">
        <v>14</v>
      </c>
      <c r="J6690" t="s">
        <v>242</v>
      </c>
      <c r="K6690" t="s">
        <v>14</v>
      </c>
      <c r="L6690" t="s">
        <v>20</v>
      </c>
      <c r="M6690" t="s">
        <v>12772</v>
      </c>
      <c r="N6690" t="s">
        <v>14</v>
      </c>
    </row>
    <row r="6691" x14ac:dyDescent="0.25">
      <c r="A6691" t="n">
        <v>25</v>
      </c>
      <c r="B6691" t="s">
        <v>14</v>
      </c>
      <c r="C6691" t="s">
        <v>51</v>
      </c>
      <c r="D6691" s="2" t="s">
        <f>=HYPERLINK("https://main.knesset.gov.il/APPS/legislation/main/bills/2196060", "הצעת חוק התכנון והבנייה (תיקון - מכירה ישירה של תוצרת חקלאית), התשפ""ג-2022")</f>
        <v>13132</v>
      </c>
      <c r="E6691" t="s">
        <v>13132</v>
      </c>
      <c r="F6691" t="s">
        <v>13133</v>
      </c>
      <c r="G6691" t="s">
        <v>14</v>
      </c>
      <c r="H6691">
             </c>
      <c r="I6691" t="s">
        <v>14</v>
      </c>
      <c r="J6691" t="s">
        <v>242</v>
      </c>
      <c r="K6691" t="s">
        <v>14</v>
      </c>
      <c r="L6691" t="s">
        <v>20</v>
      </c>
      <c r="M6691" t="s">
        <v>12772</v>
      </c>
      <c r="N6691" t="s">
        <v>14</v>
      </c>
    </row>
    <row r="6692" x14ac:dyDescent="0.25">
      <c r="A6692" t="n">
        <v>25</v>
      </c>
      <c r="B6692" t="s">
        <v>14</v>
      </c>
      <c r="C6692" t="s">
        <v>51</v>
      </c>
      <c r="D6692" s="2" t="s">
        <f>=HYPERLINK("https://main.knesset.gov.il/APPS/legislation/main/bills/2196010", "הצעת חוק הביטוח הלאומי (תיקון - טיפול בפעוטות במעונות יום כעבודה מועדפת), התשפ""ג-2022")</f>
        <v>13134</v>
      </c>
      <c r="E6692" t="s">
        <v>13134</v>
      </c>
      <c r="F6692" t="s">
        <v>13135</v>
      </c>
      <c r="G6692" t="s">
        <v>14</v>
      </c>
      <c r="H6692">
             </c>
      <c r="I6692" t="s">
        <v>14</v>
      </c>
      <c r="J6692" t="s">
        <v>242</v>
      </c>
      <c r="K6692" t="s">
        <v>14</v>
      </c>
      <c r="L6692" t="s">
        <v>20</v>
      </c>
      <c r="M6692" t="s">
        <v>12772</v>
      </c>
      <c r="N6692" t="s">
        <v>14</v>
      </c>
    </row>
    <row r="6693" x14ac:dyDescent="0.25">
      <c r="A6693" t="n">
        <v>25</v>
      </c>
      <c r="B6693" t="s">
        <v>14</v>
      </c>
      <c r="C6693" t="s">
        <v>51</v>
      </c>
      <c r="D6693" s="2" t="s">
        <f>=HYPERLINK("https://main.knesset.gov.il/APPS/legislation/main/bills/2196030", "הצעת חוק התובע הכללי, התשפ""ג-2022")</f>
        <v>13136</v>
      </c>
      <c r="E6693" t="s">
        <v>13136</v>
      </c>
      <c r="F6693" t="s">
        <v>13137</v>
      </c>
      <c r="G6693" t="s">
        <v>14</v>
      </c>
      <c r="H6693">
             </c>
      <c r="I6693" t="s">
        <v>14</v>
      </c>
      <c r="J6693" t="s">
        <v>242</v>
      </c>
      <c r="K6693" t="s">
        <v>14</v>
      </c>
      <c r="L6693" t="s">
        <v>20</v>
      </c>
      <c r="M6693" t="s">
        <v>12772</v>
      </c>
      <c r="N6693" t="s">
        <v>14</v>
      </c>
    </row>
    <row r="6694" x14ac:dyDescent="0.25">
      <c r="A6694" t="n">
        <v>25</v>
      </c>
      <c r="B6694" t="s">
        <v>14</v>
      </c>
      <c r="C6694" t="s">
        <v>51</v>
      </c>
      <c r="D6694" s="2" t="s">
        <f>=HYPERLINK("https://main.knesset.gov.il/APPS/legislation/main/bills/2195861", "הצעת חוק החזר גביית יתר (תיקוני חקיקה), התשפ""ג-2022")</f>
        <v>13138</v>
      </c>
      <c r="E6694" t="s">
        <v>13138</v>
      </c>
      <c r="F6694" t="s">
        <v>13139</v>
      </c>
      <c r="G6694" t="s">
        <v>14</v>
      </c>
      <c r="H6694">
             </c>
      <c r="I6694" t="s">
        <v>14</v>
      </c>
      <c r="J6694" t="s">
        <v>242</v>
      </c>
      <c r="K6694" t="s">
        <v>14</v>
      </c>
      <c r="L6694" t="s">
        <v>20</v>
      </c>
      <c r="M6694" t="s">
        <v>12772</v>
      </c>
      <c r="N6694" t="s">
        <v>14</v>
      </c>
    </row>
    <row r="6695" x14ac:dyDescent="0.25">
      <c r="A6695" t="n">
        <v>25</v>
      </c>
      <c r="B6695" t="s">
        <v>14</v>
      </c>
      <c r="C6695" t="s">
        <v>51</v>
      </c>
      <c r="D6695" s="2" t="s">
        <f>=HYPERLINK("https://main.knesset.gov.il/APPS/legislation/main/bills/2197358", "הצעת חוק לתיקון פקודת העיריות (הרשאת שימוש במקרקעין למוסד ציבורי), התשפ""ג-2022")</f>
        <v>13140</v>
      </c>
      <c r="E6695" t="s">
        <v>13140</v>
      </c>
      <c r="F6695" t="s">
        <v>13141</v>
      </c>
      <c r="G6695" t="s">
        <v>14</v>
      </c>
      <c r="H6695">
             </c>
      <c r="I6695" t="s">
        <v>14</v>
      </c>
      <c r="J6695" t="s">
        <v>242</v>
      </c>
      <c r="K6695" t="s">
        <v>14</v>
      </c>
      <c r="L6695" t="s">
        <v>20</v>
      </c>
      <c r="M6695" t="s">
        <v>12772</v>
      </c>
      <c r="N6695" t="s">
        <v>14</v>
      </c>
    </row>
    <row r="6696" x14ac:dyDescent="0.25">
      <c r="A6696" t="n">
        <v>25</v>
      </c>
      <c r="B6696" t="s">
        <v>14</v>
      </c>
      <c r="C6696" t="s">
        <v>51</v>
      </c>
      <c r="D6696" s="2" t="s">
        <f>=HYPERLINK("https://main.knesset.gov.il/APPS/legislation/main/bills/2195917", "הצעת חוק העונשין (תיקון - ביטול עבירת השוטטות), התשפ""ג-2022")</f>
        <v>13142</v>
      </c>
      <c r="E6696" t="s">
        <v>13142</v>
      </c>
      <c r="F6696" t="s">
        <v>13143</v>
      </c>
      <c r="G6696" t="s">
        <v>14</v>
      </c>
      <c r="H6696">
             </c>
      <c r="I6696" t="s">
        <v>14</v>
      </c>
      <c r="J6696" t="s">
        <v>242</v>
      </c>
      <c r="K6696" t="s">
        <v>14</v>
      </c>
      <c r="L6696" t="s">
        <v>20</v>
      </c>
      <c r="M6696" t="s">
        <v>12772</v>
      </c>
      <c r="N6696" t="s">
        <v>14</v>
      </c>
    </row>
    <row r="6697" x14ac:dyDescent="0.25">
      <c r="A6697" t="n">
        <v>25</v>
      </c>
      <c r="B6697" t="s">
        <v>14</v>
      </c>
      <c r="C6697" t="s">
        <v>51</v>
      </c>
      <c r="D6697" s="2" t="s">
        <f>=HYPERLINK("https://main.knesset.gov.il/APPS/legislation/main/bills/2195729", "הצעת חוק המרכז לגביית קנסות, אגרות והוצאות (תיקון - גביית תשלום בעד חוב שטרם חלף המועד לתשלומו), התשפ""ג-2022")</f>
        <v>13144</v>
      </c>
      <c r="E6697" t="s">
        <v>13144</v>
      </c>
      <c r="F6697" t="s">
        <v>13145</v>
      </c>
      <c r="G6697" t="s">
        <v>14</v>
      </c>
      <c r="H6697">
             </c>
      <c r="I6697" t="s">
        <v>14</v>
      </c>
      <c r="J6697" t="s">
        <v>242</v>
      </c>
      <c r="K6697" t="s">
        <v>14</v>
      </c>
      <c r="L6697" t="s">
        <v>20</v>
      </c>
      <c r="M6697" t="s">
        <v>12772</v>
      </c>
      <c r="N6697" t="s">
        <v>14</v>
      </c>
    </row>
    <row r="6698" x14ac:dyDescent="0.25">
      <c r="A6698" t="n">
        <v>25</v>
      </c>
      <c r="B6698" t="s">
        <v>14</v>
      </c>
      <c r="C6698" t="s">
        <v>51</v>
      </c>
      <c r="D6698" s="2" t="s">
        <f>=HYPERLINK("https://main.knesset.gov.il/APPS/legislation/main/bills/2198325", "הצעת חוק פיקוח על בתי ספר (תיקון - הרחבת תחולה), התשפ""ג-2022")</f>
        <v>13146</v>
      </c>
      <c r="E6698" t="s">
        <v>13146</v>
      </c>
      <c r="F6698" t="s">
        <v>13147</v>
      </c>
      <c r="G6698" t="s">
        <v>14</v>
      </c>
      <c r="H6698">
             </c>
      <c r="I6698" t="s">
        <v>14</v>
      </c>
      <c r="J6698" t="s">
        <v>242</v>
      </c>
      <c r="K6698" t="s">
        <v>14</v>
      </c>
      <c r="L6698" t="s">
        <v>20</v>
      </c>
      <c r="M6698" t="s">
        <v>12772</v>
      </c>
      <c r="N6698" t="s">
        <v>14</v>
      </c>
    </row>
    <row r="6699" x14ac:dyDescent="0.25">
      <c r="A6699" t="n">
        <v>25</v>
      </c>
      <c r="B6699" t="s">
        <v>14</v>
      </c>
      <c r="C6699" t="s">
        <v>51</v>
      </c>
      <c r="D6699" s="2" t="s">
        <f>=HYPERLINK("https://main.knesset.gov.il/APPS/legislation/main/bills/2197433", "הצעת חוק איסור הנפת דגל הרשות הפלסטינית, התשפ""ג-2022")</f>
        <v>13148</v>
      </c>
      <c r="E6699" t="s">
        <v>13148</v>
      </c>
      <c r="F6699" t="s">
        <v>13149</v>
      </c>
      <c r="G6699" t="s">
        <v>14</v>
      </c>
      <c r="H6699">
             </c>
      <c r="I6699" t="s">
        <v>14</v>
      </c>
      <c r="J6699" t="s">
        <v>242</v>
      </c>
      <c r="K6699" t="s">
        <v>14</v>
      </c>
      <c r="L6699" t="s">
        <v>20</v>
      </c>
      <c r="M6699" t="s">
        <v>12772</v>
      </c>
      <c r="N6699" t="s">
        <v>14</v>
      </c>
    </row>
    <row r="6700" x14ac:dyDescent="0.25">
      <c r="A6700" t="n">
        <v>25</v>
      </c>
      <c r="B6700" t="s">
        <v>14</v>
      </c>
      <c r="C6700" t="s">
        <v>51</v>
      </c>
      <c r="D6700" s="2" t="s">
        <f>=HYPERLINK("https://main.knesset.gov.il/APPS/legislation/main/bills/2197133", "הצעת חוק איסור הנפת דגל הרשות הפלסטינית, התשפ""ג-2022")</f>
        <v>13148</v>
      </c>
      <c r="E6700" t="s">
        <v>13148</v>
      </c>
      <c r="F6700" t="s">
        <v>13150</v>
      </c>
      <c r="G6700" t="s">
        <v>14</v>
      </c>
      <c r="H6700">
             </c>
      <c r="I6700" t="s">
        <v>14</v>
      </c>
      <c r="J6700" t="s">
        <v>242</v>
      </c>
      <c r="K6700" t="s">
        <v>14</v>
      </c>
      <c r="L6700" t="s">
        <v>20</v>
      </c>
      <c r="M6700" t="s">
        <v>12772</v>
      </c>
      <c r="N6700" t="s">
        <v>14</v>
      </c>
    </row>
    <row r="6701" x14ac:dyDescent="0.25">
      <c r="A6701" t="n">
        <v>25</v>
      </c>
      <c r="B6701" t="s">
        <v>14</v>
      </c>
      <c r="C6701" t="s">
        <v>51</v>
      </c>
      <c r="D6701" s="2" t="s">
        <f>=HYPERLINK("https://main.knesset.gov.il/APPS/legislation/main/bills/2198335", "הצעת חוק רישוי עסקים (תיקון - חובת הספקת אמצעים לגילוי סם מסוכן), התשפ""ג-2022")</f>
        <v>13151</v>
      </c>
      <c r="E6701" t="s">
        <v>13151</v>
      </c>
      <c r="F6701" t="s">
        <v>13152</v>
      </c>
      <c r="G6701" t="s">
        <v>14</v>
      </c>
      <c r="H6701">
             </c>
      <c r="I6701" t="s">
        <v>14</v>
      </c>
      <c r="J6701" t="s">
        <v>242</v>
      </c>
      <c r="K6701" t="s">
        <v>14</v>
      </c>
      <c r="L6701" t="s">
        <v>20</v>
      </c>
      <c r="M6701" t="s">
        <v>12772</v>
      </c>
      <c r="N6701" t="s">
        <v>14</v>
      </c>
    </row>
    <row r="6702" x14ac:dyDescent="0.25">
      <c r="A6702" t="n">
        <v>25</v>
      </c>
      <c r="B6702" t="s">
        <v>14</v>
      </c>
      <c r="C6702" t="s">
        <v>51</v>
      </c>
      <c r="D6702" s="2" t="s">
        <f>=HYPERLINK("https://main.knesset.gov.il/APPS/legislation/main/bills/2197663", "הצעת חוק עקרונות האסדרה (תיקון - פקיעת האסדרה), התשפ""ג-2022")</f>
        <v>13153</v>
      </c>
      <c r="E6702" t="s">
        <v>13153</v>
      </c>
      <c r="F6702" t="s">
        <v>13154</v>
      </c>
      <c r="G6702" t="s">
        <v>14</v>
      </c>
      <c r="H6702">
             </c>
      <c r="I6702" t="s">
        <v>14</v>
      </c>
      <c r="J6702" t="s">
        <v>242</v>
      </c>
      <c r="K6702" t="s">
        <v>14</v>
      </c>
      <c r="L6702" t="s">
        <v>20</v>
      </c>
      <c r="M6702" t="s">
        <v>12772</v>
      </c>
      <c r="N6702" t="s">
        <v>14</v>
      </c>
    </row>
    <row r="6703" x14ac:dyDescent="0.25">
      <c r="A6703" t="n">
        <v>25</v>
      </c>
      <c r="B6703" t="s">
        <v>14</v>
      </c>
      <c r="C6703" t="s">
        <v>51</v>
      </c>
      <c r="D6703" s="2" t="s">
        <f>=HYPERLINK("https://main.knesset.gov.il/APPS/legislation/main/bills/2197372", "הצעת חוק פיקוח על בתי ספר (תיקון - הרחבת תחולה), התשפ""ג-2022")</f>
        <v>13146</v>
      </c>
      <c r="E6703" t="s">
        <v>13146</v>
      </c>
      <c r="F6703" t="s">
        <v>13155</v>
      </c>
      <c r="G6703" t="s">
        <v>14</v>
      </c>
      <c r="H6703">
             </c>
      <c r="I6703" t="s">
        <v>14</v>
      </c>
      <c r="J6703" t="s">
        <v>242</v>
      </c>
      <c r="K6703" t="s">
        <v>14</v>
      </c>
      <c r="L6703" t="s">
        <v>20</v>
      </c>
      <c r="M6703" t="s">
        <v>12772</v>
      </c>
      <c r="N6703" t="s">
        <v>14</v>
      </c>
    </row>
    <row r="6704" x14ac:dyDescent="0.25">
      <c r="A6704" t="n">
        <v>25</v>
      </c>
      <c r="B6704" t="s">
        <v>14</v>
      </c>
      <c r="C6704" t="s">
        <v>51</v>
      </c>
      <c r="D6704" s="2" t="s">
        <f>=HYPERLINK("https://main.knesset.gov.il/APPS/legislation/main/bills/2198327", "הצעת חוק איסור הפליה במוצרים, בשירותים ובכניסה למקומות בידור ולמקומות ציבוריים (תיקון - הפליה מחמת מראה והתניית רישיון עסק באיסור הפליה), התשפ""ג-2022")</f>
        <v>13156</v>
      </c>
      <c r="E6704" t="s">
        <v>13156</v>
      </c>
      <c r="F6704" t="s">
        <v>13157</v>
      </c>
      <c r="G6704" t="s">
        <v>14</v>
      </c>
      <c r="H6704">
             </c>
      <c r="I6704" t="s">
        <v>14</v>
      </c>
      <c r="J6704" t="s">
        <v>242</v>
      </c>
      <c r="K6704" t="s">
        <v>14</v>
      </c>
      <c r="L6704" t="s">
        <v>20</v>
      </c>
      <c r="M6704" t="s">
        <v>12772</v>
      </c>
      <c r="N6704" t="s">
        <v>14</v>
      </c>
    </row>
    <row r="6705" x14ac:dyDescent="0.25">
      <c r="A6705" t="n">
        <v>25</v>
      </c>
      <c r="B6705" t="s">
        <v>14</v>
      </c>
      <c r="C6705" t="s">
        <v>51</v>
      </c>
      <c r="D6705" s="2" t="s">
        <f>=HYPERLINK("https://main.knesset.gov.il/APPS/legislation/main/bills/2197698", "הצעת חוק הרשויות המקומיות (גמול השתתפות בישיבות והחזר הוצאות לחברי מועצה), התשפ""ג-2022")</f>
        <v>13130</v>
      </c>
      <c r="E6705" t="s">
        <v>13130</v>
      </c>
      <c r="F6705" t="s">
        <v>13158</v>
      </c>
      <c r="G6705" t="s">
        <v>14</v>
      </c>
      <c r="H6705">
             </c>
      <c r="I6705" t="s">
        <v>14</v>
      </c>
      <c r="J6705" t="s">
        <v>242</v>
      </c>
      <c r="K6705" t="s">
        <v>14</v>
      </c>
      <c r="L6705" t="s">
        <v>20</v>
      </c>
      <c r="M6705" t="s">
        <v>12772</v>
      </c>
      <c r="N6705" t="s">
        <v>14</v>
      </c>
    </row>
    <row r="6706" x14ac:dyDescent="0.25">
      <c r="A6706" t="n">
        <v>25</v>
      </c>
      <c r="B6706" t="s">
        <v>14</v>
      </c>
      <c r="C6706" t="s">
        <v>51</v>
      </c>
      <c r="D6706" s="2" t="s">
        <f>=HYPERLINK("https://main.knesset.gov.il/APPS/legislation/main/bills/2197725", "הצעת חוק התכנון והבנייה (תיקון - חיבור חשמל מטעמים הומניטריים), התשפ""ג-2022")</f>
        <v>13159</v>
      </c>
      <c r="E6706" t="s">
        <v>13159</v>
      </c>
      <c r="F6706" t="s">
        <v>13160</v>
      </c>
      <c r="G6706" t="s">
        <v>14</v>
      </c>
      <c r="H6706">
             </c>
      <c r="I6706" t="s">
        <v>14</v>
      </c>
      <c r="J6706" t="s">
        <v>242</v>
      </c>
      <c r="K6706" t="s">
        <v>14</v>
      </c>
      <c r="L6706" t="s">
        <v>20</v>
      </c>
      <c r="M6706" t="s">
        <v>12772</v>
      </c>
      <c r="N6706" t="s">
        <v>14</v>
      </c>
    </row>
    <row r="6707" x14ac:dyDescent="0.25">
      <c r="A6707" t="n">
        <v>25</v>
      </c>
      <c r="B6707" t="s">
        <v>14</v>
      </c>
      <c r="C6707" t="s">
        <v>51</v>
      </c>
      <c r="D6707" s="2" t="s">
        <f>=HYPERLINK("https://main.knesset.gov.il/APPS/legislation/main/bills/2198071", "הצעת חוק הגנה על זכויות הדורות הבאים, התשפ""ג-2022")</f>
        <v>13161</v>
      </c>
      <c r="E6707" t="s">
        <v>13161</v>
      </c>
      <c r="F6707" t="s">
        <v>13162</v>
      </c>
      <c r="G6707" t="s">
        <v>14</v>
      </c>
      <c r="H6707">
             </c>
      <c r="I6707" t="s">
        <v>14</v>
      </c>
      <c r="J6707" t="s">
        <v>242</v>
      </c>
      <c r="K6707" t="s">
        <v>14</v>
      </c>
      <c r="L6707" t="s">
        <v>20</v>
      </c>
      <c r="M6707" t="s">
        <v>12772</v>
      </c>
      <c r="N6707" t="s">
        <v>14</v>
      </c>
    </row>
    <row r="6708" x14ac:dyDescent="0.25">
      <c r="A6708" t="n">
        <v>25</v>
      </c>
      <c r="B6708" t="s">
        <v>14</v>
      </c>
      <c r="C6708" t="s">
        <v>51</v>
      </c>
      <c r="D6708" s="2" t="s">
        <f>=HYPERLINK("https://main.knesset.gov.il/APPS/legislation/main/bills/2198309", "הצעת חוק חינוך לשוויון מגדרי, התשפ""ג-2022 ")</f>
        <v>13163</v>
      </c>
      <c r="E6708" t="s">
        <v>13163</v>
      </c>
      <c r="F6708" t="s">
        <v>13164</v>
      </c>
      <c r="G6708" t="s">
        <v>14</v>
      </c>
      <c r="H6708">
             </c>
      <c r="I6708" t="s">
        <v>14</v>
      </c>
      <c r="J6708" t="s">
        <v>242</v>
      </c>
      <c r="K6708" t="s">
        <v>14</v>
      </c>
      <c r="L6708" t="s">
        <v>20</v>
      </c>
      <c r="M6708" t="s">
        <v>12772</v>
      </c>
      <c r="N6708" t="s">
        <v>14</v>
      </c>
    </row>
    <row r="6709" x14ac:dyDescent="0.25">
      <c r="A6709" t="n">
        <v>25</v>
      </c>
      <c r="B6709" t="s">
        <v>14</v>
      </c>
      <c r="C6709" t="s">
        <v>51</v>
      </c>
      <c r="D6709" s="2" t="s">
        <f>=HYPERLINK("https://main.knesset.gov.il/APPS/legislation/main/bills/2197724", "הצעת חוק התכנון והבנייה (תיקון מס' 116) (תיקון - ביטול החוק), התשפ""ג-2022")</f>
        <v>13165</v>
      </c>
      <c r="E6709" t="s">
        <v>13165</v>
      </c>
      <c r="F6709" t="s">
        <v>13166</v>
      </c>
      <c r="G6709" t="s">
        <v>14</v>
      </c>
      <c r="H6709">
             </c>
      <c r="I6709" t="s">
        <v>14</v>
      </c>
      <c r="J6709" t="s">
        <v>242</v>
      </c>
      <c r="K6709" t="s">
        <v>14</v>
      </c>
      <c r="L6709" t="s">
        <v>20</v>
      </c>
      <c r="M6709" t="s">
        <v>12772</v>
      </c>
      <c r="N6709" t="s">
        <v>14</v>
      </c>
    </row>
    <row r="6710" x14ac:dyDescent="0.25">
      <c r="A6710" t="n">
        <v>25</v>
      </c>
      <c r="B6710" t="s">
        <v>14</v>
      </c>
      <c r="C6710" t="s">
        <v>51</v>
      </c>
      <c r="D6710" s="2" t="s">
        <f>=HYPERLINK("https://main.knesset.gov.il/APPS/legislation/main/bills/2198058", "הצעת חוק-יסוד: זכויות חברתיות")</f>
        <v>13167</v>
      </c>
      <c r="E6710" t="s">
        <v>13167</v>
      </c>
      <c r="F6710" t="s">
        <v>13168</v>
      </c>
      <c r="G6710" t="s">
        <v>14</v>
      </c>
      <c r="H6710">
             </c>
      <c r="I6710" t="s">
        <v>14</v>
      </c>
      <c r="J6710" t="s">
        <v>242</v>
      </c>
      <c r="K6710" t="s">
        <v>14</v>
      </c>
      <c r="L6710" t="s">
        <v>20</v>
      </c>
      <c r="M6710" t="s">
        <v>12772</v>
      </c>
      <c r="N6710" t="s">
        <v>14</v>
      </c>
    </row>
    <row r="6711" x14ac:dyDescent="0.25">
      <c r="A6711" t="n">
        <v>25</v>
      </c>
      <c r="B6711" t="s">
        <v>14</v>
      </c>
      <c r="C6711" t="s">
        <v>51</v>
      </c>
      <c r="D6711" s="2" t="s">
        <f>=HYPERLINK("https://main.knesset.gov.il/APPS/legislation/main/bills/2198135", "הצעת חוק שירות התעסוקה (תיקון - נגישות לתחבורה ציבורית), התשפ""ג-2022")</f>
        <v>13169</v>
      </c>
      <c r="E6711" t="s">
        <v>13169</v>
      </c>
      <c r="F6711" t="s">
        <v>13170</v>
      </c>
      <c r="G6711" t="s">
        <v>14</v>
      </c>
      <c r="H6711">
             </c>
      <c r="I6711" t="s">
        <v>14</v>
      </c>
      <c r="J6711" t="s">
        <v>242</v>
      </c>
      <c r="K6711" t="s">
        <v>14</v>
      </c>
      <c r="L6711" t="s">
        <v>20</v>
      </c>
      <c r="M6711" t="s">
        <v>12772</v>
      </c>
      <c r="N6711" t="s">
        <v>14</v>
      </c>
    </row>
    <row r="6712" x14ac:dyDescent="0.25">
      <c r="A6712" t="n">
        <v>25</v>
      </c>
      <c r="B6712" t="s">
        <v>14</v>
      </c>
      <c r="C6712" t="s">
        <v>51</v>
      </c>
      <c r="D6712" s="2" t="s">
        <f>=HYPERLINK("https://main.knesset.gov.il/APPS/legislation/main/bills/2198039", "הצעת חוק שירות התעסוקה (תיקון - נגישות לתחבורה ציבורית), התשפ""ג-2022")</f>
        <v>13169</v>
      </c>
      <c r="E6712" t="s">
        <v>13169</v>
      </c>
      <c r="F6712" t="s">
        <v>13171</v>
      </c>
      <c r="G6712" t="s">
        <v>14</v>
      </c>
      <c r="H6712">
             </c>
      <c r="I6712" t="s">
        <v>14</v>
      </c>
      <c r="J6712" t="s">
        <v>242</v>
      </c>
      <c r="K6712" t="s">
        <v>14</v>
      </c>
      <c r="L6712" t="s">
        <v>20</v>
      </c>
      <c r="M6712" t="s">
        <v>12772</v>
      </c>
      <c r="N6712" t="s">
        <v>14</v>
      </c>
    </row>
    <row r="6713" x14ac:dyDescent="0.25">
      <c r="A6713" t="n">
        <v>25</v>
      </c>
      <c r="B6713" t="s">
        <v>14</v>
      </c>
      <c r="C6713" t="s">
        <v>51</v>
      </c>
      <c r="D6713" s="2" t="s">
        <f>=HYPERLINK("https://main.knesset.gov.il/APPS/legislation/main/bills/2197618", "הצעת חוק לתיקון פקודת הדיג (איסור דיג מכמורת), התשפ''ג-2022")</f>
        <v>13172</v>
      </c>
      <c r="E6713" t="s">
        <v>13172</v>
      </c>
      <c r="F6713" t="s">
        <v>13173</v>
      </c>
      <c r="G6713" t="s">
        <v>14</v>
      </c>
      <c r="H6713">
             </c>
      <c r="I6713" t="s">
        <v>14</v>
      </c>
      <c r="J6713" t="s">
        <v>242</v>
      </c>
      <c r="K6713" t="s">
        <v>14</v>
      </c>
      <c r="L6713" t="s">
        <v>20</v>
      </c>
      <c r="M6713" t="s">
        <v>12772</v>
      </c>
      <c r="N6713" t="s">
        <v>14</v>
      </c>
    </row>
    <row r="6714" x14ac:dyDescent="0.25">
      <c r="A6714" t="n">
        <v>25</v>
      </c>
      <c r="B6714" t="s">
        <v>14</v>
      </c>
      <c r="C6714" t="s">
        <v>51</v>
      </c>
      <c r="D6714" s="2" t="s">
        <f>=HYPERLINK("https://main.knesset.gov.il/APPS/legislation/main/bills/2198166", "הצעת חוק להגבלת הריסה וענישה על בנייה בלתי חוקית במגזר הערבי (הוראת שעה), התשפ""ג-2022")</f>
        <v>13174</v>
      </c>
      <c r="E6714" t="s">
        <v>13174</v>
      </c>
      <c r="F6714" t="s">
        <v>13175</v>
      </c>
      <c r="G6714" t="s">
        <v>14</v>
      </c>
      <c r="H6714">
             </c>
      <c r="I6714" t="s">
        <v>14</v>
      </c>
      <c r="J6714" t="s">
        <v>242</v>
      </c>
      <c r="K6714" t="s">
        <v>14</v>
      </c>
      <c r="L6714" t="s">
        <v>20</v>
      </c>
      <c r="M6714" t="s">
        <v>12772</v>
      </c>
      <c r="N6714" t="s">
        <v>14</v>
      </c>
    </row>
    <row r="6715" x14ac:dyDescent="0.25">
      <c r="A6715" t="n">
        <v>25</v>
      </c>
      <c r="B6715" t="s">
        <v>14</v>
      </c>
      <c r="C6715" t="s">
        <v>51</v>
      </c>
      <c r="D6715" s="2" t="s">
        <f>=HYPERLINK("https://main.knesset.gov.il/APPS/legislation/main/bills/2197979", "הצעת חוק לתיקון פקודת התעבורה (הוראות לעניין סככות המתנה בתחנות אוטובוס), התשפ""ג-2022")</f>
        <v>13176</v>
      </c>
      <c r="E6715" t="s">
        <v>13176</v>
      </c>
      <c r="F6715" t="s">
        <v>13177</v>
      </c>
      <c r="G6715" t="s">
        <v>14</v>
      </c>
      <c r="H6715">
             </c>
      <c r="I6715" t="s">
        <v>14</v>
      </c>
      <c r="J6715" t="s">
        <v>242</v>
      </c>
      <c r="K6715" t="s">
        <v>14</v>
      </c>
      <c r="L6715" t="s">
        <v>20</v>
      </c>
      <c r="M6715" t="s">
        <v>12772</v>
      </c>
      <c r="N6715" t="s">
        <v>14</v>
      </c>
    </row>
    <row r="6716" x14ac:dyDescent="0.25">
      <c r="A6716" t="n">
        <v>25</v>
      </c>
      <c r="B6716" t="s">
        <v>14</v>
      </c>
      <c r="C6716" t="s">
        <v>51</v>
      </c>
      <c r="D6716" s="2" t="s">
        <f>=HYPERLINK("https://main.knesset.gov.il/APPS/legislation/main/bills/2198080", "הצעת חוק לימוד חובה (תיקון - חינוך חינם לגיל הרך), התשפ""ג-2022")</f>
        <v>13178</v>
      </c>
      <c r="E6716" t="s">
        <v>13178</v>
      </c>
      <c r="F6716" t="s">
        <v>13179</v>
      </c>
      <c r="G6716" t="s">
        <v>14</v>
      </c>
      <c r="H6716">
             </c>
      <c r="I6716" t="s">
        <v>14</v>
      </c>
      <c r="J6716" t="s">
        <v>242</v>
      </c>
      <c r="K6716" t="s">
        <v>14</v>
      </c>
      <c r="L6716" t="s">
        <v>20</v>
      </c>
      <c r="M6716" t="s">
        <v>12772</v>
      </c>
      <c r="N6716" t="s">
        <v>14</v>
      </c>
    </row>
    <row r="6717" x14ac:dyDescent="0.25">
      <c r="A6717" t="n">
        <v>25</v>
      </c>
      <c r="B6717" t="s">
        <v>14</v>
      </c>
      <c r="C6717" t="s">
        <v>51</v>
      </c>
      <c r="D6717" s="2" t="s">
        <f>=HYPERLINK("https://main.knesset.gov.il/APPS/legislation/main/bills/2197111", "הצעת חוק לימוד חובה (תיקון - חינוך חינם לגיל הרך), התשפ""ג-2022")</f>
        <v>13178</v>
      </c>
      <c r="E6717" t="s">
        <v>13178</v>
      </c>
      <c r="F6717" t="s">
        <v>13180</v>
      </c>
      <c r="G6717" t="s">
        <v>14</v>
      </c>
      <c r="H6717">
             </c>
      <c r="I6717" t="s">
        <v>14</v>
      </c>
      <c r="J6717" t="s">
        <v>242</v>
      </c>
      <c r="K6717" t="s">
        <v>14</v>
      </c>
      <c r="L6717" t="s">
        <v>20</v>
      </c>
      <c r="M6717" t="s">
        <v>12772</v>
      </c>
      <c r="N6717" t="s">
        <v>14</v>
      </c>
    </row>
    <row r="6718" x14ac:dyDescent="0.25">
      <c r="A6718" t="n">
        <v>25</v>
      </c>
      <c r="B6718" t="s">
        <v>14</v>
      </c>
      <c r="C6718" t="s">
        <v>51</v>
      </c>
      <c r="D6718" s="2" t="s">
        <f>=HYPERLINK("https://main.knesset.gov.il/APPS/legislation/main/bills/2197061", "הצעת חוק להגנת חיית הבר (תיקון - הרעלות), התשפ""ג-2022")</f>
        <v>13181</v>
      </c>
      <c r="E6718" t="s">
        <v>13181</v>
      </c>
      <c r="F6718" t="s">
        <v>13182</v>
      </c>
      <c r="G6718" t="s">
        <v>14</v>
      </c>
      <c r="H6718">
             </c>
      <c r="I6718" t="s">
        <v>14</v>
      </c>
      <c r="J6718" t="s">
        <v>242</v>
      </c>
      <c r="K6718" t="s">
        <v>14</v>
      </c>
      <c r="L6718" t="s">
        <v>20</v>
      </c>
      <c r="M6718" t="s">
        <v>12772</v>
      </c>
      <c r="N6718" t="s">
        <v>14</v>
      </c>
    </row>
    <row r="6719" x14ac:dyDescent="0.25">
      <c r="A6719" t="n">
        <v>25</v>
      </c>
      <c r="B6719" t="s">
        <v>14</v>
      </c>
      <c r="C6719" t="s">
        <v>51</v>
      </c>
      <c r="D6719" s="2" t="s">
        <f>=HYPERLINK("https://main.knesset.gov.il/APPS/legislation/main/bills/2198070", "הצעת חוק הביטוח הלאומי (תיקון - דמי אבטלה למתמחים), התשפ""ג-2022")</f>
        <v>13183</v>
      </c>
      <c r="E6719" t="s">
        <v>13183</v>
      </c>
      <c r="F6719" t="s">
        <v>13184</v>
      </c>
      <c r="G6719" t="s">
        <v>14</v>
      </c>
      <c r="H6719">
             </c>
      <c r="I6719" t="s">
        <v>14</v>
      </c>
      <c r="J6719" t="s">
        <v>242</v>
      </c>
      <c r="K6719" t="s">
        <v>14</v>
      </c>
      <c r="L6719" t="s">
        <v>20</v>
      </c>
      <c r="M6719" t="s">
        <v>12772</v>
      </c>
      <c r="N6719" t="s">
        <v>14</v>
      </c>
    </row>
    <row r="6720" x14ac:dyDescent="0.25">
      <c r="A6720" t="n">
        <v>25</v>
      </c>
      <c r="B6720" t="s">
        <v>14</v>
      </c>
      <c r="C6720" t="s">
        <v>51</v>
      </c>
      <c r="D6720" s="2" t="s">
        <f>=HYPERLINK("https://main.knesset.gov.il/APPS/legislation/main/bills/2196961", "הצעת חוק לשכת עורכי הדין (תיקון - הנחיות למתן ציונים במבחני הסמכה) (הוראת שעה), התשפ""ג-2022")</f>
        <v>13185</v>
      </c>
      <c r="E6720" t="s">
        <v>13185</v>
      </c>
      <c r="F6720" t="s">
        <v>13186</v>
      </c>
      <c r="G6720" t="s">
        <v>14</v>
      </c>
      <c r="H6720">
             </c>
      <c r="I6720" t="s">
        <v>14</v>
      </c>
      <c r="J6720" t="s">
        <v>242</v>
      </c>
      <c r="K6720" t="s">
        <v>14</v>
      </c>
      <c r="L6720" t="s">
        <v>20</v>
      </c>
      <c r="M6720" t="s">
        <v>12772</v>
      </c>
      <c r="N6720" t="s">
        <v>14</v>
      </c>
    </row>
    <row r="6721" x14ac:dyDescent="0.25">
      <c r="A6721" t="n">
        <v>25</v>
      </c>
      <c r="B6721" t="s">
        <v>14</v>
      </c>
      <c r="C6721" t="s">
        <v>51</v>
      </c>
      <c r="D6721" s="2" t="s">
        <f>=HYPERLINK("https://main.knesset.gov.il/APPS/legislation/main/bills/2197400", "הצעת חוק לתיקון פקודת הבנקאות (תקופת צינון למפקח על הבנקים), התשפ""ג-2022")</f>
        <v>13187</v>
      </c>
      <c r="E6721" t="s">
        <v>13187</v>
      </c>
      <c r="F6721" t="s">
        <v>13188</v>
      </c>
      <c r="G6721" t="s">
        <v>14</v>
      </c>
      <c r="H6721">
             </c>
      <c r="I6721" t="s">
        <v>14</v>
      </c>
      <c r="J6721" t="s">
        <v>242</v>
      </c>
      <c r="K6721" t="s">
        <v>14</v>
      </c>
      <c r="L6721" t="s">
        <v>20</v>
      </c>
      <c r="M6721" t="s">
        <v>12772</v>
      </c>
      <c r="N6721" t="s">
        <v>14</v>
      </c>
    </row>
    <row r="6722" x14ac:dyDescent="0.25">
      <c r="A6722" t="n">
        <v>25</v>
      </c>
      <c r="B6722" t="s">
        <v>14</v>
      </c>
      <c r="C6722" t="s">
        <v>51</v>
      </c>
      <c r="D6722" s="2" t="s">
        <f>=HYPERLINK("https://main.knesset.gov.il/APPS/legislation/main/bills/2197312", "הצעת חוק הביטוח הלאומי (תיקון - דמי אבטלה למתמחים), התשפ""ג-2022")</f>
        <v>13183</v>
      </c>
      <c r="E6722" t="s">
        <v>13183</v>
      </c>
      <c r="F6722" t="s">
        <v>13189</v>
      </c>
      <c r="G6722" t="s">
        <v>14</v>
      </c>
      <c r="H6722">
             </c>
      <c r="I6722" t="s">
        <v>14</v>
      </c>
      <c r="J6722" t="s">
        <v>242</v>
      </c>
      <c r="K6722" t="s">
        <v>14</v>
      </c>
      <c r="L6722" t="s">
        <v>20</v>
      </c>
      <c r="M6722" t="s">
        <v>12772</v>
      </c>
      <c r="N6722" t="s">
        <v>14</v>
      </c>
    </row>
    <row r="6723" x14ac:dyDescent="0.25">
      <c r="A6723" t="n">
        <v>25</v>
      </c>
      <c r="B6723" t="s">
        <v>14</v>
      </c>
      <c r="C6723" t="s">
        <v>51</v>
      </c>
      <c r="D6723" s="2" t="s">
        <f>=HYPERLINK("https://main.knesset.gov.il/APPS/legislation/main/bills/2198180", "הצעת חוק הקמת יישוב עירוני חדש, התשפ""ג-2022 ")</f>
        <v>13190</v>
      </c>
      <c r="E6723" t="s">
        <v>13190</v>
      </c>
      <c r="F6723" t="s">
        <v>13191</v>
      </c>
      <c r="G6723" t="s">
        <v>14</v>
      </c>
      <c r="H6723">
             </c>
      <c r="I6723" t="s">
        <v>14</v>
      </c>
      <c r="J6723" t="s">
        <v>242</v>
      </c>
      <c r="K6723" t="s">
        <v>14</v>
      </c>
      <c r="L6723" t="s">
        <v>20</v>
      </c>
      <c r="M6723" t="s">
        <v>12772</v>
      </c>
      <c r="N6723" t="s">
        <v>14</v>
      </c>
    </row>
    <row r="6724" x14ac:dyDescent="0.25">
      <c r="A6724" t="n">
        <v>25</v>
      </c>
      <c r="B6724" t="s">
        <v>14</v>
      </c>
      <c r="C6724" t="s">
        <v>51</v>
      </c>
      <c r="D6724" s="2" t="s">
        <f>=HYPERLINK("https://main.knesset.gov.il/APPS/legislation/main/bills/2196842", "הצעת חוק לתיקון פקודת הבנקאות (תקופת צינון למפקח על הבנקים), התשפ""ג-2022")</f>
        <v>13187</v>
      </c>
      <c r="E6724" t="s">
        <v>13187</v>
      </c>
      <c r="F6724" t="s">
        <v>13192</v>
      </c>
      <c r="G6724" t="s">
        <v>14</v>
      </c>
      <c r="H6724">
             </c>
      <c r="I6724" t="s">
        <v>14</v>
      </c>
      <c r="J6724" t="s">
        <v>242</v>
      </c>
      <c r="K6724" t="s">
        <v>14</v>
      </c>
      <c r="L6724" t="s">
        <v>20</v>
      </c>
      <c r="M6724" t="s">
        <v>12772</v>
      </c>
      <c r="N6724" t="s">
        <v>14</v>
      </c>
    </row>
    <row r="6725" x14ac:dyDescent="0.25">
      <c r="A6725" t="n">
        <v>25</v>
      </c>
      <c r="B6725" t="s">
        <v>14</v>
      </c>
      <c r="C6725" t="s">
        <v>51</v>
      </c>
      <c r="D6725" s="2" t="s">
        <f>=HYPERLINK("https://main.knesset.gov.il/APPS/legislation/main/bills/2198179", "הצעת חוק העבירות המינהליות (תיקון - ביטול קנסות תכנון ובנייה), התשפ""ג-2022")</f>
        <v>13193</v>
      </c>
      <c r="E6725" t="s">
        <v>13193</v>
      </c>
      <c r="F6725" t="s">
        <v>13194</v>
      </c>
      <c r="G6725" t="s">
        <v>14</v>
      </c>
      <c r="H6725">
             </c>
      <c r="I6725" t="s">
        <v>14</v>
      </c>
      <c r="J6725" t="s">
        <v>242</v>
      </c>
      <c r="K6725" t="s">
        <v>14</v>
      </c>
      <c r="L6725" t="s">
        <v>20</v>
      </c>
      <c r="M6725" t="s">
        <v>12772</v>
      </c>
      <c r="N6725" t="s">
        <v>14</v>
      </c>
    </row>
    <row r="6726" x14ac:dyDescent="0.25">
      <c r="A6726" t="n">
        <v>25</v>
      </c>
      <c r="B6726" t="s">
        <v>14</v>
      </c>
      <c r="C6726" t="s">
        <v>51</v>
      </c>
      <c r="D6726" s="2" t="s">
        <f>=HYPERLINK("https://main.knesset.gov.il/APPS/legislation/main/bills/2196958", "הצעת חוק התכנון והבנייה (תיקון - חדרי הנקה בבניינים ציבוריים), התשפ""ג-2022")</f>
        <v>13195</v>
      </c>
      <c r="E6726" t="s">
        <v>13195</v>
      </c>
      <c r="F6726" t="s">
        <v>13196</v>
      </c>
      <c r="G6726" t="s">
        <v>14</v>
      </c>
      <c r="H6726">
             </c>
      <c r="I6726" t="s">
        <v>14</v>
      </c>
      <c r="J6726" t="s">
        <v>242</v>
      </c>
      <c r="K6726" t="s">
        <v>14</v>
      </c>
      <c r="L6726" t="s">
        <v>20</v>
      </c>
      <c r="M6726" t="s">
        <v>12772</v>
      </c>
      <c r="N6726" t="s">
        <v>14</v>
      </c>
    </row>
    <row r="6727" x14ac:dyDescent="0.25">
      <c r="A6727" t="n">
        <v>25</v>
      </c>
      <c r="B6727" t="s">
        <v>14</v>
      </c>
      <c r="C6727" t="s">
        <v>51</v>
      </c>
      <c r="D6727" s="2" t="s">
        <f>=HYPERLINK("https://main.knesset.gov.il/APPS/legislation/main/bills/2197247", "הצעת חוק הביטוח הלאומי (תיקון - דמי אבטלה למתמחים), התשפ""ג-2022")</f>
        <v>13183</v>
      </c>
      <c r="E6727" t="s">
        <v>13183</v>
      </c>
      <c r="F6727" t="s">
        <v>13197</v>
      </c>
      <c r="G6727" t="s">
        <v>14</v>
      </c>
      <c r="H6727">
             </c>
      <c r="I6727" t="s">
        <v>14</v>
      </c>
      <c r="J6727" t="s">
        <v>242</v>
      </c>
      <c r="K6727" t="s">
        <v>14</v>
      </c>
      <c r="L6727" t="s">
        <v>20</v>
      </c>
      <c r="M6727" t="s">
        <v>12772</v>
      </c>
      <c r="N6727" t="s">
        <v>14</v>
      </c>
    </row>
    <row r="6728" x14ac:dyDescent="0.25">
      <c r="A6728" t="n">
        <v>25</v>
      </c>
      <c r="B6728" t="s">
        <v>14</v>
      </c>
      <c r="C6728" t="s">
        <v>51</v>
      </c>
      <c r="D6728" s="2" t="s">
        <f>=HYPERLINK("https://main.knesset.gov.il/APPS/legislation/main/bills/2196738", "הצעת חוק לתיקון פקודת בריאות העם (הזכות לשימור פוריות), התשפ""ג-2022")</f>
        <v>13198</v>
      </c>
      <c r="E6728" t="s">
        <v>13198</v>
      </c>
      <c r="F6728" t="s">
        <v>13199</v>
      </c>
      <c r="G6728" t="s">
        <v>14</v>
      </c>
      <c r="H6728">
             </c>
      <c r="I6728" t="s">
        <v>14</v>
      </c>
      <c r="J6728" t="s">
        <v>242</v>
      </c>
      <c r="K6728" t="s">
        <v>14</v>
      </c>
      <c r="L6728" t="s">
        <v>20</v>
      </c>
      <c r="M6728" t="s">
        <v>12772</v>
      </c>
      <c r="N6728" t="s">
        <v>14</v>
      </c>
    </row>
    <row r="6729" x14ac:dyDescent="0.25">
      <c r="A6729" t="n">
        <v>25</v>
      </c>
      <c r="B6729" t="s">
        <v>14</v>
      </c>
      <c r="C6729" t="s">
        <v>51</v>
      </c>
      <c r="D6729" s="2" t="s">
        <f>=HYPERLINK("https://main.knesset.gov.il/APPS/legislation/main/bills/2198238", "הצעת חוק התקשורת (בזק ושידורים) (תיקון - קליטה בטלפון נייד בכל חלקי הארץ), התשפ""ג-2022")</f>
        <v>13200</v>
      </c>
      <c r="E6729" t="s">
        <v>13200</v>
      </c>
      <c r="F6729" t="s">
        <v>13201</v>
      </c>
      <c r="G6729" t="s">
        <v>14</v>
      </c>
      <c r="H6729">
             </c>
      <c r="I6729" t="s">
        <v>14</v>
      </c>
      <c r="J6729" t="s">
        <v>242</v>
      </c>
      <c r="K6729" t="s">
        <v>14</v>
      </c>
      <c r="L6729" t="s">
        <v>20</v>
      </c>
      <c r="M6729" t="s">
        <v>12772</v>
      </c>
      <c r="N6729" t="s">
        <v>14</v>
      </c>
    </row>
    <row r="6730" x14ac:dyDescent="0.25">
      <c r="A6730" t="n">
        <v>25</v>
      </c>
      <c r="B6730" t="s">
        <v>14</v>
      </c>
      <c r="C6730" t="s">
        <v>51</v>
      </c>
      <c r="D6730" s="2" t="s">
        <f>=HYPERLINK("https://main.knesset.gov.il/APPS/legislation/main/bills/2198021", "הצעת חוק התקשורת (בזק ושידורים) (תיקון - קליטה בטלפון נייד בכל חלקי הארץ), התשפ""ג-2022")</f>
        <v>13200</v>
      </c>
      <c r="E6730" t="s">
        <v>13200</v>
      </c>
      <c r="F6730" t="s">
        <v>13202</v>
      </c>
      <c r="G6730" t="s">
        <v>14</v>
      </c>
      <c r="H6730">
             </c>
      <c r="I6730" t="s">
        <v>14</v>
      </c>
      <c r="J6730" t="s">
        <v>242</v>
      </c>
      <c r="K6730" t="s">
        <v>14</v>
      </c>
      <c r="L6730" t="s">
        <v>20</v>
      </c>
      <c r="M6730" t="s">
        <v>12772</v>
      </c>
      <c r="N6730" t="s">
        <v>14</v>
      </c>
    </row>
    <row r="6731" x14ac:dyDescent="0.25">
      <c r="A6731" t="n">
        <v>25</v>
      </c>
      <c r="B6731" t="s">
        <v>14</v>
      </c>
      <c r="C6731" t="s">
        <v>51</v>
      </c>
      <c r="D6731" s="2" t="s">
        <f>=HYPERLINK("https://main.knesset.gov.il/APPS/legislation/main/bills/2198048", "הצעת חוק סדר הדין הפלילי (סמכויות אכיפה - מעצרים) (תיקון - ביצוע מעצר וחקירת אדם עם מוגבלות שכלית או נפשית), התשפ""ג-2022")</f>
        <v>13203</v>
      </c>
      <c r="E6731" t="s">
        <v>13203</v>
      </c>
      <c r="F6731" t="s">
        <v>13204</v>
      </c>
      <c r="G6731" t="s">
        <v>14</v>
      </c>
      <c r="H6731">
             </c>
      <c r="I6731" t="s">
        <v>14</v>
      </c>
      <c r="J6731" t="s">
        <v>242</v>
      </c>
      <c r="K6731" t="s">
        <v>14</v>
      </c>
      <c r="L6731" t="s">
        <v>20</v>
      </c>
      <c r="M6731" t="s">
        <v>12772</v>
      </c>
      <c r="N6731" t="s">
        <v>14</v>
      </c>
    </row>
    <row r="6732" x14ac:dyDescent="0.25">
      <c r="A6732" t="n">
        <v>25</v>
      </c>
      <c r="B6732" t="s">
        <v>14</v>
      </c>
      <c r="C6732" t="s">
        <v>51</v>
      </c>
      <c r="D6732" s="2" t="s">
        <f>=HYPERLINK("https://main.knesset.gov.il/APPS/legislation/main/bills/2196952", "הצעת חוק הלוואות לשכר לימוד (תיקון - הלוואה ללא ריבית), התשפ""ג-2022")</f>
        <v>13205</v>
      </c>
      <c r="E6732" t="s">
        <v>13205</v>
      </c>
      <c r="F6732" t="s">
        <v>13206</v>
      </c>
      <c r="G6732" t="s">
        <v>14</v>
      </c>
      <c r="H6732">
             </c>
      <c r="I6732" t="s">
        <v>14</v>
      </c>
      <c r="J6732" t="s">
        <v>242</v>
      </c>
      <c r="K6732" t="s">
        <v>14</v>
      </c>
      <c r="L6732" t="s">
        <v>20</v>
      </c>
      <c r="M6732" t="s">
        <v>12772</v>
      </c>
      <c r="N6732" t="s">
        <v>14</v>
      </c>
    </row>
    <row r="6733" x14ac:dyDescent="0.25">
      <c r="A6733" t="n">
        <v>25</v>
      </c>
      <c r="B6733" t="s">
        <v>14</v>
      </c>
      <c r="C6733" t="s">
        <v>51</v>
      </c>
      <c r="D6733" s="2" t="s">
        <f>=HYPERLINK("https://main.knesset.gov.il/APPS/legislation/main/bills/2196741", "הצעת חוק הסכמים קיבוציים (תיקון - אי תחולה על עובד זר בענף החקלאות), התשפ""ג-2022")</f>
        <v>13207</v>
      </c>
      <c r="E6733" t="s">
        <v>13207</v>
      </c>
      <c r="F6733" t="s">
        <v>13208</v>
      </c>
      <c r="G6733" t="s">
        <v>14</v>
      </c>
      <c r="H6733">
             </c>
      <c r="I6733" t="s">
        <v>14</v>
      </c>
      <c r="J6733" t="s">
        <v>242</v>
      </c>
      <c r="K6733" t="s">
        <v>14</v>
      </c>
      <c r="L6733" t="s">
        <v>20</v>
      </c>
      <c r="M6733" t="s">
        <v>12772</v>
      </c>
      <c r="N6733" t="s">
        <v>14</v>
      </c>
    </row>
    <row r="6734" x14ac:dyDescent="0.25">
      <c r="A6734" t="n">
        <v>25</v>
      </c>
      <c r="B6734" t="s">
        <v>14</v>
      </c>
      <c r="C6734" t="s">
        <v>51</v>
      </c>
      <c r="D6734" s="2" t="s">
        <f>=HYPERLINK("https://main.knesset.gov.il/APPS/legislation/main/bills/2196478", "הצעת חוק סדר הדין הפלילי (סמכויות אכיפה - מעצרים) (תיקון - ביצוע מעצר וחקירת אדם עם מוגבלות שכלית או נפשית), התשפ""ג-2022")</f>
        <v>13203</v>
      </c>
      <c r="E6734" t="s">
        <v>13203</v>
      </c>
      <c r="F6734" t="s">
        <v>13209</v>
      </c>
      <c r="G6734" t="s">
        <v>14</v>
      </c>
      <c r="H6734">
             </c>
      <c r="I6734" t="s">
        <v>14</v>
      </c>
      <c r="J6734" t="s">
        <v>242</v>
      </c>
      <c r="K6734" t="s">
        <v>14</v>
      </c>
      <c r="L6734" t="s">
        <v>20</v>
      </c>
      <c r="M6734" t="s">
        <v>12772</v>
      </c>
      <c r="N6734" t="s">
        <v>14</v>
      </c>
    </row>
    <row r="6735" x14ac:dyDescent="0.25">
      <c r="A6735" t="n">
        <v>25</v>
      </c>
      <c r="B6735" t="s">
        <v>14</v>
      </c>
      <c r="C6735" t="s">
        <v>51</v>
      </c>
      <c r="D6735" s="2" t="s">
        <f>=HYPERLINK("https://main.knesset.gov.il/APPS/legislation/main/bills/2196742", "הצעת חוק חוזה קבלנות (תיקון - חופש מהעסקה), התשפ""ג-2022")</f>
        <v>13210</v>
      </c>
      <c r="E6735" t="s">
        <v>13210</v>
      </c>
      <c r="F6735" t="s">
        <v>13211</v>
      </c>
      <c r="G6735" t="s">
        <v>14</v>
      </c>
      <c r="H6735">
             </c>
      <c r="I6735" t="s">
        <v>14</v>
      </c>
      <c r="J6735" t="s">
        <v>242</v>
      </c>
      <c r="K6735" t="s">
        <v>14</v>
      </c>
      <c r="L6735" t="s">
        <v>20</v>
      </c>
      <c r="M6735" t="s">
        <v>12772</v>
      </c>
      <c r="N6735" t="s">
        <v>14</v>
      </c>
    </row>
    <row r="6736" x14ac:dyDescent="0.25">
      <c r="A6736" t="n">
        <v>25</v>
      </c>
      <c r="B6736" t="s">
        <v>14</v>
      </c>
      <c r="C6736" t="s">
        <v>51</v>
      </c>
      <c r="D6736" s="2" t="s">
        <f>=HYPERLINK("https://main.knesset.gov.il/APPS/legislation/main/bills/2197072", "הצעת חוק להגנת חיית הבר (תיקון - סחר, החזקה והעברה של חיות בר), התשפ""ג-2022")</f>
        <v>13212</v>
      </c>
      <c r="E6736" t="s">
        <v>13212</v>
      </c>
      <c r="F6736" t="s">
        <v>13213</v>
      </c>
      <c r="G6736" t="s">
        <v>14</v>
      </c>
      <c r="H6736">
             </c>
      <c r="I6736" t="s">
        <v>14</v>
      </c>
      <c r="J6736" t="s">
        <v>242</v>
      </c>
      <c r="K6736" t="s">
        <v>14</v>
      </c>
      <c r="L6736" t="s">
        <v>20</v>
      </c>
      <c r="M6736" t="s">
        <v>12772</v>
      </c>
      <c r="N6736" t="s">
        <v>14</v>
      </c>
    </row>
    <row r="6737" x14ac:dyDescent="0.25">
      <c r="A6737" t="n">
        <v>25</v>
      </c>
      <c r="B6737" t="s">
        <v>14</v>
      </c>
      <c r="C6737" t="s">
        <v>51</v>
      </c>
      <c r="D6737" s="2" t="s">
        <f>=HYPERLINK("https://main.knesset.gov.il/APPS/legislation/main/bills/2196944", "הצעת חוק המרכז למורשת הערבית, התשפ""ג-2022")</f>
        <v>13214</v>
      </c>
      <c r="E6737" t="s">
        <v>13214</v>
      </c>
      <c r="F6737" t="s">
        <v>13215</v>
      </c>
      <c r="G6737" t="s">
        <v>14</v>
      </c>
      <c r="H6737">
             </c>
      <c r="I6737" t="s">
        <v>14</v>
      </c>
      <c r="J6737" t="s">
        <v>242</v>
      </c>
      <c r="K6737" t="s">
        <v>14</v>
      </c>
      <c r="L6737" t="s">
        <v>20</v>
      </c>
      <c r="M6737" t="s">
        <v>12772</v>
      </c>
      <c r="N6737" t="s">
        <v>14</v>
      </c>
    </row>
    <row r="6738" x14ac:dyDescent="0.25">
      <c r="A6738" t="n">
        <v>25</v>
      </c>
      <c r="B6738" t="s">
        <v>14</v>
      </c>
      <c r="C6738" t="s">
        <v>51</v>
      </c>
      <c r="D6738" s="2" t="s">
        <f>=HYPERLINK("https://main.knesset.gov.il/APPS/legislation/main/bills/2198178", "הצעת חוק איות שמות רחובות, דרכים ומקומות ציבוריים (תיקוני חקיקה), התשפ""ג-2022")</f>
        <v>13216</v>
      </c>
      <c r="E6738" t="s">
        <v>13216</v>
      </c>
      <c r="F6738" t="s">
        <v>13217</v>
      </c>
      <c r="G6738" t="s">
        <v>14</v>
      </c>
      <c r="H6738">
             </c>
      <c r="I6738" t="s">
        <v>14</v>
      </c>
      <c r="J6738" t="s">
        <v>242</v>
      </c>
      <c r="K6738" t="s">
        <v>14</v>
      </c>
      <c r="L6738" t="s">
        <v>20</v>
      </c>
      <c r="M6738" t="s">
        <v>12772</v>
      </c>
      <c r="N6738" t="s">
        <v>14</v>
      </c>
    </row>
    <row r="6739" x14ac:dyDescent="0.25">
      <c r="A6739" t="n">
        <v>25</v>
      </c>
      <c r="B6739" t="s">
        <v>14</v>
      </c>
      <c r="C6739" t="s">
        <v>51</v>
      </c>
      <c r="D6739" s="2" t="s">
        <f>=HYPERLINK("https://main.knesset.gov.il/APPS/legislation/main/bills/2196512", "הצעת חוק סדר הדין הפלילי (חקירת חשודים) (תיקון - זכויות חשודים), התשפ""ג-2022")</f>
        <v>13218</v>
      </c>
      <c r="E6739" t="s">
        <v>13218</v>
      </c>
      <c r="F6739" t="s">
        <v>13219</v>
      </c>
      <c r="G6739" t="s">
        <v>14</v>
      </c>
      <c r="H6739">
             </c>
      <c r="I6739" t="s">
        <v>14</v>
      </c>
      <c r="J6739" t="s">
        <v>242</v>
      </c>
      <c r="K6739" t="s">
        <v>14</v>
      </c>
      <c r="L6739" t="s">
        <v>20</v>
      </c>
      <c r="M6739" t="s">
        <v>12772</v>
      </c>
      <c r="N6739" t="s">
        <v>14</v>
      </c>
    </row>
    <row r="6740" x14ac:dyDescent="0.25">
      <c r="A6740" t="n">
        <v>25</v>
      </c>
      <c r="B6740" t="s">
        <v>14</v>
      </c>
      <c r="C6740" t="s">
        <v>51</v>
      </c>
      <c r="D6740" s="2" t="s">
        <f>=HYPERLINK("https://main.knesset.gov.il/APPS/legislation/main/bills/2196913", "הצעת חוק הגבלת מימון מפעלים מזהמים (תיקוני חקיקה), התשפ""ג-2022")</f>
        <v>13220</v>
      </c>
      <c r="E6740" t="s">
        <v>13220</v>
      </c>
      <c r="F6740" t="s">
        <v>13221</v>
      </c>
      <c r="G6740" t="s">
        <v>14</v>
      </c>
      <c r="H6740">
             </c>
      <c r="I6740" t="s">
        <v>14</v>
      </c>
      <c r="J6740" t="s">
        <v>242</v>
      </c>
      <c r="K6740" t="s">
        <v>14</v>
      </c>
      <c r="L6740" t="s">
        <v>20</v>
      </c>
      <c r="M6740" t="s">
        <v>12772</v>
      </c>
      <c r="N6740" t="s">
        <v>14</v>
      </c>
    </row>
    <row r="6741" x14ac:dyDescent="0.25">
      <c r="A6741" t="n">
        <v>25</v>
      </c>
      <c r="B6741" t="s">
        <v>14</v>
      </c>
      <c r="C6741" t="s">
        <v>51</v>
      </c>
      <c r="D6741" s="2" t="s">
        <f>=HYPERLINK("https://main.knesset.gov.il/APPS/legislation/main/bills/2198185", "הצעת חוק חינוך מיוחד (תיקון - קביעת זמן נסיעה), התשפ""ג-2022")</f>
        <v>13222</v>
      </c>
      <c r="E6741" t="s">
        <v>13222</v>
      </c>
      <c r="F6741" t="s">
        <v>13223</v>
      </c>
      <c r="G6741" t="s">
        <v>14</v>
      </c>
      <c r="H6741">
             </c>
      <c r="I6741" t="s">
        <v>14</v>
      </c>
      <c r="J6741" t="s">
        <v>242</v>
      </c>
      <c r="K6741" t="s">
        <v>14</v>
      </c>
      <c r="L6741" t="s">
        <v>20</v>
      </c>
      <c r="M6741" t="s">
        <v>12772</v>
      </c>
      <c r="N6741" t="s">
        <v>14</v>
      </c>
    </row>
    <row r="6742" x14ac:dyDescent="0.25">
      <c r="A6742" t="n">
        <v>25</v>
      </c>
      <c r="B6742" t="s">
        <v>14</v>
      </c>
      <c r="C6742" t="s">
        <v>51</v>
      </c>
      <c r="D6742" s="2" t="s">
        <f>=HYPERLINK("https://main.knesset.gov.il/APPS/legislation/main/bills/2196569", "הצעת חוק-יסוד: חופש העיסוק (תיקון - החלת חוק היסוד על אזרחי ישראל ותושבי קבע בלבד)")</f>
        <v>13224</v>
      </c>
      <c r="E6742" t="s">
        <v>13224</v>
      </c>
      <c r="F6742" t="s">
        <v>13225</v>
      </c>
      <c r="G6742" t="s">
        <v>14</v>
      </c>
      <c r="H6742">
             </c>
      <c r="I6742" t="s">
        <v>14</v>
      </c>
      <c r="J6742" t="s">
        <v>242</v>
      </c>
      <c r="K6742" t="s">
        <v>14</v>
      </c>
      <c r="L6742" t="s">
        <v>20</v>
      </c>
      <c r="M6742" t="s">
        <v>12772</v>
      </c>
      <c r="N6742" t="s">
        <v>14</v>
      </c>
    </row>
    <row r="6743" x14ac:dyDescent="0.25">
      <c r="A6743" t="n">
        <v>25</v>
      </c>
      <c r="B6743" t="s">
        <v>14</v>
      </c>
      <c r="C6743" t="s">
        <v>51</v>
      </c>
      <c r="D6743" s="2" t="s">
        <f>=HYPERLINK("https://main.knesset.gov.il/APPS/legislation/main/bills/2197024", "הצעת חוק צער בעלי חיים (הגנה על בעלי חיים) (תיקון - המעמד המשפטי של בעלי חיים), התשפ""ג-2022")</f>
        <v>13226</v>
      </c>
      <c r="E6743" t="s">
        <v>13226</v>
      </c>
      <c r="F6743" t="s">
        <v>13227</v>
      </c>
      <c r="G6743" t="s">
        <v>14</v>
      </c>
      <c r="H6743">
             </c>
      <c r="I6743" t="s">
        <v>14</v>
      </c>
      <c r="J6743" t="s">
        <v>242</v>
      </c>
      <c r="K6743" t="s">
        <v>14</v>
      </c>
      <c r="L6743" t="s">
        <v>20</v>
      </c>
      <c r="M6743" t="s">
        <v>12772</v>
      </c>
      <c r="N6743" t="s">
        <v>14</v>
      </c>
    </row>
    <row r="6744" x14ac:dyDescent="0.25">
      <c r="A6744" t="n">
        <v>25</v>
      </c>
      <c r="B6744" t="s">
        <v>14</v>
      </c>
      <c r="C6744" t="s">
        <v>51</v>
      </c>
      <c r="D6744" s="2" t="s">
        <f>=HYPERLINK("https://main.knesset.gov.il/APPS/legislation/main/bills/2198276", "הצעת חוק לימוד חובה (תיקון - חינוך חינם לפעוטות ולילדים), התשפ""ג-2022")</f>
        <v>13228</v>
      </c>
      <c r="E6744" t="s">
        <v>13228</v>
      </c>
      <c r="F6744" t="s">
        <v>13229</v>
      </c>
      <c r="G6744" t="s">
        <v>14</v>
      </c>
      <c r="H6744">
             </c>
      <c r="I6744" t="s">
        <v>14</v>
      </c>
      <c r="J6744" t="s">
        <v>242</v>
      </c>
      <c r="K6744" t="s">
        <v>14</v>
      </c>
      <c r="L6744" t="s">
        <v>20</v>
      </c>
      <c r="M6744" t="s">
        <v>12772</v>
      </c>
      <c r="N6744" t="s">
        <v>14</v>
      </c>
    </row>
    <row r="6745" x14ac:dyDescent="0.25">
      <c r="A6745" t="n">
        <v>25</v>
      </c>
      <c r="B6745" t="s">
        <v>14</v>
      </c>
      <c r="C6745" t="s">
        <v>51</v>
      </c>
      <c r="D6745" s="2" t="s">
        <f>=HYPERLINK("https://main.knesset.gov.il/APPS/legislation/main/bills/2198056", "הצעת חוק צער בעלי חיים (הגנה על בעלי חיים) (תיקון - איסור משלוחים חיים לשחיטה), התשפ""ג-2022")</f>
        <v>13230</v>
      </c>
      <c r="E6745" t="s">
        <v>13230</v>
      </c>
      <c r="F6745" t="s">
        <v>13231</v>
      </c>
      <c r="G6745" t="s">
        <v>14</v>
      </c>
      <c r="H6745">
             </c>
      <c r="I6745" t="s">
        <v>14</v>
      </c>
      <c r="J6745" t="s">
        <v>242</v>
      </c>
      <c r="K6745" t="s">
        <v>14</v>
      </c>
      <c r="L6745" t="s">
        <v>20</v>
      </c>
      <c r="M6745" t="s">
        <v>12772</v>
      </c>
      <c r="N6745" t="s">
        <v>14</v>
      </c>
    </row>
    <row r="6746" x14ac:dyDescent="0.25">
      <c r="A6746" t="n">
        <v>25</v>
      </c>
      <c r="B6746" t="s">
        <v>14</v>
      </c>
      <c r="C6746" t="s">
        <v>51</v>
      </c>
      <c r="D6746" s="2" t="s">
        <f>=HYPERLINK("https://main.knesset.gov.il/APPS/legislation/main/bills/2196882", "הצעת חוק שירותי תעופה (פיצוי וסיוע בשל ביטול טיסה או שינוי בתנאיה) (תיקון - הוראות שונות), התשפ""ג-2022")</f>
        <v>13232</v>
      </c>
      <c r="E6746" t="s">
        <v>13232</v>
      </c>
      <c r="F6746" t="s">
        <v>13233</v>
      </c>
      <c r="G6746" t="s">
        <v>14</v>
      </c>
      <c r="H6746">
             </c>
      <c r="I6746" t="s">
        <v>14</v>
      </c>
      <c r="J6746" t="s">
        <v>242</v>
      </c>
      <c r="K6746" t="s">
        <v>14</v>
      </c>
      <c r="L6746" t="s">
        <v>20</v>
      </c>
      <c r="M6746" t="s">
        <v>12772</v>
      </c>
      <c r="N6746" t="s">
        <v>14</v>
      </c>
    </row>
    <row r="6747" x14ac:dyDescent="0.25">
      <c r="A6747" t="n">
        <v>25</v>
      </c>
      <c r="B6747" t="s">
        <v>14</v>
      </c>
      <c r="C6747" t="s">
        <v>51</v>
      </c>
      <c r="D6747" s="2" t="s">
        <f>=HYPERLINK("https://main.knesset.gov.il/APPS/legislation/main/bills/2196367", "הצעת חוק סיוע למשפחות ברוכות ילדים (תיקוני חקיקה), התשפ""ג-2022")</f>
        <v>13234</v>
      </c>
      <c r="E6747" t="s">
        <v>13234</v>
      </c>
      <c r="F6747" t="s">
        <v>13235</v>
      </c>
      <c r="G6747" t="s">
        <v>14</v>
      </c>
      <c r="H6747">
             </c>
      <c r="I6747" t="s">
        <v>14</v>
      </c>
      <c r="J6747" t="s">
        <v>242</v>
      </c>
      <c r="K6747" t="s">
        <v>14</v>
      </c>
      <c r="L6747" t="s">
        <v>20</v>
      </c>
      <c r="M6747" t="s">
        <v>12772</v>
      </c>
      <c r="N6747" t="s">
        <v>14</v>
      </c>
    </row>
    <row r="6748" x14ac:dyDescent="0.25">
      <c r="A6748" t="n">
        <v>25</v>
      </c>
      <c r="B6748" t="s">
        <v>14</v>
      </c>
      <c r="C6748" t="s">
        <v>51</v>
      </c>
      <c r="D6748" s="2" t="s">
        <f>=HYPERLINK("https://main.knesset.gov.il/APPS/legislation/main/bills/2196889", "הצעת חוק צער בעלי חיים (הגנה על בעלי חיים) (תיקון - איסור משלוחים חיים לשחיטה), התשפ""ג-2022")</f>
        <v>13230</v>
      </c>
      <c r="E6748" t="s">
        <v>13230</v>
      </c>
      <c r="F6748" t="s">
        <v>13236</v>
      </c>
      <c r="G6748" t="s">
        <v>14</v>
      </c>
      <c r="H6748">
             </c>
      <c r="I6748" t="s">
        <v>14</v>
      </c>
      <c r="J6748" t="s">
        <v>242</v>
      </c>
      <c r="K6748" t="s">
        <v>14</v>
      </c>
      <c r="L6748" t="s">
        <v>20</v>
      </c>
      <c r="M6748" t="s">
        <v>12772</v>
      </c>
      <c r="N6748" t="s">
        <v>14</v>
      </c>
    </row>
    <row r="6749" x14ac:dyDescent="0.25">
      <c r="A6749" t="n">
        <v>25</v>
      </c>
      <c r="B6749" t="s">
        <v>14</v>
      </c>
      <c r="C6749" t="s">
        <v>51</v>
      </c>
      <c r="D6749" s="2" t="s">
        <f>=HYPERLINK("https://main.knesset.gov.il/APPS/legislation/main/bills/2196571", "הצעת חוק סדר הדין הפלילי (תיקון - הגבלת משך זמן החקירה המשטרתית), התשפ""ג-2022")</f>
        <v>13237</v>
      </c>
      <c r="E6749" t="s">
        <v>13237</v>
      </c>
      <c r="F6749" t="s">
        <v>13238</v>
      </c>
      <c r="G6749" t="s">
        <v>14</v>
      </c>
      <c r="H6749">
             </c>
      <c r="I6749" t="s">
        <v>14</v>
      </c>
      <c r="J6749" t="s">
        <v>242</v>
      </c>
      <c r="K6749" t="s">
        <v>14</v>
      </c>
      <c r="L6749" t="s">
        <v>20</v>
      </c>
      <c r="M6749" t="s">
        <v>12772</v>
      </c>
      <c r="N6749" t="s">
        <v>14</v>
      </c>
    </row>
    <row r="6750" x14ac:dyDescent="0.25">
      <c r="A6750" t="n">
        <v>25</v>
      </c>
      <c r="B6750" t="s">
        <v>14</v>
      </c>
      <c r="C6750" t="s">
        <v>51</v>
      </c>
      <c r="D6750" s="2" t="s">
        <f>=HYPERLINK("https://main.knesset.gov.il/APPS/legislation/main/bills/2196874", "הצעת חוק הפיקוח על שירותים פיננסיים (קופות גמל) (תיקון - היוון קצבה על ידי שאיר הזכאי לפנסיה תקציבית או לקצבה מקופה אחרת), התשפ""ג-2022")</f>
        <v>13239</v>
      </c>
      <c r="E6750" t="s">
        <v>13239</v>
      </c>
      <c r="F6750" t="s">
        <v>13240</v>
      </c>
      <c r="G6750" t="s">
        <v>14</v>
      </c>
      <c r="H6750">
             </c>
      <c r="I6750" t="s">
        <v>14</v>
      </c>
      <c r="J6750" t="s">
        <v>242</v>
      </c>
      <c r="K6750" t="s">
        <v>14</v>
      </c>
      <c r="L6750" t="s">
        <v>20</v>
      </c>
      <c r="M6750" t="s">
        <v>12772</v>
      </c>
      <c r="N6750" t="s">
        <v>14</v>
      </c>
    </row>
    <row r="6751" x14ac:dyDescent="0.25">
      <c r="A6751" t="n">
        <v>25</v>
      </c>
      <c r="B6751" t="s">
        <v>14</v>
      </c>
      <c r="C6751" t="s">
        <v>51</v>
      </c>
      <c r="D6751" s="2" t="s">
        <f>=HYPERLINK("https://main.knesset.gov.il/APPS/legislation/main/bills/2197001", "הצעת חוק להגנת חיית הבר (תיקון - ביטול רישיונות ציד), התשפ""ג-2022")</f>
        <v>13241</v>
      </c>
      <c r="E6751" t="s">
        <v>13241</v>
      </c>
      <c r="F6751" t="s">
        <v>13242</v>
      </c>
      <c r="G6751" t="s">
        <v>14</v>
      </c>
      <c r="H6751">
             </c>
      <c r="I6751" t="s">
        <v>14</v>
      </c>
      <c r="J6751" t="s">
        <v>242</v>
      </c>
      <c r="K6751" t="s">
        <v>14</v>
      </c>
      <c r="L6751" t="s">
        <v>20</v>
      </c>
      <c r="M6751" t="s">
        <v>12772</v>
      </c>
      <c r="N6751" t="s">
        <v>14</v>
      </c>
    </row>
    <row r="6752" x14ac:dyDescent="0.25">
      <c r="A6752" t="n">
        <v>25</v>
      </c>
      <c r="B6752" t="s">
        <v>14</v>
      </c>
      <c r="C6752" t="s">
        <v>51</v>
      </c>
      <c r="D6752" s="2" t="s">
        <f>=HYPERLINK("https://main.knesset.gov.il/APPS/legislation/main/bills/2196345", "הצעת חוק שוויון זכויות לאנשים עם מוגבלות (תיקון - הוראות לעניין מוסד על-תיכוני להשכלה תורנית או דתית), התשפ""ג-2022")</f>
        <v>13243</v>
      </c>
      <c r="E6752" t="s">
        <v>13243</v>
      </c>
      <c r="F6752" t="s">
        <v>13244</v>
      </c>
      <c r="G6752" t="s">
        <v>14</v>
      </c>
      <c r="H6752">
             </c>
      <c r="I6752" t="s">
        <v>14</v>
      </c>
      <c r="J6752" t="s">
        <v>242</v>
      </c>
      <c r="K6752" t="s">
        <v>14</v>
      </c>
      <c r="L6752" t="s">
        <v>20</v>
      </c>
      <c r="M6752" t="s">
        <v>12772</v>
      </c>
      <c r="N6752" t="s">
        <v>14</v>
      </c>
    </row>
    <row r="6753" x14ac:dyDescent="0.25">
      <c r="A6753" t="n">
        <v>25</v>
      </c>
      <c r="B6753" t="s">
        <v>14</v>
      </c>
      <c r="C6753" t="s">
        <v>51</v>
      </c>
      <c r="D6753" s="2" t="s">
        <f>=HYPERLINK("https://main.knesset.gov.il/APPS/legislation/main/bills/2196935", "הצעת חוק המועצה להשכלה גבוהה (תיקון - קביעת שכר לימוד במוסדות מוכרים שהמדינה אינה משתתפת בתקציביהם), התשפ""ג-2022")</f>
        <v>13245</v>
      </c>
      <c r="E6753" t="s">
        <v>13245</v>
      </c>
      <c r="F6753" t="s">
        <v>13246</v>
      </c>
      <c r="G6753" t="s">
        <v>14</v>
      </c>
      <c r="H6753">
             </c>
      <c r="I6753" t="s">
        <v>14</v>
      </c>
      <c r="J6753" t="s">
        <v>242</v>
      </c>
      <c r="K6753" t="s">
        <v>14</v>
      </c>
      <c r="L6753" t="s">
        <v>20</v>
      </c>
      <c r="M6753" t="s">
        <v>12772</v>
      </c>
      <c r="N6753" t="s">
        <v>14</v>
      </c>
    </row>
    <row r="6754" x14ac:dyDescent="0.25">
      <c r="A6754" t="n">
        <v>25</v>
      </c>
      <c r="B6754" t="s">
        <v>14</v>
      </c>
      <c r="C6754" t="s">
        <v>51</v>
      </c>
      <c r="D6754" s="2" t="s">
        <f>=HYPERLINK("https://main.knesset.gov.il/APPS/legislation/main/bills/2196325", "הצעת חוק הרב הצבאי הראשי, התשפ""ג-2022")</f>
        <v>13247</v>
      </c>
      <c r="E6754" t="s">
        <v>13247</v>
      </c>
      <c r="F6754" t="s">
        <v>13248</v>
      </c>
      <c r="G6754" t="s">
        <v>14</v>
      </c>
      <c r="H6754">
             </c>
      <c r="I6754" t="s">
        <v>14</v>
      </c>
      <c r="J6754" t="s">
        <v>242</v>
      </c>
      <c r="K6754" t="s">
        <v>14</v>
      </c>
      <c r="L6754" t="s">
        <v>20</v>
      </c>
      <c r="M6754" t="s">
        <v>12772</v>
      </c>
      <c r="N6754" t="s">
        <v>14</v>
      </c>
    </row>
    <row r="6755" x14ac:dyDescent="0.25">
      <c r="A6755" t="n">
        <v>25</v>
      </c>
      <c r="B6755" t="s">
        <v>14</v>
      </c>
      <c r="C6755" t="s">
        <v>51</v>
      </c>
      <c r="D6755" s="2" t="s">
        <f>=HYPERLINK("https://main.knesset.gov.il/APPS/legislation/main/bills/2196715", "הצעת חוק-יסוד: בחירות אזוריות וארציות (תיקוני חקיקה)")</f>
        <v>13249</v>
      </c>
      <c r="E6755" t="s">
        <v>13249</v>
      </c>
      <c r="F6755" t="s">
        <v>13250</v>
      </c>
      <c r="G6755" t="s">
        <v>14</v>
      </c>
      <c r="H6755">
             </c>
      <c r="I6755" t="s">
        <v>14</v>
      </c>
      <c r="J6755" t="s">
        <v>242</v>
      </c>
      <c r="K6755" t="s">
        <v>14</v>
      </c>
      <c r="L6755" t="s">
        <v>20</v>
      </c>
      <c r="M6755" t="s">
        <v>12772</v>
      </c>
      <c r="N6755" t="s">
        <v>14</v>
      </c>
    </row>
    <row r="6756" x14ac:dyDescent="0.25">
      <c r="A6756" t="n">
        <v>25</v>
      </c>
      <c r="B6756" t="s">
        <v>14</v>
      </c>
      <c r="C6756" t="s">
        <v>51</v>
      </c>
      <c r="D6756" s="2" t="s">
        <f>=HYPERLINK("https://main.knesset.gov.il/APPS/legislation/main/bills/2196931", "הצעת חוק הפיקוח על שירותים פיננסיים (קופות גמל) (תיקון - הגבלת דמי ניהול בקרנות הפנסיה), התשפ""ג-2022")</f>
        <v>13251</v>
      </c>
      <c r="E6756" t="s">
        <v>13251</v>
      </c>
      <c r="F6756" t="s">
        <v>13252</v>
      </c>
      <c r="G6756" t="s">
        <v>14</v>
      </c>
      <c r="H6756">
             </c>
      <c r="I6756" t="s">
        <v>14</v>
      </c>
      <c r="J6756" t="s">
        <v>242</v>
      </c>
      <c r="K6756" t="s">
        <v>14</v>
      </c>
      <c r="L6756" t="s">
        <v>20</v>
      </c>
      <c r="M6756" t="s">
        <v>12772</v>
      </c>
      <c r="N6756" t="s">
        <v>14</v>
      </c>
    </row>
    <row r="6757" x14ac:dyDescent="0.25">
      <c r="A6757" t="n">
        <v>25</v>
      </c>
      <c r="B6757" t="s">
        <v>14</v>
      </c>
      <c r="C6757" t="s">
        <v>51</v>
      </c>
      <c r="D6757" s="2" t="s">
        <f>=HYPERLINK("https://main.knesset.gov.il/APPS/legislation/main/bills/2196868", "הצעת חוק רשות מקרקעי ישראל (תיקון - הקצאה שוויונית לאוכלוסייה הערבית), התשפ""ג-2022")</f>
        <v>13253</v>
      </c>
      <c r="E6757" t="s">
        <v>13253</v>
      </c>
      <c r="F6757" t="s">
        <v>13254</v>
      </c>
      <c r="G6757" t="s">
        <v>14</v>
      </c>
      <c r="H6757">
             </c>
      <c r="I6757" t="s">
        <v>14</v>
      </c>
      <c r="J6757" t="s">
        <v>242</v>
      </c>
      <c r="K6757" t="s">
        <v>14</v>
      </c>
      <c r="L6757" t="s">
        <v>20</v>
      </c>
      <c r="M6757" t="s">
        <v>12772</v>
      </c>
      <c r="N6757" t="s">
        <v>14</v>
      </c>
    </row>
    <row r="6758" x14ac:dyDescent="0.25">
      <c r="A6758" t="n">
        <v>25</v>
      </c>
      <c r="B6758" t="s">
        <v>14</v>
      </c>
      <c r="C6758" t="s">
        <v>51</v>
      </c>
      <c r="D6758" s="2" t="s">
        <f>=HYPERLINK("https://main.knesset.gov.il/APPS/legislation/main/bills/2197754", "הצעת חוק לתיקון פקודת מס הכנסה (חשבון השקעה), התשפ""ג-2022")</f>
        <v>13255</v>
      </c>
      <c r="E6758" t="s">
        <v>13255</v>
      </c>
      <c r="F6758" t="s">
        <v>13256</v>
      </c>
      <c r="G6758" t="s">
        <v>14</v>
      </c>
      <c r="H6758">
             </c>
      <c r="I6758" t="s">
        <v>14</v>
      </c>
      <c r="J6758" t="s">
        <v>242</v>
      </c>
      <c r="K6758" t="s">
        <v>14</v>
      </c>
      <c r="L6758" t="s">
        <v>20</v>
      </c>
      <c r="M6758" t="s">
        <v>12772</v>
      </c>
      <c r="N6758" t="s">
        <v>14</v>
      </c>
    </row>
    <row r="6759" x14ac:dyDescent="0.25">
      <c r="A6759" t="n">
        <v>25</v>
      </c>
      <c r="B6759" t="s">
        <v>14</v>
      </c>
      <c r="C6759" t="s">
        <v>51</v>
      </c>
      <c r="D6759" s="2" t="s">
        <f>=HYPERLINK("https://main.knesset.gov.il/APPS/legislation/main/bills/2197752", "הצעת חוק מס רכוש וקרן פיצויים (תיקון - הרחבת הגדרת נזק), התשפ""ג-2022 ")</f>
        <v>13257</v>
      </c>
      <c r="E6759" t="s">
        <v>13257</v>
      </c>
      <c r="F6759" t="s">
        <v>13258</v>
      </c>
      <c r="G6759" t="s">
        <v>14</v>
      </c>
      <c r="H6759">
             </c>
      <c r="I6759" t="s">
        <v>14</v>
      </c>
      <c r="J6759" t="s">
        <v>242</v>
      </c>
      <c r="K6759" t="s">
        <v>14</v>
      </c>
      <c r="L6759" t="s">
        <v>20</v>
      </c>
      <c r="M6759" t="s">
        <v>12772</v>
      </c>
      <c r="N6759" t="s">
        <v>14</v>
      </c>
    </row>
    <row r="6760" x14ac:dyDescent="0.25">
      <c r="A6760" t="n">
        <v>25</v>
      </c>
      <c r="B6760" t="s">
        <v>14</v>
      </c>
      <c r="C6760" t="s">
        <v>51</v>
      </c>
      <c r="D6760" s="2" t="s">
        <f>=HYPERLINK("https://main.knesset.gov.il/APPS/legislation/main/bills/2197929", "הצעת חוק בתי המשפט (תיקון - פומביות בחירת שופטי בית המשפט העליון), התשפ""ג-2022")</f>
        <v>13259</v>
      </c>
      <c r="E6760" t="s">
        <v>13259</v>
      </c>
      <c r="F6760" t="s">
        <v>13260</v>
      </c>
      <c r="G6760" t="s">
        <v>14</v>
      </c>
      <c r="H6760">
             </c>
      <c r="I6760" t="s">
        <v>14</v>
      </c>
      <c r="J6760" t="s">
        <v>242</v>
      </c>
      <c r="K6760" t="s">
        <v>14</v>
      </c>
      <c r="L6760" t="s">
        <v>20</v>
      </c>
      <c r="M6760" t="s">
        <v>12772</v>
      </c>
      <c r="N6760" t="s">
        <v>14</v>
      </c>
    </row>
    <row r="6761" x14ac:dyDescent="0.25">
      <c r="A6761" t="n">
        <v>25</v>
      </c>
      <c r="B6761" t="s">
        <v>14</v>
      </c>
      <c r="C6761" t="s">
        <v>51</v>
      </c>
      <c r="D6761" s="2" t="s">
        <f>=HYPERLINK("https://main.knesset.gov.il/APPS/legislation/main/bills/2197619", "הצעת חוק ייצוג גופים ציבוריים שעניינם בשמירת איכות הסביבה (תיקוני חקיקה), התשפ""ג-2022")</f>
        <v>13261</v>
      </c>
      <c r="E6761" t="s">
        <v>13261</v>
      </c>
      <c r="F6761" t="s">
        <v>13262</v>
      </c>
      <c r="G6761" t="s">
        <v>14</v>
      </c>
      <c r="H6761">
             </c>
      <c r="I6761" t="s">
        <v>14</v>
      </c>
      <c r="J6761" t="s">
        <v>242</v>
      </c>
      <c r="K6761" t="s">
        <v>14</v>
      </c>
      <c r="L6761" t="s">
        <v>20</v>
      </c>
      <c r="M6761" t="s">
        <v>12772</v>
      </c>
      <c r="N6761" t="s">
        <v>14</v>
      </c>
    </row>
    <row r="6762" x14ac:dyDescent="0.25">
      <c r="A6762" t="n">
        <v>25</v>
      </c>
      <c r="B6762" t="s">
        <v>14</v>
      </c>
      <c r="C6762" t="s">
        <v>51</v>
      </c>
      <c r="D6762" s="2" t="s">
        <f>=HYPERLINK("https://main.knesset.gov.il/APPS/legislation/main/bills/2196925", "הצעת חוק איסור הפליה במוצרים, בשירותים ובכניסה למקומות בידור ולמקומות ציבוריים (תיקון - חובת הודעה מוקדמת על אירוע סגור), התשפ""ג-2022")</f>
        <v>13263</v>
      </c>
      <c r="E6762" t="s">
        <v>13263</v>
      </c>
      <c r="F6762" t="s">
        <v>13264</v>
      </c>
      <c r="G6762" t="s">
        <v>14</v>
      </c>
      <c r="H6762">
             </c>
      <c r="I6762" t="s">
        <v>14</v>
      </c>
      <c r="J6762" t="s">
        <v>242</v>
      </c>
      <c r="K6762" t="s">
        <v>14</v>
      </c>
      <c r="L6762" t="s">
        <v>20</v>
      </c>
      <c r="M6762" t="s">
        <v>12772</v>
      </c>
      <c r="N6762" t="s">
        <v>14</v>
      </c>
    </row>
    <row r="6763" x14ac:dyDescent="0.25">
      <c r="A6763" t="n">
        <v>25</v>
      </c>
      <c r="B6763" t="s">
        <v>14</v>
      </c>
      <c r="C6763" t="s">
        <v>51</v>
      </c>
      <c r="D6763" s="2" t="s">
        <f>=HYPERLINK("https://main.knesset.gov.il/APPS/legislation/main/bills/2196597", "הצעת חוק הגנת השכר (תיקון - הגבלת ניכוי דמי חבר ודמי טיפול מקצועי ארגוני), התשפ""ג-2022")</f>
        <v>13265</v>
      </c>
      <c r="E6763" t="s">
        <v>13265</v>
      </c>
      <c r="F6763" t="s">
        <v>13266</v>
      </c>
      <c r="G6763" t="s">
        <v>14</v>
      </c>
      <c r="H6763">
             </c>
      <c r="I6763" t="s">
        <v>14</v>
      </c>
      <c r="J6763" t="s">
        <v>242</v>
      </c>
      <c r="K6763" t="s">
        <v>14</v>
      </c>
      <c r="L6763" t="s">
        <v>20</v>
      </c>
      <c r="M6763" t="s">
        <v>12772</v>
      </c>
      <c r="N6763" t="s">
        <v>14</v>
      </c>
    </row>
    <row r="6764" x14ac:dyDescent="0.25">
      <c r="A6764" t="n">
        <v>25</v>
      </c>
      <c r="B6764" t="s">
        <v>14</v>
      </c>
      <c r="C6764" t="s">
        <v>51</v>
      </c>
      <c r="D6764" s="2" t="s">
        <f>=HYPERLINK("https://main.knesset.gov.il/APPS/legislation/main/bills/2197609", "הצעת חוק לטיפול סביבתי בציוד חשמלי ואלקטרוני ובסוללות (תיקון - חובת מיחזור פסולת רכב חשמלי ורכב היברידי), התשפ""ג-2022 ")</f>
        <v>13267</v>
      </c>
      <c r="E6764" t="s">
        <v>13267</v>
      </c>
      <c r="F6764" t="s">
        <v>13268</v>
      </c>
      <c r="G6764" t="s">
        <v>14</v>
      </c>
      <c r="H6764">
             </c>
      <c r="I6764" t="s">
        <v>14</v>
      </c>
      <c r="J6764" t="s">
        <v>242</v>
      </c>
      <c r="K6764" t="s">
        <v>14</v>
      </c>
      <c r="L6764" t="s">
        <v>20</v>
      </c>
      <c r="M6764" t="s">
        <v>12772</v>
      </c>
      <c r="N6764" t="s">
        <v>14</v>
      </c>
    </row>
    <row r="6765" x14ac:dyDescent="0.25">
      <c r="A6765" t="n">
        <v>25</v>
      </c>
      <c r="B6765" t="s">
        <v>14</v>
      </c>
      <c r="C6765" t="s">
        <v>51</v>
      </c>
      <c r="D6765" s="2" t="s">
        <f>=HYPERLINK("https://main.knesset.gov.il/APPS/legislation/main/bills/2197652", "הצעת חוק הביטוח הלאומי (תיקון - הצמדת קצבת אזרח ותיק לשכר המינימום), התשפ""ג-2022")</f>
        <v>13269</v>
      </c>
      <c r="E6765" t="s">
        <v>13269</v>
      </c>
      <c r="F6765" t="s">
        <v>13270</v>
      </c>
      <c r="G6765" t="s">
        <v>14</v>
      </c>
      <c r="H6765">
             </c>
      <c r="I6765" t="s">
        <v>14</v>
      </c>
      <c r="J6765" t="s">
        <v>242</v>
      </c>
      <c r="K6765" t="s">
        <v>14</v>
      </c>
      <c r="L6765" t="s">
        <v>20</v>
      </c>
      <c r="M6765" t="s">
        <v>12772</v>
      </c>
      <c r="N6765" t="s">
        <v>14</v>
      </c>
    </row>
    <row r="6766" x14ac:dyDescent="0.25">
      <c r="A6766" t="n">
        <v>25</v>
      </c>
      <c r="B6766" t="s">
        <v>14</v>
      </c>
      <c r="C6766" t="s">
        <v>51</v>
      </c>
      <c r="D6766" s="2" t="s">
        <f>=HYPERLINK("https://main.knesset.gov.il/APPS/legislation/main/bills/2196862", "הצעת חוק לתיקון פקודת התעבורה (התראה מפני מצלמות ומכמונות מהירות), התשפ""ג-2022")</f>
        <v>13271</v>
      </c>
      <c r="E6766" t="s">
        <v>13271</v>
      </c>
      <c r="F6766" t="s">
        <v>13272</v>
      </c>
      <c r="G6766" t="s">
        <v>14</v>
      </c>
      <c r="H6766">
             </c>
      <c r="I6766" t="s">
        <v>14</v>
      </c>
      <c r="J6766" t="s">
        <v>242</v>
      </c>
      <c r="K6766" t="s">
        <v>14</v>
      </c>
      <c r="L6766" t="s">
        <v>20</v>
      </c>
      <c r="M6766" t="s">
        <v>12772</v>
      </c>
      <c r="N6766" t="s">
        <v>14</v>
      </c>
    </row>
    <row r="6767" x14ac:dyDescent="0.25">
      <c r="A6767" t="n">
        <v>25</v>
      </c>
      <c r="B6767" t="s">
        <v>14</v>
      </c>
      <c r="C6767" t="s">
        <v>51</v>
      </c>
      <c r="D6767" s="2" t="s">
        <f>=HYPERLINK("https://main.knesset.gov.il/APPS/legislation/main/bills/2196600", "הצעת חוק-יסוד: הפרדת רשויות (תיקוני חקיקה)")</f>
        <v>13273</v>
      </c>
      <c r="E6767" t="s">
        <v>13273</v>
      </c>
      <c r="F6767" t="s">
        <v>13274</v>
      </c>
      <c r="G6767" t="s">
        <v>14</v>
      </c>
      <c r="H6767">
             </c>
      <c r="I6767" t="s">
        <v>14</v>
      </c>
      <c r="J6767" t="s">
        <v>242</v>
      </c>
      <c r="K6767" t="s">
        <v>14</v>
      </c>
      <c r="L6767" t="s">
        <v>20</v>
      </c>
      <c r="M6767" t="s">
        <v>12772</v>
      </c>
      <c r="N6767" t="s">
        <v>14</v>
      </c>
    </row>
    <row r="6768" x14ac:dyDescent="0.25">
      <c r="A6768" t="n">
        <v>25</v>
      </c>
      <c r="B6768" t="s">
        <v>14</v>
      </c>
      <c r="C6768" t="s">
        <v>51</v>
      </c>
      <c r="D6768" s="2" t="s">
        <f>=HYPERLINK("https://main.knesset.gov.il/APPS/legislation/main/bills/2197622", "הצעת חוק קרן לאזרחי ישראל (תיקון - ועדה אתית מייעצת), התשפ""ג-2023")</f>
        <v>13275</v>
      </c>
      <c r="E6768" t="s">
        <v>13275</v>
      </c>
      <c r="F6768" t="s">
        <v>13276</v>
      </c>
      <c r="G6768" t="s">
        <v>14</v>
      </c>
      <c r="H6768">
             </c>
      <c r="I6768" t="s">
        <v>14</v>
      </c>
      <c r="J6768" t="s">
        <v>242</v>
      </c>
      <c r="K6768" t="s">
        <v>14</v>
      </c>
      <c r="L6768" t="s">
        <v>20</v>
      </c>
      <c r="M6768" t="s">
        <v>12772</v>
      </c>
      <c r="N6768" t="s">
        <v>14</v>
      </c>
    </row>
    <row r="6769" x14ac:dyDescent="0.25">
      <c r="A6769" t="n">
        <v>25</v>
      </c>
      <c r="B6769" t="s">
        <v>14</v>
      </c>
      <c r="C6769" t="s">
        <v>51</v>
      </c>
      <c r="D6769" s="2" t="s">
        <f>=HYPERLINK("https://main.knesset.gov.il/APPS/legislation/main/bills/2197711", "הצעת חוק הפחתת הגירעון והגבלת ההוצאה התקציבית (תיקון - ביטול הגבלת ההוצאה התקציבית), התשפ""ג-2022")</f>
        <v>13277</v>
      </c>
      <c r="E6769" t="s">
        <v>13277</v>
      </c>
      <c r="F6769" t="s">
        <v>13278</v>
      </c>
      <c r="G6769" t="s">
        <v>14</v>
      </c>
      <c r="H6769">
             </c>
      <c r="I6769" t="s">
        <v>14</v>
      </c>
      <c r="J6769" t="s">
        <v>242</v>
      </c>
      <c r="K6769" t="s">
        <v>14</v>
      </c>
      <c r="L6769" t="s">
        <v>20</v>
      </c>
      <c r="M6769" t="s">
        <v>12772</v>
      </c>
      <c r="N6769" t="s">
        <v>14</v>
      </c>
    </row>
    <row r="6770" x14ac:dyDescent="0.25">
      <c r="A6770" t="n">
        <v>25</v>
      </c>
      <c r="B6770" t="s">
        <v>14</v>
      </c>
      <c r="C6770" t="s">
        <v>51</v>
      </c>
      <c r="D6770" s="2" t="s">
        <f>=HYPERLINK("https://main.knesset.gov.il/APPS/legislation/main/bills/2196920", "הצעת חוק חינוך ממלכתי (תיקון - הגבלת כהונה של מפקח מחוז), התשפ""ג-2022")</f>
        <v>13279</v>
      </c>
      <c r="E6770" t="s">
        <v>13279</v>
      </c>
      <c r="F6770" t="s">
        <v>13280</v>
      </c>
      <c r="G6770" t="s">
        <v>14</v>
      </c>
      <c r="H6770">
             </c>
      <c r="I6770" t="s">
        <v>14</v>
      </c>
      <c r="J6770" t="s">
        <v>242</v>
      </c>
      <c r="K6770" t="s">
        <v>14</v>
      </c>
      <c r="L6770" t="s">
        <v>20</v>
      </c>
      <c r="M6770" t="s">
        <v>12772</v>
      </c>
      <c r="N6770" t="s">
        <v>14</v>
      </c>
    </row>
    <row r="6771" x14ac:dyDescent="0.25">
      <c r="A6771" t="n">
        <v>25</v>
      </c>
      <c r="B6771" t="s">
        <v>14</v>
      </c>
      <c r="C6771" t="s">
        <v>51</v>
      </c>
      <c r="D6771" s="2" t="s">
        <f>=HYPERLINK("https://main.knesset.gov.il/APPS/legislation/main/bills/2197297", "הצעת חוק החזרת תושבי בירעם ואיקרית לבתיהם, התשפ""ג-2022")</f>
        <v>13281</v>
      </c>
      <c r="E6771" t="s">
        <v>13281</v>
      </c>
      <c r="F6771" t="s">
        <v>13282</v>
      </c>
      <c r="G6771" t="s">
        <v>14</v>
      </c>
      <c r="H6771">
             </c>
      <c r="I6771" t="s">
        <v>14</v>
      </c>
      <c r="J6771" t="s">
        <v>242</v>
      </c>
      <c r="K6771" t="s">
        <v>14</v>
      </c>
      <c r="L6771" t="s">
        <v>20</v>
      </c>
      <c r="M6771" t="s">
        <v>12772</v>
      </c>
      <c r="N6771" t="s">
        <v>14</v>
      </c>
    </row>
    <row r="6772" x14ac:dyDescent="0.25">
      <c r="A6772" t="n">
        <v>25</v>
      </c>
      <c r="B6772" t="s">
        <v>14</v>
      </c>
      <c r="C6772" t="s">
        <v>51</v>
      </c>
      <c r="D6772" s="2" t="s">
        <f>=HYPERLINK("https://main.knesset.gov.il/APPS/legislation/main/bills/2196605", "הצעת חוק עובדים זרים (תיקון - היתר להעסקת עובד זר בענף הסיעוד), התשפ""ג-2022")</f>
        <v>13283</v>
      </c>
      <c r="E6772" t="s">
        <v>13283</v>
      </c>
      <c r="F6772" t="s">
        <v>13284</v>
      </c>
      <c r="G6772" t="s">
        <v>14</v>
      </c>
      <c r="H6772">
             </c>
      <c r="I6772" t="s">
        <v>14</v>
      </c>
      <c r="J6772" t="s">
        <v>242</v>
      </c>
      <c r="K6772" t="s">
        <v>14</v>
      </c>
      <c r="L6772" t="s">
        <v>20</v>
      </c>
      <c r="M6772" t="s">
        <v>12772</v>
      </c>
      <c r="N6772" t="s">
        <v>14</v>
      </c>
    </row>
    <row r="6773" x14ac:dyDescent="0.25">
      <c r="A6773" t="n">
        <v>25</v>
      </c>
      <c r="B6773" t="s">
        <v>14</v>
      </c>
      <c r="C6773" t="s">
        <v>51</v>
      </c>
      <c r="D6773" s="2" t="s">
        <f>=HYPERLINK("https://main.knesset.gov.il/APPS/legislation/main/bills/2197116", "הצעת חוק לתיקון פקודת התעבורה (חניית נשים בהריון והורה לתינוק), התשפ""ג-2022")</f>
        <v>13285</v>
      </c>
      <c r="E6773" t="s">
        <v>13285</v>
      </c>
      <c r="F6773" t="s">
        <v>13286</v>
      </c>
      <c r="G6773" t="s">
        <v>14</v>
      </c>
      <c r="H6773">
             </c>
      <c r="I6773" t="s">
        <v>14</v>
      </c>
      <c r="J6773" t="s">
        <v>242</v>
      </c>
      <c r="K6773" t="s">
        <v>14</v>
      </c>
      <c r="L6773" t="s">
        <v>20</v>
      </c>
      <c r="M6773" t="s">
        <v>12772</v>
      </c>
      <c r="N6773" t="s">
        <v>14</v>
      </c>
    </row>
    <row r="6774" x14ac:dyDescent="0.25">
      <c r="A6774" t="n">
        <v>25</v>
      </c>
      <c r="B6774" t="s">
        <v>14</v>
      </c>
      <c r="C6774" t="s">
        <v>51</v>
      </c>
      <c r="D6774" s="2" t="s">
        <f>=HYPERLINK("https://main.knesset.gov.il/APPS/legislation/main/bills/2196409", "הצעת חוק הביטוח הלאומי (תיקון - הוראות מיוחדות לעניין דמי אבטלה וכפל קצבאות) (הוראת שעה), התשפ""ג-2022")</f>
        <v>13287</v>
      </c>
      <c r="E6774" t="s">
        <v>13287</v>
      </c>
      <c r="F6774" t="s">
        <v>13288</v>
      </c>
      <c r="G6774" t="s">
        <v>14</v>
      </c>
      <c r="H6774">
             </c>
      <c r="I6774" t="s">
        <v>14</v>
      </c>
      <c r="J6774" t="s">
        <v>242</v>
      </c>
      <c r="K6774" t="s">
        <v>14</v>
      </c>
      <c r="L6774" t="s">
        <v>20</v>
      </c>
      <c r="M6774" t="s">
        <v>12772</v>
      </c>
      <c r="N6774" t="s">
        <v>14</v>
      </c>
    </row>
    <row r="6775" x14ac:dyDescent="0.25">
      <c r="A6775" t="n">
        <v>25</v>
      </c>
      <c r="B6775" t="s">
        <v>14</v>
      </c>
      <c r="C6775" t="s">
        <v>51</v>
      </c>
      <c r="D6775" s="2" t="s">
        <f>=HYPERLINK("https://main.knesset.gov.il/APPS/legislation/main/bills/2196847", "הצעת חוק הביטוח הלאומי (תיקון - השוואת קצבת אזרח ותיק וקצבת נכות לשכר מינימום), התשפ""ג-2022")</f>
        <v>13289</v>
      </c>
      <c r="E6775" t="s">
        <v>13289</v>
      </c>
      <c r="F6775" t="s">
        <v>13290</v>
      </c>
      <c r="G6775" t="s">
        <v>14</v>
      </c>
      <c r="H6775">
             </c>
      <c r="I6775" t="s">
        <v>14</v>
      </c>
      <c r="J6775" t="s">
        <v>242</v>
      </c>
      <c r="K6775" t="s">
        <v>14</v>
      </c>
      <c r="L6775" t="s">
        <v>20</v>
      </c>
      <c r="M6775" t="s">
        <v>12772</v>
      </c>
      <c r="N6775" t="s">
        <v>14</v>
      </c>
    </row>
    <row r="6776" x14ac:dyDescent="0.25">
      <c r="A6776" t="n">
        <v>25</v>
      </c>
      <c r="B6776" t="s">
        <v>14</v>
      </c>
      <c r="C6776" t="s">
        <v>51</v>
      </c>
      <c r="D6776" s="2" t="s">
        <f>=HYPERLINK("https://main.knesset.gov.il/APPS/legislation/main/bills/2196830", "הצעת חוק היטלי סחר ואמצעי הגנה (תיקון - אי פתיחת חקירה בשל יבוא בהיצף בשוק מונופוליסטי או ריכוזי), התשפ""ג-2022")</f>
        <v>13291</v>
      </c>
      <c r="E6776" t="s">
        <v>13291</v>
      </c>
      <c r="F6776" t="s">
        <v>13292</v>
      </c>
      <c r="G6776" t="s">
        <v>14</v>
      </c>
      <c r="H6776">
             </c>
      <c r="I6776" t="s">
        <v>14</v>
      </c>
      <c r="J6776" t="s">
        <v>242</v>
      </c>
      <c r="K6776" t="s">
        <v>14</v>
      </c>
      <c r="L6776" t="s">
        <v>20</v>
      </c>
      <c r="M6776" t="s">
        <v>12772</v>
      </c>
      <c r="N6776" t="s">
        <v>14</v>
      </c>
    </row>
    <row r="6777" x14ac:dyDescent="0.25">
      <c r="A6777" t="n">
        <v>25</v>
      </c>
      <c r="B6777" t="s">
        <v>14</v>
      </c>
      <c r="C6777" t="s">
        <v>51</v>
      </c>
      <c r="D6777" s="2" t="s">
        <f>=HYPERLINK("https://main.knesset.gov.il/APPS/legislation/main/bills/2196919", "הצעת חוק העונשין (תיקון - נשיאת מאסר בעבודת שירות), התשפ""ג-2022")</f>
        <v>13293</v>
      </c>
      <c r="E6777" t="s">
        <v>13293</v>
      </c>
      <c r="F6777" t="s">
        <v>13294</v>
      </c>
      <c r="G6777" t="s">
        <v>14</v>
      </c>
      <c r="H6777">
             </c>
      <c r="I6777" t="s">
        <v>14</v>
      </c>
      <c r="J6777" t="s">
        <v>242</v>
      </c>
      <c r="K6777" t="s">
        <v>14</v>
      </c>
      <c r="L6777" t="s">
        <v>20</v>
      </c>
      <c r="M6777" t="s">
        <v>12772</v>
      </c>
      <c r="N6777" t="s">
        <v>14</v>
      </c>
    </row>
    <row r="6778" x14ac:dyDescent="0.25">
      <c r="A6778" t="n">
        <v>25</v>
      </c>
      <c r="B6778" t="s">
        <v>14</v>
      </c>
      <c r="C6778" t="s">
        <v>51</v>
      </c>
      <c r="D6778" s="2" t="s">
        <f>=HYPERLINK("https://main.knesset.gov.il/APPS/legislation/main/bills/2196617", "הצעת חוק זכויות נפגעי עבירה (תיקון - הרחבת זכות העיון לנפגעי עבירות מין), התשפ""ג-2022")</f>
        <v>13295</v>
      </c>
      <c r="E6778" t="s">
        <v>13295</v>
      </c>
      <c r="F6778" t="s">
        <v>13296</v>
      </c>
      <c r="G6778" t="s">
        <v>14</v>
      </c>
      <c r="H6778">
             </c>
      <c r="I6778" t="s">
        <v>14</v>
      </c>
      <c r="J6778" t="s">
        <v>242</v>
      </c>
      <c r="K6778" t="s">
        <v>14</v>
      </c>
      <c r="L6778" t="s">
        <v>20</v>
      </c>
      <c r="M6778" t="s">
        <v>12772</v>
      </c>
      <c r="N6778" t="s">
        <v>14</v>
      </c>
    </row>
    <row r="6779" x14ac:dyDescent="0.25">
      <c r="A6779" t="n">
        <v>25</v>
      </c>
      <c r="B6779" t="s">
        <v>14</v>
      </c>
      <c r="C6779" t="s">
        <v>51</v>
      </c>
      <c r="D6779" s="2" t="s">
        <f>=HYPERLINK("https://main.knesset.gov.il/APPS/legislation/main/bills/2198032", "הצעת חוק החלת תקצוב מגדרי על תקציבים ציבוריים בישראל, התשפ""ג-2022")</f>
        <v>4727</v>
      </c>
      <c r="E6779" t="s">
        <v>4727</v>
      </c>
      <c r="F6779" t="s">
        <v>13297</v>
      </c>
      <c r="G6779" t="s">
        <v>14</v>
      </c>
      <c r="H6779">
             </c>
      <c r="I6779" t="s">
        <v>14</v>
      </c>
      <c r="J6779" t="s">
        <v>242</v>
      </c>
      <c r="K6779" t="s">
        <v>14</v>
      </c>
      <c r="L6779" t="s">
        <v>20</v>
      </c>
      <c r="M6779" t="s">
        <v>12772</v>
      </c>
      <c r="N6779" t="s">
        <v>14</v>
      </c>
    </row>
    <row r="6780" x14ac:dyDescent="0.25">
      <c r="A6780" t="n">
        <v>25</v>
      </c>
      <c r="B6780" t="s">
        <v>14</v>
      </c>
      <c r="C6780" t="s">
        <v>51</v>
      </c>
      <c r="D6780" s="2" t="s">
        <f>=HYPERLINK("https://main.knesset.gov.il/APPS/legislation/main/bills/2197600", "הצעת חוק איסור הפליה במוצרים, בשירותים ובכניסה למקומות בידור ולמקומות ציבוריים (תיקון - הפליה בשל מוצא עדתי), התשפ''ג-2022")</f>
        <v>13298</v>
      </c>
      <c r="E6780" t="s">
        <v>13298</v>
      </c>
      <c r="F6780" t="s">
        <v>13299</v>
      </c>
      <c r="G6780" t="s">
        <v>14</v>
      </c>
      <c r="H6780">
             </c>
      <c r="I6780" t="s">
        <v>14</v>
      </c>
      <c r="J6780" t="s">
        <v>242</v>
      </c>
      <c r="K6780" t="s">
        <v>14</v>
      </c>
      <c r="L6780" t="s">
        <v>20</v>
      </c>
      <c r="M6780" t="s">
        <v>12772</v>
      </c>
      <c r="N6780" t="s">
        <v>14</v>
      </c>
    </row>
    <row r="6781" x14ac:dyDescent="0.25">
      <c r="A6781" t="n">
        <v>25</v>
      </c>
      <c r="B6781" t="s">
        <v>14</v>
      </c>
      <c r="C6781" t="s">
        <v>51</v>
      </c>
      <c r="D6781" s="2" t="s">
        <f>=HYPERLINK("https://main.knesset.gov.il/APPS/legislation/main/bills/2196789", "הצעת חוק יסודות התקציב (תיקון - שלילת תקצוב ממוסד שהעומד בראשו מסית נגד שירות ביטחון או שירות לאומי-אזרחי או בעד סירוב פקודה), התשפ""ג-2022")</f>
        <v>13300</v>
      </c>
      <c r="E6781" t="s">
        <v>13300</v>
      </c>
      <c r="F6781" t="s">
        <v>13301</v>
      </c>
      <c r="G6781" t="s">
        <v>14</v>
      </c>
      <c r="H6781">
             </c>
      <c r="I6781" t="s">
        <v>14</v>
      </c>
      <c r="J6781" t="s">
        <v>242</v>
      </c>
      <c r="K6781" t="s">
        <v>14</v>
      </c>
      <c r="L6781" t="s">
        <v>20</v>
      </c>
      <c r="M6781" t="s">
        <v>12772</v>
      </c>
      <c r="N6781" t="s">
        <v>14</v>
      </c>
    </row>
    <row r="6782" x14ac:dyDescent="0.25">
      <c r="A6782" t="n">
        <v>25</v>
      </c>
      <c r="B6782" t="s">
        <v>14</v>
      </c>
      <c r="C6782" t="s">
        <v>51</v>
      </c>
      <c r="D6782" s="2" t="s">
        <f>=HYPERLINK("https://main.knesset.gov.il/APPS/legislation/main/bills/2196710", "הצעת חוק לימוד חובה (תיקון - התאמת לוח החופשות לימי העבודה במשק), התשפ""ג-2022")</f>
        <v>13302</v>
      </c>
      <c r="E6782" t="s">
        <v>13302</v>
      </c>
      <c r="F6782" t="s">
        <v>13303</v>
      </c>
      <c r="G6782" t="s">
        <v>14</v>
      </c>
      <c r="H6782">
             </c>
      <c r="I6782" t="s">
        <v>14</v>
      </c>
      <c r="J6782" t="s">
        <v>242</v>
      </c>
      <c r="K6782" t="s">
        <v>14</v>
      </c>
      <c r="L6782" t="s">
        <v>20</v>
      </c>
      <c r="M6782" t="s">
        <v>12772</v>
      </c>
      <c r="N6782" t="s">
        <v>14</v>
      </c>
    </row>
    <row r="6783" x14ac:dyDescent="0.25">
      <c r="A6783" t="n">
        <v>25</v>
      </c>
      <c r="B6783" t="s">
        <v>14</v>
      </c>
      <c r="C6783" t="s">
        <v>51</v>
      </c>
      <c r="D6783" s="2" t="s">
        <f>=HYPERLINK("https://main.knesset.gov.il/APPS/legislation/main/bills/2196671", "הצעת חוק יום הזיכרון לנכבה, התשפ""ג-2022")</f>
        <v>13304</v>
      </c>
      <c r="E6783" t="s">
        <v>13304</v>
      </c>
      <c r="F6783" t="s">
        <v>13305</v>
      </c>
      <c r="G6783" t="s">
        <v>14</v>
      </c>
      <c r="H6783">
             </c>
      <c r="I6783" t="s">
        <v>14</v>
      </c>
      <c r="J6783" t="s">
        <v>242</v>
      </c>
      <c r="K6783" t="s">
        <v>14</v>
      </c>
      <c r="L6783" t="s">
        <v>20</v>
      </c>
      <c r="M6783" t="s">
        <v>12772</v>
      </c>
      <c r="N6783" t="s">
        <v>14</v>
      </c>
    </row>
    <row r="6784" x14ac:dyDescent="0.25">
      <c r="A6784" t="n">
        <v>25</v>
      </c>
      <c r="B6784" t="s">
        <v>14</v>
      </c>
      <c r="C6784" t="s">
        <v>51</v>
      </c>
      <c r="D6784" s="2" t="s">
        <f>=HYPERLINK("https://main.knesset.gov.il/APPS/legislation/main/bills/2197598", "הצעת חוק לתיקון פקודת העיריות (ראש האופוזיציה), התשפ""ג-2022")</f>
        <v>13306</v>
      </c>
      <c r="E6784" t="s">
        <v>13306</v>
      </c>
      <c r="F6784" t="s">
        <v>13307</v>
      </c>
      <c r="G6784" t="s">
        <v>14</v>
      </c>
      <c r="H6784">
             </c>
      <c r="I6784" t="s">
        <v>14</v>
      </c>
      <c r="J6784" t="s">
        <v>242</v>
      </c>
      <c r="K6784" t="s">
        <v>14</v>
      </c>
      <c r="L6784" t="s">
        <v>20</v>
      </c>
      <c r="M6784" t="s">
        <v>12772</v>
      </c>
      <c r="N6784" t="s">
        <v>14</v>
      </c>
    </row>
    <row r="6785" x14ac:dyDescent="0.25">
      <c r="A6785" t="n">
        <v>25</v>
      </c>
      <c r="B6785" t="s">
        <v>14</v>
      </c>
      <c r="C6785" t="s">
        <v>51</v>
      </c>
      <c r="D6785" s="2" t="s">
        <f>=HYPERLINK("https://main.knesset.gov.il/APPS/legislation/main/bills/2196714", "הצעת חוק העסקת עובדי חינוך בגני ילדים באמצעות חוזה אישי (תיקוני חקיקה), התשפ""ג-2022")</f>
        <v>13308</v>
      </c>
      <c r="E6785" t="s">
        <v>13308</v>
      </c>
      <c r="F6785" t="s">
        <v>13309</v>
      </c>
      <c r="G6785" t="s">
        <v>14</v>
      </c>
      <c r="H6785">
             </c>
      <c r="I6785" t="s">
        <v>14</v>
      </c>
      <c r="J6785" t="s">
        <v>242</v>
      </c>
      <c r="K6785" t="s">
        <v>14</v>
      </c>
      <c r="L6785" t="s">
        <v>20</v>
      </c>
      <c r="M6785" t="s">
        <v>12772</v>
      </c>
      <c r="N6785" t="s">
        <v>14</v>
      </c>
    </row>
    <row r="6786" x14ac:dyDescent="0.25">
      <c r="A6786" t="n">
        <v>25</v>
      </c>
      <c r="B6786" t="s">
        <v>14</v>
      </c>
      <c r="C6786" t="s">
        <v>51</v>
      </c>
      <c r="D6786" s="2" t="s">
        <f>=HYPERLINK("https://main.knesset.gov.il/APPS/legislation/main/bills/2197596", "הצעת חוק סל מזון בריא - פיקוח על מחירים, שיווק וסבסוד, התשפ""ג-2022")</f>
        <v>13310</v>
      </c>
      <c r="E6786" t="s">
        <v>13310</v>
      </c>
      <c r="F6786" t="s">
        <v>13311</v>
      </c>
      <c r="G6786" t="s">
        <v>14</v>
      </c>
      <c r="H6786">
             </c>
      <c r="I6786" t="s">
        <v>14</v>
      </c>
      <c r="J6786" t="s">
        <v>242</v>
      </c>
      <c r="K6786" t="s">
        <v>14</v>
      </c>
      <c r="L6786" t="s">
        <v>20</v>
      </c>
      <c r="M6786" t="s">
        <v>12772</v>
      </c>
      <c r="N6786" t="s">
        <v>14</v>
      </c>
    </row>
    <row r="6787" x14ac:dyDescent="0.25">
      <c r="A6787" t="n">
        <v>25</v>
      </c>
      <c r="B6787" t="s">
        <v>14</v>
      </c>
      <c r="C6787" t="s">
        <v>51</v>
      </c>
      <c r="D6787" s="2" t="s">
        <f>=HYPERLINK("https://main.knesset.gov.il/APPS/legislation/main/bills/2196111", "הצעת חוק הביטוח הלאומי (תיקון - תוספת בעד בן הזוג לקצבת אזרח ותיק), התשפ""ג-2022")</f>
        <v>13312</v>
      </c>
      <c r="E6787" t="s">
        <v>13312</v>
      </c>
      <c r="F6787" t="s">
        <v>13313</v>
      </c>
      <c r="G6787" t="s">
        <v>14</v>
      </c>
      <c r="H6787">
             </c>
      <c r="I6787" t="s">
        <v>14</v>
      </c>
      <c r="J6787" t="s">
        <v>242</v>
      </c>
      <c r="K6787" t="s">
        <v>14</v>
      </c>
      <c r="L6787" t="s">
        <v>20</v>
      </c>
      <c r="M6787" t="s">
        <v>12772</v>
      </c>
      <c r="N6787" t="s">
        <v>14</v>
      </c>
    </row>
    <row r="6788" x14ac:dyDescent="0.25">
      <c r="A6788" t="n">
        <v>25</v>
      </c>
      <c r="B6788" t="s">
        <v>14</v>
      </c>
      <c r="C6788" t="s">
        <v>51</v>
      </c>
      <c r="D6788" s="2" t="s">
        <f>=HYPERLINK("https://main.knesset.gov.il/APPS/legislation/main/bills/2197583", "הצעת חוק הפיקוח על ייצוא ביטחוני (תיקון - הגבלות על ייצוא ביטחוני), התשפ""ג-2022")</f>
        <v>13314</v>
      </c>
      <c r="E6788" t="s">
        <v>13314</v>
      </c>
      <c r="F6788" t="s">
        <v>13315</v>
      </c>
      <c r="G6788" t="s">
        <v>14</v>
      </c>
      <c r="H6788">
             </c>
      <c r="I6788" t="s">
        <v>14</v>
      </c>
      <c r="J6788" t="s">
        <v>242</v>
      </c>
      <c r="K6788" t="s">
        <v>14</v>
      </c>
      <c r="L6788" t="s">
        <v>20</v>
      </c>
      <c r="M6788" t="s">
        <v>12772</v>
      </c>
      <c r="N6788" t="s">
        <v>14</v>
      </c>
    </row>
    <row r="6789" x14ac:dyDescent="0.25">
      <c r="A6789" t="n">
        <v>25</v>
      </c>
      <c r="B6789" t="s">
        <v>14</v>
      </c>
      <c r="C6789" t="s">
        <v>51</v>
      </c>
      <c r="D6789" s="2" t="s">
        <f>=HYPERLINK("https://main.knesset.gov.il/APPS/legislation/main/bills/2197238", "הצעת חוק מס ערך מוסף (תיקון - מכירת טובין למלכ""ר המיועדים לתרומה לכוחות הביטחון וההצלה), התשפ""ג-2022")</f>
        <v>13316</v>
      </c>
      <c r="E6789" t="s">
        <v>13316</v>
      </c>
      <c r="F6789" t="s">
        <v>13317</v>
      </c>
      <c r="G6789" t="s">
        <v>14</v>
      </c>
      <c r="H6789">
             </c>
      <c r="I6789" t="s">
        <v>14</v>
      </c>
      <c r="J6789" t="s">
        <v>242</v>
      </c>
      <c r="K6789" t="s">
        <v>14</v>
      </c>
      <c r="L6789" t="s">
        <v>20</v>
      </c>
      <c r="M6789" t="s">
        <v>12772</v>
      </c>
      <c r="N6789" t="s">
        <v>14</v>
      </c>
    </row>
    <row r="6790" x14ac:dyDescent="0.25">
      <c r="A6790" t="n">
        <v>25</v>
      </c>
      <c r="B6790" t="s">
        <v>14</v>
      </c>
      <c r="C6790" t="s">
        <v>51</v>
      </c>
      <c r="D6790" s="2" t="s">
        <f>=HYPERLINK("https://main.knesset.gov.il/APPS/legislation/main/bills/2196610", "הצעת חוק סיוע לנפגעי האסון הלאומי בהר מירון, התשפ""ג-2022")</f>
        <v>13318</v>
      </c>
      <c r="E6790" t="s">
        <v>13318</v>
      </c>
      <c r="F6790" t="s">
        <v>13319</v>
      </c>
      <c r="G6790" t="s">
        <v>14</v>
      </c>
      <c r="H6790">
             </c>
      <c r="I6790" t="s">
        <v>14</v>
      </c>
      <c r="J6790" t="s">
        <v>242</v>
      </c>
      <c r="K6790" t="s">
        <v>14</v>
      </c>
      <c r="L6790" t="s">
        <v>20</v>
      </c>
      <c r="M6790" t="s">
        <v>12772</v>
      </c>
      <c r="N6790" t="s">
        <v>14</v>
      </c>
    </row>
    <row r="6791" x14ac:dyDescent="0.25">
      <c r="A6791" t="n">
        <v>25</v>
      </c>
      <c r="B6791" t="s">
        <v>14</v>
      </c>
      <c r="C6791" t="s">
        <v>51</v>
      </c>
      <c r="D6791" s="2" t="s">
        <f>=HYPERLINK("https://main.knesset.gov.il/APPS/legislation/main/bills/2196795", "הצעת חוק הבחירות לכנסת (תיקון - יושב ראש ועדת הבחירות המרכזית), התשפ""ג-2022 ")</f>
        <v>13320</v>
      </c>
      <c r="E6791" t="s">
        <v>13320</v>
      </c>
      <c r="F6791" t="s">
        <v>13321</v>
      </c>
      <c r="G6791" t="s">
        <v>14</v>
      </c>
      <c r="H6791">
             </c>
      <c r="I6791" t="s">
        <v>14</v>
      </c>
      <c r="J6791" t="s">
        <v>1372</v>
      </c>
      <c r="K6791" t="s">
        <v>14</v>
      </c>
      <c r="L6791" t="s">
        <v>20</v>
      </c>
      <c r="M6791" t="s">
        <v>12772</v>
      </c>
      <c r="N6791" t="s">
        <v>14</v>
      </c>
    </row>
    <row r="6792" x14ac:dyDescent="0.25">
      <c r="A6792" t="n">
        <v>25</v>
      </c>
      <c r="B6792" t="s">
        <v>14</v>
      </c>
      <c r="C6792" t="s">
        <v>51</v>
      </c>
      <c r="D6792" s="2" t="s">
        <f>=HYPERLINK("https://main.knesset.gov.il/APPS/legislation/main/bills/2196856", "הצעת חוק להגבלת הריסה וענישה על בנייה בלתי חוקית במגזר הערבי (הוראת שעה), התשפ""ג-2022")</f>
        <v>13174</v>
      </c>
      <c r="E6792" t="s">
        <v>13174</v>
      </c>
      <c r="F6792" t="s">
        <v>13322</v>
      </c>
      <c r="G6792" t="s">
        <v>14</v>
      </c>
      <c r="H6792">
             </c>
      <c r="I6792" t="s">
        <v>14</v>
      </c>
      <c r="J6792" t="s">
        <v>242</v>
      </c>
      <c r="K6792" t="s">
        <v>14</v>
      </c>
      <c r="L6792" t="s">
        <v>20</v>
      </c>
      <c r="M6792" t="s">
        <v>12772</v>
      </c>
      <c r="N6792" t="s">
        <v>14</v>
      </c>
    </row>
    <row r="6793" x14ac:dyDescent="0.25">
      <c r="A6793" t="n">
        <v>25</v>
      </c>
      <c r="B6793" t="s">
        <v>14</v>
      </c>
      <c r="C6793" t="s">
        <v>51</v>
      </c>
      <c r="D6793" s="2" t="s">
        <f>=HYPERLINK("https://main.knesset.gov.il/APPS/legislation/main/bills/2196073", "הצעת חוק הפיקוח על מעונות (תיקון - הסדרת מעמד המטפלות במשפחתונים), התשפ""ג-2022")</f>
        <v>13323</v>
      </c>
      <c r="E6793" t="s">
        <v>13323</v>
      </c>
      <c r="F6793" t="s">
        <v>13324</v>
      </c>
      <c r="G6793" t="s">
        <v>14</v>
      </c>
      <c r="H6793">
             </c>
      <c r="I6793" t="s">
        <v>14</v>
      </c>
      <c r="J6793" t="s">
        <v>242</v>
      </c>
      <c r="K6793" t="s">
        <v>14</v>
      </c>
      <c r="L6793" t="s">
        <v>20</v>
      </c>
      <c r="M6793" t="s">
        <v>12772</v>
      </c>
      <c r="N6793" t="s">
        <v>14</v>
      </c>
    </row>
    <row r="6794" x14ac:dyDescent="0.25">
      <c r="A6794" t="n">
        <v>25</v>
      </c>
      <c r="B6794" t="s">
        <v>14</v>
      </c>
      <c r="C6794" t="s">
        <v>51</v>
      </c>
      <c r="D6794" s="2" t="s">
        <f>=HYPERLINK("https://main.knesset.gov.il/APPS/legislation/main/bills/2196630", "הצעת חוק הביטוח הלאומי (תיקון - ביטול מענק עבודה מועדפת), התשפ""ג-2022")</f>
        <v>13325</v>
      </c>
      <c r="E6794" t="s">
        <v>13325</v>
      </c>
      <c r="F6794" t="s">
        <v>13326</v>
      </c>
      <c r="G6794" t="s">
        <v>14</v>
      </c>
      <c r="H6794">
             </c>
      <c r="I6794" t="s">
        <v>14</v>
      </c>
      <c r="J6794" t="s">
        <v>242</v>
      </c>
      <c r="K6794" t="s">
        <v>14</v>
      </c>
      <c r="L6794" t="s">
        <v>20</v>
      </c>
      <c r="M6794" t="s">
        <v>12772</v>
      </c>
      <c r="N6794" t="s">
        <v>14</v>
      </c>
    </row>
    <row r="6795" x14ac:dyDescent="0.25">
      <c r="A6795" t="n">
        <v>25</v>
      </c>
      <c r="B6795" t="s">
        <v>14</v>
      </c>
      <c r="C6795" t="s">
        <v>51</v>
      </c>
      <c r="D6795" s="2" t="s">
        <f>=HYPERLINK("https://main.knesset.gov.il/APPS/legislation/main/bills/2196048", "הצעת חוק העונשין (תיקון - החמרת הענישה בשל תקיפה בכביש), התשפ""ג-2022")</f>
        <v>13327</v>
      </c>
      <c r="E6795" t="s">
        <v>13327</v>
      </c>
      <c r="F6795" t="s">
        <v>13328</v>
      </c>
      <c r="G6795" t="s">
        <v>14</v>
      </c>
      <c r="H6795">
             </c>
      <c r="I6795" t="s">
        <v>14</v>
      </c>
      <c r="J6795" t="s">
        <v>242</v>
      </c>
      <c r="K6795" t="s">
        <v>14</v>
      </c>
      <c r="L6795" t="s">
        <v>20</v>
      </c>
      <c r="M6795" t="s">
        <v>12772</v>
      </c>
      <c r="N6795" t="s">
        <v>14</v>
      </c>
    </row>
    <row r="6796" x14ac:dyDescent="0.25">
      <c r="A6796" t="n">
        <v>25</v>
      </c>
      <c r="B6796" t="s">
        <v>14</v>
      </c>
      <c r="C6796" t="s">
        <v>51</v>
      </c>
      <c r="D6796" s="2" t="s">
        <f>=HYPERLINK("https://main.knesset.gov.il/APPS/legislation/main/bills/2196634", "הצעת חוק חוזה הביטוח (תיקון - בחינת סבירות פעולות מבטח, העברת נטל ועיצום כספי), התשפ""ג-2022")</f>
        <v>13329</v>
      </c>
      <c r="E6796" t="s">
        <v>13329</v>
      </c>
      <c r="F6796" t="s">
        <v>13330</v>
      </c>
      <c r="G6796" t="s">
        <v>14</v>
      </c>
      <c r="H6796">
             </c>
      <c r="I6796" t="s">
        <v>14</v>
      </c>
      <c r="J6796" t="s">
        <v>242</v>
      </c>
      <c r="K6796" t="s">
        <v>14</v>
      </c>
      <c r="L6796" t="s">
        <v>20</v>
      </c>
      <c r="M6796" t="s">
        <v>12772</v>
      </c>
      <c r="N6796" t="s">
        <v>14</v>
      </c>
    </row>
    <row r="6797" x14ac:dyDescent="0.25">
      <c r="A6797" t="n">
        <v>25</v>
      </c>
      <c r="B6797" t="s">
        <v>14</v>
      </c>
      <c r="C6797" t="s">
        <v>51</v>
      </c>
      <c r="D6797" s="2" t="s">
        <f>=HYPERLINK("https://main.knesset.gov.il/APPS/legislation/main/bills/2196147", "הצעת חוק הביטוח הלאומי (תיקון - סיווג מאמנים כמבוטחים), התשפ""ג-2022")</f>
        <v>13331</v>
      </c>
      <c r="E6797" t="s">
        <v>13331</v>
      </c>
      <c r="F6797" t="s">
        <v>13332</v>
      </c>
      <c r="G6797" t="s">
        <v>14</v>
      </c>
      <c r="H6797">
             </c>
      <c r="I6797" t="s">
        <v>14</v>
      </c>
      <c r="J6797" t="s">
        <v>242</v>
      </c>
      <c r="K6797" t="s">
        <v>14</v>
      </c>
      <c r="L6797" t="s">
        <v>20</v>
      </c>
      <c r="M6797" t="s">
        <v>12772</v>
      </c>
      <c r="N6797" t="s">
        <v>14</v>
      </c>
    </row>
    <row r="6798" x14ac:dyDescent="0.25">
      <c r="A6798" t="n">
        <v>25</v>
      </c>
      <c r="B6798" t="s">
        <v>14</v>
      </c>
      <c r="C6798" t="s">
        <v>51</v>
      </c>
      <c r="D6798" s="2" t="s">
        <f>=HYPERLINK("https://main.knesset.gov.il/APPS/legislation/main/bills/2196294", "הצעת חוק זכויות נפגעי עבירה (תיקון - זכויות נפגעי פעולות איבה), התשפ""ג-2022")</f>
        <v>13333</v>
      </c>
      <c r="E6798" t="s">
        <v>13333</v>
      </c>
      <c r="F6798" t="s">
        <v>13334</v>
      </c>
      <c r="G6798" t="s">
        <v>14</v>
      </c>
      <c r="H6798">
             </c>
      <c r="I6798" t="s">
        <v>14</v>
      </c>
      <c r="J6798" t="s">
        <v>242</v>
      </c>
      <c r="K6798" t="s">
        <v>14</v>
      </c>
      <c r="L6798" t="s">
        <v>20</v>
      </c>
      <c r="M6798" t="s">
        <v>12772</v>
      </c>
      <c r="N6798" t="s">
        <v>14</v>
      </c>
    </row>
    <row r="6799" x14ac:dyDescent="0.25">
      <c r="A6799" t="n">
        <v>25</v>
      </c>
      <c r="B6799" t="s">
        <v>14</v>
      </c>
      <c r="C6799" t="s">
        <v>51</v>
      </c>
      <c r="D6799" s="2" t="s">
        <f>=HYPERLINK("https://main.knesset.gov.il/APPS/legislation/main/bills/2197987", "חוק הכנסת (תיקון מס' 51), התשפ""ג-2022")</f>
        <v>13335</v>
      </c>
      <c r="E6799" t="s">
        <v>13335</v>
      </c>
      <c r="F6799" t="s">
        <v>13336</v>
      </c>
      <c r="G6799" t="s">
        <v>13337</v>
      </c>
      <c r="H6799" t="n">
        <v>3010</v>
      </c>
      <c r="I6799" t="s">
        <v>14</v>
      </c>
      <c r="J6799" t="s">
        <v>18</v>
      </c>
      <c r="K6799" t="s">
        <v>24</v>
      </c>
      <c r="L6799" t="s">
        <v>20</v>
      </c>
      <c r="M6799" t="s">
        <v>13338</v>
      </c>
      <c r="N6799" t="s">
        <v>13339</v>
      </c>
    </row>
    <row r="6800" x14ac:dyDescent="0.25">
      <c r="A6800" t="n">
        <v>25</v>
      </c>
      <c r="B6800" t="s">
        <v>14</v>
      </c>
      <c r="C6800" t="s">
        <v>51</v>
      </c>
      <c r="D6800" s="2" t="s">
        <f>=HYPERLINK("https://main.knesset.gov.il/APPS/legislation/main/bills/2197576", "הצעת חוק הביטוח הלאומי (תיקון - קצבת אזרח ותיק לנכה), התשפ""ג-2022")</f>
        <v>13340</v>
      </c>
      <c r="E6800" t="s">
        <v>13340</v>
      </c>
      <c r="F6800" t="s">
        <v>13341</v>
      </c>
      <c r="G6800" t="s">
        <v>14</v>
      </c>
      <c r="H6800">
             </c>
      <c r="I6800" t="s">
        <v>14</v>
      </c>
      <c r="J6800" t="s">
        <v>242</v>
      </c>
      <c r="K6800" t="s">
        <v>14</v>
      </c>
      <c r="L6800" t="s">
        <v>20</v>
      </c>
      <c r="M6800" t="s">
        <v>13338</v>
      </c>
      <c r="N6800" t="s">
        <v>14</v>
      </c>
    </row>
    <row r="6801" x14ac:dyDescent="0.25">
      <c r="A6801" t="n">
        <v>25</v>
      </c>
      <c r="B6801" t="s">
        <v>14</v>
      </c>
      <c r="C6801" t="s">
        <v>51</v>
      </c>
      <c r="D6801" s="2" t="s">
        <f>=HYPERLINK("https://main.knesset.gov.il/APPS/legislation/main/bills/2197581", "הצעת חוק לתיקון פקודת התעבורה (תמרור סימון על פני הכביש - שימוש באמצעי מונע החלקה), התשפ""ג-2022")</f>
        <v>13342</v>
      </c>
      <c r="E6801" t="s">
        <v>13342</v>
      </c>
      <c r="F6801" t="s">
        <v>13343</v>
      </c>
      <c r="G6801" t="s">
        <v>14</v>
      </c>
      <c r="H6801">
             </c>
      <c r="I6801" t="s">
        <v>14</v>
      </c>
      <c r="J6801" t="s">
        <v>242</v>
      </c>
      <c r="K6801" t="s">
        <v>14</v>
      </c>
      <c r="L6801" t="s">
        <v>20</v>
      </c>
      <c r="M6801" t="s">
        <v>13338</v>
      </c>
      <c r="N6801" t="s">
        <v>14</v>
      </c>
    </row>
    <row r="6802" x14ac:dyDescent="0.25">
      <c r="A6802" t="n">
        <v>25</v>
      </c>
      <c r="B6802" t="s">
        <v>14</v>
      </c>
      <c r="C6802" t="s">
        <v>51</v>
      </c>
      <c r="D6802" s="2" t="s">
        <f>=HYPERLINK("https://main.knesset.gov.il/APPS/legislation/main/bills/2197444", "הצעת חוק הרשויות המקומיות (ריבית והפרשי הצמדה על תשלומי חובה) (תיקון - הפחתת אחוז הריבית ברשויות המקומיות), התשפ""ג-2022")</f>
        <v>13344</v>
      </c>
      <c r="E6802" t="s">
        <v>13344</v>
      </c>
      <c r="F6802" t="s">
        <v>13345</v>
      </c>
      <c r="G6802" t="s">
        <v>14</v>
      </c>
      <c r="H6802">
             </c>
      <c r="I6802" t="s">
        <v>14</v>
      </c>
      <c r="J6802" t="s">
        <v>242</v>
      </c>
      <c r="K6802" t="s">
        <v>14</v>
      </c>
      <c r="L6802" t="s">
        <v>20</v>
      </c>
      <c r="M6802" t="s">
        <v>13338</v>
      </c>
      <c r="N6802" t="s">
        <v>14</v>
      </c>
    </row>
    <row r="6803" x14ac:dyDescent="0.25">
      <c r="A6803" t="n">
        <v>25</v>
      </c>
      <c r="B6803" t="s">
        <v>14</v>
      </c>
      <c r="C6803" t="s">
        <v>51</v>
      </c>
      <c r="D6803" s="2" t="s">
        <f>=HYPERLINK("https://main.knesset.gov.il/APPS/legislation/main/bills/2196647", "הצעת חוק התכנון והבנייה (תיקון - חובת שידור והקלטת ישיבות, ניהול פרוטוקול ופרסומו), התשפ""ג-2022")</f>
        <v>13346</v>
      </c>
      <c r="E6803" t="s">
        <v>13346</v>
      </c>
      <c r="F6803" t="s">
        <v>13347</v>
      </c>
      <c r="G6803" t="s">
        <v>14</v>
      </c>
      <c r="H6803">
             </c>
      <c r="I6803" t="s">
        <v>14</v>
      </c>
      <c r="J6803" t="s">
        <v>242</v>
      </c>
      <c r="K6803" t="s">
        <v>14</v>
      </c>
      <c r="L6803" t="s">
        <v>20</v>
      </c>
      <c r="M6803" t="s">
        <v>13338</v>
      </c>
      <c r="N6803" t="s">
        <v>14</v>
      </c>
    </row>
    <row r="6804" x14ac:dyDescent="0.25">
      <c r="A6804" t="n">
        <v>25</v>
      </c>
      <c r="B6804" t="s">
        <v>14</v>
      </c>
      <c r="C6804" t="s">
        <v>51</v>
      </c>
      <c r="D6804" s="2" t="s">
        <f>=HYPERLINK("https://main.knesset.gov.il/APPS/legislation/main/bills/2197575", "הצעת חוק מס ערך מוסף (תיקון - מס בשיעור אפס על תרופות), התשפ""ג-2022")</f>
        <v>13348</v>
      </c>
      <c r="E6804" t="s">
        <v>13348</v>
      </c>
      <c r="F6804" t="s">
        <v>13349</v>
      </c>
      <c r="G6804" t="s">
        <v>14</v>
      </c>
      <c r="H6804">
             </c>
      <c r="I6804" t="s">
        <v>14</v>
      </c>
      <c r="J6804" t="s">
        <v>242</v>
      </c>
      <c r="K6804" t="s">
        <v>14</v>
      </c>
      <c r="L6804" t="s">
        <v>20</v>
      </c>
      <c r="M6804" t="s">
        <v>13338</v>
      </c>
      <c r="N6804" t="s">
        <v>14</v>
      </c>
    </row>
    <row r="6805" x14ac:dyDescent="0.25">
      <c r="A6805" t="n">
        <v>25</v>
      </c>
      <c r="B6805" t="s">
        <v>14</v>
      </c>
      <c r="C6805" t="s">
        <v>51</v>
      </c>
      <c r="D6805" s="2" t="s">
        <f>=HYPERLINK("https://main.knesset.gov.il/APPS/legislation/main/bills/2197567", "הצעת חוק העונשין (תיקון - סחר בבני אדם למטרות נישואין), התשפ""ג-2022")</f>
        <v>13350</v>
      </c>
      <c r="E6805" t="s">
        <v>13350</v>
      </c>
      <c r="F6805" t="s">
        <v>13351</v>
      </c>
      <c r="G6805" t="s">
        <v>14</v>
      </c>
      <c r="H6805">
             </c>
      <c r="I6805" t="s">
        <v>14</v>
      </c>
      <c r="J6805" t="s">
        <v>242</v>
      </c>
      <c r="K6805" t="s">
        <v>14</v>
      </c>
      <c r="L6805" t="s">
        <v>20</v>
      </c>
      <c r="M6805" t="s">
        <v>13338</v>
      </c>
      <c r="N6805" t="s">
        <v>14</v>
      </c>
    </row>
    <row r="6806" x14ac:dyDescent="0.25">
      <c r="A6806" t="n">
        <v>25</v>
      </c>
      <c r="B6806" t="s">
        <v>14</v>
      </c>
      <c r="C6806" t="s">
        <v>51</v>
      </c>
      <c r="D6806" s="2" t="s">
        <f>=HYPERLINK("https://main.knesset.gov.il/APPS/legislation/main/bills/2197685", "הצעת חוק הביטוח הלאומי (תיקון - דמי ביטוח מופחתים בעד עובד בעבודה מהבית), התשפ""ג-2022")</f>
        <v>13352</v>
      </c>
      <c r="E6806" t="s">
        <v>13352</v>
      </c>
      <c r="F6806" t="s">
        <v>13353</v>
      </c>
      <c r="G6806" t="s">
        <v>14</v>
      </c>
      <c r="H6806">
             </c>
      <c r="I6806" t="s">
        <v>14</v>
      </c>
      <c r="J6806" t="s">
        <v>242</v>
      </c>
      <c r="K6806" t="s">
        <v>14</v>
      </c>
      <c r="L6806" t="s">
        <v>20</v>
      </c>
      <c r="M6806" t="s">
        <v>13338</v>
      </c>
      <c r="N6806" t="s">
        <v>14</v>
      </c>
    </row>
    <row r="6807" x14ac:dyDescent="0.25">
      <c r="A6807" t="n">
        <v>25</v>
      </c>
      <c r="B6807" t="s">
        <v>14</v>
      </c>
      <c r="C6807" t="s">
        <v>51</v>
      </c>
      <c r="D6807" s="2" t="s">
        <f>=HYPERLINK("https://main.knesset.gov.il/APPS/legislation/main/bills/2197686", "הצעת חוק קידום התחרות בענף המזון (תיקון - הפיכת הוראת שעה להוראה קבועה), התשפ""ג-2022")</f>
        <v>13354</v>
      </c>
      <c r="E6807" t="s">
        <v>13354</v>
      </c>
      <c r="F6807" t="s">
        <v>13355</v>
      </c>
      <c r="G6807" t="s">
        <v>14</v>
      </c>
      <c r="H6807">
             </c>
      <c r="I6807" t="s">
        <v>14</v>
      </c>
      <c r="J6807" t="s">
        <v>202</v>
      </c>
      <c r="K6807" t="s">
        <v>14</v>
      </c>
      <c r="L6807" t="s">
        <v>20</v>
      </c>
      <c r="M6807" t="s">
        <v>13338</v>
      </c>
      <c r="N6807" t="s">
        <v>14</v>
      </c>
    </row>
    <row r="6808" x14ac:dyDescent="0.25">
      <c r="A6808" t="n">
        <v>25</v>
      </c>
      <c r="B6808" t="s">
        <v>14</v>
      </c>
      <c r="C6808" t="s">
        <v>51</v>
      </c>
      <c r="D6808" s="2" t="s">
        <f>=HYPERLINK("https://main.knesset.gov.il/APPS/legislation/main/bills/2197088", "הצעת חוק לתיקון פקודת התעבורה (הגבלת דמי חניה במוסד רפואי), התשפ""ג-2022")</f>
        <v>13356</v>
      </c>
      <c r="E6808" t="s">
        <v>13356</v>
      </c>
      <c r="F6808" t="s">
        <v>13357</v>
      </c>
      <c r="G6808" t="s">
        <v>14</v>
      </c>
      <c r="H6808">
             </c>
      <c r="I6808" t="s">
        <v>14</v>
      </c>
      <c r="J6808" t="s">
        <v>242</v>
      </c>
      <c r="K6808" t="s">
        <v>14</v>
      </c>
      <c r="L6808" t="s">
        <v>20</v>
      </c>
      <c r="M6808" t="s">
        <v>13338</v>
      </c>
      <c r="N6808" t="s">
        <v>14</v>
      </c>
    </row>
    <row r="6809" x14ac:dyDescent="0.25">
      <c r="A6809" t="n">
        <v>25</v>
      </c>
      <c r="B6809" t="s">
        <v>14</v>
      </c>
      <c r="C6809" t="s">
        <v>51</v>
      </c>
      <c r="D6809" s="2" t="s">
        <f>=HYPERLINK("https://main.knesset.gov.il/APPS/legislation/main/bills/2197078", "הצעת חוק נתוני אשראי (תיקון - תקופת החזקת מידע במאגר), התשפ""ג-2022")</f>
        <v>13358</v>
      </c>
      <c r="E6809" t="s">
        <v>13358</v>
      </c>
      <c r="F6809" t="s">
        <v>13359</v>
      </c>
      <c r="G6809" t="s">
        <v>14</v>
      </c>
      <c r="H6809">
             </c>
      <c r="I6809" t="s">
        <v>14</v>
      </c>
      <c r="J6809" t="s">
        <v>242</v>
      </c>
      <c r="K6809" t="s">
        <v>14</v>
      </c>
      <c r="L6809" t="s">
        <v>20</v>
      </c>
      <c r="M6809" t="s">
        <v>13338</v>
      </c>
      <c r="N6809" t="s">
        <v>14</v>
      </c>
    </row>
    <row r="6810" x14ac:dyDescent="0.25">
      <c r="A6810" t="n">
        <v>25</v>
      </c>
      <c r="B6810" t="s">
        <v>14</v>
      </c>
      <c r="C6810" t="s">
        <v>51</v>
      </c>
      <c r="D6810" s="2" t="s">
        <f>=HYPERLINK("https://main.knesset.gov.il/APPS/legislation/main/bills/2197157", "הצעת חוק-יסוד: הכנסת (תיקון - פסילת רשימת מועמדים או אדם המועמד לבחירות לכנסת בשל תמיכה או העלאה על נס של רוצחי יהודים)")</f>
        <v>13360</v>
      </c>
      <c r="E6810" t="s">
        <v>13360</v>
      </c>
      <c r="F6810" t="s">
        <v>13361</v>
      </c>
      <c r="G6810" t="s">
        <v>14</v>
      </c>
      <c r="H6810">
             </c>
      <c r="I6810" t="s">
        <v>14</v>
      </c>
      <c r="J6810" t="s">
        <v>242</v>
      </c>
      <c r="K6810" t="s">
        <v>14</v>
      </c>
      <c r="L6810" t="s">
        <v>20</v>
      </c>
      <c r="M6810" t="s">
        <v>13338</v>
      </c>
      <c r="N6810" t="s">
        <v>14</v>
      </c>
    </row>
    <row r="6811" x14ac:dyDescent="0.25">
      <c r="A6811" t="n">
        <v>25</v>
      </c>
      <c r="B6811" t="s">
        <v>14</v>
      </c>
      <c r="C6811" t="s">
        <v>51</v>
      </c>
      <c r="D6811" s="2" t="s">
        <f>=HYPERLINK("https://main.knesset.gov.il/APPS/legislation/main/bills/2197165", "הצעת חוק הממשלה (תיקון - דיווח שר בדבר אי התקנת תקנות במועד), התשפ""ג-2022")</f>
        <v>13362</v>
      </c>
      <c r="E6811" t="s">
        <v>13362</v>
      </c>
      <c r="F6811" t="s">
        <v>13363</v>
      </c>
      <c r="G6811" t="s">
        <v>14</v>
      </c>
      <c r="H6811">
             </c>
      <c r="I6811" t="s">
        <v>14</v>
      </c>
      <c r="J6811" t="s">
        <v>242</v>
      </c>
      <c r="K6811" t="s">
        <v>14</v>
      </c>
      <c r="L6811" t="s">
        <v>20</v>
      </c>
      <c r="M6811" t="s">
        <v>13338</v>
      </c>
      <c r="N6811" t="s">
        <v>14</v>
      </c>
    </row>
    <row r="6812" x14ac:dyDescent="0.25">
      <c r="A6812" t="n">
        <v>25</v>
      </c>
      <c r="B6812" t="s">
        <v>14</v>
      </c>
      <c r="C6812" t="s">
        <v>51</v>
      </c>
      <c r="D6812" s="2" t="s">
        <f>=HYPERLINK("https://main.knesset.gov.il/APPS/legislation/main/bills/2197601", "הצעת חוק חובת המכרזים (תיקון - עידוד עסקים קטנים ובינוניים באזור פריפריה במכרז), התשפ""ג-2022")</f>
        <v>13364</v>
      </c>
      <c r="E6812" t="s">
        <v>13364</v>
      </c>
      <c r="F6812" t="s">
        <v>13365</v>
      </c>
      <c r="G6812" t="s">
        <v>14</v>
      </c>
      <c r="H6812">
             </c>
      <c r="I6812" t="s">
        <v>14</v>
      </c>
      <c r="J6812" t="s">
        <v>242</v>
      </c>
      <c r="K6812" t="s">
        <v>14</v>
      </c>
      <c r="L6812" t="s">
        <v>20</v>
      </c>
      <c r="M6812" t="s">
        <v>13338</v>
      </c>
      <c r="N6812" t="s">
        <v>14</v>
      </c>
    </row>
    <row r="6813" x14ac:dyDescent="0.25">
      <c r="A6813" t="n">
        <v>25</v>
      </c>
      <c r="B6813" t="s">
        <v>14</v>
      </c>
      <c r="C6813" t="s">
        <v>51</v>
      </c>
      <c r="D6813" s="2" t="s">
        <f>=HYPERLINK("https://main.knesset.gov.il/APPS/legislation/main/bills/2197169", "הצעת חוק למניעת פגיעה במדינת ישראל באמצעות חרם (תיקון - פיצויים ללא הוכחת נזק), התשפ""ג-2022")</f>
        <v>13366</v>
      </c>
      <c r="E6813" t="s">
        <v>13366</v>
      </c>
      <c r="F6813" t="s">
        <v>13367</v>
      </c>
      <c r="G6813" t="s">
        <v>14</v>
      </c>
      <c r="H6813">
             </c>
      <c r="I6813" t="s">
        <v>14</v>
      </c>
      <c r="J6813" t="s">
        <v>242</v>
      </c>
      <c r="K6813" t="s">
        <v>14</v>
      </c>
      <c r="L6813" t="s">
        <v>20</v>
      </c>
      <c r="M6813" t="s">
        <v>13338</v>
      </c>
      <c r="N6813" t="s">
        <v>14</v>
      </c>
    </row>
    <row r="6814" x14ac:dyDescent="0.25">
      <c r="A6814" t="n">
        <v>25</v>
      </c>
      <c r="B6814" t="s">
        <v>14</v>
      </c>
      <c r="C6814" t="s">
        <v>51</v>
      </c>
      <c r="D6814" s="2" t="s">
        <f>=HYPERLINK("https://main.knesset.gov.il/APPS/legislation/main/bills/2197021", "הצעת חוק חוזה הביטוח (תיקון - התיישנות וריבית מיוחדת), התשפ""ג-2022")</f>
        <v>13368</v>
      </c>
      <c r="E6814" t="s">
        <v>13368</v>
      </c>
      <c r="F6814" t="s">
        <v>13369</v>
      </c>
      <c r="G6814" t="s">
        <v>14</v>
      </c>
      <c r="H6814">
             </c>
      <c r="I6814" t="s">
        <v>14</v>
      </c>
      <c r="J6814" t="s">
        <v>242</v>
      </c>
      <c r="K6814" t="s">
        <v>14</v>
      </c>
      <c r="L6814" t="s">
        <v>20</v>
      </c>
      <c r="M6814" t="s">
        <v>13338</v>
      </c>
      <c r="N6814" t="s">
        <v>14</v>
      </c>
    </row>
    <row r="6815" x14ac:dyDescent="0.25">
      <c r="A6815" t="n">
        <v>25</v>
      </c>
      <c r="B6815" t="s">
        <v>14</v>
      </c>
      <c r="C6815" t="s">
        <v>51</v>
      </c>
      <c r="D6815" s="2" t="s">
        <f>=HYPERLINK("https://main.knesset.gov.il/APPS/legislation/main/bills/2197171", "הצעת חוק גוש עציון, התשפ""ג-2022")</f>
        <v>13370</v>
      </c>
      <c r="E6815" t="s">
        <v>13370</v>
      </c>
      <c r="F6815" t="s">
        <v>13371</v>
      </c>
      <c r="G6815" t="s">
        <v>14</v>
      </c>
      <c r="H6815">
             </c>
      <c r="I6815" t="s">
        <v>14</v>
      </c>
      <c r="J6815" t="s">
        <v>242</v>
      </c>
      <c r="K6815" t="s">
        <v>14</v>
      </c>
      <c r="L6815" t="s">
        <v>20</v>
      </c>
      <c r="M6815" t="s">
        <v>13338</v>
      </c>
      <c r="N6815" t="s">
        <v>14</v>
      </c>
    </row>
    <row r="6816" x14ac:dyDescent="0.25">
      <c r="A6816" t="n">
        <v>25</v>
      </c>
      <c r="B6816" t="s">
        <v>14</v>
      </c>
      <c r="C6816" t="s">
        <v>51</v>
      </c>
      <c r="D6816" s="2" t="s">
        <f>=HYPERLINK("https://main.knesset.gov.il/APPS/legislation/main/bills/2197138", "הצעת חוק חובת המכרזים (תיקון - שילוב עסקים קטנים ובינוניים במכרזים ציבוריים), התשפ""ג-2022")</f>
        <v>13372</v>
      </c>
      <c r="E6816" t="s">
        <v>13372</v>
      </c>
      <c r="F6816" t="s">
        <v>13373</v>
      </c>
      <c r="G6816" t="s">
        <v>14</v>
      </c>
      <c r="H6816">
             </c>
      <c r="I6816" t="s">
        <v>14</v>
      </c>
      <c r="J6816" t="s">
        <v>242</v>
      </c>
      <c r="K6816" t="s">
        <v>14</v>
      </c>
      <c r="L6816" t="s">
        <v>20</v>
      </c>
      <c r="M6816" t="s">
        <v>13338</v>
      </c>
      <c r="N6816" t="s">
        <v>14</v>
      </c>
    </row>
    <row r="6817" x14ac:dyDescent="0.25">
      <c r="A6817" t="n">
        <v>25</v>
      </c>
      <c r="B6817" t="s">
        <v>14</v>
      </c>
      <c r="C6817" t="s">
        <v>51</v>
      </c>
      <c r="D6817" s="2" t="s">
        <f>=HYPERLINK("https://main.knesset.gov.il/APPS/legislation/main/bills/2197213", "הצעת חוק להנצחת זכרם של קורבנות הטבח בטנטורה, התשפ""ג-2022")</f>
        <v>13374</v>
      </c>
      <c r="E6817" t="s">
        <v>13374</v>
      </c>
      <c r="F6817" t="s">
        <v>13375</v>
      </c>
      <c r="G6817" t="s">
        <v>14</v>
      </c>
      <c r="H6817">
             </c>
      <c r="I6817" t="s">
        <v>14</v>
      </c>
      <c r="J6817" t="s">
        <v>242</v>
      </c>
      <c r="K6817" t="s">
        <v>14</v>
      </c>
      <c r="L6817" t="s">
        <v>20</v>
      </c>
      <c r="M6817" t="s">
        <v>13338</v>
      </c>
      <c r="N6817" t="s">
        <v>14</v>
      </c>
    </row>
    <row r="6818" x14ac:dyDescent="0.25">
      <c r="A6818" t="n">
        <v>25</v>
      </c>
      <c r="B6818" t="s">
        <v>14</v>
      </c>
      <c r="C6818" t="s">
        <v>51</v>
      </c>
      <c r="D6818" s="2" t="s">
        <f>=HYPERLINK("https://main.knesset.gov.il/APPS/legislation/main/bills/2197070", "הצעת חוק הרשות הלאומית למניעה ולמאבק באלימות במשפחה ובאלימות נגד נשים, התשפ""ג-2022")</f>
        <v>13376</v>
      </c>
      <c r="E6818" t="s">
        <v>13376</v>
      </c>
      <c r="F6818" t="s">
        <v>13377</v>
      </c>
      <c r="G6818" t="s">
        <v>14</v>
      </c>
      <c r="H6818">
             </c>
      <c r="I6818" t="s">
        <v>14</v>
      </c>
      <c r="J6818" t="s">
        <v>242</v>
      </c>
      <c r="K6818" t="s">
        <v>14</v>
      </c>
      <c r="L6818" t="s">
        <v>20</v>
      </c>
      <c r="M6818" t="s">
        <v>13338</v>
      </c>
      <c r="N6818" t="s">
        <v>14</v>
      </c>
    </row>
    <row r="6819" x14ac:dyDescent="0.25">
      <c r="A6819" t="n">
        <v>25</v>
      </c>
      <c r="B6819" t="s">
        <v>14</v>
      </c>
      <c r="C6819" t="s">
        <v>51</v>
      </c>
      <c r="D6819" s="2" t="s">
        <f>=HYPERLINK("https://main.knesset.gov.il/APPS/legislation/main/bills/2196940", "הצעת חוק האזרחות והכניסה לישראל (הוראת שעה) (תיקון - היתר לגבי בני זוג), התשפ""ג-2022")</f>
        <v>13378</v>
      </c>
      <c r="E6819" t="s">
        <v>13378</v>
      </c>
      <c r="F6819" t="s">
        <v>13379</v>
      </c>
      <c r="G6819" t="s">
        <v>14</v>
      </c>
      <c r="H6819">
             </c>
      <c r="I6819" t="s">
        <v>14</v>
      </c>
      <c r="J6819" t="s">
        <v>242</v>
      </c>
      <c r="K6819" t="s">
        <v>14</v>
      </c>
      <c r="L6819" t="s">
        <v>20</v>
      </c>
      <c r="M6819" t="s">
        <v>13338</v>
      </c>
      <c r="N6819" t="s">
        <v>14</v>
      </c>
    </row>
    <row r="6820" x14ac:dyDescent="0.25">
      <c r="A6820" t="n">
        <v>25</v>
      </c>
      <c r="B6820" t="s">
        <v>14</v>
      </c>
      <c r="C6820" t="s">
        <v>51</v>
      </c>
      <c r="D6820" s="2" t="s">
        <f>=HYPERLINK("https://main.knesset.gov.il/APPS/legislation/main/bills/2197498", "הצעת חוק הביטוח הלאומי (תיקון - חובת נוכחות מתורגמן בדיוני ועדה רפואית), התשפ""ג-2022")</f>
        <v>13380</v>
      </c>
      <c r="E6820" t="s">
        <v>13380</v>
      </c>
      <c r="F6820" t="s">
        <v>13381</v>
      </c>
      <c r="G6820" t="s">
        <v>14</v>
      </c>
      <c r="H6820">
             </c>
      <c r="I6820" t="s">
        <v>14</v>
      </c>
      <c r="J6820" t="s">
        <v>242</v>
      </c>
      <c r="K6820" t="s">
        <v>14</v>
      </c>
      <c r="L6820" t="s">
        <v>20</v>
      </c>
      <c r="M6820" t="s">
        <v>13338</v>
      </c>
      <c r="N6820" t="s">
        <v>14</v>
      </c>
    </row>
    <row r="6821" x14ac:dyDescent="0.25">
      <c r="A6821" t="n">
        <v>25</v>
      </c>
      <c r="B6821" t="s">
        <v>14</v>
      </c>
      <c r="C6821" t="s">
        <v>51</v>
      </c>
      <c r="D6821" s="2" t="s">
        <f>=HYPERLINK("https://main.knesset.gov.il/APPS/legislation/main/bills/2197150", "הצעת חוק השכירות והשאילה (תיקון - הארכת תקופת השכירות בעת מצב חירום), התשפ""ג-2022")</f>
        <v>13382</v>
      </c>
      <c r="E6821" t="s">
        <v>13382</v>
      </c>
      <c r="F6821" t="s">
        <v>13383</v>
      </c>
      <c r="G6821" t="s">
        <v>14</v>
      </c>
      <c r="H6821">
             </c>
      <c r="I6821" t="s">
        <v>14</v>
      </c>
      <c r="J6821" t="s">
        <v>242</v>
      </c>
      <c r="K6821" t="s">
        <v>14</v>
      </c>
      <c r="L6821" t="s">
        <v>20</v>
      </c>
      <c r="M6821" t="s">
        <v>13338</v>
      </c>
      <c r="N6821" t="s">
        <v>14</v>
      </c>
    </row>
    <row r="6822" x14ac:dyDescent="0.25">
      <c r="A6822" t="n">
        <v>25</v>
      </c>
      <c r="B6822" t="s">
        <v>14</v>
      </c>
      <c r="C6822" t="s">
        <v>51</v>
      </c>
      <c r="D6822" s="2" t="s">
        <f>=HYPERLINK("https://main.knesset.gov.il/APPS/legislation/main/bills/2197864", "הצעת חוק מימון מפלגות (תיקון - ייצוג לנשים ברשימות המועמדים), התשפ""ג-2022")</f>
        <v>13384</v>
      </c>
      <c r="E6822" t="s">
        <v>13384</v>
      </c>
      <c r="F6822" t="s">
        <v>13385</v>
      </c>
      <c r="G6822" t="s">
        <v>14</v>
      </c>
      <c r="H6822">
             </c>
      <c r="I6822" t="s">
        <v>14</v>
      </c>
      <c r="J6822" t="s">
        <v>242</v>
      </c>
      <c r="K6822" t="s">
        <v>14</v>
      </c>
      <c r="L6822" t="s">
        <v>20</v>
      </c>
      <c r="M6822" t="s">
        <v>13338</v>
      </c>
      <c r="N6822" t="s">
        <v>14</v>
      </c>
    </row>
    <row r="6823" x14ac:dyDescent="0.25">
      <c r="A6823" t="n">
        <v>25</v>
      </c>
      <c r="B6823" t="s">
        <v>14</v>
      </c>
      <c r="C6823" t="s">
        <v>51</v>
      </c>
      <c r="D6823" s="2" t="s">
        <f>=HYPERLINK("https://main.knesset.gov.il/APPS/legislation/main/bills/2197717", "הצעת חוק מימון מפלגות (תיקון - ייצוג לנשים ברשימת המועמדים), התשפ""ג-2022")</f>
        <v>13386</v>
      </c>
      <c r="E6823" t="s">
        <v>13386</v>
      </c>
      <c r="F6823" t="s">
        <v>13387</v>
      </c>
      <c r="G6823" t="s">
        <v>14</v>
      </c>
      <c r="H6823">
             </c>
      <c r="I6823" t="s">
        <v>14</v>
      </c>
      <c r="J6823" t="s">
        <v>242</v>
      </c>
      <c r="K6823" t="s">
        <v>14</v>
      </c>
      <c r="L6823" t="s">
        <v>20</v>
      </c>
      <c r="M6823" t="s">
        <v>13338</v>
      </c>
      <c r="N6823" t="s">
        <v>14</v>
      </c>
    </row>
    <row r="6824" x14ac:dyDescent="0.25">
      <c r="A6824" t="n">
        <v>25</v>
      </c>
      <c r="B6824" t="s">
        <v>14</v>
      </c>
      <c r="C6824" t="s">
        <v>51</v>
      </c>
      <c r="D6824" s="2" t="s">
        <f>=HYPERLINK("https://main.knesset.gov.il/APPS/legislation/main/bills/2196576", "הצעת חוק לתיקון פקודת מס הכנסה (הכרה בהוצאות טיפול בילדים), התשפ""ג-2022")</f>
        <v>13388</v>
      </c>
      <c r="E6824" t="s">
        <v>13388</v>
      </c>
      <c r="F6824" t="s">
        <v>13389</v>
      </c>
      <c r="G6824" t="s">
        <v>14</v>
      </c>
      <c r="H6824">
             </c>
      <c r="I6824" t="s">
        <v>14</v>
      </c>
      <c r="J6824" t="s">
        <v>242</v>
      </c>
      <c r="K6824" t="s">
        <v>14</v>
      </c>
      <c r="L6824" t="s">
        <v>20</v>
      </c>
      <c r="M6824" t="s">
        <v>13338</v>
      </c>
      <c r="N6824" t="s">
        <v>14</v>
      </c>
    </row>
    <row r="6825" x14ac:dyDescent="0.25">
      <c r="A6825" t="n">
        <v>25</v>
      </c>
      <c r="B6825" t="s">
        <v>14</v>
      </c>
      <c r="C6825" t="s">
        <v>51</v>
      </c>
      <c r="D6825" s="2" t="s">
        <f>=HYPERLINK("https://main.knesset.gov.il/APPS/legislation/main/bills/2197181", "הצעת חוק גוש מנשה, התשפ""ג-2022")</f>
        <v>13390</v>
      </c>
      <c r="E6825" t="s">
        <v>13390</v>
      </c>
      <c r="F6825" t="s">
        <v>13391</v>
      </c>
      <c r="G6825" t="s">
        <v>14</v>
      </c>
      <c r="H6825">
             </c>
      <c r="I6825" t="s">
        <v>14</v>
      </c>
      <c r="J6825" t="s">
        <v>242</v>
      </c>
      <c r="K6825" t="s">
        <v>14</v>
      </c>
      <c r="L6825" t="s">
        <v>20</v>
      </c>
      <c r="M6825" t="s">
        <v>13338</v>
      </c>
      <c r="N6825" t="s">
        <v>14</v>
      </c>
    </row>
    <row r="6826" x14ac:dyDescent="0.25">
      <c r="A6826" t="n">
        <v>25</v>
      </c>
      <c r="B6826" t="s">
        <v>14</v>
      </c>
      <c r="C6826" t="s">
        <v>51</v>
      </c>
      <c r="D6826" s="2" t="s">
        <f>=HYPERLINK("https://main.knesset.gov.il/APPS/legislation/main/bills/2197949", "הצעת חוק חסינות כוחות הביטחון באירועים מבצעיים, התשפ""ג-2022")</f>
        <v>13392</v>
      </c>
      <c r="E6826" t="s">
        <v>13392</v>
      </c>
      <c r="F6826" t="s">
        <v>13393</v>
      </c>
      <c r="G6826" t="s">
        <v>14</v>
      </c>
      <c r="H6826">
             </c>
      <c r="I6826" t="s">
        <v>14</v>
      </c>
      <c r="J6826" t="s">
        <v>242</v>
      </c>
      <c r="K6826" t="s">
        <v>14</v>
      </c>
      <c r="L6826" t="s">
        <v>20</v>
      </c>
      <c r="M6826" t="s">
        <v>13338</v>
      </c>
      <c r="N6826" t="s">
        <v>14</v>
      </c>
    </row>
    <row r="6827" x14ac:dyDescent="0.25">
      <c r="A6827" t="n">
        <v>25</v>
      </c>
      <c r="B6827" t="s">
        <v>14</v>
      </c>
      <c r="C6827" t="s">
        <v>51</v>
      </c>
      <c r="D6827" s="2" t="s">
        <f>=HYPERLINK("https://main.knesset.gov.il/APPS/legislation/main/bills/2196654", "הצעת חוק חינוך ממלכתי (תיקון - חינוך ממלכתי חרדי), התשפ""ג-2022")</f>
        <v>13394</v>
      </c>
      <c r="E6827" t="s">
        <v>13394</v>
      </c>
      <c r="F6827" t="s">
        <v>13395</v>
      </c>
      <c r="G6827" t="s">
        <v>14</v>
      </c>
      <c r="H6827">
             </c>
      <c r="I6827" t="s">
        <v>14</v>
      </c>
      <c r="J6827" t="s">
        <v>242</v>
      </c>
      <c r="K6827" t="s">
        <v>14</v>
      </c>
      <c r="L6827" t="s">
        <v>20</v>
      </c>
      <c r="M6827" t="s">
        <v>13338</v>
      </c>
      <c r="N6827" t="s">
        <v>14</v>
      </c>
    </row>
    <row r="6828" x14ac:dyDescent="0.25">
      <c r="A6828" t="n">
        <v>25</v>
      </c>
      <c r="B6828" t="s">
        <v>14</v>
      </c>
      <c r="C6828" t="s">
        <v>51</v>
      </c>
      <c r="D6828" s="2" t="s">
        <f>=HYPERLINK("https://main.knesset.gov.il/APPS/legislation/main/bills/2197908", "הצעת חוק-יסוד: השפיטה (תיקון - פסקת התגברות)")</f>
        <v>13396</v>
      </c>
      <c r="E6828" t="s">
        <v>13396</v>
      </c>
      <c r="F6828" t="s">
        <v>13397</v>
      </c>
      <c r="G6828" t="s">
        <v>14</v>
      </c>
      <c r="H6828">
             </c>
      <c r="I6828" t="s">
        <v>14</v>
      </c>
      <c r="J6828" t="s">
        <v>242</v>
      </c>
      <c r="K6828" t="s">
        <v>14</v>
      </c>
      <c r="L6828" t="s">
        <v>20</v>
      </c>
      <c r="M6828" t="s">
        <v>13338</v>
      </c>
      <c r="N6828" t="s">
        <v>14</v>
      </c>
    </row>
    <row r="6829" x14ac:dyDescent="0.25">
      <c r="A6829" t="n">
        <v>25</v>
      </c>
      <c r="B6829" t="s">
        <v>14</v>
      </c>
      <c r="C6829" t="s">
        <v>51</v>
      </c>
      <c r="D6829" s="2" t="s">
        <f>=HYPERLINK("https://main.knesset.gov.il/APPS/legislation/main/bills/2197148", "הצעת חוק עקרונות האסדרה (תיקון - פקיעת אסדרה), התשפ""ג-2022")</f>
        <v>13398</v>
      </c>
      <c r="E6829" t="s">
        <v>13398</v>
      </c>
      <c r="F6829" t="s">
        <v>13399</v>
      </c>
      <c r="G6829" t="s">
        <v>14</v>
      </c>
      <c r="H6829">
             </c>
      <c r="I6829" t="s">
        <v>14</v>
      </c>
      <c r="J6829" t="s">
        <v>242</v>
      </c>
      <c r="K6829" t="s">
        <v>14</v>
      </c>
      <c r="L6829" t="s">
        <v>20</v>
      </c>
      <c r="M6829" t="s">
        <v>13338</v>
      </c>
      <c r="N6829" t="s">
        <v>14</v>
      </c>
    </row>
    <row r="6830" x14ac:dyDescent="0.25">
      <c r="A6830" t="n">
        <v>25</v>
      </c>
      <c r="B6830" t="s">
        <v>14</v>
      </c>
      <c r="C6830" t="s">
        <v>51</v>
      </c>
      <c r="D6830" s="2" t="s">
        <f>=HYPERLINK("https://main.knesset.gov.il/APPS/legislation/main/bills/2197648", "הצעת חוק הביטוח הלאומי (תיקון - העלאת קצבת אזרח ותיק), התשפ""ג-2022")</f>
        <v>13400</v>
      </c>
      <c r="E6830" t="s">
        <v>13400</v>
      </c>
      <c r="F6830" t="s">
        <v>13401</v>
      </c>
      <c r="G6830" t="s">
        <v>14</v>
      </c>
      <c r="H6830">
             </c>
      <c r="I6830" t="s">
        <v>14</v>
      </c>
      <c r="J6830" t="s">
        <v>242</v>
      </c>
      <c r="K6830" t="s">
        <v>14</v>
      </c>
      <c r="L6830" t="s">
        <v>20</v>
      </c>
      <c r="M6830" t="s">
        <v>13338</v>
      </c>
      <c r="N6830" t="s">
        <v>14</v>
      </c>
    </row>
    <row r="6831" x14ac:dyDescent="0.25">
      <c r="A6831" t="n">
        <v>25</v>
      </c>
      <c r="B6831" t="s">
        <v>14</v>
      </c>
      <c r="C6831" t="s">
        <v>51</v>
      </c>
      <c r="D6831" s="2" t="s">
        <f>=HYPERLINK("https://main.knesset.gov.il/APPS/legislation/main/bills/2198107", "הצעת חוק ההוצאה לפועל (תיקון - קבלת קהל בשעות אחר הצהריים), התשפ""ג-2022")</f>
        <v>13402</v>
      </c>
      <c r="E6831" t="s">
        <v>13402</v>
      </c>
      <c r="F6831" t="s">
        <v>13403</v>
      </c>
      <c r="G6831" t="s">
        <v>14</v>
      </c>
      <c r="H6831">
             </c>
      <c r="I6831" t="s">
        <v>14</v>
      </c>
      <c r="J6831" t="s">
        <v>242</v>
      </c>
      <c r="K6831" t="s">
        <v>14</v>
      </c>
      <c r="L6831" t="s">
        <v>20</v>
      </c>
      <c r="M6831" t="s">
        <v>13338</v>
      </c>
      <c r="N6831" t="s">
        <v>14</v>
      </c>
    </row>
    <row r="6832" x14ac:dyDescent="0.25">
      <c r="A6832" t="n">
        <v>25</v>
      </c>
      <c r="B6832" t="s">
        <v>14</v>
      </c>
      <c r="C6832" t="s">
        <v>51</v>
      </c>
      <c r="D6832" s="2" t="s">
        <f>=HYPERLINK("https://main.knesset.gov.il/APPS/legislation/main/bills/2198022", "הצעת חוק ההוצאה לפועל (תיקון - קבלת קהל בשעות אחר הצהריים), התשפ""ג-2022")</f>
        <v>13402</v>
      </c>
      <c r="E6832" t="s">
        <v>13402</v>
      </c>
      <c r="F6832" t="s">
        <v>13404</v>
      </c>
      <c r="G6832" t="s">
        <v>14</v>
      </c>
      <c r="H6832">
             </c>
      <c r="I6832" t="s">
        <v>14</v>
      </c>
      <c r="J6832" t="s">
        <v>242</v>
      </c>
      <c r="K6832" t="s">
        <v>14</v>
      </c>
      <c r="L6832" t="s">
        <v>20</v>
      </c>
      <c r="M6832" t="s">
        <v>13338</v>
      </c>
      <c r="N6832" t="s">
        <v>14</v>
      </c>
    </row>
    <row r="6833" x14ac:dyDescent="0.25">
      <c r="A6833" t="n">
        <v>25</v>
      </c>
      <c r="B6833" t="s">
        <v>14</v>
      </c>
      <c r="C6833" t="s">
        <v>51</v>
      </c>
      <c r="D6833" s="2" t="s">
        <f>=HYPERLINK("https://main.knesset.gov.il/APPS/legislation/main/bills/2198109", "הצעת חוק כביש אגרה (כביש ארצי לישראל) (תיקון - תנאי לגביית אגרה), התשפ""ג-2022")</f>
        <v>13405</v>
      </c>
      <c r="E6833" t="s">
        <v>13405</v>
      </c>
      <c r="F6833" t="s">
        <v>13406</v>
      </c>
      <c r="G6833" t="s">
        <v>14</v>
      </c>
      <c r="H6833">
             </c>
      <c r="I6833" t="s">
        <v>14</v>
      </c>
      <c r="J6833" t="s">
        <v>242</v>
      </c>
      <c r="K6833" t="s">
        <v>14</v>
      </c>
      <c r="L6833" t="s">
        <v>20</v>
      </c>
      <c r="M6833" t="s">
        <v>13338</v>
      </c>
      <c r="N6833" t="s">
        <v>14</v>
      </c>
    </row>
    <row r="6834" x14ac:dyDescent="0.25">
      <c r="A6834" t="n">
        <v>25</v>
      </c>
      <c r="B6834" t="s">
        <v>14</v>
      </c>
      <c r="C6834" t="s">
        <v>51</v>
      </c>
      <c r="D6834" s="2" t="s">
        <f>=HYPERLINK("https://main.knesset.gov.il/APPS/legislation/main/bills/2197763", "הצעת חוק מניעת ביצוע עבירות באמצעות פרסום באינטרנט (הסרת תוכן), התשפ""ג-2022")</f>
        <v>13407</v>
      </c>
      <c r="E6834" t="s">
        <v>13407</v>
      </c>
      <c r="F6834" t="s">
        <v>13408</v>
      </c>
      <c r="G6834" t="s">
        <v>14</v>
      </c>
      <c r="H6834">
             </c>
      <c r="I6834" t="s">
        <v>14</v>
      </c>
      <c r="J6834" t="s">
        <v>242</v>
      </c>
      <c r="K6834" t="s">
        <v>14</v>
      </c>
      <c r="L6834" t="s">
        <v>20</v>
      </c>
      <c r="M6834" t="s">
        <v>13338</v>
      </c>
      <c r="N6834" t="s">
        <v>14</v>
      </c>
    </row>
    <row r="6835" x14ac:dyDescent="0.25">
      <c r="A6835" t="n">
        <v>25</v>
      </c>
      <c r="B6835" t="s">
        <v>14</v>
      </c>
      <c r="C6835" t="s">
        <v>51</v>
      </c>
      <c r="D6835" s="2" t="s">
        <f>=HYPERLINK("https://main.knesset.gov.il/APPS/legislation/main/bills/2197023", "הצעת חוק לתיקון פקודת בתי הסוהר (תנאי אסיר ביטחוני בבתי הסוהר), התשפ""ג-2022")</f>
        <v>13124</v>
      </c>
      <c r="E6835" t="s">
        <v>13124</v>
      </c>
      <c r="F6835" t="s">
        <v>13409</v>
      </c>
      <c r="G6835" t="s">
        <v>14</v>
      </c>
      <c r="H6835">
             </c>
      <c r="I6835" t="s">
        <v>14</v>
      </c>
      <c r="J6835" t="s">
        <v>242</v>
      </c>
      <c r="K6835" t="s">
        <v>14</v>
      </c>
      <c r="L6835" t="s">
        <v>20</v>
      </c>
      <c r="M6835" t="s">
        <v>13338</v>
      </c>
      <c r="N6835" t="s">
        <v>14</v>
      </c>
    </row>
    <row r="6836" x14ac:dyDescent="0.25">
      <c r="A6836" t="n">
        <v>25</v>
      </c>
      <c r="B6836" t="s">
        <v>14</v>
      </c>
      <c r="C6836" t="s">
        <v>51</v>
      </c>
      <c r="D6836" s="2" t="s">
        <f>=HYPERLINK("https://main.knesset.gov.il/APPS/legislation/main/bills/2198129", "הצעת חוק הגנת הצרכן (תיקון - איסור גביית עמלה בעסקה שבוצעה באמצעות האינטרנט), התשפ""ג-2022")</f>
        <v>13410</v>
      </c>
      <c r="E6836" t="s">
        <v>13410</v>
      </c>
      <c r="F6836" t="s">
        <v>13411</v>
      </c>
      <c r="G6836" t="s">
        <v>14</v>
      </c>
      <c r="H6836">
             </c>
      <c r="I6836" t="s">
        <v>14</v>
      </c>
      <c r="J6836" t="s">
        <v>242</v>
      </c>
      <c r="K6836" t="s">
        <v>14</v>
      </c>
      <c r="L6836" t="s">
        <v>20</v>
      </c>
      <c r="M6836" t="s">
        <v>13338</v>
      </c>
      <c r="N6836" t="s">
        <v>14</v>
      </c>
    </row>
    <row r="6837" x14ac:dyDescent="0.25">
      <c r="A6837" t="n">
        <v>25</v>
      </c>
      <c r="B6837" t="s">
        <v>14</v>
      </c>
      <c r="C6837" t="s">
        <v>51</v>
      </c>
      <c r="D6837" s="2" t="s">
        <f>=HYPERLINK("https://main.knesset.gov.il/APPS/legislation/main/bills/2197854", "הצעת חוק הגנת הצרכן (תיקון - איסור גביית עמלה בעסקה שבוצעה באמצעות האינטרנט), התשפ""ג-2022")</f>
        <v>13410</v>
      </c>
      <c r="E6837" t="s">
        <v>13410</v>
      </c>
      <c r="F6837" t="s">
        <v>13412</v>
      </c>
      <c r="G6837" t="s">
        <v>14</v>
      </c>
      <c r="H6837">
             </c>
      <c r="I6837" t="s">
        <v>14</v>
      </c>
      <c r="J6837" t="s">
        <v>242</v>
      </c>
      <c r="K6837" t="s">
        <v>14</v>
      </c>
      <c r="L6837" t="s">
        <v>20</v>
      </c>
      <c r="M6837" t="s">
        <v>13338</v>
      </c>
      <c r="N6837" t="s">
        <v>14</v>
      </c>
    </row>
    <row r="6838" x14ac:dyDescent="0.25">
      <c r="A6838" t="n">
        <v>25</v>
      </c>
      <c r="B6838" t="s">
        <v>14</v>
      </c>
      <c r="C6838" t="s">
        <v>51</v>
      </c>
      <c r="D6838" s="2" t="s">
        <f>=HYPERLINK("https://main.knesset.gov.il/APPS/legislation/main/bills/2197747", "הצעת חוק זכויות סוציאליות לנשים נפגעות אלימות (תיקוני חקיקה), התשפ""ג-2022")</f>
        <v>13413</v>
      </c>
      <c r="E6838" t="s">
        <v>13413</v>
      </c>
      <c r="F6838" t="s">
        <v>13414</v>
      </c>
      <c r="G6838" t="s">
        <v>14</v>
      </c>
      <c r="H6838">
             </c>
      <c r="I6838" t="s">
        <v>14</v>
      </c>
      <c r="J6838" t="s">
        <v>242</v>
      </c>
      <c r="K6838" t="s">
        <v>14</v>
      </c>
      <c r="L6838" t="s">
        <v>20</v>
      </c>
      <c r="M6838" t="s">
        <v>13338</v>
      </c>
      <c r="N6838" t="s">
        <v>14</v>
      </c>
    </row>
    <row r="6839" x14ac:dyDescent="0.25">
      <c r="A6839" t="n">
        <v>25</v>
      </c>
      <c r="B6839" t="s">
        <v>14</v>
      </c>
      <c r="C6839" t="s">
        <v>51</v>
      </c>
      <c r="D6839" s="2" t="s">
        <f>=HYPERLINK("https://main.knesset.gov.il/APPS/legislation/main/bills/2196351", "הצעת חוק הרשויות המקומיות (אכיפה סביבתית - סמכויות פקחים) (תיקון - הסמכת פקחים באיגוד ערים לווטרינריה), התשפ""ג-2022")</f>
        <v>13415</v>
      </c>
      <c r="E6839" t="s">
        <v>13415</v>
      </c>
      <c r="F6839" t="s">
        <v>13416</v>
      </c>
      <c r="G6839" t="s">
        <v>14</v>
      </c>
      <c r="H6839">
             </c>
      <c r="I6839" t="s">
        <v>14</v>
      </c>
      <c r="J6839" t="s">
        <v>242</v>
      </c>
      <c r="K6839" t="s">
        <v>14</v>
      </c>
      <c r="L6839" t="s">
        <v>20</v>
      </c>
      <c r="M6839" t="s">
        <v>13338</v>
      </c>
      <c r="N6839" t="s">
        <v>14</v>
      </c>
    </row>
    <row r="6840" x14ac:dyDescent="0.25">
      <c r="A6840" t="n">
        <v>25</v>
      </c>
      <c r="B6840" t="s">
        <v>14</v>
      </c>
      <c r="C6840" t="s">
        <v>51</v>
      </c>
      <c r="D6840" s="2" t="s">
        <f>=HYPERLINK("https://main.knesset.gov.il/APPS/legislation/main/bills/2196735", "הצעת חוק לתיקון פקודת מס הכנסה (ביטול מס בגין זקיפה סלולרית), התשפ""ג-2022")</f>
        <v>13417</v>
      </c>
      <c r="E6840" t="s">
        <v>13417</v>
      </c>
      <c r="F6840" t="s">
        <v>13418</v>
      </c>
      <c r="G6840" t="s">
        <v>14</v>
      </c>
      <c r="H6840">
             </c>
      <c r="I6840" t="s">
        <v>14</v>
      </c>
      <c r="J6840" t="s">
        <v>242</v>
      </c>
      <c r="K6840" t="s">
        <v>14</v>
      </c>
      <c r="L6840" t="s">
        <v>20</v>
      </c>
      <c r="M6840" t="s">
        <v>13338</v>
      </c>
      <c r="N6840" t="s">
        <v>14</v>
      </c>
    </row>
    <row r="6841" x14ac:dyDescent="0.25">
      <c r="A6841" t="n">
        <v>25</v>
      </c>
      <c r="B6841" t="s">
        <v>14</v>
      </c>
      <c r="C6841" t="s">
        <v>51</v>
      </c>
      <c r="D6841" s="2" t="s">
        <f>=HYPERLINK("https://main.knesset.gov.il/APPS/legislation/main/bills/2197264", "הצעת חוק הביטוח הלאומי (תיקון - הרחבת הזכאות למענק לימודים), התשפ""ג-2022")</f>
        <v>13419</v>
      </c>
      <c r="E6841" t="s">
        <v>13419</v>
      </c>
      <c r="F6841" t="s">
        <v>13420</v>
      </c>
      <c r="G6841" t="s">
        <v>14</v>
      </c>
      <c r="H6841">
             </c>
      <c r="I6841" t="s">
        <v>14</v>
      </c>
      <c r="J6841" t="s">
        <v>242</v>
      </c>
      <c r="K6841" t="s">
        <v>14</v>
      </c>
      <c r="L6841" t="s">
        <v>20</v>
      </c>
      <c r="M6841" t="s">
        <v>13338</v>
      </c>
      <c r="N6841" t="s">
        <v>14</v>
      </c>
    </row>
    <row r="6842" x14ac:dyDescent="0.25">
      <c r="A6842" t="n">
        <v>25</v>
      </c>
      <c r="B6842" t="s">
        <v>14</v>
      </c>
      <c r="C6842" t="s">
        <v>51</v>
      </c>
      <c r="D6842" s="2" t="s">
        <f>=HYPERLINK("https://main.knesset.gov.il/APPS/legislation/main/bills/2195996", "הצעת חוק הביטוח הלאומי (תיקון - הרחבת הזכאות למענק לימודים), התשפ""ג-2022")</f>
        <v>13419</v>
      </c>
      <c r="E6842" t="s">
        <v>13419</v>
      </c>
      <c r="F6842" t="s">
        <v>13421</v>
      </c>
      <c r="G6842" t="s">
        <v>14</v>
      </c>
      <c r="H6842">
             </c>
      <c r="I6842" t="s">
        <v>14</v>
      </c>
      <c r="J6842" t="s">
        <v>242</v>
      </c>
      <c r="K6842" t="s">
        <v>14</v>
      </c>
      <c r="L6842" t="s">
        <v>20</v>
      </c>
      <c r="M6842" t="s">
        <v>13338</v>
      </c>
      <c r="N6842" t="s">
        <v>14</v>
      </c>
    </row>
    <row r="6843" x14ac:dyDescent="0.25">
      <c r="A6843" t="n">
        <v>25</v>
      </c>
      <c r="B6843" t="s">
        <v>14</v>
      </c>
      <c r="C6843" t="s">
        <v>51</v>
      </c>
      <c r="D6843" s="2" t="s">
        <f>=HYPERLINK("https://main.knesset.gov.il/APPS/legislation/main/bills/2198037", "הצעת חוק לתיקון פקודת העיריות (קיצור תקופת הפטור מתשלום ארנונה לבניין שנהרס או ניזוק), התשפ""ג-2022")</f>
        <v>10560</v>
      </c>
      <c r="E6843" t="s">
        <v>10560</v>
      </c>
      <c r="F6843" t="s">
        <v>13422</v>
      </c>
      <c r="G6843" t="s">
        <v>14</v>
      </c>
      <c r="H6843">
             </c>
      <c r="I6843" t="s">
        <v>14</v>
      </c>
      <c r="J6843" t="s">
        <v>242</v>
      </c>
      <c r="K6843" t="s">
        <v>14</v>
      </c>
      <c r="L6843" t="s">
        <v>20</v>
      </c>
      <c r="M6843" t="s">
        <v>13338</v>
      </c>
      <c r="N6843" t="s">
        <v>14</v>
      </c>
    </row>
    <row r="6844" x14ac:dyDescent="0.25">
      <c r="A6844" t="n">
        <v>25</v>
      </c>
      <c r="B6844" t="s">
        <v>14</v>
      </c>
      <c r="C6844" t="s">
        <v>51</v>
      </c>
      <c r="D6844" s="2" t="s">
        <f>=HYPERLINK("https://main.knesset.gov.il/APPS/legislation/main/bills/2197678", "הצעת חוק לתיקון פקודת מס הכנסה (שינוי מדרגות המס), התשפ""ג-2022")</f>
        <v>13423</v>
      </c>
      <c r="E6844" t="s">
        <v>13423</v>
      </c>
      <c r="F6844" t="s">
        <v>13424</v>
      </c>
      <c r="G6844" t="s">
        <v>14</v>
      </c>
      <c r="H6844">
             </c>
      <c r="I6844" t="s">
        <v>14</v>
      </c>
      <c r="J6844" t="s">
        <v>242</v>
      </c>
      <c r="K6844" t="s">
        <v>14</v>
      </c>
      <c r="L6844" t="s">
        <v>20</v>
      </c>
      <c r="M6844" t="s">
        <v>13338</v>
      </c>
      <c r="N6844" t="s">
        <v>14</v>
      </c>
    </row>
    <row r="6845" x14ac:dyDescent="0.25">
      <c r="A6845" t="n">
        <v>25</v>
      </c>
      <c r="B6845" t="s">
        <v>14</v>
      </c>
      <c r="C6845" t="s">
        <v>51</v>
      </c>
      <c r="D6845" s="2" t="s">
        <f>=HYPERLINK("https://main.knesset.gov.il/APPS/legislation/main/bills/2197139", "הצעת חוק לתיקון פקודת מס הכנסה (שינוי מדרגות המס), התשפ""ג-2022")</f>
        <v>13423</v>
      </c>
      <c r="E6845" t="s">
        <v>13423</v>
      </c>
      <c r="F6845" t="s">
        <v>13425</v>
      </c>
      <c r="G6845" t="s">
        <v>14</v>
      </c>
      <c r="H6845">
             </c>
      <c r="I6845" t="s">
        <v>14</v>
      </c>
      <c r="J6845" t="s">
        <v>242</v>
      </c>
      <c r="K6845" t="s">
        <v>14</v>
      </c>
      <c r="L6845" t="s">
        <v>20</v>
      </c>
      <c r="M6845" t="s">
        <v>13338</v>
      </c>
      <c r="N6845" t="s">
        <v>14</v>
      </c>
    </row>
    <row r="6846" x14ac:dyDescent="0.25">
      <c r="A6846" t="n">
        <v>25</v>
      </c>
      <c r="B6846" t="s">
        <v>14</v>
      </c>
      <c r="C6846" t="s">
        <v>51</v>
      </c>
      <c r="D6846" s="2" t="s">
        <f>=HYPERLINK("https://main.knesset.gov.il/APPS/legislation/main/bills/2197140", "הצעת חוק איסור ניתוק משירותי חשמל, מים וגז (תיקוני חקיקה), התשפ""ג-2022")</f>
        <v>13426</v>
      </c>
      <c r="E6846" t="s">
        <v>13426</v>
      </c>
      <c r="F6846" t="s">
        <v>13427</v>
      </c>
      <c r="G6846" t="s">
        <v>14</v>
      </c>
      <c r="H6846">
             </c>
      <c r="I6846" t="s">
        <v>14</v>
      </c>
      <c r="J6846" t="s">
        <v>242</v>
      </c>
      <c r="K6846" t="s">
        <v>14</v>
      </c>
      <c r="L6846" t="s">
        <v>20</v>
      </c>
      <c r="M6846" t="s">
        <v>13338</v>
      </c>
      <c r="N6846" t="s">
        <v>14</v>
      </c>
    </row>
    <row r="6847" x14ac:dyDescent="0.25">
      <c r="A6847" t="n">
        <v>25</v>
      </c>
      <c r="B6847" t="s">
        <v>14</v>
      </c>
      <c r="C6847" t="s">
        <v>51</v>
      </c>
      <c r="D6847" s="2" t="s">
        <f>=HYPERLINK("https://main.knesset.gov.il/APPS/legislation/main/bills/2197090", "הצעת חוק הביטוח הלאומי (תיקון - חישוב דמי לידה לפי שנה שקדמה ליום הקובע), התשפ""ג-2022")</f>
        <v>13428</v>
      </c>
      <c r="E6847" t="s">
        <v>13428</v>
      </c>
      <c r="F6847" t="s">
        <v>13429</v>
      </c>
      <c r="G6847" t="s">
        <v>14</v>
      </c>
      <c r="H6847">
             </c>
      <c r="I6847" t="s">
        <v>14</v>
      </c>
      <c r="J6847" t="s">
        <v>242</v>
      </c>
      <c r="K6847" t="s">
        <v>14</v>
      </c>
      <c r="L6847" t="s">
        <v>20</v>
      </c>
      <c r="M6847" t="s">
        <v>13338</v>
      </c>
      <c r="N6847" t="s">
        <v>14</v>
      </c>
    </row>
    <row r="6848" x14ac:dyDescent="0.25">
      <c r="A6848" t="n">
        <v>25</v>
      </c>
      <c r="B6848" t="s">
        <v>14</v>
      </c>
      <c r="C6848" t="s">
        <v>51</v>
      </c>
      <c r="D6848" s="2" t="s">
        <f>=HYPERLINK("https://main.knesset.gov.il/APPS/legislation/main/bills/2197134", "הצעת חוק לתיקון פקודת מס הכנסה (משיכה פטורה מקרן השתלמות כשחלות תקנות שמטילות הגבלות על פעילות עסקית), התשפ""ג-2022")</f>
        <v>13430</v>
      </c>
      <c r="E6848" t="s">
        <v>13430</v>
      </c>
      <c r="F6848" t="s">
        <v>13431</v>
      </c>
      <c r="G6848" t="s">
        <v>14</v>
      </c>
      <c r="H6848">
             </c>
      <c r="I6848" t="s">
        <v>14</v>
      </c>
      <c r="J6848" t="s">
        <v>242</v>
      </c>
      <c r="K6848" t="s">
        <v>14</v>
      </c>
      <c r="L6848" t="s">
        <v>20</v>
      </c>
      <c r="M6848" t="s">
        <v>13338</v>
      </c>
      <c r="N6848" t="s">
        <v>14</v>
      </c>
    </row>
    <row r="6849" x14ac:dyDescent="0.25">
      <c r="A6849" t="n">
        <v>25</v>
      </c>
      <c r="B6849" t="s">
        <v>14</v>
      </c>
      <c r="C6849" t="s">
        <v>51</v>
      </c>
      <c r="D6849" s="2" t="s">
        <f>=HYPERLINK("https://main.knesset.gov.il/APPS/legislation/main/bills/2197383", "הצעת חוק השוואת זכויות פנסיה לאלמן ולאלמנה, התשפ""ג-2022")</f>
        <v>13432</v>
      </c>
      <c r="E6849" t="s">
        <v>13432</v>
      </c>
      <c r="F6849" t="s">
        <v>13433</v>
      </c>
      <c r="G6849" t="s">
        <v>14</v>
      </c>
      <c r="H6849">
             </c>
      <c r="I6849" t="s">
        <v>14</v>
      </c>
      <c r="J6849" t="s">
        <v>242</v>
      </c>
      <c r="K6849" t="s">
        <v>14</v>
      </c>
      <c r="L6849" t="s">
        <v>20</v>
      </c>
      <c r="M6849" t="s">
        <v>13338</v>
      </c>
      <c r="N6849" t="s">
        <v>14</v>
      </c>
    </row>
    <row r="6850" x14ac:dyDescent="0.25">
      <c r="A6850" t="n">
        <v>25</v>
      </c>
      <c r="B6850" t="s">
        <v>14</v>
      </c>
      <c r="C6850" t="s">
        <v>51</v>
      </c>
      <c r="D6850" s="2" t="s">
        <f>=HYPERLINK("https://main.knesset.gov.il/APPS/legislation/main/bills/2198124", "הצעת חוק המלחמה בפדופיליה (מאגר מידע), התשפ""ג-2022")</f>
        <v>13434</v>
      </c>
      <c r="E6850" t="s">
        <v>13434</v>
      </c>
      <c r="F6850" t="s">
        <v>13435</v>
      </c>
      <c r="G6850" t="s">
        <v>14</v>
      </c>
      <c r="H6850">
             </c>
      <c r="I6850" t="s">
        <v>14</v>
      </c>
      <c r="J6850" t="s">
        <v>202</v>
      </c>
      <c r="K6850" t="s">
        <v>14</v>
      </c>
      <c r="L6850" t="s">
        <v>20</v>
      </c>
      <c r="M6850" t="s">
        <v>13338</v>
      </c>
      <c r="N6850" t="s">
        <v>14</v>
      </c>
    </row>
    <row r="6851" x14ac:dyDescent="0.25">
      <c r="A6851" t="n">
        <v>25</v>
      </c>
      <c r="B6851" t="s">
        <v>14</v>
      </c>
      <c r="C6851" t="s">
        <v>51</v>
      </c>
      <c r="D6851" s="2" t="s">
        <f>=HYPERLINK("https://main.knesset.gov.il/APPS/legislation/main/bills/2197163", "הצעת חוק החלת דיני הקרקעות והתכנון והבנייה הישראליים ביהודה והשומרון, התשפ""ג-2022")</f>
        <v>13436</v>
      </c>
      <c r="E6851" t="s">
        <v>13436</v>
      </c>
      <c r="F6851" t="s">
        <v>13437</v>
      </c>
      <c r="G6851" t="s">
        <v>14</v>
      </c>
      <c r="H6851">
             </c>
      <c r="I6851" t="s">
        <v>14</v>
      </c>
      <c r="J6851" t="s">
        <v>242</v>
      </c>
      <c r="K6851" t="s">
        <v>14</v>
      </c>
      <c r="L6851" t="s">
        <v>20</v>
      </c>
      <c r="M6851" t="s">
        <v>13338</v>
      </c>
      <c r="N6851" t="s">
        <v>14</v>
      </c>
    </row>
    <row r="6852" x14ac:dyDescent="0.25">
      <c r="A6852" t="n">
        <v>25</v>
      </c>
      <c r="B6852" t="s">
        <v>14</v>
      </c>
      <c r="C6852" t="s">
        <v>51</v>
      </c>
      <c r="D6852" s="2" t="s">
        <f>=HYPERLINK("https://main.knesset.gov.il/APPS/legislation/main/bills/2197131", "הצעת חוק הביטוח הלאומי (תיקון - הארכת תקופת הזכאות לדמי אבטלה לצעירים), התשפ""ג-2022")</f>
        <v>13438</v>
      </c>
      <c r="E6852" t="s">
        <v>13438</v>
      </c>
      <c r="F6852" t="s">
        <v>13439</v>
      </c>
      <c r="G6852" t="s">
        <v>14</v>
      </c>
      <c r="H6852">
             </c>
      <c r="I6852" t="s">
        <v>14</v>
      </c>
      <c r="J6852" t="s">
        <v>242</v>
      </c>
      <c r="K6852" t="s">
        <v>14</v>
      </c>
      <c r="L6852" t="s">
        <v>20</v>
      </c>
      <c r="M6852" t="s">
        <v>13338</v>
      </c>
      <c r="N6852" t="s">
        <v>14</v>
      </c>
    </row>
    <row r="6853" x14ac:dyDescent="0.25">
      <c r="A6853" t="n">
        <v>25</v>
      </c>
      <c r="B6853" t="s">
        <v>14</v>
      </c>
      <c r="C6853" t="s">
        <v>51</v>
      </c>
      <c r="D6853" s="2" t="s">
        <f>=HYPERLINK("https://main.knesset.gov.il/APPS/legislation/main/bills/2197167", "הצעת חוק ירושלים ובנותיה, התשפ""ג-2022")</f>
        <v>13440</v>
      </c>
      <c r="E6853" t="s">
        <v>13440</v>
      </c>
      <c r="F6853" t="s">
        <v>13441</v>
      </c>
      <c r="G6853" t="s">
        <v>14</v>
      </c>
      <c r="H6853">
             </c>
      <c r="I6853" t="s">
        <v>14</v>
      </c>
      <c r="J6853" t="s">
        <v>242</v>
      </c>
      <c r="K6853" t="s">
        <v>14</v>
      </c>
      <c r="L6853" t="s">
        <v>20</v>
      </c>
      <c r="M6853" t="s">
        <v>13338</v>
      </c>
      <c r="N6853" t="s">
        <v>14</v>
      </c>
    </row>
    <row r="6854" x14ac:dyDescent="0.25">
      <c r="A6854" t="n">
        <v>25</v>
      </c>
      <c r="B6854" t="s">
        <v>14</v>
      </c>
      <c r="C6854" t="s">
        <v>51</v>
      </c>
      <c r="D6854" s="2" t="s">
        <f>=HYPERLINK("https://main.knesset.gov.il/APPS/legislation/main/bills/2197486", "הצעת חוק הביטוח הלאומי (תיקון - הגדלת קצבת הנכות), התשפ""ג-2022")</f>
        <v>13442</v>
      </c>
      <c r="E6854" t="s">
        <v>13442</v>
      </c>
      <c r="F6854" t="s">
        <v>13443</v>
      </c>
      <c r="G6854" t="s">
        <v>14</v>
      </c>
      <c r="H6854">
             </c>
      <c r="I6854" t="s">
        <v>14</v>
      </c>
      <c r="J6854" t="s">
        <v>242</v>
      </c>
      <c r="K6854" t="s">
        <v>14</v>
      </c>
      <c r="L6854" t="s">
        <v>20</v>
      </c>
      <c r="M6854" t="s">
        <v>13338</v>
      </c>
      <c r="N6854" t="s">
        <v>14</v>
      </c>
    </row>
    <row r="6855" x14ac:dyDescent="0.25">
      <c r="A6855" t="n">
        <v>25</v>
      </c>
      <c r="B6855" t="s">
        <v>14</v>
      </c>
      <c r="C6855" t="s">
        <v>51</v>
      </c>
      <c r="D6855" s="2" t="s">
        <f>=HYPERLINK("https://main.knesset.gov.il/APPS/legislation/main/bills/2197741", "הצעת חוק הביטוח הלאומי (תיקון - הכרה בפגיעה מינית בעבודה כתאונת עבודה), התשפ""ג-2022")</f>
        <v>13444</v>
      </c>
      <c r="E6855" t="s">
        <v>13444</v>
      </c>
      <c r="F6855" t="s">
        <v>13445</v>
      </c>
      <c r="G6855" t="s">
        <v>14</v>
      </c>
      <c r="H6855">
             </c>
      <c r="I6855" t="s">
        <v>14</v>
      </c>
      <c r="J6855" t="s">
        <v>242</v>
      </c>
      <c r="K6855" t="s">
        <v>14</v>
      </c>
      <c r="L6855" t="s">
        <v>20</v>
      </c>
      <c r="M6855" t="s">
        <v>13338</v>
      </c>
      <c r="N6855" t="s">
        <v>14</v>
      </c>
    </row>
    <row r="6856" x14ac:dyDescent="0.25">
      <c r="A6856" t="n">
        <v>25</v>
      </c>
      <c r="B6856" t="s">
        <v>14</v>
      </c>
      <c r="C6856" t="s">
        <v>51</v>
      </c>
      <c r="D6856" s="2" t="s">
        <f>=HYPERLINK("https://main.knesset.gov.il/APPS/legislation/main/bills/2196718", "הצעת חוק בתי המשפט (תיקון - תקופת צינון במועמדות חבר כנסת או שר למשרת שופט), התשפ""ג-2022")</f>
        <v>13446</v>
      </c>
      <c r="E6856" t="s">
        <v>13446</v>
      </c>
      <c r="F6856" t="s">
        <v>13447</v>
      </c>
      <c r="G6856" t="s">
        <v>14</v>
      </c>
      <c r="H6856">
             </c>
      <c r="I6856" t="s">
        <v>14</v>
      </c>
      <c r="J6856" t="s">
        <v>242</v>
      </c>
      <c r="K6856" t="s">
        <v>14</v>
      </c>
      <c r="L6856" t="s">
        <v>20</v>
      </c>
      <c r="M6856" t="s">
        <v>13338</v>
      </c>
      <c r="N6856" t="s">
        <v>14</v>
      </c>
    </row>
    <row r="6857" x14ac:dyDescent="0.25">
      <c r="A6857" t="n">
        <v>25</v>
      </c>
      <c r="B6857" t="s">
        <v>14</v>
      </c>
      <c r="C6857" t="s">
        <v>51</v>
      </c>
      <c r="D6857" s="2" t="s">
        <f>=HYPERLINK("https://main.knesset.gov.il/APPS/legislation/main/bills/2196719", "הצעת חוק הביטוח הלאומי (תיקון - הודעה לפני גביית חוב), התשפ""ג-2022")</f>
        <v>13448</v>
      </c>
      <c r="E6857" t="s">
        <v>13448</v>
      </c>
      <c r="F6857" t="s">
        <v>13449</v>
      </c>
      <c r="G6857" t="s">
        <v>14</v>
      </c>
      <c r="H6857">
             </c>
      <c r="I6857" t="s">
        <v>14</v>
      </c>
      <c r="J6857" t="s">
        <v>242</v>
      </c>
      <c r="K6857" t="s">
        <v>14</v>
      </c>
      <c r="L6857" t="s">
        <v>20</v>
      </c>
      <c r="M6857" t="s">
        <v>13338</v>
      </c>
      <c r="N6857" t="s">
        <v>14</v>
      </c>
    </row>
    <row r="6858" x14ac:dyDescent="0.25">
      <c r="A6858" t="n">
        <v>25</v>
      </c>
      <c r="B6858" t="s">
        <v>14</v>
      </c>
      <c r="C6858" t="s">
        <v>51</v>
      </c>
      <c r="D6858" s="2" t="s">
        <f>=HYPERLINK("https://main.knesset.gov.il/APPS/legislation/main/bills/2197561", "הצעת חוק העונשין (תיקון - בעילה אסורה בהסכמה תוך ניצול מעמד ציבורי מיוחד), התשפ""ג-2022")</f>
        <v>13450</v>
      </c>
      <c r="E6858" t="s">
        <v>13450</v>
      </c>
      <c r="F6858" t="s">
        <v>13451</v>
      </c>
      <c r="G6858" t="s">
        <v>14</v>
      </c>
      <c r="H6858">
             </c>
      <c r="I6858" t="s">
        <v>14</v>
      </c>
      <c r="J6858" t="s">
        <v>242</v>
      </c>
      <c r="K6858" t="s">
        <v>14</v>
      </c>
      <c r="L6858" t="s">
        <v>20</v>
      </c>
      <c r="M6858" t="s">
        <v>13338</v>
      </c>
      <c r="N6858" t="s">
        <v>14</v>
      </c>
    </row>
    <row r="6859" x14ac:dyDescent="0.25">
      <c r="A6859" t="n">
        <v>25</v>
      </c>
      <c r="B6859" t="s">
        <v>14</v>
      </c>
      <c r="C6859" t="s">
        <v>51</v>
      </c>
      <c r="D6859" s="2" t="s">
        <f>=HYPERLINK("https://main.knesset.gov.il/APPS/legislation/main/bills/2197555", "הצעת חוק חוזה העבודה (הסדרי עבודה מרחוק), התשפ""ג-2022")</f>
        <v>13452</v>
      </c>
      <c r="E6859" t="s">
        <v>13452</v>
      </c>
      <c r="F6859" t="s">
        <v>13453</v>
      </c>
      <c r="G6859" t="s">
        <v>14</v>
      </c>
      <c r="H6859">
             </c>
      <c r="I6859" t="s">
        <v>14</v>
      </c>
      <c r="J6859" t="s">
        <v>242</v>
      </c>
      <c r="K6859" t="s">
        <v>14</v>
      </c>
      <c r="L6859" t="s">
        <v>20</v>
      </c>
      <c r="M6859" t="s">
        <v>13338</v>
      </c>
      <c r="N6859" t="s">
        <v>14</v>
      </c>
    </row>
    <row r="6860" x14ac:dyDescent="0.25">
      <c r="A6860" t="n">
        <v>25</v>
      </c>
      <c r="B6860" t="s">
        <v>14</v>
      </c>
      <c r="C6860" t="s">
        <v>51</v>
      </c>
      <c r="D6860" s="2" t="s">
        <f>=HYPERLINK("https://main.knesset.gov.il/APPS/legislation/main/bills/2197261", "הצעת חוק טיפול בחולי נפש (תיקון - תנאי אשפוז הולמים), התשפ""ג-2022")</f>
        <v>13454</v>
      </c>
      <c r="E6860" t="s">
        <v>13454</v>
      </c>
      <c r="F6860" t="s">
        <v>13455</v>
      </c>
      <c r="G6860" t="s">
        <v>14</v>
      </c>
      <c r="H6860">
             </c>
      <c r="I6860" t="s">
        <v>14</v>
      </c>
      <c r="J6860" t="s">
        <v>242</v>
      </c>
      <c r="K6860" t="s">
        <v>14</v>
      </c>
      <c r="L6860" t="s">
        <v>20</v>
      </c>
      <c r="M6860" t="s">
        <v>13338</v>
      </c>
      <c r="N6860" t="s">
        <v>14</v>
      </c>
    </row>
    <row r="6861" x14ac:dyDescent="0.25">
      <c r="A6861" t="n">
        <v>25</v>
      </c>
      <c r="B6861" t="s">
        <v>14</v>
      </c>
      <c r="C6861" t="s">
        <v>51</v>
      </c>
      <c r="D6861" s="2" t="s">
        <f>=HYPERLINK("https://main.knesset.gov.il/APPS/legislation/main/bills/2197237", "הצעת חוק התכנון והבנייה (תיקון - תוקף היתר הבנייה), התשפ""ג-2022")</f>
        <v>13456</v>
      </c>
      <c r="E6861" t="s">
        <v>13456</v>
      </c>
      <c r="F6861" t="s">
        <v>13457</v>
      </c>
      <c r="G6861" t="s">
        <v>14</v>
      </c>
      <c r="H6861">
             </c>
      <c r="I6861" t="s">
        <v>14</v>
      </c>
      <c r="J6861" t="s">
        <v>242</v>
      </c>
      <c r="K6861" t="s">
        <v>14</v>
      </c>
      <c r="L6861" t="s">
        <v>20</v>
      </c>
      <c r="M6861" t="s">
        <v>13338</v>
      </c>
      <c r="N6861" t="s">
        <v>14</v>
      </c>
    </row>
    <row r="6862" x14ac:dyDescent="0.25">
      <c r="A6862" t="n">
        <v>25</v>
      </c>
      <c r="B6862" t="s">
        <v>14</v>
      </c>
      <c r="C6862" t="s">
        <v>51</v>
      </c>
      <c r="D6862" s="2" t="s">
        <f>=HYPERLINK("https://main.knesset.gov.il/APPS/legislation/main/bills/2197104", "הצעת חוק נציב תלונות הציבור על שופטים (תיקון - פרסום שם שופט), התשפ""ג-2022 ")</f>
        <v>13458</v>
      </c>
      <c r="E6862" t="s">
        <v>13458</v>
      </c>
      <c r="F6862" t="s">
        <v>13459</v>
      </c>
      <c r="G6862" t="s">
        <v>14</v>
      </c>
      <c r="H6862">
             </c>
      <c r="I6862" t="s">
        <v>14</v>
      </c>
      <c r="J6862" t="s">
        <v>242</v>
      </c>
      <c r="K6862" t="s">
        <v>14</v>
      </c>
      <c r="L6862" t="s">
        <v>20</v>
      </c>
      <c r="M6862" t="s">
        <v>13338</v>
      </c>
      <c r="N6862" t="s">
        <v>14</v>
      </c>
    </row>
    <row r="6863" x14ac:dyDescent="0.25">
      <c r="A6863" t="n">
        <v>25</v>
      </c>
      <c r="B6863" t="s">
        <v>14</v>
      </c>
      <c r="C6863" t="s">
        <v>51</v>
      </c>
      <c r="D6863" s="2" t="s">
        <f>=HYPERLINK("https://main.knesset.gov.il/APPS/legislation/main/bills/2197311", "הצעת חוק ביטוח בריאות ממלכתי (תיקון - פנייה לנציב קבילות הציבור), התשפ""ג-2022 ")</f>
        <v>13460</v>
      </c>
      <c r="E6863" t="s">
        <v>13460</v>
      </c>
      <c r="F6863" t="s">
        <v>13461</v>
      </c>
      <c r="G6863" t="s">
        <v>14</v>
      </c>
      <c r="H6863">
             </c>
      <c r="I6863" t="s">
        <v>14</v>
      </c>
      <c r="J6863" t="s">
        <v>242</v>
      </c>
      <c r="K6863" t="s">
        <v>14</v>
      </c>
      <c r="L6863" t="s">
        <v>20</v>
      </c>
      <c r="M6863" t="s">
        <v>13338</v>
      </c>
      <c r="N6863" t="s">
        <v>14</v>
      </c>
    </row>
    <row r="6864" x14ac:dyDescent="0.25">
      <c r="A6864" t="n">
        <v>25</v>
      </c>
      <c r="B6864" t="s">
        <v>14</v>
      </c>
      <c r="C6864" t="s">
        <v>51</v>
      </c>
      <c r="D6864" s="2" t="s">
        <f>=HYPERLINK("https://main.knesset.gov.il/APPS/legislation/main/bills/2197108", "הצעת חוק החלת החוק הישראלי בשטח בקעת הירדן, צפון ים המלח, ובישובים היהודיים ביהודה והשומרון, התשפ""ג-2022")</f>
        <v>13462</v>
      </c>
      <c r="E6864" t="s">
        <v>13462</v>
      </c>
      <c r="F6864" t="s">
        <v>13463</v>
      </c>
      <c r="G6864" t="s">
        <v>14</v>
      </c>
      <c r="H6864">
             </c>
      <c r="I6864" t="s">
        <v>14</v>
      </c>
      <c r="J6864" t="s">
        <v>242</v>
      </c>
      <c r="K6864" t="s">
        <v>14</v>
      </c>
      <c r="L6864" t="s">
        <v>20</v>
      </c>
      <c r="M6864" t="s">
        <v>13338</v>
      </c>
      <c r="N6864" t="s">
        <v>14</v>
      </c>
    </row>
    <row r="6865" x14ac:dyDescent="0.25">
      <c r="A6865" t="n">
        <v>25</v>
      </c>
      <c r="B6865" t="s">
        <v>14</v>
      </c>
      <c r="C6865" t="s">
        <v>51</v>
      </c>
      <c r="D6865" s="2" t="s">
        <f>=HYPERLINK("https://main.knesset.gov.il/APPS/legislation/main/bills/2197114", "הצעת חוק-יסוד: כבוד האדם וחירותו (תיקון - תוקפו של חוק חורג בעניין מסתננים)")</f>
        <v>13464</v>
      </c>
      <c r="E6865" t="s">
        <v>13464</v>
      </c>
      <c r="F6865" t="s">
        <v>13465</v>
      </c>
      <c r="G6865" t="s">
        <v>14</v>
      </c>
      <c r="H6865">
             </c>
      <c r="I6865" t="s">
        <v>14</v>
      </c>
      <c r="J6865" t="s">
        <v>242</v>
      </c>
      <c r="K6865" t="s">
        <v>14</v>
      </c>
      <c r="L6865" t="s">
        <v>20</v>
      </c>
      <c r="M6865" t="s">
        <v>13338</v>
      </c>
      <c r="N6865" t="s">
        <v>14</v>
      </c>
    </row>
    <row r="6866" x14ac:dyDescent="0.25">
      <c r="A6866" t="n">
        <v>25</v>
      </c>
      <c r="B6866" t="s">
        <v>14</v>
      </c>
      <c r="C6866" t="s">
        <v>51</v>
      </c>
      <c r="D6866" s="2" t="s">
        <f>=HYPERLINK("https://main.knesset.gov.il/APPS/legislation/main/bills/2197018", "הצעת חוק לתיקון פקודת הראיות (חיסיון קרימינולוג קליני), התשפ""ג-2022")</f>
        <v>13466</v>
      </c>
      <c r="E6866" t="s">
        <v>13466</v>
      </c>
      <c r="F6866" t="s">
        <v>13467</v>
      </c>
      <c r="G6866" t="s">
        <v>14</v>
      </c>
      <c r="H6866">
             </c>
      <c r="I6866" t="s">
        <v>14</v>
      </c>
      <c r="J6866" t="s">
        <v>242</v>
      </c>
      <c r="K6866" t="s">
        <v>14</v>
      </c>
      <c r="L6866" t="s">
        <v>20</v>
      </c>
      <c r="M6866" t="s">
        <v>13338</v>
      </c>
      <c r="N6866" t="s">
        <v>14</v>
      </c>
    </row>
    <row r="6867" x14ac:dyDescent="0.25">
      <c r="A6867" t="n">
        <v>25</v>
      </c>
      <c r="B6867" t="s">
        <v>14</v>
      </c>
      <c r="C6867" t="s">
        <v>51</v>
      </c>
      <c r="D6867" s="2" t="s">
        <f>=HYPERLINK("https://main.knesset.gov.il/APPS/legislation/main/bills/2196988", "הצעת חוק הביטוח הלאומי (תיקון - מענק לידה אחיד מילד שני ואילך), התשפ""ג-2022")</f>
        <v>13468</v>
      </c>
      <c r="E6867" t="s">
        <v>13468</v>
      </c>
      <c r="F6867" t="s">
        <v>13469</v>
      </c>
      <c r="G6867" t="s">
        <v>14</v>
      </c>
      <c r="H6867">
             </c>
      <c r="I6867" t="s">
        <v>14</v>
      </c>
      <c r="J6867" t="s">
        <v>242</v>
      </c>
      <c r="K6867" t="s">
        <v>14</v>
      </c>
      <c r="L6867" t="s">
        <v>20</v>
      </c>
      <c r="M6867" t="s">
        <v>13338</v>
      </c>
      <c r="N6867" t="s">
        <v>14</v>
      </c>
    </row>
    <row r="6868" x14ac:dyDescent="0.25">
      <c r="A6868" t="n">
        <v>25</v>
      </c>
      <c r="B6868" t="s">
        <v>14</v>
      </c>
      <c r="C6868" t="s">
        <v>51</v>
      </c>
      <c r="D6868" s="2" t="s">
        <f>=HYPERLINK("https://main.knesset.gov.il/APPS/legislation/main/bills/2196978", "הצעת חוק כביש אגרה (כביש ארצי לישראל) (תיקון - הפחתת ריבית פיגורים על חוב חלוט), התשפ""ג-2022")</f>
        <v>13470</v>
      </c>
      <c r="E6868" t="s">
        <v>13470</v>
      </c>
      <c r="F6868" t="s">
        <v>13471</v>
      </c>
      <c r="G6868" t="s">
        <v>14</v>
      </c>
      <c r="H6868">
             </c>
      <c r="I6868" t="s">
        <v>14</v>
      </c>
      <c r="J6868" t="s">
        <v>242</v>
      </c>
      <c r="K6868" t="s">
        <v>14</v>
      </c>
      <c r="L6868" t="s">
        <v>20</v>
      </c>
      <c r="M6868" t="s">
        <v>13338</v>
      </c>
      <c r="N6868" t="s">
        <v>14</v>
      </c>
    </row>
    <row r="6869" x14ac:dyDescent="0.25">
      <c r="A6869" t="n">
        <v>25</v>
      </c>
      <c r="B6869" t="s">
        <v>14</v>
      </c>
      <c r="C6869" t="s">
        <v>51</v>
      </c>
      <c r="D6869" s="2" t="s">
        <f>=HYPERLINK("https://main.knesset.gov.il/APPS/legislation/main/bills/2196959", "הצעת חוק הפעלת תחבורה ציבורית ביום המנוחה השבועי, התשפ""ג-2022")</f>
        <v>13472</v>
      </c>
      <c r="E6869" t="s">
        <v>13472</v>
      </c>
      <c r="F6869" t="s">
        <v>13473</v>
      </c>
      <c r="G6869" t="s">
        <v>14</v>
      </c>
      <c r="H6869">
             </c>
      <c r="I6869" t="s">
        <v>14</v>
      </c>
      <c r="J6869" t="s">
        <v>242</v>
      </c>
      <c r="K6869" t="s">
        <v>14</v>
      </c>
      <c r="L6869" t="s">
        <v>20</v>
      </c>
      <c r="M6869" t="s">
        <v>13338</v>
      </c>
      <c r="N6869" t="s">
        <v>14</v>
      </c>
    </row>
    <row r="6870" x14ac:dyDescent="0.25">
      <c r="A6870" t="n">
        <v>25</v>
      </c>
      <c r="B6870" t="s">
        <v>14</v>
      </c>
      <c r="C6870" t="s">
        <v>51</v>
      </c>
      <c r="D6870" s="2" t="s">
        <f>=HYPERLINK("https://main.knesset.gov.il/APPS/legislation/main/bills/2196949", "הצעת חוק העונשין (תיקון - עונש מזערי בגין יידוי או ירי של אבן או חפץ אחר לעבר כלי תחבורה), התשפ""ג-2022")</f>
        <v>13474</v>
      </c>
      <c r="E6870" t="s">
        <v>13474</v>
      </c>
      <c r="F6870" t="s">
        <v>13475</v>
      </c>
      <c r="G6870" t="s">
        <v>14</v>
      </c>
      <c r="H6870">
             </c>
      <c r="I6870" t="s">
        <v>14</v>
      </c>
      <c r="J6870" t="s">
        <v>242</v>
      </c>
      <c r="K6870" t="s">
        <v>14</v>
      </c>
      <c r="L6870" t="s">
        <v>20</v>
      </c>
      <c r="M6870" t="s">
        <v>13338</v>
      </c>
      <c r="N6870" t="s">
        <v>14</v>
      </c>
    </row>
    <row r="6871" x14ac:dyDescent="0.25">
      <c r="A6871" t="n">
        <v>25</v>
      </c>
      <c r="B6871" t="s">
        <v>14</v>
      </c>
      <c r="C6871" t="s">
        <v>51</v>
      </c>
      <c r="D6871" s="2" t="s">
        <f>=HYPERLINK("https://main.knesset.gov.il/APPS/legislation/main/bills/2196178", "הצעת חוק לתיקון פקודת התעבורה (איסור עישון ברכב שנמצא בו קטין שטרם מלאו לו 15 שנים), התשפ""ג-2022")</f>
        <v>13476</v>
      </c>
      <c r="E6871" t="s">
        <v>13476</v>
      </c>
      <c r="F6871" t="s">
        <v>13477</v>
      </c>
      <c r="G6871" t="s">
        <v>14</v>
      </c>
      <c r="H6871">
             </c>
      <c r="I6871" t="s">
        <v>14</v>
      </c>
      <c r="J6871" t="s">
        <v>242</v>
      </c>
      <c r="K6871" t="s">
        <v>14</v>
      </c>
      <c r="L6871" t="s">
        <v>20</v>
      </c>
      <c r="M6871" t="s">
        <v>13338</v>
      </c>
      <c r="N6871" t="s">
        <v>14</v>
      </c>
    </row>
    <row r="6872" x14ac:dyDescent="0.25">
      <c r="A6872" t="n">
        <v>25</v>
      </c>
      <c r="B6872" t="s">
        <v>14</v>
      </c>
      <c r="C6872" t="s">
        <v>51</v>
      </c>
      <c r="D6872" s="2" t="s">
        <f>=HYPERLINK("https://main.knesset.gov.il/APPS/legislation/main/bills/2197132", "הצעת חוק שכר ותנאי עבודה לנהגי תחבורה ציבורית, התשפ""ג-2022")</f>
        <v>13478</v>
      </c>
      <c r="E6872" t="s">
        <v>13478</v>
      </c>
      <c r="F6872" t="s">
        <v>13479</v>
      </c>
      <c r="G6872" t="s">
        <v>14</v>
      </c>
      <c r="H6872">
             </c>
      <c r="I6872" t="s">
        <v>14</v>
      </c>
      <c r="J6872" t="s">
        <v>242</v>
      </c>
      <c r="K6872" t="s">
        <v>14</v>
      </c>
      <c r="L6872" t="s">
        <v>20</v>
      </c>
      <c r="M6872" t="s">
        <v>13338</v>
      </c>
      <c r="N6872" t="s">
        <v>14</v>
      </c>
    </row>
    <row r="6873" x14ac:dyDescent="0.25">
      <c r="A6873" t="n">
        <v>25</v>
      </c>
      <c r="B6873" t="s">
        <v>14</v>
      </c>
      <c r="C6873" t="s">
        <v>51</v>
      </c>
      <c r="D6873" s="2" t="s">
        <f>=HYPERLINK("https://main.knesset.gov.il/APPS/legislation/main/bills/2197122", "הצעת חוק הבנקאות (שירות ללקוח) (תיקון - מועדי החזר של הלוואה לדיור), התשפ""ג-2022")</f>
        <v>13480</v>
      </c>
      <c r="E6873" t="s">
        <v>13480</v>
      </c>
      <c r="F6873" t="s">
        <v>13481</v>
      </c>
      <c r="G6873" t="s">
        <v>14</v>
      </c>
      <c r="H6873">
             </c>
      <c r="I6873" t="s">
        <v>14</v>
      </c>
      <c r="J6873" t="s">
        <v>242</v>
      </c>
      <c r="K6873" t="s">
        <v>14</v>
      </c>
      <c r="L6873" t="s">
        <v>20</v>
      </c>
      <c r="M6873" t="s">
        <v>13338</v>
      </c>
      <c r="N6873" t="s">
        <v>14</v>
      </c>
    </row>
    <row r="6874" x14ac:dyDescent="0.25">
      <c r="A6874" t="n">
        <v>25</v>
      </c>
      <c r="B6874" t="s">
        <v>14</v>
      </c>
      <c r="C6874" t="s">
        <v>51</v>
      </c>
      <c r="D6874" s="2" t="s">
        <f>=HYPERLINK("https://main.knesset.gov.il/APPS/legislation/main/bills/2196590", "הצעת חוק חוזה הביטוח (תיקון - ביטוח דירה), התשפ""ג-2022")</f>
        <v>13482</v>
      </c>
      <c r="E6874" t="s">
        <v>13482</v>
      </c>
      <c r="F6874" t="s">
        <v>13483</v>
      </c>
      <c r="G6874" t="s">
        <v>14</v>
      </c>
      <c r="H6874">
             </c>
      <c r="I6874" t="s">
        <v>14</v>
      </c>
      <c r="J6874" t="s">
        <v>242</v>
      </c>
      <c r="K6874" t="s">
        <v>14</v>
      </c>
      <c r="L6874" t="s">
        <v>20</v>
      </c>
      <c r="M6874" t="s">
        <v>13338</v>
      </c>
      <c r="N6874" t="s">
        <v>14</v>
      </c>
    </row>
    <row r="6875" x14ac:dyDescent="0.25">
      <c r="A6875" t="n">
        <v>25</v>
      </c>
      <c r="B6875" t="s">
        <v>14</v>
      </c>
      <c r="C6875" t="s">
        <v>51</v>
      </c>
      <c r="D6875" s="2" t="s">
        <f>=HYPERLINK("https://main.knesset.gov.il/APPS/legislation/main/bills/2196807", "הצעת חוק הסכמים קיבוציים (תיקון - ביטול גביית דמי טיפול ארגוני-מקצועי), התשפ""ג-2022")</f>
        <v>13484</v>
      </c>
      <c r="E6875" t="s">
        <v>13484</v>
      </c>
      <c r="F6875" t="s">
        <v>13485</v>
      </c>
      <c r="G6875" t="s">
        <v>14</v>
      </c>
      <c r="H6875">
             </c>
      <c r="I6875" t="s">
        <v>14</v>
      </c>
      <c r="J6875" t="s">
        <v>242</v>
      </c>
      <c r="K6875" t="s">
        <v>14</v>
      </c>
      <c r="L6875" t="s">
        <v>20</v>
      </c>
      <c r="M6875" t="s">
        <v>13338</v>
      </c>
      <c r="N6875" t="s">
        <v>14</v>
      </c>
    </row>
    <row r="6876" x14ac:dyDescent="0.25">
      <c r="A6876" t="n">
        <v>25</v>
      </c>
      <c r="B6876" t="s">
        <v>14</v>
      </c>
      <c r="C6876" t="s">
        <v>51</v>
      </c>
      <c r="D6876" s="2" t="s">
        <f>=HYPERLINK("https://main.knesset.gov.il/APPS/legislation/main/bills/2196804", "הצעת חוק הביטוח הלאומי (תיקון - תוספת דמי אבטלה למי שמתחת לגיל 28 עם ילד אחד לפחות), התשפ""ג-2022 ")</f>
        <v>13486</v>
      </c>
      <c r="E6876" t="s">
        <v>13486</v>
      </c>
      <c r="F6876" t="s">
        <v>13487</v>
      </c>
      <c r="G6876" t="s">
        <v>14</v>
      </c>
      <c r="H6876">
             </c>
      <c r="I6876" t="s">
        <v>14</v>
      </c>
      <c r="J6876" t="s">
        <v>242</v>
      </c>
      <c r="K6876" t="s">
        <v>14</v>
      </c>
      <c r="L6876" t="s">
        <v>20</v>
      </c>
      <c r="M6876" t="s">
        <v>13338</v>
      </c>
      <c r="N6876" t="s">
        <v>14</v>
      </c>
    </row>
    <row r="6877" x14ac:dyDescent="0.25">
      <c r="A6877" t="n">
        <v>25</v>
      </c>
      <c r="B6877" t="s">
        <v>14</v>
      </c>
      <c r="C6877" t="s">
        <v>51</v>
      </c>
      <c r="D6877" s="2" t="s">
        <f>=HYPERLINK("https://main.knesset.gov.il/APPS/legislation/main/bills/2196799", "הצעת חוק בתי המשפט (תיקון - תקופת צינון לפני מינוי), התשפ""ג-2022")</f>
        <v>13488</v>
      </c>
      <c r="E6877" t="s">
        <v>13488</v>
      </c>
      <c r="F6877" t="s">
        <v>13489</v>
      </c>
      <c r="G6877" t="s">
        <v>14</v>
      </c>
      <c r="H6877">
             </c>
      <c r="I6877" t="s">
        <v>14</v>
      </c>
      <c r="J6877" t="s">
        <v>242</v>
      </c>
      <c r="K6877" t="s">
        <v>14</v>
      </c>
      <c r="L6877" t="s">
        <v>20</v>
      </c>
      <c r="M6877" t="s">
        <v>13338</v>
      </c>
      <c r="N6877" t="s">
        <v>14</v>
      </c>
    </row>
    <row r="6878" x14ac:dyDescent="0.25">
      <c r="A6878" t="n">
        <v>25</v>
      </c>
      <c r="B6878" t="s">
        <v>14</v>
      </c>
      <c r="C6878" t="s">
        <v>51</v>
      </c>
      <c r="D6878" s="2" t="s">
        <f>=HYPERLINK("https://main.knesset.gov.il/APPS/legislation/main/bills/2195802", "הצעת חוק בנק ישראל (תיקון - פרטי שטרי כסף ומעות), התשפ""ג-2022")</f>
        <v>13490</v>
      </c>
      <c r="E6878" t="s">
        <v>13490</v>
      </c>
      <c r="F6878" t="s">
        <v>13491</v>
      </c>
      <c r="G6878" t="s">
        <v>14</v>
      </c>
      <c r="H6878">
             </c>
      <c r="I6878" t="s">
        <v>14</v>
      </c>
      <c r="J6878" t="s">
        <v>242</v>
      </c>
      <c r="K6878" t="s">
        <v>14</v>
      </c>
      <c r="L6878" t="s">
        <v>20</v>
      </c>
      <c r="M6878" t="s">
        <v>13338</v>
      </c>
      <c r="N6878" t="s">
        <v>14</v>
      </c>
    </row>
    <row r="6879" x14ac:dyDescent="0.25">
      <c r="A6879" t="n">
        <v>25</v>
      </c>
      <c r="B6879" t="s">
        <v>14</v>
      </c>
      <c r="C6879" t="s">
        <v>51</v>
      </c>
      <c r="D6879" s="2" t="s">
        <f>=HYPERLINK("https://main.knesset.gov.il/APPS/legislation/main/bills/2196850", "הצעת חוק מתן שירות בשפה הערבית בגופים ציבוריים ובגופים מסחריים, התשפ""ג-2022")</f>
        <v>13492</v>
      </c>
      <c r="E6879" t="s">
        <v>13492</v>
      </c>
      <c r="F6879" t="s">
        <v>13493</v>
      </c>
      <c r="G6879" t="s">
        <v>14</v>
      </c>
      <c r="H6879">
             </c>
      <c r="I6879" t="s">
        <v>14</v>
      </c>
      <c r="J6879" t="s">
        <v>242</v>
      </c>
      <c r="K6879" t="s">
        <v>14</v>
      </c>
      <c r="L6879" t="s">
        <v>20</v>
      </c>
      <c r="M6879" t="s">
        <v>13338</v>
      </c>
      <c r="N6879" t="s">
        <v>14</v>
      </c>
    </row>
    <row r="6880" x14ac:dyDescent="0.25">
      <c r="A6880" t="n">
        <v>25</v>
      </c>
      <c r="B6880" t="s">
        <v>14</v>
      </c>
      <c r="C6880" t="s">
        <v>51</v>
      </c>
      <c r="D6880" s="2" t="s">
        <f>=HYPERLINK("https://main.knesset.gov.il/APPS/legislation/main/bills/2196822", "הצעת חוק זכויות הסטודנט (תיקון - סיוע כלכלי בשעת חירום), התשפ""ג-2022")</f>
        <v>13494</v>
      </c>
      <c r="E6880" t="s">
        <v>13494</v>
      </c>
      <c r="F6880" t="s">
        <v>13495</v>
      </c>
      <c r="G6880" t="s">
        <v>14</v>
      </c>
      <c r="H6880">
             </c>
      <c r="I6880" t="s">
        <v>14</v>
      </c>
      <c r="J6880" t="s">
        <v>242</v>
      </c>
      <c r="K6880" t="s">
        <v>14</v>
      </c>
      <c r="L6880" t="s">
        <v>20</v>
      </c>
      <c r="M6880" t="s">
        <v>13338</v>
      </c>
      <c r="N6880" t="s">
        <v>14</v>
      </c>
    </row>
    <row r="6881" x14ac:dyDescent="0.25">
      <c r="A6881" t="n">
        <v>25</v>
      </c>
      <c r="B6881" t="s">
        <v>14</v>
      </c>
      <c r="C6881" t="s">
        <v>51</v>
      </c>
      <c r="D6881" s="2" t="s">
        <f>=HYPERLINK("https://main.knesset.gov.il/APPS/legislation/main/bills/2196785", "הצעת חוק הביטוח הלאומי (תיקון - השוואת קצבת נכות לשכר המינימום), התשפ""ג-2022")</f>
        <v>13496</v>
      </c>
      <c r="E6881" t="s">
        <v>13496</v>
      </c>
      <c r="F6881" t="s">
        <v>13497</v>
      </c>
      <c r="G6881" t="s">
        <v>14</v>
      </c>
      <c r="H6881">
             </c>
      <c r="I6881" t="s">
        <v>14</v>
      </c>
      <c r="J6881" t="s">
        <v>242</v>
      </c>
      <c r="K6881" t="s">
        <v>14</v>
      </c>
      <c r="L6881" t="s">
        <v>20</v>
      </c>
      <c r="M6881" t="s">
        <v>13338</v>
      </c>
      <c r="N6881" t="s">
        <v>14</v>
      </c>
    </row>
    <row r="6882" x14ac:dyDescent="0.25">
      <c r="A6882" t="n">
        <v>25</v>
      </c>
      <c r="B6882" t="s">
        <v>14</v>
      </c>
      <c r="C6882" t="s">
        <v>51</v>
      </c>
      <c r="D6882" s="2" t="s">
        <f>=HYPERLINK("https://main.knesset.gov.il/APPS/legislation/main/bills/2196635", "הצעת חוק לתיקון פקודת מס הכנסה (דיווח שנתי או חצי שנתי לסוגי נכסים), התשפ""ג-2022")</f>
        <v>13498</v>
      </c>
      <c r="E6882" t="s">
        <v>13498</v>
      </c>
      <c r="F6882" t="s">
        <v>13499</v>
      </c>
      <c r="G6882" t="s">
        <v>14</v>
      </c>
      <c r="H6882">
             </c>
      <c r="I6882" t="s">
        <v>14</v>
      </c>
      <c r="J6882" t="s">
        <v>242</v>
      </c>
      <c r="K6882" t="s">
        <v>14</v>
      </c>
      <c r="L6882" t="s">
        <v>20</v>
      </c>
      <c r="M6882" t="s">
        <v>13338</v>
      </c>
      <c r="N6882" t="s">
        <v>14</v>
      </c>
    </row>
    <row r="6883" x14ac:dyDescent="0.25">
      <c r="A6883" t="n">
        <v>25</v>
      </c>
      <c r="B6883" t="s">
        <v>14</v>
      </c>
      <c r="C6883" t="s">
        <v>51</v>
      </c>
      <c r="D6883" s="2" t="s">
        <f>=HYPERLINK("https://main.knesset.gov.il/APPS/legislation/main/bills/2196185", "הצעת חוק צער בעלי חיים (הגנה על בעלי חיים) (תיקון - איסור שימוש במלכודות דבק ומלכודות רגל, והחלת עבירות באזור יהודה והשומרון), התשפ""ג-2022")</f>
        <v>13500</v>
      </c>
      <c r="E6883" t="s">
        <v>13500</v>
      </c>
      <c r="F6883" t="s">
        <v>13501</v>
      </c>
      <c r="G6883" t="s">
        <v>14</v>
      </c>
      <c r="H6883">
             </c>
      <c r="I6883" t="s">
        <v>14</v>
      </c>
      <c r="J6883" t="s">
        <v>242</v>
      </c>
      <c r="K6883" t="s">
        <v>14</v>
      </c>
      <c r="L6883" t="s">
        <v>20</v>
      </c>
      <c r="M6883" t="s">
        <v>13338</v>
      </c>
      <c r="N6883" t="s">
        <v>14</v>
      </c>
    </row>
    <row r="6884" x14ac:dyDescent="0.25">
      <c r="A6884" t="n">
        <v>25</v>
      </c>
      <c r="B6884" t="s">
        <v>14</v>
      </c>
      <c r="C6884" t="s">
        <v>51</v>
      </c>
      <c r="D6884" s="2" t="s">
        <f>=HYPERLINK("https://main.knesset.gov.il/APPS/legislation/main/bills/2196728", "הצעת חוק מס ערך מוסף (תיקון - פטור ממס על תשר), התשפ""ג-2022")</f>
        <v>13502</v>
      </c>
      <c r="E6884" t="s">
        <v>13502</v>
      </c>
      <c r="F6884" t="s">
        <v>13503</v>
      </c>
      <c r="G6884" t="s">
        <v>14</v>
      </c>
      <c r="H6884">
             </c>
      <c r="I6884" t="s">
        <v>14</v>
      </c>
      <c r="J6884" t="s">
        <v>242</v>
      </c>
      <c r="K6884" t="s">
        <v>14</v>
      </c>
      <c r="L6884" t="s">
        <v>20</v>
      </c>
      <c r="M6884" t="s">
        <v>13338</v>
      </c>
      <c r="N6884" t="s">
        <v>14</v>
      </c>
    </row>
    <row r="6885" x14ac:dyDescent="0.25">
      <c r="A6885" t="n">
        <v>25</v>
      </c>
      <c r="B6885" t="s">
        <v>14</v>
      </c>
      <c r="C6885" t="s">
        <v>51</v>
      </c>
      <c r="D6885" s="2" t="s">
        <f>=HYPERLINK("https://main.knesset.gov.il/APPS/legislation/main/bills/2196248", "הצעת חוק למניעת העסקה של עובד הוראה התומך בטרור, התשפ""ג-2022")</f>
        <v>13504</v>
      </c>
      <c r="E6885" t="s">
        <v>13504</v>
      </c>
      <c r="F6885" t="s">
        <v>13505</v>
      </c>
      <c r="G6885" t="s">
        <v>14</v>
      </c>
      <c r="H6885">
             </c>
      <c r="I6885" t="s">
        <v>14</v>
      </c>
      <c r="J6885" t="s">
        <v>242</v>
      </c>
      <c r="K6885" t="s">
        <v>14</v>
      </c>
      <c r="L6885" t="s">
        <v>20</v>
      </c>
      <c r="M6885" t="s">
        <v>13338</v>
      </c>
      <c r="N6885" t="s">
        <v>14</v>
      </c>
    </row>
    <row r="6886" x14ac:dyDescent="0.25">
      <c r="A6886" t="n">
        <v>25</v>
      </c>
      <c r="B6886" t="s">
        <v>14</v>
      </c>
      <c r="C6886" t="s">
        <v>51</v>
      </c>
      <c r="D6886" s="2" t="s">
        <f>=HYPERLINK("https://main.knesset.gov.il/APPS/legislation/main/bills/2196693", "הצעת חוק דמי מחלה (היעדרות בשל מחלת ילד) (תיקון - היעדרות בעקבות פגיעה בעבירת מין או אלימות חמורה), התשפ""ג-2022")</f>
        <v>13506</v>
      </c>
      <c r="E6886" t="s">
        <v>13506</v>
      </c>
      <c r="F6886" t="s">
        <v>13507</v>
      </c>
      <c r="G6886" t="s">
        <v>14</v>
      </c>
      <c r="H6886">
             </c>
      <c r="I6886" t="s">
        <v>14</v>
      </c>
      <c r="J6886" t="s">
        <v>242</v>
      </c>
      <c r="K6886" t="s">
        <v>14</v>
      </c>
      <c r="L6886" t="s">
        <v>20</v>
      </c>
      <c r="M6886" t="s">
        <v>13338</v>
      </c>
      <c r="N6886" t="s">
        <v>14</v>
      </c>
    </row>
    <row r="6887" x14ac:dyDescent="0.25">
      <c r="A6887" t="n">
        <v>25</v>
      </c>
      <c r="B6887" t="s">
        <v>14</v>
      </c>
      <c r="C6887" t="s">
        <v>51</v>
      </c>
      <c r="D6887" s="2" t="s">
        <f>=HYPERLINK("https://main.knesset.gov.il/APPS/legislation/main/bills/2197303", "הצעת חוק העונשין (תיקון - הכנת פרסום בדבר שירותי זנות), התשפ""ג-2022")</f>
        <v>13508</v>
      </c>
      <c r="E6887" t="s">
        <v>13508</v>
      </c>
      <c r="F6887" t="s">
        <v>13509</v>
      </c>
      <c r="G6887" t="s">
        <v>14</v>
      </c>
      <c r="H6887">
             </c>
      <c r="I6887" t="s">
        <v>14</v>
      </c>
      <c r="J6887" t="s">
        <v>242</v>
      </c>
      <c r="K6887" t="s">
        <v>14</v>
      </c>
      <c r="L6887" t="s">
        <v>20</v>
      </c>
      <c r="M6887" t="s">
        <v>13338</v>
      </c>
      <c r="N6887" t="s">
        <v>14</v>
      </c>
    </row>
    <row r="6888" x14ac:dyDescent="0.25">
      <c r="A6888" t="n">
        <v>25</v>
      </c>
      <c r="B6888" t="s">
        <v>14</v>
      </c>
      <c r="C6888" t="s">
        <v>51</v>
      </c>
      <c r="D6888" s="2" t="s">
        <f>=HYPERLINK("https://main.knesset.gov.il/APPS/legislation/main/bills/2197089", "הצעת חוק שעות עבודה ומנוחה (תיקון - הגבלת שעות העסקה של מתמחה ברפואה), התשפ""ג-2022")</f>
        <v>13510</v>
      </c>
      <c r="E6888" t="s">
        <v>13510</v>
      </c>
      <c r="F6888" t="s">
        <v>13511</v>
      </c>
      <c r="G6888" t="s">
        <v>14</v>
      </c>
      <c r="H6888">
             </c>
      <c r="I6888" t="s">
        <v>14</v>
      </c>
      <c r="J6888" t="s">
        <v>242</v>
      </c>
      <c r="K6888" t="s">
        <v>14</v>
      </c>
      <c r="L6888" t="s">
        <v>20</v>
      </c>
      <c r="M6888" t="s">
        <v>13338</v>
      </c>
      <c r="N6888" t="s">
        <v>14</v>
      </c>
    </row>
    <row r="6889" x14ac:dyDescent="0.25">
      <c r="A6889" t="n">
        <v>25</v>
      </c>
      <c r="B6889" t="s">
        <v>14</v>
      </c>
      <c r="C6889" t="s">
        <v>51</v>
      </c>
      <c r="D6889" s="2" t="s">
        <f>=HYPERLINK("https://main.knesset.gov.il/APPS/legislation/main/bills/2197275", "הצעת חוק זכויות נפגעי עבירה (תיקון - זכאות בני משפחה), התשפ""ג-2022")</f>
        <v>13512</v>
      </c>
      <c r="E6889" t="s">
        <v>13512</v>
      </c>
      <c r="F6889" t="s">
        <v>13513</v>
      </c>
      <c r="G6889" t="s">
        <v>14</v>
      </c>
      <c r="H6889">
             </c>
      <c r="I6889" t="s">
        <v>14</v>
      </c>
      <c r="J6889" t="s">
        <v>242</v>
      </c>
      <c r="K6889" t="s">
        <v>14</v>
      </c>
      <c r="L6889" t="s">
        <v>20</v>
      </c>
      <c r="M6889" t="s">
        <v>13338</v>
      </c>
      <c r="N6889" t="s">
        <v>14</v>
      </c>
    </row>
    <row r="6890" x14ac:dyDescent="0.25">
      <c r="A6890" t="n">
        <v>25</v>
      </c>
      <c r="B6890" t="s">
        <v>14</v>
      </c>
      <c r="C6890" t="s">
        <v>51</v>
      </c>
      <c r="D6890" s="2" t="s">
        <f>=HYPERLINK("https://main.knesset.gov.il/APPS/legislation/main/bills/2196987", "הצעת חוק המאבק בשחיתות הציבורית - הרשעה בעבירה שיש עמה קלון (תיקוני חקיקה), התשפ""ג-2022")</f>
        <v>13514</v>
      </c>
      <c r="E6890" t="s">
        <v>13514</v>
      </c>
      <c r="F6890" t="s">
        <v>13515</v>
      </c>
      <c r="G6890" t="s">
        <v>14</v>
      </c>
      <c r="H6890">
             </c>
      <c r="I6890" t="s">
        <v>14</v>
      </c>
      <c r="J6890" t="s">
        <v>202</v>
      </c>
      <c r="K6890" t="s">
        <v>14</v>
      </c>
      <c r="L6890" t="s">
        <v>20</v>
      </c>
      <c r="M6890" t="s">
        <v>13338</v>
      </c>
      <c r="N6890" t="s">
        <v>14</v>
      </c>
    </row>
    <row r="6891" x14ac:dyDescent="0.25">
      <c r="A6891" t="n">
        <v>25</v>
      </c>
      <c r="B6891" t="s">
        <v>14</v>
      </c>
      <c r="C6891" t="s">
        <v>51</v>
      </c>
      <c r="D6891" s="2" t="s">
        <f>=HYPERLINK("https://main.knesset.gov.il/APPS/legislation/main/bills/2197082", "הצעת חוק פיקוח על מחירי מצרכים ושירותים (תיקון - פיקוח על מחיר לחם מלא), התשפ''ג-2022")</f>
        <v>13516</v>
      </c>
      <c r="E6891" t="s">
        <v>13516</v>
      </c>
      <c r="F6891" t="s">
        <v>13517</v>
      </c>
      <c r="G6891" t="s">
        <v>14</v>
      </c>
      <c r="H6891">
             </c>
      <c r="I6891" t="s">
        <v>14</v>
      </c>
      <c r="J6891" t="s">
        <v>242</v>
      </c>
      <c r="K6891" t="s">
        <v>14</v>
      </c>
      <c r="L6891" t="s">
        <v>20</v>
      </c>
      <c r="M6891" t="s">
        <v>13338</v>
      </c>
      <c r="N6891" t="s">
        <v>14</v>
      </c>
    </row>
    <row r="6892" x14ac:dyDescent="0.25">
      <c r="A6892" t="n">
        <v>25</v>
      </c>
      <c r="B6892" t="s">
        <v>14</v>
      </c>
      <c r="C6892" t="s">
        <v>51</v>
      </c>
      <c r="D6892" s="2" t="s">
        <f>=HYPERLINK("https://main.knesset.gov.il/APPS/legislation/main/bills/2196980", "הצעת חוק-יסוד: הממשלה (תיקון - סייג להטלת התפקיד להרכיב ממשלה)")</f>
        <v>13518</v>
      </c>
      <c r="E6892" t="s">
        <v>13518</v>
      </c>
      <c r="F6892" t="s">
        <v>13519</v>
      </c>
      <c r="G6892" t="s">
        <v>14</v>
      </c>
      <c r="H6892">
             </c>
      <c r="I6892" t="s">
        <v>14</v>
      </c>
      <c r="J6892" t="s">
        <v>242</v>
      </c>
      <c r="K6892" t="s">
        <v>14</v>
      </c>
      <c r="L6892" t="s">
        <v>20</v>
      </c>
      <c r="M6892" t="s">
        <v>13338</v>
      </c>
      <c r="N6892" t="s">
        <v>14</v>
      </c>
    </row>
    <row r="6893" x14ac:dyDescent="0.25">
      <c r="A6893" t="n">
        <v>25</v>
      </c>
      <c r="B6893" t="s">
        <v>14</v>
      </c>
      <c r="C6893" t="s">
        <v>51</v>
      </c>
      <c r="D6893" s="2" t="s">
        <f>=HYPERLINK("https://main.knesset.gov.il/APPS/legislation/main/bills/2197302", "הצעת חוק זכויות התלמיד (תיקון - איסור התניית זכות הלימוד בתשלום), התשפ""ג-2022")</f>
        <v>13520</v>
      </c>
      <c r="E6893" t="s">
        <v>13520</v>
      </c>
      <c r="F6893" t="s">
        <v>13521</v>
      </c>
      <c r="G6893" t="s">
        <v>14</v>
      </c>
      <c r="H6893">
             </c>
      <c r="I6893" t="s">
        <v>14</v>
      </c>
      <c r="J6893" t="s">
        <v>242</v>
      </c>
      <c r="K6893" t="s">
        <v>14</v>
      </c>
      <c r="L6893" t="s">
        <v>20</v>
      </c>
      <c r="M6893" t="s">
        <v>13338</v>
      </c>
      <c r="N6893" t="s">
        <v>14</v>
      </c>
    </row>
    <row r="6894" x14ac:dyDescent="0.25">
      <c r="A6894" t="n">
        <v>25</v>
      </c>
      <c r="B6894" t="s">
        <v>14</v>
      </c>
      <c r="C6894" t="s">
        <v>51</v>
      </c>
      <c r="D6894" s="2" t="s">
        <f>=HYPERLINK("https://main.knesset.gov.il/APPS/legislation/main/bills/2196974", "הצעת חוק לימוד חובה (תיקון - חובת לימודי ליבה), התשפ""ג-2022")</f>
        <v>13522</v>
      </c>
      <c r="E6894" t="s">
        <v>13522</v>
      </c>
      <c r="F6894" t="s">
        <v>13523</v>
      </c>
      <c r="G6894" t="s">
        <v>14</v>
      </c>
      <c r="H6894">
             </c>
      <c r="I6894" t="s">
        <v>14</v>
      </c>
      <c r="J6894" t="s">
        <v>242</v>
      </c>
      <c r="K6894" t="s">
        <v>14</v>
      </c>
      <c r="L6894" t="s">
        <v>20</v>
      </c>
      <c r="M6894" t="s">
        <v>13338</v>
      </c>
      <c r="N6894" t="s">
        <v>14</v>
      </c>
    </row>
    <row r="6895" x14ac:dyDescent="0.25">
      <c r="A6895" t="n">
        <v>25</v>
      </c>
      <c r="B6895" t="s">
        <v>14</v>
      </c>
      <c r="C6895" t="s">
        <v>51</v>
      </c>
      <c r="D6895" s="2" t="s">
        <f>=HYPERLINK("https://main.knesset.gov.il/APPS/legislation/main/bills/2197591", "הצעת חוק ביטוח בריאות ממלכתי (תיקון - צמצום פערים בין הפריפריה למרכז), התשפ""ג-2022")</f>
        <v>13524</v>
      </c>
      <c r="E6895" t="s">
        <v>13524</v>
      </c>
      <c r="F6895" t="s">
        <v>13525</v>
      </c>
      <c r="G6895" t="s">
        <v>14</v>
      </c>
      <c r="H6895">
             </c>
      <c r="I6895" t="s">
        <v>14</v>
      </c>
      <c r="J6895" t="s">
        <v>242</v>
      </c>
      <c r="K6895" t="s">
        <v>14</v>
      </c>
      <c r="L6895" t="s">
        <v>20</v>
      </c>
      <c r="M6895" t="s">
        <v>13338</v>
      </c>
      <c r="N6895" t="s">
        <v>14</v>
      </c>
    </row>
    <row r="6896" x14ac:dyDescent="0.25">
      <c r="A6896" t="n">
        <v>25</v>
      </c>
      <c r="B6896" t="s">
        <v>14</v>
      </c>
      <c r="C6896" t="s">
        <v>51</v>
      </c>
      <c r="D6896" s="2" t="s">
        <f>=HYPERLINK("https://main.knesset.gov.il/APPS/legislation/main/bills/2197593", "הצעת חוק הביטוח הלאומי (תיקון - הוספת ענפי ההסעדה והאבטחה ביישובי הגליל והנגב לרשימת העבודות המועדפות), התשפ""ג-2022")</f>
        <v>13526</v>
      </c>
      <c r="E6896" t="s">
        <v>13526</v>
      </c>
      <c r="F6896" t="s">
        <v>13527</v>
      </c>
      <c r="G6896" t="s">
        <v>14</v>
      </c>
      <c r="H6896">
             </c>
      <c r="I6896" t="s">
        <v>14</v>
      </c>
      <c r="J6896" t="s">
        <v>242</v>
      </c>
      <c r="K6896" t="s">
        <v>14</v>
      </c>
      <c r="L6896" t="s">
        <v>20</v>
      </c>
      <c r="M6896" t="s">
        <v>13338</v>
      </c>
      <c r="N6896" t="s">
        <v>14</v>
      </c>
    </row>
    <row r="6897" x14ac:dyDescent="0.25">
      <c r="A6897" t="n">
        <v>25</v>
      </c>
      <c r="B6897" t="s">
        <v>14</v>
      </c>
      <c r="C6897" t="s">
        <v>51</v>
      </c>
      <c r="D6897" s="2" t="s">
        <f>=HYPERLINK("https://main.knesset.gov.il/APPS/legislation/main/bills/2196951", "הצעת חוק שלילת תקצוב מוסדות חינוך המפלים תלמידים ברישום אליהם (תיקוני חקיקה), התשפ""ג-2022")</f>
        <v>13528</v>
      </c>
      <c r="E6897" t="s">
        <v>13528</v>
      </c>
      <c r="F6897" t="s">
        <v>13529</v>
      </c>
      <c r="G6897" t="s">
        <v>14</v>
      </c>
      <c r="H6897">
             </c>
      <c r="I6897" t="s">
        <v>14</v>
      </c>
      <c r="J6897" t="s">
        <v>242</v>
      </c>
      <c r="K6897" t="s">
        <v>14</v>
      </c>
      <c r="L6897" t="s">
        <v>20</v>
      </c>
      <c r="M6897" t="s">
        <v>13338</v>
      </c>
      <c r="N6897" t="s">
        <v>14</v>
      </c>
    </row>
    <row r="6898" x14ac:dyDescent="0.25">
      <c r="A6898" t="n">
        <v>25</v>
      </c>
      <c r="B6898" t="s">
        <v>14</v>
      </c>
      <c r="C6898" t="s">
        <v>51</v>
      </c>
      <c r="D6898" s="2" t="s">
        <f>=HYPERLINK("https://main.knesset.gov.il/APPS/legislation/main/bills/2196203", "הצעת חוק שירות ביטחון (תיקון - שוויון בנטל), התשפ""ג-2022")</f>
        <v>13530</v>
      </c>
      <c r="E6898" t="s">
        <v>13530</v>
      </c>
      <c r="F6898" t="s">
        <v>13531</v>
      </c>
      <c r="G6898" t="s">
        <v>14</v>
      </c>
      <c r="H6898">
             </c>
      <c r="I6898" t="s">
        <v>14</v>
      </c>
      <c r="J6898" t="s">
        <v>242</v>
      </c>
      <c r="K6898" t="s">
        <v>14</v>
      </c>
      <c r="L6898" t="s">
        <v>20</v>
      </c>
      <c r="M6898" t="s">
        <v>13338</v>
      </c>
      <c r="N6898" t="s">
        <v>14</v>
      </c>
    </row>
    <row r="6899" x14ac:dyDescent="0.25">
      <c r="A6899" t="n">
        <v>25</v>
      </c>
      <c r="B6899" t="s">
        <v>14</v>
      </c>
      <c r="C6899" t="s">
        <v>51</v>
      </c>
      <c r="D6899" s="2" t="s">
        <f>=HYPERLINK("https://main.knesset.gov.il/APPS/legislation/main/bills/2197127", "הצעת חוק תקופת לידה והורות להורים (תיקוני חקיקה), התשפ""ג-2022")</f>
        <v>13532</v>
      </c>
      <c r="E6899" t="s">
        <v>13532</v>
      </c>
      <c r="F6899" t="s">
        <v>13533</v>
      </c>
      <c r="G6899" t="s">
        <v>14</v>
      </c>
      <c r="H6899">
             </c>
      <c r="I6899" t="s">
        <v>14</v>
      </c>
      <c r="J6899" t="s">
        <v>242</v>
      </c>
      <c r="K6899" t="s">
        <v>14</v>
      </c>
      <c r="L6899" t="s">
        <v>20</v>
      </c>
      <c r="M6899" t="s">
        <v>13338</v>
      </c>
      <c r="N6899" t="s">
        <v>14</v>
      </c>
    </row>
    <row r="6900" x14ac:dyDescent="0.25">
      <c r="A6900" t="n">
        <v>25</v>
      </c>
      <c r="B6900" t="s">
        <v>14</v>
      </c>
      <c r="C6900" t="s">
        <v>51</v>
      </c>
      <c r="D6900" s="2" t="s">
        <f>=HYPERLINK("https://main.knesset.gov.il/APPS/legislation/main/bills/2196803", "הצעת חוק התכנון והבנייה (תיקון מס' 116) (תיקון - ביטול החוק), התשפ""ג-2022")</f>
        <v>13165</v>
      </c>
      <c r="E6900" t="s">
        <v>13165</v>
      </c>
      <c r="F6900" t="s">
        <v>13534</v>
      </c>
      <c r="G6900" t="s">
        <v>14</v>
      </c>
      <c r="H6900">
             </c>
      <c r="I6900" t="s">
        <v>14</v>
      </c>
      <c r="J6900" t="s">
        <v>242</v>
      </c>
      <c r="K6900" t="s">
        <v>14</v>
      </c>
      <c r="L6900" t="s">
        <v>20</v>
      </c>
      <c r="M6900" t="s">
        <v>13338</v>
      </c>
      <c r="N6900" t="s">
        <v>14</v>
      </c>
    </row>
    <row r="6901" x14ac:dyDescent="0.25">
      <c r="A6901" t="n">
        <v>25</v>
      </c>
      <c r="B6901" t="s">
        <v>14</v>
      </c>
      <c r="C6901" t="s">
        <v>51</v>
      </c>
      <c r="D6901" s="2" t="s">
        <f>=HYPERLINK("https://main.knesset.gov.il/APPS/legislation/main/bills/2196790", "הצעת חוק-יסוד: הממשלה (תיקון - הגבלת תקופת כהונה של ראש הממשלה)")</f>
        <v>12358</v>
      </c>
      <c r="E6901" t="s">
        <v>12358</v>
      </c>
      <c r="F6901" t="s">
        <v>13535</v>
      </c>
      <c r="G6901" t="s">
        <v>14</v>
      </c>
      <c r="H6901">
             </c>
      <c r="I6901" t="s">
        <v>14</v>
      </c>
      <c r="J6901" t="s">
        <v>242</v>
      </c>
      <c r="K6901" t="s">
        <v>14</v>
      </c>
      <c r="L6901" t="s">
        <v>20</v>
      </c>
      <c r="M6901" t="s">
        <v>13338</v>
      </c>
      <c r="N6901" t="s">
        <v>14</v>
      </c>
    </row>
    <row r="6902" x14ac:dyDescent="0.25">
      <c r="A6902" t="n">
        <v>25</v>
      </c>
      <c r="B6902" t="s">
        <v>14</v>
      </c>
      <c r="C6902" t="s">
        <v>51</v>
      </c>
      <c r="D6902" s="2" t="s">
        <f>=HYPERLINK("https://main.knesset.gov.il/APPS/legislation/main/bills/2197266", "הצעת חוק הצבת מכשירי החייאה במקומות ציבוריים (תיקון - צעדים ליישום מיטבי של החוק), התשפ""ג-2022")</f>
        <v>13536</v>
      </c>
      <c r="E6902" t="s">
        <v>13536</v>
      </c>
      <c r="F6902" t="s">
        <v>13537</v>
      </c>
      <c r="G6902" t="s">
        <v>14</v>
      </c>
      <c r="H6902">
             </c>
      <c r="I6902" t="s">
        <v>14</v>
      </c>
      <c r="J6902" t="s">
        <v>242</v>
      </c>
      <c r="K6902" t="s">
        <v>14</v>
      </c>
      <c r="L6902" t="s">
        <v>20</v>
      </c>
      <c r="M6902" t="s">
        <v>13338</v>
      </c>
      <c r="N6902" t="s">
        <v>14</v>
      </c>
    </row>
    <row r="6903" x14ac:dyDescent="0.25">
      <c r="A6903" t="n">
        <v>25</v>
      </c>
      <c r="B6903" t="s">
        <v>14</v>
      </c>
      <c r="C6903" t="s">
        <v>51</v>
      </c>
      <c r="D6903" s="2" t="s">
        <f>=HYPERLINK("https://main.knesset.gov.il/APPS/legislation/main/bills/2196780", "הצעת חוק הביטוח הלאומי (תיקון - העלאת קצבת הילדים), התשפ""ג-2022")</f>
        <v>13538</v>
      </c>
      <c r="E6903" t="s">
        <v>13538</v>
      </c>
      <c r="F6903" t="s">
        <v>13539</v>
      </c>
      <c r="G6903" t="s">
        <v>14</v>
      </c>
      <c r="H6903">
             </c>
      <c r="I6903" t="s">
        <v>14</v>
      </c>
      <c r="J6903" t="s">
        <v>242</v>
      </c>
      <c r="K6903" t="s">
        <v>14</v>
      </c>
      <c r="L6903" t="s">
        <v>20</v>
      </c>
      <c r="M6903" t="s">
        <v>13338</v>
      </c>
      <c r="N6903" t="s">
        <v>14</v>
      </c>
    </row>
    <row r="6904" x14ac:dyDescent="0.25">
      <c r="A6904" t="n">
        <v>25</v>
      </c>
      <c r="B6904" t="s">
        <v>14</v>
      </c>
      <c r="C6904" t="s">
        <v>51</v>
      </c>
      <c r="D6904" s="2" t="s">
        <f>=HYPERLINK("https://main.knesset.gov.il/APPS/legislation/main/bills/2196917", "הצעת חוק הממשלה (תיקון - חוות דעת של רשות ציבורית בענייני חקיקה), התשפ""ג-2022")</f>
        <v>13540</v>
      </c>
      <c r="E6904" t="s">
        <v>13540</v>
      </c>
      <c r="F6904" t="s">
        <v>13541</v>
      </c>
      <c r="G6904" t="s">
        <v>14</v>
      </c>
      <c r="H6904">
             </c>
      <c r="I6904" t="s">
        <v>14</v>
      </c>
      <c r="J6904" t="s">
        <v>242</v>
      </c>
      <c r="K6904" t="s">
        <v>14</v>
      </c>
      <c r="L6904" t="s">
        <v>20</v>
      </c>
      <c r="M6904" t="s">
        <v>13338</v>
      </c>
      <c r="N6904" t="s">
        <v>14</v>
      </c>
    </row>
    <row r="6905" x14ac:dyDescent="0.25">
      <c r="A6905" t="n">
        <v>25</v>
      </c>
      <c r="B6905" t="s">
        <v>14</v>
      </c>
      <c r="C6905" t="s">
        <v>51</v>
      </c>
      <c r="D6905" s="2" t="s">
        <f>=HYPERLINK("https://main.knesset.gov.il/APPS/legislation/main/bills/2197193", "הצעת חוק התכנון והבנייה (תיקון - חלף היטל השבחה), התשפ""ג-2022")</f>
        <v>13542</v>
      </c>
      <c r="E6905" t="s">
        <v>13542</v>
      </c>
      <c r="F6905" t="s">
        <v>13543</v>
      </c>
      <c r="G6905" t="s">
        <v>14</v>
      </c>
      <c r="H6905">
             </c>
      <c r="I6905" t="s">
        <v>14</v>
      </c>
      <c r="J6905" t="s">
        <v>242</v>
      </c>
      <c r="K6905" t="s">
        <v>14</v>
      </c>
      <c r="L6905" t="s">
        <v>20</v>
      </c>
      <c r="M6905" t="s">
        <v>13338</v>
      </c>
      <c r="N6905" t="s">
        <v>14</v>
      </c>
    </row>
    <row r="6906" x14ac:dyDescent="0.25">
      <c r="A6906" t="n">
        <v>25</v>
      </c>
      <c r="B6906" t="s">
        <v>14</v>
      </c>
      <c r="C6906" t="s">
        <v>51</v>
      </c>
      <c r="D6906" s="2" t="s">
        <f>=HYPERLINK("https://main.knesset.gov.il/APPS/legislation/main/bills/2197670", "הצעת חוק איסור מכירת קמינים ושימוש בהם, התשפ""ג-2022")</f>
        <v>13544</v>
      </c>
      <c r="E6906" t="s">
        <v>13544</v>
      </c>
      <c r="F6906" t="s">
        <v>13545</v>
      </c>
      <c r="G6906" t="s">
        <v>14</v>
      </c>
      <c r="H6906">
             </c>
      <c r="I6906" t="s">
        <v>14</v>
      </c>
      <c r="J6906" t="s">
        <v>242</v>
      </c>
      <c r="K6906" t="s">
        <v>14</v>
      </c>
      <c r="L6906" t="s">
        <v>20</v>
      </c>
      <c r="M6906" t="s">
        <v>13338</v>
      </c>
      <c r="N6906" t="s">
        <v>14</v>
      </c>
    </row>
    <row r="6907" x14ac:dyDescent="0.25">
      <c r="A6907" t="n">
        <v>25</v>
      </c>
      <c r="B6907" t="s">
        <v>14</v>
      </c>
      <c r="C6907" t="s">
        <v>51</v>
      </c>
      <c r="D6907" s="2" t="s">
        <f>=HYPERLINK("https://main.knesset.gov.il/APPS/legislation/main/bills/2197063", "הצעת חוק לשכת עורכי הדין (תיקון - הגבלת שכר טרחה על מכתבי התראה לפני גביית חוב), התשפ""ג-2022")</f>
        <v>13546</v>
      </c>
      <c r="E6907" t="s">
        <v>13546</v>
      </c>
      <c r="F6907" t="s">
        <v>13547</v>
      </c>
      <c r="G6907" t="s">
        <v>14</v>
      </c>
      <c r="H6907">
             </c>
      <c r="I6907" t="s">
        <v>14</v>
      </c>
      <c r="J6907" t="s">
        <v>242</v>
      </c>
      <c r="K6907" t="s">
        <v>14</v>
      </c>
      <c r="L6907" t="s">
        <v>20</v>
      </c>
      <c r="M6907" t="s">
        <v>13338</v>
      </c>
      <c r="N6907" t="s">
        <v>14</v>
      </c>
    </row>
    <row r="6908" x14ac:dyDescent="0.25">
      <c r="A6908" t="n">
        <v>25</v>
      </c>
      <c r="B6908" t="s">
        <v>14</v>
      </c>
      <c r="C6908" t="s">
        <v>51</v>
      </c>
      <c r="D6908" s="2" t="s">
        <f>=HYPERLINK("https://main.knesset.gov.il/APPS/legislation/main/bills/2197666", "הצעת חוק לצמצום השימוש בשקיות נשיאה חד-פעמיות (תיקון - היטל על שקית נשיאה חד-פעמית), התשפ""ג-2022")</f>
        <v>13548</v>
      </c>
      <c r="E6908" t="s">
        <v>13548</v>
      </c>
      <c r="F6908" t="s">
        <v>13549</v>
      </c>
      <c r="G6908" t="s">
        <v>14</v>
      </c>
      <c r="H6908">
             </c>
      <c r="I6908" t="s">
        <v>14</v>
      </c>
      <c r="J6908" t="s">
        <v>242</v>
      </c>
      <c r="K6908" t="s">
        <v>14</v>
      </c>
      <c r="L6908" t="s">
        <v>20</v>
      </c>
      <c r="M6908" t="s">
        <v>13338</v>
      </c>
      <c r="N6908" t="s">
        <v>14</v>
      </c>
    </row>
    <row r="6909" x14ac:dyDescent="0.25">
      <c r="A6909" t="n">
        <v>25</v>
      </c>
      <c r="B6909" t="s">
        <v>14</v>
      </c>
      <c r="C6909" t="s">
        <v>51</v>
      </c>
      <c r="D6909" s="2" t="s">
        <f>=HYPERLINK("https://main.knesset.gov.il/APPS/legislation/main/bills/2195952", "הצעת חוק שיווי זכויות האישה (תיקון - תחולה), התשפ""ג-2022")</f>
        <v>13550</v>
      </c>
      <c r="E6909" t="s">
        <v>13550</v>
      </c>
      <c r="F6909" t="s">
        <v>13551</v>
      </c>
      <c r="G6909" t="s">
        <v>14</v>
      </c>
      <c r="H6909">
             </c>
      <c r="I6909" t="s">
        <v>14</v>
      </c>
      <c r="J6909" t="s">
        <v>242</v>
      </c>
      <c r="K6909" t="s">
        <v>14</v>
      </c>
      <c r="L6909" t="s">
        <v>20</v>
      </c>
      <c r="M6909" t="s">
        <v>13338</v>
      </c>
      <c r="N6909" t="s">
        <v>14</v>
      </c>
    </row>
    <row r="6910" x14ac:dyDescent="0.25">
      <c r="A6910" t="n">
        <v>25</v>
      </c>
      <c r="B6910" t="s">
        <v>14</v>
      </c>
      <c r="C6910" t="s">
        <v>51</v>
      </c>
      <c r="D6910" s="2" t="s">
        <f>=HYPERLINK("https://main.knesset.gov.il/APPS/legislation/main/bills/2197048", "הצעת חוק הכללת חוב עונשי בהפטר (תיקוני חקיקה), התשפ""ג-2022")</f>
        <v>13552</v>
      </c>
      <c r="E6910" t="s">
        <v>13552</v>
      </c>
      <c r="F6910" t="s">
        <v>13553</v>
      </c>
      <c r="G6910" t="s">
        <v>14</v>
      </c>
      <c r="H6910">
             </c>
      <c r="I6910" t="s">
        <v>14</v>
      </c>
      <c r="J6910" t="s">
        <v>242</v>
      </c>
      <c r="K6910" t="s">
        <v>14</v>
      </c>
      <c r="L6910" t="s">
        <v>20</v>
      </c>
      <c r="M6910" t="s">
        <v>13338</v>
      </c>
      <c r="N6910" t="s">
        <v>14</v>
      </c>
    </row>
    <row r="6911" x14ac:dyDescent="0.25">
      <c r="A6911" t="n">
        <v>25</v>
      </c>
      <c r="B6911" t="s">
        <v>14</v>
      </c>
      <c r="C6911" t="s">
        <v>51</v>
      </c>
      <c r="D6911" s="2" t="s">
        <f>=HYPERLINK("https://main.knesset.gov.il/APPS/legislation/main/bills/2197037", "הצעת חוק השמירה על המקומות הקדושים (תיקון - שמירה על הכותל המערבי, הר הבית ומערת המכפלה), התשפ""ג-2022")</f>
        <v>13554</v>
      </c>
      <c r="E6911" t="s">
        <v>13554</v>
      </c>
      <c r="F6911" t="s">
        <v>13555</v>
      </c>
      <c r="G6911" t="s">
        <v>14</v>
      </c>
      <c r="H6911">
             </c>
      <c r="I6911" t="s">
        <v>14</v>
      </c>
      <c r="J6911" t="s">
        <v>242</v>
      </c>
      <c r="K6911" t="s">
        <v>14</v>
      </c>
      <c r="L6911" t="s">
        <v>20</v>
      </c>
      <c r="M6911" t="s">
        <v>13338</v>
      </c>
      <c r="N6911" t="s">
        <v>14</v>
      </c>
    </row>
    <row r="6912" x14ac:dyDescent="0.25">
      <c r="A6912" t="n">
        <v>25</v>
      </c>
      <c r="B6912" t="s">
        <v>14</v>
      </c>
      <c r="C6912" t="s">
        <v>51</v>
      </c>
      <c r="D6912" s="2" t="s">
        <f>=HYPERLINK("https://main.knesset.gov.il/APPS/legislation/main/bills/2197183", "הצעת חוק הגנת הפרטיות (תיקון - מניעת פרסום פרטיו של אדם שנהרג או נפגע ברבים בטרם נמסרה הודעה למשפחה), התשפ""ג-2022")</f>
        <v>13556</v>
      </c>
      <c r="E6912" t="s">
        <v>13556</v>
      </c>
      <c r="F6912" t="s">
        <v>13557</v>
      </c>
      <c r="G6912" t="s">
        <v>14</v>
      </c>
      <c r="H6912">
             </c>
      <c r="I6912" t="s">
        <v>14</v>
      </c>
      <c r="J6912" t="s">
        <v>202</v>
      </c>
      <c r="K6912" t="s">
        <v>14</v>
      </c>
      <c r="L6912" t="s">
        <v>20</v>
      </c>
      <c r="M6912" t="s">
        <v>13338</v>
      </c>
      <c r="N6912" t="s">
        <v>14</v>
      </c>
    </row>
    <row r="6913" x14ac:dyDescent="0.25">
      <c r="A6913" t="n">
        <v>25</v>
      </c>
      <c r="B6913" t="s">
        <v>14</v>
      </c>
      <c r="C6913" t="s">
        <v>51</v>
      </c>
      <c r="D6913" s="2" t="s">
        <f>=HYPERLINK("https://main.knesset.gov.il/APPS/legislation/main/bills/2197240", "הצעת חוק הגנת הצרכן (תיקון - הגבלות על מכירה מיוחדת), התשפ""ג-2022")</f>
        <v>13558</v>
      </c>
      <c r="E6913" t="s">
        <v>13558</v>
      </c>
      <c r="F6913" t="s">
        <v>13559</v>
      </c>
      <c r="G6913" t="s">
        <v>14</v>
      </c>
      <c r="H6913">
             </c>
      <c r="I6913" t="s">
        <v>14</v>
      </c>
      <c r="J6913" t="s">
        <v>242</v>
      </c>
      <c r="K6913" t="s">
        <v>14</v>
      </c>
      <c r="L6913" t="s">
        <v>20</v>
      </c>
      <c r="M6913" t="s">
        <v>13338</v>
      </c>
      <c r="N6913" t="s">
        <v>14</v>
      </c>
    </row>
    <row r="6914" x14ac:dyDescent="0.25">
      <c r="A6914" t="n">
        <v>25</v>
      </c>
      <c r="B6914" t="s">
        <v>14</v>
      </c>
      <c r="C6914" t="s">
        <v>51</v>
      </c>
      <c r="D6914" s="2" t="s">
        <f>=HYPERLINK("https://main.knesset.gov.il/APPS/legislation/main/bills/2196911", "הצעת חוק שוויון ההזדמנויות בעבודה (תיקון - איסור הפליה מחמת מצב כלכלי), התשפ""ג-2022")</f>
        <v>13560</v>
      </c>
      <c r="E6914" t="s">
        <v>13560</v>
      </c>
      <c r="F6914" t="s">
        <v>13561</v>
      </c>
      <c r="G6914" t="s">
        <v>14</v>
      </c>
      <c r="H6914">
             </c>
      <c r="I6914" t="s">
        <v>14</v>
      </c>
      <c r="J6914" t="s">
        <v>242</v>
      </c>
      <c r="K6914" t="s">
        <v>14</v>
      </c>
      <c r="L6914" t="s">
        <v>20</v>
      </c>
      <c r="M6914" t="s">
        <v>13338</v>
      </c>
      <c r="N6914" t="s">
        <v>14</v>
      </c>
    </row>
    <row r="6915" x14ac:dyDescent="0.25">
      <c r="A6915" t="n">
        <v>25</v>
      </c>
      <c r="B6915" t="s">
        <v>14</v>
      </c>
      <c r="C6915" t="s">
        <v>51</v>
      </c>
      <c r="D6915" s="2" t="s">
        <f>=HYPERLINK("https://main.knesset.gov.il/APPS/legislation/main/bills/2197215", "הצעת חוק הביטוח הלאומי (תיקון - עבודה מועדפת בתחום ניטול, פריקה וטעינה של מטעני אוויר), התשפ""ג-2022")</f>
        <v>13562</v>
      </c>
      <c r="E6915" t="s">
        <v>13562</v>
      </c>
      <c r="F6915" t="s">
        <v>13563</v>
      </c>
      <c r="G6915" t="s">
        <v>14</v>
      </c>
      <c r="H6915">
             </c>
      <c r="I6915" t="s">
        <v>14</v>
      </c>
      <c r="J6915" t="s">
        <v>242</v>
      </c>
      <c r="K6915" t="s">
        <v>14</v>
      </c>
      <c r="L6915" t="s">
        <v>20</v>
      </c>
      <c r="M6915" t="s">
        <v>13338</v>
      </c>
      <c r="N6915" t="s">
        <v>14</v>
      </c>
    </row>
    <row r="6916" x14ac:dyDescent="0.25">
      <c r="A6916" t="n">
        <v>25</v>
      </c>
      <c r="B6916" t="s">
        <v>14</v>
      </c>
      <c r="C6916" t="s">
        <v>51</v>
      </c>
      <c r="D6916" s="2" t="s">
        <f>=HYPERLINK("https://main.knesset.gov.il/APPS/legislation/main/bills/2197145", "הצעת חוק פיצויי פיטורים (תיקון - פיצויי פיטורים למתגייס לרשות הארצית לכבאות והצלה), התשפ""ג-2022")</f>
        <v>13564</v>
      </c>
      <c r="E6916" t="s">
        <v>13564</v>
      </c>
      <c r="F6916" t="s">
        <v>13565</v>
      </c>
      <c r="G6916" t="s">
        <v>14</v>
      </c>
      <c r="H6916">
             </c>
      <c r="I6916" t="s">
        <v>14</v>
      </c>
      <c r="J6916" t="s">
        <v>242</v>
      </c>
      <c r="K6916" t="s">
        <v>14</v>
      </c>
      <c r="L6916" t="s">
        <v>20</v>
      </c>
      <c r="M6916" t="s">
        <v>13338</v>
      </c>
      <c r="N6916" t="s">
        <v>14</v>
      </c>
    </row>
    <row r="6917" x14ac:dyDescent="0.25">
      <c r="A6917" t="n">
        <v>25</v>
      </c>
      <c r="B6917" t="s">
        <v>14</v>
      </c>
      <c r="C6917" t="s">
        <v>51</v>
      </c>
      <c r="D6917" s="2" t="s">
        <f>=HYPERLINK("https://main.knesset.gov.il/APPS/legislation/main/bills/2196427", "הצעת חוק למניעת חרם חברתי בבתי ספר, התשפ""ג-2022")</f>
        <v>13566</v>
      </c>
      <c r="E6917" t="s">
        <v>13566</v>
      </c>
      <c r="F6917" t="s">
        <v>13567</v>
      </c>
      <c r="G6917" t="s">
        <v>14</v>
      </c>
      <c r="H6917">
             </c>
      <c r="I6917" t="s">
        <v>14</v>
      </c>
      <c r="J6917" t="s">
        <v>242</v>
      </c>
      <c r="K6917" t="s">
        <v>14</v>
      </c>
      <c r="L6917" t="s">
        <v>20</v>
      </c>
      <c r="M6917" t="s">
        <v>13338</v>
      </c>
      <c r="N6917" t="s">
        <v>14</v>
      </c>
    </row>
    <row r="6918" x14ac:dyDescent="0.25">
      <c r="A6918" t="n">
        <v>25</v>
      </c>
      <c r="B6918" t="s">
        <v>14</v>
      </c>
      <c r="C6918" t="s">
        <v>51</v>
      </c>
      <c r="D6918" s="2" t="s">
        <f>=HYPERLINK("https://main.knesset.gov.il/APPS/legislation/main/bills/2197050", "הצעת חוק העונשין (תיקון - אלימות במשפחה בנוכחות קטין או חסר ישע), התשפ""ג-2022")</f>
        <v>13568</v>
      </c>
      <c r="E6918" t="s">
        <v>13568</v>
      </c>
      <c r="F6918" t="s">
        <v>13569</v>
      </c>
      <c r="G6918" t="s">
        <v>14</v>
      </c>
      <c r="H6918">
             </c>
      <c r="I6918" t="s">
        <v>14</v>
      </c>
      <c r="J6918" t="s">
        <v>242</v>
      </c>
      <c r="K6918" t="s">
        <v>14</v>
      </c>
      <c r="L6918" t="s">
        <v>20</v>
      </c>
      <c r="M6918" t="s">
        <v>13338</v>
      </c>
      <c r="N6918" t="s">
        <v>14</v>
      </c>
    </row>
    <row r="6919" x14ac:dyDescent="0.25">
      <c r="A6919" t="n">
        <v>25</v>
      </c>
      <c r="B6919" t="s">
        <v>14</v>
      </c>
      <c r="C6919" t="s">
        <v>51</v>
      </c>
      <c r="D6919" s="2" t="s">
        <f>=HYPERLINK("https://main.knesset.gov.il/APPS/legislation/main/bills/2197248", "הצעת חוק הרשות לפיתוח הנגב (תיקון - הרחבת סמכויות הרשות ותפקידיה), התשפ""ג-2022")</f>
        <v>13570</v>
      </c>
      <c r="E6919" t="s">
        <v>13570</v>
      </c>
      <c r="F6919" t="s">
        <v>13571</v>
      </c>
      <c r="G6919" t="s">
        <v>14</v>
      </c>
      <c r="H6919">
             </c>
      <c r="I6919" t="s">
        <v>14</v>
      </c>
      <c r="J6919" t="s">
        <v>242</v>
      </c>
      <c r="K6919" t="s">
        <v>14</v>
      </c>
      <c r="L6919" t="s">
        <v>20</v>
      </c>
      <c r="M6919" t="s">
        <v>13338</v>
      </c>
      <c r="N6919" t="s">
        <v>14</v>
      </c>
    </row>
    <row r="6920" x14ac:dyDescent="0.25">
      <c r="A6920" t="n">
        <v>25</v>
      </c>
      <c r="B6920" t="s">
        <v>14</v>
      </c>
      <c r="C6920" t="s">
        <v>51</v>
      </c>
      <c r="D6920" s="2" t="s">
        <f>=HYPERLINK("https://main.knesset.gov.il/APPS/legislation/main/bills/2197033", "הצעת חוק מגבלות על חזרתו של עבריין מין לסביבת נפגע העבירה (תיקון - הרחבת סמכות בית המשפט בנושא קטינים), התשפ""ג-2022")</f>
        <v>13572</v>
      </c>
      <c r="E6920" t="s">
        <v>13572</v>
      </c>
      <c r="F6920" t="s">
        <v>13573</v>
      </c>
      <c r="G6920" t="s">
        <v>14</v>
      </c>
      <c r="H6920">
             </c>
      <c r="I6920" t="s">
        <v>14</v>
      </c>
      <c r="J6920" t="s">
        <v>242</v>
      </c>
      <c r="K6920" t="s">
        <v>14</v>
      </c>
      <c r="L6920" t="s">
        <v>20</v>
      </c>
      <c r="M6920" t="s">
        <v>13338</v>
      </c>
      <c r="N6920" t="s">
        <v>14</v>
      </c>
    </row>
    <row r="6921" x14ac:dyDescent="0.25">
      <c r="A6921" t="n">
        <v>25</v>
      </c>
      <c r="B6921" t="s">
        <v>14</v>
      </c>
      <c r="C6921" t="s">
        <v>51</v>
      </c>
      <c r="D6921" s="2" t="s">
        <f>=HYPERLINK("https://main.knesset.gov.il/APPS/legislation/main/bills/2197242", "הצעת חוק הרשות לפיתוח הנגב (תיקון - שינוי הגדרת הנגב), התשפ""ג-2022")</f>
        <v>13574</v>
      </c>
      <c r="E6921" t="s">
        <v>13574</v>
      </c>
      <c r="F6921" t="s">
        <v>13575</v>
      </c>
      <c r="G6921" t="s">
        <v>14</v>
      </c>
      <c r="H6921">
             </c>
      <c r="I6921" t="s">
        <v>14</v>
      </c>
      <c r="J6921" t="s">
        <v>242</v>
      </c>
      <c r="K6921" t="s">
        <v>14</v>
      </c>
      <c r="L6921" t="s">
        <v>20</v>
      </c>
      <c r="M6921" t="s">
        <v>13338</v>
      </c>
      <c r="N6921" t="s">
        <v>14</v>
      </c>
    </row>
    <row r="6922" x14ac:dyDescent="0.25">
      <c r="A6922" t="n">
        <v>25</v>
      </c>
      <c r="B6922" t="s">
        <v>14</v>
      </c>
      <c r="C6922" t="s">
        <v>51</v>
      </c>
      <c r="D6922" s="2" t="s">
        <f>=HYPERLINK("https://main.knesset.gov.il/APPS/legislation/main/bills/2196775", "הצעת חוק-יסוד: הממשלה (תיקון - חשיפת פרוטוקולים בעניין ניהול משבר הקורונה)")</f>
        <v>13576</v>
      </c>
      <c r="E6922" t="s">
        <v>13576</v>
      </c>
      <c r="F6922" t="s">
        <v>13577</v>
      </c>
      <c r="G6922" t="s">
        <v>14</v>
      </c>
      <c r="H6922">
             </c>
      <c r="I6922" t="s">
        <v>14</v>
      </c>
      <c r="J6922" t="s">
        <v>242</v>
      </c>
      <c r="K6922" t="s">
        <v>14</v>
      </c>
      <c r="L6922" t="s">
        <v>20</v>
      </c>
      <c r="M6922" t="s">
        <v>13338</v>
      </c>
      <c r="N6922" t="s">
        <v>14</v>
      </c>
    </row>
    <row r="6923" x14ac:dyDescent="0.25">
      <c r="A6923" t="n">
        <v>25</v>
      </c>
      <c r="B6923" t="s">
        <v>14</v>
      </c>
      <c r="C6923" t="s">
        <v>51</v>
      </c>
      <c r="D6923" s="2" t="s">
        <f>=HYPERLINK("https://main.knesset.gov.il/APPS/legislation/main/bills/2195712", "הצעת חוק ביטוח בריאות ממלכתי (תיקון - צמצום פערים בין הפריפריה למרכז), התשפ""ג-2022")</f>
        <v>13524</v>
      </c>
      <c r="E6923" t="s">
        <v>13524</v>
      </c>
      <c r="F6923" t="s">
        <v>13578</v>
      </c>
      <c r="G6923" t="s">
        <v>14</v>
      </c>
      <c r="H6923">
             </c>
      <c r="I6923" t="s">
        <v>14</v>
      </c>
      <c r="J6923" t="s">
        <v>242</v>
      </c>
      <c r="K6923" t="s">
        <v>14</v>
      </c>
      <c r="L6923" t="s">
        <v>20</v>
      </c>
      <c r="M6923" t="s">
        <v>13338</v>
      </c>
      <c r="N6923" t="s">
        <v>14</v>
      </c>
    </row>
    <row r="6924" x14ac:dyDescent="0.25">
      <c r="A6924" t="n">
        <v>25</v>
      </c>
      <c r="B6924" t="s">
        <v>14</v>
      </c>
      <c r="C6924" t="s">
        <v>51</v>
      </c>
      <c r="D6924" s="2" t="s">
        <f>=HYPERLINK("https://main.knesset.gov.il/APPS/legislation/main/bills/2197092", "הצעת חוק החזקת תכשיר אפינפרין במוסדות חינוך ובמקומות ציבוריים (תיקון - החזקת תכשיר אפינפרין בבית אוכל), התשפ""ג-2022")</f>
        <v>13579</v>
      </c>
      <c r="E6924" t="s">
        <v>13579</v>
      </c>
      <c r="F6924" t="s">
        <v>13580</v>
      </c>
      <c r="G6924" t="s">
        <v>14</v>
      </c>
      <c r="H6924">
             </c>
      <c r="I6924" t="s">
        <v>14</v>
      </c>
      <c r="J6924" t="s">
        <v>202</v>
      </c>
      <c r="K6924" t="s">
        <v>14</v>
      </c>
      <c r="L6924" t="s">
        <v>20</v>
      </c>
      <c r="M6924" t="s">
        <v>13338</v>
      </c>
      <c r="N6924" t="s">
        <v>14</v>
      </c>
    </row>
    <row r="6925" x14ac:dyDescent="0.25">
      <c r="A6925" t="n">
        <v>25</v>
      </c>
      <c r="B6925" t="s">
        <v>14</v>
      </c>
      <c r="C6925" t="s">
        <v>51</v>
      </c>
      <c r="D6925" s="2" t="s">
        <f>=HYPERLINK("https://main.knesset.gov.il/APPS/legislation/main/bills/2196990", "הצעת חוק חילוט תקבולי עבירה בפשיעה חקלאית, התשפ""ג-2022")</f>
        <v>13581</v>
      </c>
      <c r="E6925" t="s">
        <v>13581</v>
      </c>
      <c r="F6925" t="s">
        <v>13582</v>
      </c>
      <c r="G6925" t="s">
        <v>14</v>
      </c>
      <c r="H6925">
             </c>
      <c r="I6925" t="s">
        <v>14</v>
      </c>
      <c r="J6925" t="s">
        <v>242</v>
      </c>
      <c r="K6925" t="s">
        <v>14</v>
      </c>
      <c r="L6925" t="s">
        <v>20</v>
      </c>
      <c r="M6925" t="s">
        <v>13338</v>
      </c>
      <c r="N6925" t="s">
        <v>14</v>
      </c>
    </row>
    <row r="6926" x14ac:dyDescent="0.25">
      <c r="A6926" t="n">
        <v>25</v>
      </c>
      <c r="B6926" t="s">
        <v>14</v>
      </c>
      <c r="C6926" t="s">
        <v>51</v>
      </c>
      <c r="D6926" s="2" t="s">
        <f>=HYPERLINK("https://main.knesset.gov.il/APPS/legislation/main/bills/2197068", "הצעת חוק נציב תלונות הציבור על שופטים (תיקון - נציבות תלונות הציבור על דיינים וקאדים), התשפ""ג-2022")</f>
        <v>13583</v>
      </c>
      <c r="E6926" t="s">
        <v>13583</v>
      </c>
      <c r="F6926" t="s">
        <v>13584</v>
      </c>
      <c r="G6926" t="s">
        <v>14</v>
      </c>
      <c r="H6926">
             </c>
      <c r="I6926" t="s">
        <v>14</v>
      </c>
      <c r="J6926" t="s">
        <v>242</v>
      </c>
      <c r="K6926" t="s">
        <v>14</v>
      </c>
      <c r="L6926" t="s">
        <v>20</v>
      </c>
      <c r="M6926" t="s">
        <v>13338</v>
      </c>
      <c r="N6926" t="s">
        <v>14</v>
      </c>
    </row>
    <row r="6927" x14ac:dyDescent="0.25">
      <c r="A6927" t="n">
        <v>25</v>
      </c>
      <c r="B6927" t="s">
        <v>14</v>
      </c>
      <c r="C6927" t="s">
        <v>51</v>
      </c>
      <c r="D6927" s="2" t="s">
        <f>=HYPERLINK("https://main.knesset.gov.il/APPS/legislation/main/bills/2196973", "הצעת חוק החזקת תכשיר אפינפרין במוסדות חינוך ובמקומות ציבוריים (תיקון - החזקת תכשיר אפינפרין בבית אוכל), התשפ""ג-2022")</f>
        <v>13579</v>
      </c>
      <c r="E6927" t="s">
        <v>13579</v>
      </c>
      <c r="F6927" t="s">
        <v>13585</v>
      </c>
      <c r="G6927" t="s">
        <v>14</v>
      </c>
      <c r="H6927">
             </c>
      <c r="I6927" t="s">
        <v>14</v>
      </c>
      <c r="J6927" t="s">
        <v>242</v>
      </c>
      <c r="K6927" t="s">
        <v>14</v>
      </c>
      <c r="L6927" t="s">
        <v>20</v>
      </c>
      <c r="M6927" t="s">
        <v>13338</v>
      </c>
      <c r="N6927" t="s">
        <v>14</v>
      </c>
    </row>
    <row r="6928" x14ac:dyDescent="0.25">
      <c r="A6928" t="n">
        <v>25</v>
      </c>
      <c r="B6928" t="s">
        <v>14</v>
      </c>
      <c r="C6928" t="s">
        <v>51</v>
      </c>
      <c r="D6928" s="2" t="s">
        <f>=HYPERLINK("https://main.knesset.gov.il/APPS/legislation/main/bills/2196174", "הצעת חוק לתיקון פקודת התעבורה (פטור מתשלום דמי חניה באזורי מגורים במהלך שבתות ומועדי ישראל), התשפ""ג-2022")</f>
        <v>13586</v>
      </c>
      <c r="E6928" t="s">
        <v>13586</v>
      </c>
      <c r="F6928" t="s">
        <v>13587</v>
      </c>
      <c r="G6928" t="s">
        <v>14</v>
      </c>
      <c r="H6928">
             </c>
      <c r="I6928" t="s">
        <v>14</v>
      </c>
      <c r="J6928" t="s">
        <v>242</v>
      </c>
      <c r="K6928" t="s">
        <v>14</v>
      </c>
      <c r="L6928" t="s">
        <v>20</v>
      </c>
      <c r="M6928" t="s">
        <v>13338</v>
      </c>
      <c r="N6928" t="s">
        <v>14</v>
      </c>
    </row>
    <row r="6929" x14ac:dyDescent="0.25">
      <c r="A6929" t="n">
        <v>25</v>
      </c>
      <c r="B6929" t="s">
        <v>14</v>
      </c>
      <c r="C6929" t="s">
        <v>51</v>
      </c>
      <c r="D6929" s="2" t="s">
        <f>=HYPERLINK("https://main.knesset.gov.il/APPS/legislation/main/bills/2196170", "הצעת חוק חינוך ממלכתי (תיקון - מימון מוסדות חינוך מוכרים לא רשמיים), התשפ""ג-2022")</f>
        <v>13588</v>
      </c>
      <c r="E6929" t="s">
        <v>13588</v>
      </c>
      <c r="F6929" t="s">
        <v>13589</v>
      </c>
      <c r="G6929" t="s">
        <v>14</v>
      </c>
      <c r="H6929">
             </c>
      <c r="I6929" t="s">
        <v>14</v>
      </c>
      <c r="J6929" t="s">
        <v>242</v>
      </c>
      <c r="K6929" t="s">
        <v>14</v>
      </c>
      <c r="L6929" t="s">
        <v>20</v>
      </c>
      <c r="M6929" t="s">
        <v>13338</v>
      </c>
      <c r="N6929" t="s">
        <v>14</v>
      </c>
    </row>
    <row r="6930" x14ac:dyDescent="0.25">
      <c r="A6930" t="n">
        <v>25</v>
      </c>
      <c r="B6930" t="s">
        <v>14</v>
      </c>
      <c r="C6930" t="s">
        <v>51</v>
      </c>
      <c r="D6930" s="2" t="s">
        <f>=HYPERLINK("https://main.knesset.gov.il/APPS/legislation/main/bills/2196941", "הצעת חוק לתיקון פקודת הנמלים (איסור על השטת כלי שיט ועל הפלגה באופנוע ים בשכרות), התשפ""ג-2022")</f>
        <v>13590</v>
      </c>
      <c r="E6930" t="s">
        <v>13590</v>
      </c>
      <c r="F6930" t="s">
        <v>13591</v>
      </c>
      <c r="G6930" t="s">
        <v>14</v>
      </c>
      <c r="H6930">
             </c>
      <c r="I6930" t="s">
        <v>14</v>
      </c>
      <c r="J6930" t="s">
        <v>242</v>
      </c>
      <c r="K6930" t="s">
        <v>14</v>
      </c>
      <c r="L6930" t="s">
        <v>20</v>
      </c>
      <c r="M6930" t="s">
        <v>13338</v>
      </c>
      <c r="N6930" t="s">
        <v>14</v>
      </c>
    </row>
    <row r="6931" x14ac:dyDescent="0.25">
      <c r="A6931" t="n">
        <v>25</v>
      </c>
      <c r="B6931" t="s">
        <v>14</v>
      </c>
      <c r="C6931" t="s">
        <v>51</v>
      </c>
      <c r="D6931" s="2" t="s">
        <f>=HYPERLINK("https://main.knesset.gov.il/APPS/legislation/main/bills/2196899", "הצעת חוק קליטת חיילים משוחררים (תיקון - הוקרת שירות הלוחם והלוחמת), התשפ""ג-2022")</f>
        <v>13592</v>
      </c>
      <c r="E6931" t="s">
        <v>13592</v>
      </c>
      <c r="F6931" t="s">
        <v>13593</v>
      </c>
      <c r="G6931" t="s">
        <v>14</v>
      </c>
      <c r="H6931">
             </c>
      <c r="I6931" t="s">
        <v>14</v>
      </c>
      <c r="J6931" t="s">
        <v>242</v>
      </c>
      <c r="K6931" t="s">
        <v>14</v>
      </c>
      <c r="L6931" t="s">
        <v>20</v>
      </c>
      <c r="M6931" t="s">
        <v>13338</v>
      </c>
      <c r="N6931" t="s">
        <v>14</v>
      </c>
    </row>
    <row r="6932" x14ac:dyDescent="0.25">
      <c r="A6932" t="n">
        <v>25</v>
      </c>
      <c r="B6932" t="s">
        <v>14</v>
      </c>
      <c r="C6932" t="s">
        <v>51</v>
      </c>
      <c r="D6932" s="2" t="s">
        <f>=HYPERLINK("https://main.knesset.gov.il/APPS/legislation/main/bills/2195754", "הצעת חוק להקפאת כספים ששילמה הרשות הפלסטינית בזיקה לטרור מהכספים המועברים אליה מממשלת ישראל (תיקון - חילוט הכספים וניהולם), התשפ""ג-2022")</f>
        <v>13594</v>
      </c>
      <c r="E6932" t="s">
        <v>13594</v>
      </c>
      <c r="F6932" t="s">
        <v>13595</v>
      </c>
      <c r="G6932" t="s">
        <v>14</v>
      </c>
      <c r="H6932">
             </c>
      <c r="I6932" t="s">
        <v>14</v>
      </c>
      <c r="J6932" t="s">
        <v>242</v>
      </c>
      <c r="K6932" t="s">
        <v>14</v>
      </c>
      <c r="L6932" t="s">
        <v>20</v>
      </c>
      <c r="M6932" t="s">
        <v>13338</v>
      </c>
      <c r="N6932" t="s">
        <v>14</v>
      </c>
    </row>
    <row r="6933" x14ac:dyDescent="0.25">
      <c r="A6933" t="n">
        <v>25</v>
      </c>
      <c r="B6933" t="s">
        <v>14</v>
      </c>
      <c r="C6933" t="s">
        <v>51</v>
      </c>
      <c r="D6933" s="2" t="s">
        <f>=HYPERLINK("https://main.knesset.gov.il/APPS/legislation/main/bills/2197645", "הצעת חוק עבודת נשים (תיקון - הגנה על עובדת מפני הליכי פיטורים), התשפ""ג-2022")</f>
        <v>13596</v>
      </c>
      <c r="E6933" t="s">
        <v>13596</v>
      </c>
      <c r="F6933" t="s">
        <v>13597</v>
      </c>
      <c r="G6933" t="s">
        <v>14</v>
      </c>
      <c r="H6933">
             </c>
      <c r="I6933" t="s">
        <v>14</v>
      </c>
      <c r="J6933" t="s">
        <v>242</v>
      </c>
      <c r="K6933" t="s">
        <v>14</v>
      </c>
      <c r="L6933" t="s">
        <v>20</v>
      </c>
      <c r="M6933" t="s">
        <v>13338</v>
      </c>
      <c r="N6933" t="s">
        <v>14</v>
      </c>
    </row>
    <row r="6934" x14ac:dyDescent="0.25">
      <c r="A6934" t="n">
        <v>25</v>
      </c>
      <c r="B6934" t="s">
        <v>14</v>
      </c>
      <c r="C6934" t="s">
        <v>51</v>
      </c>
      <c r="D6934" s="2" t="s">
        <f>=HYPERLINK("https://main.knesset.gov.il/APPS/legislation/main/bills/2196831", "הצעת חוק יסודות התקציב (תיקון - הפחתת תקציב או תמיכה בשל פעילות נגד עקרונות המדינה של עובד או נושא משרה), התשפ""ג-2022")</f>
        <v>13598</v>
      </c>
      <c r="E6934" t="s">
        <v>13598</v>
      </c>
      <c r="F6934" t="s">
        <v>13599</v>
      </c>
      <c r="G6934" t="s">
        <v>14</v>
      </c>
      <c r="H6934">
             </c>
      <c r="I6934" t="s">
        <v>14</v>
      </c>
      <c r="J6934" t="s">
        <v>242</v>
      </c>
      <c r="K6934" t="s">
        <v>14</v>
      </c>
      <c r="L6934" t="s">
        <v>20</v>
      </c>
      <c r="M6934" t="s">
        <v>13338</v>
      </c>
      <c r="N6934" t="s">
        <v>14</v>
      </c>
    </row>
    <row r="6935" x14ac:dyDescent="0.25">
      <c r="A6935" t="n">
        <v>25</v>
      </c>
      <c r="B6935" t="s">
        <v>14</v>
      </c>
      <c r="C6935" t="s">
        <v>51</v>
      </c>
      <c r="D6935" s="2" t="s">
        <f>=HYPERLINK("https://main.knesset.gov.il/APPS/legislation/main/bills/2197671", "הצעת חוק-יסוד: כבוד האדם וחירותו (תיקון - פגיעה בזכויות)")</f>
        <v>13128</v>
      </c>
      <c r="E6935" t="s">
        <v>13128</v>
      </c>
      <c r="F6935" t="s">
        <v>13600</v>
      </c>
      <c r="G6935" t="s">
        <v>14</v>
      </c>
      <c r="H6935">
             </c>
      <c r="I6935" t="s">
        <v>14</v>
      </c>
      <c r="J6935" t="s">
        <v>242</v>
      </c>
      <c r="K6935" t="s">
        <v>14</v>
      </c>
      <c r="L6935" t="s">
        <v>20</v>
      </c>
      <c r="M6935" t="s">
        <v>13338</v>
      </c>
      <c r="N6935" t="s">
        <v>14</v>
      </c>
    </row>
    <row r="6936" x14ac:dyDescent="0.25">
      <c r="A6936" t="n">
        <v>25</v>
      </c>
      <c r="B6936" t="s">
        <v>14</v>
      </c>
      <c r="C6936" t="s">
        <v>51</v>
      </c>
      <c r="D6936" s="2" t="s">
        <f>=HYPERLINK("https://main.knesset.gov.il/APPS/legislation/main/bills/2197126", "הצעת חוק-יסוד: כבוד האדם וחירותו (תיקון - פגיעה בזכויות) ")</f>
        <v>13601</v>
      </c>
      <c r="E6936" t="s">
        <v>13601</v>
      </c>
      <c r="F6936" t="s">
        <v>13602</v>
      </c>
      <c r="G6936" t="s">
        <v>14</v>
      </c>
      <c r="H6936">
             </c>
      <c r="I6936" t="s">
        <v>14</v>
      </c>
      <c r="J6936" t="s">
        <v>242</v>
      </c>
      <c r="K6936" t="s">
        <v>14</v>
      </c>
      <c r="L6936" t="s">
        <v>20</v>
      </c>
      <c r="M6936" t="s">
        <v>13338</v>
      </c>
      <c r="N6936" t="s">
        <v>14</v>
      </c>
    </row>
    <row r="6937" x14ac:dyDescent="0.25">
      <c r="A6937" t="n">
        <v>25</v>
      </c>
      <c r="B6937" t="s">
        <v>14</v>
      </c>
      <c r="C6937" t="s">
        <v>51</v>
      </c>
      <c r="D6937" s="2" t="s">
        <f>=HYPERLINK("https://main.knesset.gov.il/APPS/legislation/main/bills/2197682", "הצעת חוק התכנון והבנייה (תיקון - שומה מתוקנת מוסכמת), התשפ""ג-2022")</f>
        <v>13603</v>
      </c>
      <c r="E6937" t="s">
        <v>13603</v>
      </c>
      <c r="F6937" t="s">
        <v>13604</v>
      </c>
      <c r="G6937" t="s">
        <v>14</v>
      </c>
      <c r="H6937">
             </c>
      <c r="I6937" t="s">
        <v>14</v>
      </c>
      <c r="J6937" t="s">
        <v>242</v>
      </c>
      <c r="K6937" t="s">
        <v>14</v>
      </c>
      <c r="L6937" t="s">
        <v>20</v>
      </c>
      <c r="M6937" t="s">
        <v>13338</v>
      </c>
      <c r="N6937" t="s">
        <v>14</v>
      </c>
    </row>
    <row r="6938" x14ac:dyDescent="0.25">
      <c r="A6938" t="n">
        <v>25</v>
      </c>
      <c r="B6938" t="s">
        <v>14</v>
      </c>
      <c r="C6938" t="s">
        <v>51</v>
      </c>
      <c r="D6938" s="2" t="s">
        <f>=HYPERLINK("https://main.knesset.gov.il/APPS/legislation/main/bills/2197751", "הצעת חוק לתיקון פקודת המסים (גבייה) (חובת יידוע החייב), התשפ""ג-2022")</f>
        <v>13605</v>
      </c>
      <c r="E6938" t="s">
        <v>13605</v>
      </c>
      <c r="F6938" t="s">
        <v>13606</v>
      </c>
      <c r="G6938" t="s">
        <v>14</v>
      </c>
      <c r="H6938">
             </c>
      <c r="I6938" t="s">
        <v>14</v>
      </c>
      <c r="J6938" t="s">
        <v>242</v>
      </c>
      <c r="K6938" t="s">
        <v>14</v>
      </c>
      <c r="L6938" t="s">
        <v>20</v>
      </c>
      <c r="M6938" t="s">
        <v>13338</v>
      </c>
      <c r="N6938" t="s">
        <v>14</v>
      </c>
    </row>
    <row r="6939" x14ac:dyDescent="0.25">
      <c r="A6939" t="n">
        <v>25</v>
      </c>
      <c r="B6939" t="s">
        <v>14</v>
      </c>
      <c r="C6939" t="s">
        <v>51</v>
      </c>
      <c r="D6939" s="2" t="s">
        <f>=HYPERLINK("https://main.knesset.gov.il/APPS/legislation/main/bills/2196015", "הצעת חוק הסכמים קיבוציים (תיקון - בחירות לוועד עובדים ולארגון יציג), התשפ""ג-2022")</f>
        <v>13607</v>
      </c>
      <c r="E6939" t="s">
        <v>13607</v>
      </c>
      <c r="F6939" t="s">
        <v>13608</v>
      </c>
      <c r="G6939" t="s">
        <v>14</v>
      </c>
      <c r="H6939">
             </c>
      <c r="I6939" t="s">
        <v>14</v>
      </c>
      <c r="J6939" t="s">
        <v>242</v>
      </c>
      <c r="K6939" t="s">
        <v>14</v>
      </c>
      <c r="L6939" t="s">
        <v>20</v>
      </c>
      <c r="M6939" t="s">
        <v>13338</v>
      </c>
      <c r="N6939" t="s">
        <v>14</v>
      </c>
    </row>
    <row r="6940" x14ac:dyDescent="0.25">
      <c r="A6940" t="n">
        <v>25</v>
      </c>
      <c r="B6940" t="s">
        <v>14</v>
      </c>
      <c r="C6940" t="s">
        <v>51</v>
      </c>
      <c r="D6940" s="2" t="s">
        <f>=HYPERLINK("https://main.knesset.gov.il/APPS/legislation/main/bills/2197019", "הצעת חוק התגמולים לנפגעי פעולות איבה (תיקון - תביעה נגד מפגע), התשפ""ג-2022")</f>
        <v>13609</v>
      </c>
      <c r="E6940" t="s">
        <v>13609</v>
      </c>
      <c r="F6940" t="s">
        <v>13610</v>
      </c>
      <c r="G6940" t="s">
        <v>14</v>
      </c>
      <c r="H6940">
             </c>
      <c r="I6940" t="s">
        <v>14</v>
      </c>
      <c r="J6940" t="s">
        <v>242</v>
      </c>
      <c r="K6940" t="s">
        <v>14</v>
      </c>
      <c r="L6940" t="s">
        <v>20</v>
      </c>
      <c r="M6940" t="s">
        <v>13338</v>
      </c>
      <c r="N6940" t="s">
        <v>14</v>
      </c>
    </row>
    <row r="6941" x14ac:dyDescent="0.25">
      <c r="A6941" t="n">
        <v>25</v>
      </c>
      <c r="B6941" t="s">
        <v>14</v>
      </c>
      <c r="C6941" t="s">
        <v>51</v>
      </c>
      <c r="D6941" s="2" t="s">
        <f>=HYPERLINK("https://main.knesset.gov.il/APPS/legislation/main/bills/2197920", "הצעת חוק בתי המשפט (תיקון - שקיפות הליכים משפטיים), התשפ""ג-2022")</f>
        <v>13611</v>
      </c>
      <c r="E6941" t="s">
        <v>13611</v>
      </c>
      <c r="F6941" t="s">
        <v>13612</v>
      </c>
      <c r="G6941" t="s">
        <v>14</v>
      </c>
      <c r="H6941">
             </c>
      <c r="I6941" t="s">
        <v>14</v>
      </c>
      <c r="J6941" t="s">
        <v>242</v>
      </c>
      <c r="K6941" t="s">
        <v>14</v>
      </c>
      <c r="L6941" t="s">
        <v>20</v>
      </c>
      <c r="M6941" t="s">
        <v>13338</v>
      </c>
      <c r="N6941" t="s">
        <v>14</v>
      </c>
    </row>
    <row r="6942" x14ac:dyDescent="0.25">
      <c r="A6942" t="n">
        <v>25</v>
      </c>
      <c r="B6942" t="s">
        <v>14</v>
      </c>
      <c r="C6942" t="s">
        <v>51</v>
      </c>
      <c r="D6942" s="2" t="s">
        <f>=HYPERLINK("https://main.knesset.gov.il/APPS/legislation/main/bills/2196739", "הצעת חוק בתי המשפט (תיקון - שקיפות הליכים משפטיים), התשפ""ג-2022")</f>
        <v>13611</v>
      </c>
      <c r="E6942" t="s">
        <v>13611</v>
      </c>
      <c r="F6942" t="s">
        <v>13613</v>
      </c>
      <c r="G6942" t="s">
        <v>14</v>
      </c>
      <c r="H6942">
             </c>
      <c r="I6942" t="s">
        <v>14</v>
      </c>
      <c r="J6942" t="s">
        <v>242</v>
      </c>
      <c r="K6942" t="s">
        <v>14</v>
      </c>
      <c r="L6942" t="s">
        <v>20</v>
      </c>
      <c r="M6942" t="s">
        <v>13338</v>
      </c>
      <c r="N6942" t="s">
        <v>14</v>
      </c>
    </row>
    <row r="6943" x14ac:dyDescent="0.25">
      <c r="A6943" t="n">
        <v>25</v>
      </c>
      <c r="B6943" t="s">
        <v>14</v>
      </c>
      <c r="C6943" t="s">
        <v>51</v>
      </c>
      <c r="D6943" s="2" t="s">
        <f>=HYPERLINK("https://main.knesset.gov.il/APPS/legislation/main/bills/2197658", "הצעת חוק עוסק זעיר, התשפ""ג-2022")</f>
        <v>13614</v>
      </c>
      <c r="E6943" t="s">
        <v>13614</v>
      </c>
      <c r="F6943" t="s">
        <v>13615</v>
      </c>
      <c r="G6943" t="s">
        <v>14</v>
      </c>
      <c r="H6943">
             </c>
      <c r="I6943" t="s">
        <v>14</v>
      </c>
      <c r="J6943" t="s">
        <v>242</v>
      </c>
      <c r="K6943" t="s">
        <v>14</v>
      </c>
      <c r="L6943" t="s">
        <v>20</v>
      </c>
      <c r="M6943" t="s">
        <v>13338</v>
      </c>
      <c r="N6943" t="s">
        <v>14</v>
      </c>
    </row>
    <row r="6944" x14ac:dyDescent="0.25">
      <c r="A6944" t="n">
        <v>25</v>
      </c>
      <c r="B6944" t="s">
        <v>14</v>
      </c>
      <c r="C6944" t="s">
        <v>51</v>
      </c>
      <c r="D6944" s="2" t="s">
        <f>=HYPERLINK("https://main.knesset.gov.il/APPS/legislation/main/bills/2196995", "הצעת חוק עוסק זעיר, התשפ""ג-2022 ")</f>
        <v>13616</v>
      </c>
      <c r="E6944" t="s">
        <v>13616</v>
      </c>
      <c r="F6944" t="s">
        <v>13617</v>
      </c>
      <c r="G6944" t="s">
        <v>14</v>
      </c>
      <c r="H6944">
             </c>
      <c r="I6944" t="s">
        <v>14</v>
      </c>
      <c r="J6944" t="s">
        <v>242</v>
      </c>
      <c r="K6944" t="s">
        <v>14</v>
      </c>
      <c r="L6944" t="s">
        <v>20</v>
      </c>
      <c r="M6944" t="s">
        <v>13338</v>
      </c>
      <c r="N6944" t="s">
        <v>14</v>
      </c>
    </row>
    <row r="6945" x14ac:dyDescent="0.25">
      <c r="A6945" t="n">
        <v>25</v>
      </c>
      <c r="B6945" t="s">
        <v>14</v>
      </c>
      <c r="C6945" t="s">
        <v>51</v>
      </c>
      <c r="D6945" s="2" t="s">
        <f>=HYPERLINK("https://main.knesset.gov.il/APPS/legislation/main/bills/2196813", "הצעת חוק עוסק זעיר, התשפ""ג-2022")</f>
        <v>13614</v>
      </c>
      <c r="E6945" t="s">
        <v>13614</v>
      </c>
      <c r="F6945" t="s">
        <v>13618</v>
      </c>
      <c r="G6945" t="s">
        <v>14</v>
      </c>
      <c r="H6945">
             </c>
      <c r="I6945" t="s">
        <v>14</v>
      </c>
      <c r="J6945" t="s">
        <v>242</v>
      </c>
      <c r="K6945" t="s">
        <v>14</v>
      </c>
      <c r="L6945" t="s">
        <v>20</v>
      </c>
      <c r="M6945" t="s">
        <v>13338</v>
      </c>
      <c r="N6945" t="s">
        <v>14</v>
      </c>
    </row>
    <row r="6946" x14ac:dyDescent="0.25">
      <c r="A6946" t="n">
        <v>25</v>
      </c>
      <c r="B6946" t="s">
        <v>14</v>
      </c>
      <c r="C6946" t="s">
        <v>51</v>
      </c>
      <c r="D6946" s="2" t="s">
        <f>=HYPERLINK("https://main.knesset.gov.il/APPS/legislation/main/bills/2195979", "הצעת חוק הביטוח הלאומי (תיקון - זכאות לדמי אבטלה מגיל 19), התשפ""ג-2022")</f>
        <v>13619</v>
      </c>
      <c r="E6946" t="s">
        <v>13619</v>
      </c>
      <c r="F6946" t="s">
        <v>13620</v>
      </c>
      <c r="G6946" t="s">
        <v>14</v>
      </c>
      <c r="H6946">
             </c>
      <c r="I6946" t="s">
        <v>14</v>
      </c>
      <c r="J6946" t="s">
        <v>242</v>
      </c>
      <c r="K6946" t="s">
        <v>14</v>
      </c>
      <c r="L6946" t="s">
        <v>20</v>
      </c>
      <c r="M6946" t="s">
        <v>13338</v>
      </c>
      <c r="N6946" t="s">
        <v>14</v>
      </c>
    </row>
    <row r="6947" x14ac:dyDescent="0.25">
      <c r="A6947" t="n">
        <v>25</v>
      </c>
      <c r="B6947" t="s">
        <v>14</v>
      </c>
      <c r="C6947" t="s">
        <v>51</v>
      </c>
      <c r="D6947" s="2" t="s">
        <f>=HYPERLINK("https://main.knesset.gov.il/APPS/legislation/main/bills/2195984", "הצעת חוק לתיקון פקודת הראיות (דרישת הסיוע להרשעה על פי הודיה), התשפ""ג-2022")</f>
        <v>13621</v>
      </c>
      <c r="E6947" t="s">
        <v>13621</v>
      </c>
      <c r="F6947" t="s">
        <v>13622</v>
      </c>
      <c r="G6947" t="s">
        <v>14</v>
      </c>
      <c r="H6947">
             </c>
      <c r="I6947" t="s">
        <v>14</v>
      </c>
      <c r="J6947" t="s">
        <v>242</v>
      </c>
      <c r="K6947" t="s">
        <v>14</v>
      </c>
      <c r="L6947" t="s">
        <v>20</v>
      </c>
      <c r="M6947" t="s">
        <v>13338</v>
      </c>
      <c r="N6947" t="s">
        <v>14</v>
      </c>
    </row>
    <row r="6948" x14ac:dyDescent="0.25">
      <c r="A6948" t="n">
        <v>25</v>
      </c>
      <c r="B6948" t="s">
        <v>14</v>
      </c>
      <c r="C6948" t="s">
        <v>51</v>
      </c>
      <c r="D6948" s="2" t="s">
        <f>=HYPERLINK("https://main.knesset.gov.il/APPS/legislation/main/bills/2196592", "הצעת חוק מעמד השפה הערבית כשפה רשמית, התשפ""ג-2022")</f>
        <v>13623</v>
      </c>
      <c r="E6948" t="s">
        <v>13623</v>
      </c>
      <c r="F6948" t="s">
        <v>13624</v>
      </c>
      <c r="G6948" t="s">
        <v>14</v>
      </c>
      <c r="H6948">
             </c>
      <c r="I6948" t="s">
        <v>14</v>
      </c>
      <c r="J6948" t="s">
        <v>242</v>
      </c>
      <c r="K6948" t="s">
        <v>14</v>
      </c>
      <c r="L6948" t="s">
        <v>20</v>
      </c>
      <c r="M6948" t="s">
        <v>13338</v>
      </c>
      <c r="N6948" t="s">
        <v>14</v>
      </c>
    </row>
    <row r="6949" x14ac:dyDescent="0.25">
      <c r="A6949" t="n">
        <v>25</v>
      </c>
      <c r="B6949" t="s">
        <v>14</v>
      </c>
      <c r="C6949" t="s">
        <v>51</v>
      </c>
      <c r="D6949" s="2" t="s">
        <f>=HYPERLINK("https://main.knesset.gov.il/APPS/legislation/main/bills/2196080", "הצעת חוק הפיקוח על מעונות (תיקון - תנאי כשירות לעובדי מעון), התשפ""ג-2022")</f>
        <v>13625</v>
      </c>
      <c r="E6949" t="s">
        <v>13625</v>
      </c>
      <c r="F6949" t="s">
        <v>13626</v>
      </c>
      <c r="G6949" t="s">
        <v>14</v>
      </c>
      <c r="H6949">
             </c>
      <c r="I6949" t="s">
        <v>14</v>
      </c>
      <c r="J6949" t="s">
        <v>242</v>
      </c>
      <c r="K6949" t="s">
        <v>14</v>
      </c>
      <c r="L6949" t="s">
        <v>20</v>
      </c>
      <c r="M6949" t="s">
        <v>13338</v>
      </c>
      <c r="N6949" t="s">
        <v>14</v>
      </c>
    </row>
    <row r="6950" x14ac:dyDescent="0.25">
      <c r="A6950" t="n">
        <v>25</v>
      </c>
      <c r="B6950" t="s">
        <v>14</v>
      </c>
      <c r="C6950" t="s">
        <v>51</v>
      </c>
      <c r="D6950" s="2" t="s">
        <f>=HYPERLINK("https://main.knesset.gov.il/APPS/legislation/main/bills/2197488", "הצעת חוק הביטוח הלאומי (תיקון - דמי פגיעה לעובד עצמאי), התשפ""ג-2022")</f>
        <v>13627</v>
      </c>
      <c r="E6950" t="s">
        <v>13627</v>
      </c>
      <c r="F6950" t="s">
        <v>13628</v>
      </c>
      <c r="G6950" t="s">
        <v>14</v>
      </c>
      <c r="H6950">
             </c>
      <c r="I6950" t="s">
        <v>14</v>
      </c>
      <c r="J6950" t="s">
        <v>242</v>
      </c>
      <c r="K6950" t="s">
        <v>14</v>
      </c>
      <c r="L6950" t="s">
        <v>20</v>
      </c>
      <c r="M6950" t="s">
        <v>13338</v>
      </c>
      <c r="N6950" t="s">
        <v>14</v>
      </c>
    </row>
    <row r="6951" x14ac:dyDescent="0.25">
      <c r="A6951" t="n">
        <v>25</v>
      </c>
      <c r="B6951" t="s">
        <v>14</v>
      </c>
      <c r="C6951" t="s">
        <v>51</v>
      </c>
      <c r="D6951" s="2" t="s">
        <f>=HYPERLINK("https://main.knesset.gov.il/APPS/legislation/main/bills/2197615", "הצעת חוק הביטוח הלאומי (תיקון - דמי פגיעה לעובד עצמאי), התשפ""ג-2022")</f>
        <v>13627</v>
      </c>
      <c r="E6951" t="s">
        <v>13627</v>
      </c>
      <c r="F6951" t="s">
        <v>13629</v>
      </c>
      <c r="G6951" t="s">
        <v>14</v>
      </c>
      <c r="H6951">
             </c>
      <c r="I6951" t="s">
        <v>14</v>
      </c>
      <c r="J6951" t="s">
        <v>242</v>
      </c>
      <c r="K6951" t="s">
        <v>14</v>
      </c>
      <c r="L6951" t="s">
        <v>20</v>
      </c>
      <c r="M6951" t="s">
        <v>13338</v>
      </c>
      <c r="N6951" t="s">
        <v>14</v>
      </c>
    </row>
    <row r="6952" x14ac:dyDescent="0.25">
      <c r="A6952" t="n">
        <v>25</v>
      </c>
      <c r="B6952" t="s">
        <v>14</v>
      </c>
      <c r="C6952" t="s">
        <v>51</v>
      </c>
      <c r="D6952" s="2" t="s">
        <f>=HYPERLINK("https://main.knesset.gov.il/APPS/legislation/main/bills/2197554", "הצעת חוק להכרה, הנצחה, מחקר ותיעוד של פרשת ילדי תימן, המזרח והבלקן, התשפ""ג-2022")</f>
        <v>13630</v>
      </c>
      <c r="E6952" t="s">
        <v>13630</v>
      </c>
      <c r="F6952" t="s">
        <v>13631</v>
      </c>
      <c r="G6952" t="s">
        <v>14</v>
      </c>
      <c r="H6952">
             </c>
      <c r="I6952" t="s">
        <v>14</v>
      </c>
      <c r="J6952" t="s">
        <v>242</v>
      </c>
      <c r="K6952" t="s">
        <v>14</v>
      </c>
      <c r="L6952" t="s">
        <v>20</v>
      </c>
      <c r="M6952" t="s">
        <v>13338</v>
      </c>
      <c r="N6952" t="s">
        <v>14</v>
      </c>
    </row>
    <row r="6953" x14ac:dyDescent="0.25">
      <c r="A6953" t="n">
        <v>25</v>
      </c>
      <c r="B6953" t="s">
        <v>14</v>
      </c>
      <c r="C6953" t="s">
        <v>51</v>
      </c>
      <c r="D6953" s="2" t="s">
        <f>=HYPERLINK("https://main.knesset.gov.il/APPS/legislation/main/bills/2197553", "הצעת חוק הכשרות המשפטית והאפוטרופסות (תיקון - שלילת אפוטרופסות מהורה שהורשע ברצח או בנסיון לרצח), התשפ""ג-2022")</f>
        <v>13632</v>
      </c>
      <c r="E6953" t="s">
        <v>13632</v>
      </c>
      <c r="F6953" t="s">
        <v>13633</v>
      </c>
      <c r="G6953" t="s">
        <v>14</v>
      </c>
      <c r="H6953">
             </c>
      <c r="I6953" t="s">
        <v>14</v>
      </c>
      <c r="J6953" t="s">
        <v>242</v>
      </c>
      <c r="K6953" t="s">
        <v>14</v>
      </c>
      <c r="L6953" t="s">
        <v>20</v>
      </c>
      <c r="M6953" t="s">
        <v>13338</v>
      </c>
      <c r="N6953" t="s">
        <v>14</v>
      </c>
    </row>
    <row r="6954" x14ac:dyDescent="0.25">
      <c r="A6954" t="n">
        <v>25</v>
      </c>
      <c r="B6954" t="s">
        <v>14</v>
      </c>
      <c r="C6954" t="s">
        <v>51</v>
      </c>
      <c r="D6954" s="2" t="s">
        <f>=HYPERLINK("https://main.knesset.gov.il/APPS/legislation/main/bills/2197545", "הצעת חוק המפלגות (תיקון - הורדת גיל ההתפקדות), התשפ""ג-2022")</f>
        <v>13634</v>
      </c>
      <c r="E6954" t="s">
        <v>13634</v>
      </c>
      <c r="F6954" t="s">
        <v>13635</v>
      </c>
      <c r="G6954" t="s">
        <v>14</v>
      </c>
      <c r="H6954">
             </c>
      <c r="I6954" t="s">
        <v>14</v>
      </c>
      <c r="J6954" t="s">
        <v>242</v>
      </c>
      <c r="K6954" t="s">
        <v>14</v>
      </c>
      <c r="L6954" t="s">
        <v>20</v>
      </c>
      <c r="M6954" t="s">
        <v>13338</v>
      </c>
      <c r="N6954" t="s">
        <v>14</v>
      </c>
    </row>
    <row r="6955" x14ac:dyDescent="0.25">
      <c r="A6955" t="n">
        <v>25</v>
      </c>
      <c r="B6955" t="s">
        <v>14</v>
      </c>
      <c r="C6955" t="s">
        <v>51</v>
      </c>
      <c r="D6955" s="2" t="s">
        <f>=HYPERLINK("https://main.knesset.gov.il/APPS/legislation/main/bills/2197518", "הצעת חוק להבטחת פיצוי לתושבי גבעת עמל, התשפ""ג-2022")</f>
        <v>13636</v>
      </c>
      <c r="E6955" t="s">
        <v>13636</v>
      </c>
      <c r="F6955" t="s">
        <v>13637</v>
      </c>
      <c r="G6955" t="s">
        <v>14</v>
      </c>
      <c r="H6955">
             </c>
      <c r="I6955" t="s">
        <v>14</v>
      </c>
      <c r="J6955" t="s">
        <v>242</v>
      </c>
      <c r="K6955" t="s">
        <v>14</v>
      </c>
      <c r="L6955" t="s">
        <v>20</v>
      </c>
      <c r="M6955" t="s">
        <v>13338</v>
      </c>
      <c r="N6955" t="s">
        <v>14</v>
      </c>
    </row>
    <row r="6956" x14ac:dyDescent="0.25">
      <c r="A6956" t="n">
        <v>25</v>
      </c>
      <c r="B6956" t="s">
        <v>14</v>
      </c>
      <c r="C6956" t="s">
        <v>51</v>
      </c>
      <c r="D6956" s="2" t="s">
        <f>=HYPERLINK("https://main.knesset.gov.il/APPS/legislation/main/bills/2197513", "הצעת חוק הנכים (תגמולים ושיקום) (תיקון - הארכת תקופת הערעור על החלטת קצין התגמולים), התשפ""ג-2022")</f>
        <v>13638</v>
      </c>
      <c r="E6956" t="s">
        <v>13638</v>
      </c>
      <c r="F6956" t="s">
        <v>13639</v>
      </c>
      <c r="G6956" t="s">
        <v>14</v>
      </c>
      <c r="H6956">
             </c>
      <c r="I6956" t="s">
        <v>14</v>
      </c>
      <c r="J6956" t="s">
        <v>242</v>
      </c>
      <c r="K6956" t="s">
        <v>14</v>
      </c>
      <c r="L6956" t="s">
        <v>20</v>
      </c>
      <c r="M6956" t="s">
        <v>13338</v>
      </c>
      <c r="N6956" t="s">
        <v>14</v>
      </c>
    </row>
    <row r="6957" x14ac:dyDescent="0.25">
      <c r="A6957" t="n">
        <v>25</v>
      </c>
      <c r="B6957" t="s">
        <v>14</v>
      </c>
      <c r="C6957" t="s">
        <v>51</v>
      </c>
      <c r="D6957" s="2" t="s">
        <f>=HYPERLINK("https://main.knesset.gov.il/APPS/legislation/main/bills/2195926", "הצעת חוק לתיקון פקודת מסי העירייה ומסי הממשלה (פטורין) (החלת חובת תשלום ארנונה על נכסי ממשלה המצויים באזור), התשפ""ג-2022")</f>
        <v>13640</v>
      </c>
      <c r="E6957" t="s">
        <v>13640</v>
      </c>
      <c r="F6957" t="s">
        <v>13641</v>
      </c>
      <c r="G6957" t="s">
        <v>14</v>
      </c>
      <c r="H6957">
             </c>
      <c r="I6957" t="s">
        <v>14</v>
      </c>
      <c r="J6957" t="s">
        <v>242</v>
      </c>
      <c r="K6957" t="s">
        <v>14</v>
      </c>
      <c r="L6957" t="s">
        <v>20</v>
      </c>
      <c r="M6957" t="s">
        <v>13338</v>
      </c>
      <c r="N6957" t="s">
        <v>14</v>
      </c>
    </row>
    <row r="6958" x14ac:dyDescent="0.25">
      <c r="A6958" t="n">
        <v>25</v>
      </c>
      <c r="B6958" t="s">
        <v>14</v>
      </c>
      <c r="C6958" t="s">
        <v>51</v>
      </c>
      <c r="D6958" s="2" t="s">
        <f>=HYPERLINK("https://main.knesset.gov.il/APPS/legislation/main/bills/2195921", "הצעת חוק הגנת השכר (תיקון - פיצויי פיטורים בזמן אמת), התשפ""ג-2022")</f>
        <v>13642</v>
      </c>
      <c r="E6958" t="s">
        <v>13642</v>
      </c>
      <c r="F6958" t="s">
        <v>13643</v>
      </c>
      <c r="G6958" t="s">
        <v>14</v>
      </c>
      <c r="H6958">
             </c>
      <c r="I6958" t="s">
        <v>14</v>
      </c>
      <c r="J6958" t="s">
        <v>242</v>
      </c>
      <c r="K6958" t="s">
        <v>14</v>
      </c>
      <c r="L6958" t="s">
        <v>20</v>
      </c>
      <c r="M6958" t="s">
        <v>13338</v>
      </c>
      <c r="N6958" t="s">
        <v>14</v>
      </c>
    </row>
    <row r="6959" x14ac:dyDescent="0.25">
      <c r="A6959" t="n">
        <v>25</v>
      </c>
      <c r="B6959" t="s">
        <v>14</v>
      </c>
      <c r="C6959" t="s">
        <v>51</v>
      </c>
      <c r="D6959" s="2" t="s">
        <f>=HYPERLINK("https://main.knesset.gov.il/APPS/legislation/main/bills/2195919", "הצעת חוק האזרחים הוותיקים (תיקון - הנחה בארנונה לאזרח ותיק המתגורר בדירה שאינה בהחזקתו), התשפ""ג-2022")</f>
        <v>13644</v>
      </c>
      <c r="E6959" t="s">
        <v>13644</v>
      </c>
      <c r="F6959" t="s">
        <v>13645</v>
      </c>
      <c r="G6959" t="s">
        <v>14</v>
      </c>
      <c r="H6959">
             </c>
      <c r="I6959" t="s">
        <v>14</v>
      </c>
      <c r="J6959" t="s">
        <v>242</v>
      </c>
      <c r="K6959" t="s">
        <v>14</v>
      </c>
      <c r="L6959" t="s">
        <v>20</v>
      </c>
      <c r="M6959" t="s">
        <v>13338</v>
      </c>
      <c r="N6959" t="s">
        <v>14</v>
      </c>
    </row>
    <row r="6960" x14ac:dyDescent="0.25">
      <c r="A6960" t="n">
        <v>25</v>
      </c>
      <c r="B6960" t="s">
        <v>14</v>
      </c>
      <c r="C6960" t="s">
        <v>51</v>
      </c>
      <c r="D6960" s="2" t="s">
        <f>=HYPERLINK("https://main.knesset.gov.il/APPS/legislation/main/bills/2195700", "הצעת חוק הבטחת הכנסה (תיקון - שלילת גמלה בגלל פעולת טרור), התשפ""ג-2022")</f>
        <v>13646</v>
      </c>
      <c r="E6960" t="s">
        <v>13646</v>
      </c>
      <c r="F6960" t="s">
        <v>13647</v>
      </c>
      <c r="G6960" t="s">
        <v>14</v>
      </c>
      <c r="H6960">
             </c>
      <c r="I6960" t="s">
        <v>14</v>
      </c>
      <c r="J6960" t="s">
        <v>242</v>
      </c>
      <c r="K6960" t="s">
        <v>14</v>
      </c>
      <c r="L6960" t="s">
        <v>20</v>
      </c>
      <c r="M6960" t="s">
        <v>13338</v>
      </c>
      <c r="N6960" t="s">
        <v>14</v>
      </c>
    </row>
    <row r="6961" x14ac:dyDescent="0.25">
      <c r="A6961" t="n">
        <v>25</v>
      </c>
      <c r="B6961" t="s">
        <v>14</v>
      </c>
      <c r="C6961" t="s">
        <v>51</v>
      </c>
      <c r="D6961" s="2" t="s">
        <f>=HYPERLINK("https://main.knesset.gov.il/APPS/legislation/main/bills/2197973", "הצעת חוק חינוך ממלכתי (תיקון - תקצוב מלא למוסדות מוכרים לא רשמיים), התשפ""ג-2022")</f>
        <v>13648</v>
      </c>
      <c r="E6961" t="s">
        <v>13648</v>
      </c>
      <c r="F6961" t="s">
        <v>13649</v>
      </c>
      <c r="G6961" t="s">
        <v>14</v>
      </c>
      <c r="H6961">
             </c>
      <c r="I6961" t="s">
        <v>14</v>
      </c>
      <c r="J6961" t="s">
        <v>242</v>
      </c>
      <c r="K6961" t="s">
        <v>14</v>
      </c>
      <c r="L6961" t="s">
        <v>20</v>
      </c>
      <c r="M6961" t="s">
        <v>13338</v>
      </c>
      <c r="N6961" t="s">
        <v>14</v>
      </c>
    </row>
    <row r="6962" x14ac:dyDescent="0.25">
      <c r="A6962" t="n">
        <v>25</v>
      </c>
      <c r="B6962" t="s">
        <v>14</v>
      </c>
      <c r="C6962" t="s">
        <v>51</v>
      </c>
      <c r="D6962" s="2" t="s">
        <f>=HYPERLINK("https://main.knesset.gov.il/APPS/legislation/main/bills/2195687", "הצעת חוק ויתור על חסינות מפני תביעות לשון הרע (תיקוני חקיקה), התשפ""ג-2022")</f>
        <v>13650</v>
      </c>
      <c r="E6962" t="s">
        <v>13650</v>
      </c>
      <c r="F6962" t="s">
        <v>13651</v>
      </c>
      <c r="G6962" t="s">
        <v>14</v>
      </c>
      <c r="H6962">
             </c>
      <c r="I6962" t="s">
        <v>14</v>
      </c>
      <c r="J6962" t="s">
        <v>242</v>
      </c>
      <c r="K6962" t="s">
        <v>14</v>
      </c>
      <c r="L6962" t="s">
        <v>20</v>
      </c>
      <c r="M6962" t="s">
        <v>13338</v>
      </c>
      <c r="N6962" t="s">
        <v>14</v>
      </c>
    </row>
    <row r="6963" x14ac:dyDescent="0.25">
      <c r="A6963" t="n">
        <v>25</v>
      </c>
      <c r="B6963" t="s">
        <v>14</v>
      </c>
      <c r="C6963" t="s">
        <v>51</v>
      </c>
      <c r="D6963" s="2" t="s">
        <f>=HYPERLINK("https://main.knesset.gov.il/APPS/legislation/main/bills/2195656", "הצעת חוק גיור ממלכתי בישראל, התשפ""ג-2022")</f>
        <v>13652</v>
      </c>
      <c r="E6963" t="s">
        <v>13652</v>
      </c>
      <c r="F6963" t="s">
        <v>13653</v>
      </c>
      <c r="G6963" t="s">
        <v>14</v>
      </c>
      <c r="H6963">
             </c>
      <c r="I6963" t="s">
        <v>14</v>
      </c>
      <c r="J6963" t="s">
        <v>242</v>
      </c>
      <c r="K6963" t="s">
        <v>14</v>
      </c>
      <c r="L6963" t="s">
        <v>20</v>
      </c>
      <c r="M6963" t="s">
        <v>13338</v>
      </c>
      <c r="N6963" t="s">
        <v>14</v>
      </c>
    </row>
    <row r="6964" x14ac:dyDescent="0.25">
      <c r="A6964" t="n">
        <v>25</v>
      </c>
      <c r="B6964" t="s">
        <v>14</v>
      </c>
      <c r="C6964" t="s">
        <v>51</v>
      </c>
      <c r="D6964" s="2" t="s">
        <f>=HYPERLINK("https://main.knesset.gov.il/APPS/legislation/main/bills/2197977", "הצעת חוק חינוך ממלכתי (תיקון - שיבוץ עובדי הוראה), התשפ""ג-2022")</f>
        <v>13654</v>
      </c>
      <c r="E6964" t="s">
        <v>13654</v>
      </c>
      <c r="F6964" t="s">
        <v>13655</v>
      </c>
      <c r="G6964" t="s">
        <v>14</v>
      </c>
      <c r="H6964">
             </c>
      <c r="I6964" t="s">
        <v>14</v>
      </c>
      <c r="J6964" t="s">
        <v>242</v>
      </c>
      <c r="K6964" t="s">
        <v>14</v>
      </c>
      <c r="L6964" t="s">
        <v>20</v>
      </c>
      <c r="M6964" t="s">
        <v>13338</v>
      </c>
      <c r="N6964" t="s">
        <v>14</v>
      </c>
    </row>
    <row r="6965" x14ac:dyDescent="0.25">
      <c r="A6965" t="n">
        <v>25</v>
      </c>
      <c r="B6965" t="s">
        <v>14</v>
      </c>
      <c r="C6965" t="s">
        <v>51</v>
      </c>
      <c r="D6965" s="2" t="s">
        <f>=HYPERLINK("https://main.knesset.gov.il/APPS/legislation/main/bills/2197750", "הצעת חוק מתאם ממשלתי לזכויות ילדים ונוער, התשפ""ג-2022")</f>
        <v>13656</v>
      </c>
      <c r="E6965" t="s">
        <v>13656</v>
      </c>
      <c r="F6965" t="s">
        <v>13657</v>
      </c>
      <c r="G6965" t="s">
        <v>14</v>
      </c>
      <c r="H6965">
             </c>
      <c r="I6965" t="s">
        <v>14</v>
      </c>
      <c r="J6965" t="s">
        <v>242</v>
      </c>
      <c r="K6965" t="s">
        <v>14</v>
      </c>
      <c r="L6965" t="s">
        <v>20</v>
      </c>
      <c r="M6965" t="s">
        <v>13338</v>
      </c>
      <c r="N6965" t="s">
        <v>14</v>
      </c>
    </row>
    <row r="6966" x14ac:dyDescent="0.25">
      <c r="A6966" t="n">
        <v>25</v>
      </c>
      <c r="B6966" t="s">
        <v>14</v>
      </c>
      <c r="C6966" t="s">
        <v>51</v>
      </c>
      <c r="D6966" s="2" t="s">
        <f>=HYPERLINK("https://main.knesset.gov.il/APPS/legislation/main/bills/2197749", "הצעת חוק פיצוי חייבים בשל עיכוב בהסרת הליכים (תיקוני חקיקה), התשפ""ג-2022")</f>
        <v>13658</v>
      </c>
      <c r="E6966" t="s">
        <v>13658</v>
      </c>
      <c r="F6966" t="s">
        <v>13659</v>
      </c>
      <c r="G6966" t="s">
        <v>14</v>
      </c>
      <c r="H6966">
             </c>
      <c r="I6966" t="s">
        <v>14</v>
      </c>
      <c r="J6966" t="s">
        <v>242</v>
      </c>
      <c r="K6966" t="s">
        <v>14</v>
      </c>
      <c r="L6966" t="s">
        <v>20</v>
      </c>
      <c r="M6966" t="s">
        <v>13338</v>
      </c>
      <c r="N6966" t="s">
        <v>14</v>
      </c>
    </row>
    <row r="6967" x14ac:dyDescent="0.25">
      <c r="A6967" t="n">
        <v>25</v>
      </c>
      <c r="B6967" t="s">
        <v>14</v>
      </c>
      <c r="C6967" t="s">
        <v>51</v>
      </c>
      <c r="D6967" s="2" t="s">
        <f>=HYPERLINK("https://main.knesset.gov.il/APPS/legislation/main/bills/2197748", "הצעת חוק תאגידי מים וביוב (תיקון - הפעלת שירותי מים וביוב על ידי רשות מקומית), התשפ""ג-2022")</f>
        <v>13660</v>
      </c>
      <c r="E6967" t="s">
        <v>13660</v>
      </c>
      <c r="F6967" t="s">
        <v>13661</v>
      </c>
      <c r="G6967" t="s">
        <v>14</v>
      </c>
      <c r="H6967">
             </c>
      <c r="I6967" t="s">
        <v>14</v>
      </c>
      <c r="J6967" t="s">
        <v>242</v>
      </c>
      <c r="K6967" t="s">
        <v>14</v>
      </c>
      <c r="L6967" t="s">
        <v>20</v>
      </c>
      <c r="M6967" t="s">
        <v>13338</v>
      </c>
      <c r="N6967" t="s">
        <v>14</v>
      </c>
    </row>
    <row r="6968" x14ac:dyDescent="0.25">
      <c r="A6968" t="n">
        <v>25</v>
      </c>
      <c r="B6968" t="s">
        <v>14</v>
      </c>
      <c r="C6968" t="s">
        <v>51</v>
      </c>
      <c r="D6968" s="2" t="s">
        <f>=HYPERLINK("https://main.knesset.gov.il/APPS/legislation/main/bills/2197693", "הצעת חוק הגנת הפרטיות (תיקון - מחיקה ממאגרי מידע), התשפ""ג-2022")</f>
        <v>13662</v>
      </c>
      <c r="E6968" t="s">
        <v>13662</v>
      </c>
      <c r="F6968" t="s">
        <v>13663</v>
      </c>
      <c r="G6968" t="s">
        <v>14</v>
      </c>
      <c r="H6968">
             </c>
      <c r="I6968" t="s">
        <v>14</v>
      </c>
      <c r="J6968" t="s">
        <v>242</v>
      </c>
      <c r="K6968" t="s">
        <v>14</v>
      </c>
      <c r="L6968" t="s">
        <v>20</v>
      </c>
      <c r="M6968" t="s">
        <v>13338</v>
      </c>
      <c r="N6968" t="s">
        <v>14</v>
      </c>
    </row>
    <row r="6969" x14ac:dyDescent="0.25">
      <c r="A6969" t="n">
        <v>25</v>
      </c>
      <c r="B6969" t="s">
        <v>14</v>
      </c>
      <c r="C6969" t="s">
        <v>51</v>
      </c>
      <c r="D6969" s="2" t="s">
        <f>=HYPERLINK("https://main.knesset.gov.il/APPS/legislation/main/bills/2195653", "הצעת חוק להסדרת שירותי ההשגחה על הכשרות, התשפ""ג-2022")</f>
        <v>13664</v>
      </c>
      <c r="E6969" t="s">
        <v>13664</v>
      </c>
      <c r="F6969" t="s">
        <v>13665</v>
      </c>
      <c r="G6969" t="s">
        <v>14</v>
      </c>
      <c r="H6969">
             </c>
      <c r="I6969" t="s">
        <v>14</v>
      </c>
      <c r="J6969" t="s">
        <v>242</v>
      </c>
      <c r="K6969" t="s">
        <v>14</v>
      </c>
      <c r="L6969" t="s">
        <v>20</v>
      </c>
      <c r="M6969" t="s">
        <v>13338</v>
      </c>
      <c r="N6969" t="s">
        <v>14</v>
      </c>
    </row>
    <row r="6970" x14ac:dyDescent="0.25">
      <c r="A6970" t="n">
        <v>25</v>
      </c>
      <c r="B6970" t="s">
        <v>14</v>
      </c>
      <c r="C6970" t="s">
        <v>51</v>
      </c>
      <c r="D6970" s="2" t="s">
        <f>=HYPERLINK("https://main.knesset.gov.il/APPS/legislation/main/bills/2196792", "הצעת חוק-יסוד: השפיטה (תיקון - הגבלת זכות העמידה) ")</f>
        <v>13666</v>
      </c>
      <c r="E6970" t="s">
        <v>13666</v>
      </c>
      <c r="F6970" t="s">
        <v>13667</v>
      </c>
      <c r="G6970" t="s">
        <v>14</v>
      </c>
      <c r="H6970">
             </c>
      <c r="I6970" t="s">
        <v>14</v>
      </c>
      <c r="J6970" t="s">
        <v>242</v>
      </c>
      <c r="K6970" t="s">
        <v>14</v>
      </c>
      <c r="L6970" t="s">
        <v>20</v>
      </c>
      <c r="M6970" t="s">
        <v>13338</v>
      </c>
      <c r="N6970" t="s">
        <v>14</v>
      </c>
    </row>
    <row r="6971" x14ac:dyDescent="0.25">
      <c r="A6971" t="n">
        <v>25</v>
      </c>
      <c r="B6971" t="s">
        <v>14</v>
      </c>
      <c r="C6971" t="s">
        <v>51</v>
      </c>
      <c r="D6971" s="2" t="s">
        <f>=HYPERLINK("https://main.knesset.gov.il/APPS/legislation/main/bills/2196169", "הצעת חוק-יסוד: השפיטה (תיקון - הגבלת זכות העמידה)")</f>
        <v>4540</v>
      </c>
      <c r="E6971" t="s">
        <v>4540</v>
      </c>
      <c r="F6971" t="s">
        <v>13668</v>
      </c>
      <c r="G6971" t="s">
        <v>14</v>
      </c>
      <c r="H6971">
             </c>
      <c r="I6971" t="s">
        <v>14</v>
      </c>
      <c r="J6971" t="s">
        <v>242</v>
      </c>
      <c r="K6971" t="s">
        <v>14</v>
      </c>
      <c r="L6971" t="s">
        <v>20</v>
      </c>
      <c r="M6971" t="s">
        <v>13338</v>
      </c>
      <c r="N6971" t="s">
        <v>14</v>
      </c>
    </row>
    <row r="6972" x14ac:dyDescent="0.25">
      <c r="A6972" t="n">
        <v>25</v>
      </c>
      <c r="B6972" t="s">
        <v>14</v>
      </c>
      <c r="C6972" t="s">
        <v>51</v>
      </c>
      <c r="D6972" s="2" t="s">
        <f>=HYPERLINK("https://main.knesset.gov.il/APPS/legislation/main/bills/2197668", "הצעת חוק-יסוד: השפיטה (תיקון - הגבלת זכות העמידה)")</f>
        <v>4540</v>
      </c>
      <c r="E6972" t="s">
        <v>4540</v>
      </c>
      <c r="F6972" t="s">
        <v>13669</v>
      </c>
      <c r="G6972" t="s">
        <v>14</v>
      </c>
      <c r="H6972">
             </c>
      <c r="I6972" t="s">
        <v>14</v>
      </c>
      <c r="J6972" t="s">
        <v>242</v>
      </c>
      <c r="K6972" t="s">
        <v>14</v>
      </c>
      <c r="L6972" t="s">
        <v>20</v>
      </c>
      <c r="M6972" t="s">
        <v>13338</v>
      </c>
      <c r="N6972" t="s">
        <v>14</v>
      </c>
    </row>
    <row r="6973" x14ac:dyDescent="0.25">
      <c r="A6973" t="n">
        <v>25</v>
      </c>
      <c r="B6973" t="s">
        <v>14</v>
      </c>
      <c r="C6973" t="s">
        <v>51</v>
      </c>
      <c r="D6973" s="2" t="s">
        <f>=HYPERLINK("https://main.knesset.gov.il/APPS/legislation/main/bills/2196708", "הצעת חוק-יסוד: השפיטה (תיקון - הגבלת זכות העמידה)")</f>
        <v>4540</v>
      </c>
      <c r="E6973" t="s">
        <v>4540</v>
      </c>
      <c r="F6973" t="s">
        <v>13670</v>
      </c>
      <c r="G6973" t="s">
        <v>14</v>
      </c>
      <c r="H6973">
             </c>
      <c r="I6973" t="s">
        <v>14</v>
      </c>
      <c r="J6973" t="s">
        <v>242</v>
      </c>
      <c r="K6973" t="s">
        <v>14</v>
      </c>
      <c r="L6973" t="s">
        <v>20</v>
      </c>
      <c r="M6973" t="s">
        <v>13338</v>
      </c>
      <c r="N6973" t="s">
        <v>14</v>
      </c>
    </row>
    <row r="6974" x14ac:dyDescent="0.25">
      <c r="A6974" t="n">
        <v>25</v>
      </c>
      <c r="B6974" t="s">
        <v>14</v>
      </c>
      <c r="C6974" t="s">
        <v>51</v>
      </c>
      <c r="D6974" s="2" t="s">
        <f>=HYPERLINK("https://main.knesset.gov.il/APPS/legislation/main/bills/2197761", "הצעת חוק עבודת נשים (תיקון - תקופת לידה והורות להורה יחיד), התשפ""ג-2022")</f>
        <v>6192</v>
      </c>
      <c r="E6974" t="s">
        <v>6192</v>
      </c>
      <c r="F6974" t="s">
        <v>13671</v>
      </c>
      <c r="G6974" t="s">
        <v>14</v>
      </c>
      <c r="H6974">
             </c>
      <c r="I6974" t="s">
        <v>14</v>
      </c>
      <c r="J6974" t="s">
        <v>242</v>
      </c>
      <c r="K6974" t="s">
        <v>14</v>
      </c>
      <c r="L6974" t="s">
        <v>20</v>
      </c>
      <c r="M6974" t="s">
        <v>13338</v>
      </c>
      <c r="N6974" t="s">
        <v>14</v>
      </c>
    </row>
    <row r="6975" x14ac:dyDescent="0.25">
      <c r="A6975" t="n">
        <v>25</v>
      </c>
      <c r="B6975" t="s">
        <v>14</v>
      </c>
      <c r="C6975" t="s">
        <v>51</v>
      </c>
      <c r="D6975" s="2" t="s">
        <f>=HYPERLINK("https://main.knesset.gov.il/APPS/legislation/main/bills/2196001", "הצעת חוק הביטוח לאומי (תיקון - ביטוח זכויות עצמאי שעיקר הכנסתו מעסק בהליכי חדלות פירעון), התשפ""ג-2022")</f>
        <v>13672</v>
      </c>
      <c r="E6975" t="s">
        <v>13672</v>
      </c>
      <c r="F6975" t="s">
        <v>13673</v>
      </c>
      <c r="G6975" t="s">
        <v>14</v>
      </c>
      <c r="H6975">
             </c>
      <c r="I6975" t="s">
        <v>14</v>
      </c>
      <c r="J6975" t="s">
        <v>242</v>
      </c>
      <c r="K6975" t="s">
        <v>14</v>
      </c>
      <c r="L6975" t="s">
        <v>20</v>
      </c>
      <c r="M6975" t="s">
        <v>13338</v>
      </c>
      <c r="N6975" t="s">
        <v>14</v>
      </c>
    </row>
    <row r="6976" x14ac:dyDescent="0.25">
      <c r="A6976" t="n">
        <v>25</v>
      </c>
      <c r="B6976" t="s">
        <v>14</v>
      </c>
      <c r="C6976" t="s">
        <v>51</v>
      </c>
      <c r="D6976" s="2" t="s">
        <f>=HYPERLINK("https://main.knesset.gov.il/APPS/legislation/main/bills/2196967", "הצעת חוק לצמצום השימוש במזומן (תיקון - העברת אסמכתאות לאמצעי תשלום כתנאי לאישור העסקה), התשפ""ג-2022 ")</f>
        <v>13674</v>
      </c>
      <c r="E6976" t="s">
        <v>13674</v>
      </c>
      <c r="F6976" t="s">
        <v>13675</v>
      </c>
      <c r="G6976" t="s">
        <v>14</v>
      </c>
      <c r="H6976">
             </c>
      <c r="I6976" t="s">
        <v>14</v>
      </c>
      <c r="J6976" t="s">
        <v>242</v>
      </c>
      <c r="K6976" t="s">
        <v>14</v>
      </c>
      <c r="L6976" t="s">
        <v>20</v>
      </c>
      <c r="M6976" t="s">
        <v>13338</v>
      </c>
      <c r="N6976" t="s">
        <v>14</v>
      </c>
    </row>
    <row r="6977" x14ac:dyDescent="0.25">
      <c r="A6977" t="n">
        <v>25</v>
      </c>
      <c r="B6977" t="s">
        <v>14</v>
      </c>
      <c r="C6977" t="s">
        <v>51</v>
      </c>
      <c r="D6977" s="2" t="s">
        <f>=HYPERLINK("https://main.knesset.gov.il/APPS/legislation/main/bills/2197923", "הצעת חוק קליטת חיילים משוחררים (תיקון - מימון מלא לתכנית ""ממדים ללימודים""), התשפ""ג-2022")</f>
        <v>13676</v>
      </c>
      <c r="E6977" t="s">
        <v>13676</v>
      </c>
      <c r="F6977" t="s">
        <v>13677</v>
      </c>
      <c r="G6977" t="s">
        <v>14</v>
      </c>
      <c r="H6977">
             </c>
      <c r="I6977" t="s">
        <v>14</v>
      </c>
      <c r="J6977" t="s">
        <v>242</v>
      </c>
      <c r="K6977" t="s">
        <v>14</v>
      </c>
      <c r="L6977" t="s">
        <v>20</v>
      </c>
      <c r="M6977" t="s">
        <v>13338</v>
      </c>
      <c r="N6977" t="s">
        <v>14</v>
      </c>
    </row>
    <row r="6978" x14ac:dyDescent="0.25">
      <c r="A6978" t="n">
        <v>25</v>
      </c>
      <c r="B6978" t="s">
        <v>14</v>
      </c>
      <c r="C6978" t="s">
        <v>51</v>
      </c>
      <c r="D6978" s="2" t="s">
        <f>=HYPERLINK("https://main.knesset.gov.il/APPS/legislation/main/bills/2196734", "הצעת חוק-יסוד: הכנסת (תיקון - הרוב הנדרש למניעת השתתפות בבחירות)")</f>
        <v>13678</v>
      </c>
      <c r="E6978" t="s">
        <v>13678</v>
      </c>
      <c r="F6978" t="s">
        <v>13679</v>
      </c>
      <c r="G6978" t="s">
        <v>14</v>
      </c>
      <c r="H6978">
             </c>
      <c r="I6978" t="s">
        <v>14</v>
      </c>
      <c r="J6978" t="s">
        <v>242</v>
      </c>
      <c r="K6978" t="s">
        <v>14</v>
      </c>
      <c r="L6978" t="s">
        <v>20</v>
      </c>
      <c r="M6978" t="s">
        <v>13338</v>
      </c>
      <c r="N6978" t="s">
        <v>14</v>
      </c>
    </row>
    <row r="6979" x14ac:dyDescent="0.25">
      <c r="A6979" t="n">
        <v>25</v>
      </c>
      <c r="B6979" t="s">
        <v>14</v>
      </c>
      <c r="C6979" t="s">
        <v>51</v>
      </c>
      <c r="D6979" s="2" t="s">
        <f>=HYPERLINK("https://main.knesset.gov.il/APPS/legislation/main/bills/2196892", "הצעת חוק נתוני אשראי (תיקון - איסור שימוש בנתוני אשראי שנאספו בתקופת משבר הקורונה), התשפ""ג-2022")</f>
        <v>13680</v>
      </c>
      <c r="E6979" t="s">
        <v>13680</v>
      </c>
      <c r="F6979" t="s">
        <v>13681</v>
      </c>
      <c r="G6979" t="s">
        <v>14</v>
      </c>
      <c r="H6979">
             </c>
      <c r="I6979" t="s">
        <v>14</v>
      </c>
      <c r="J6979" t="s">
        <v>242</v>
      </c>
      <c r="K6979" t="s">
        <v>14</v>
      </c>
      <c r="L6979" t="s">
        <v>20</v>
      </c>
      <c r="M6979" t="s">
        <v>13338</v>
      </c>
      <c r="N6979" t="s">
        <v>14</v>
      </c>
    </row>
    <row r="6980" x14ac:dyDescent="0.25">
      <c r="A6980" t="n">
        <v>25</v>
      </c>
      <c r="B6980" t="s">
        <v>14</v>
      </c>
      <c r="C6980" t="s">
        <v>51</v>
      </c>
      <c r="D6980" s="2" t="s">
        <f>=HYPERLINK("https://main.knesset.gov.il/APPS/legislation/main/bills/2195922", "הצעת חוק זכויות נפגעי עבירה (תיקון - מתן זכות הבעת עמדה לנפגעי או נפגעות עבירה במעמד פסק הדין או גזר הדין), התשפ""ג-2022")</f>
        <v>13682</v>
      </c>
      <c r="E6980" t="s">
        <v>13682</v>
      </c>
      <c r="F6980" t="s">
        <v>13683</v>
      </c>
      <c r="G6980" t="s">
        <v>14</v>
      </c>
      <c r="H6980">
             </c>
      <c r="I6980" t="s">
        <v>14</v>
      </c>
      <c r="J6980" t="s">
        <v>242</v>
      </c>
      <c r="K6980" t="s">
        <v>14</v>
      </c>
      <c r="L6980" t="s">
        <v>20</v>
      </c>
      <c r="M6980" t="s">
        <v>13338</v>
      </c>
      <c r="N6980" t="s">
        <v>14</v>
      </c>
    </row>
    <row r="6981" x14ac:dyDescent="0.25">
      <c r="A6981" t="n">
        <v>25</v>
      </c>
      <c r="B6981" t="s">
        <v>14</v>
      </c>
      <c r="C6981" t="s">
        <v>51</v>
      </c>
      <c r="D6981" s="2" t="s">
        <f>=HYPERLINK("https://main.knesset.gov.il/APPS/legislation/main/bills/2196628", "הצעת חוק חוזה הביטוח (תיקון - מניעת כפל ביטוחים), התשפ""ג-2022")</f>
        <v>13684</v>
      </c>
      <c r="E6981" t="s">
        <v>13684</v>
      </c>
      <c r="F6981" t="s">
        <v>13685</v>
      </c>
      <c r="G6981" t="s">
        <v>14</v>
      </c>
      <c r="H6981">
             </c>
      <c r="I6981" t="s">
        <v>14</v>
      </c>
      <c r="J6981" t="s">
        <v>242</v>
      </c>
      <c r="K6981" t="s">
        <v>14</v>
      </c>
      <c r="L6981" t="s">
        <v>20</v>
      </c>
      <c r="M6981" t="s">
        <v>13338</v>
      </c>
      <c r="N6981" t="s">
        <v>14</v>
      </c>
    </row>
    <row r="6982" x14ac:dyDescent="0.25">
      <c r="A6982" t="n">
        <v>25</v>
      </c>
      <c r="B6982" t="s">
        <v>14</v>
      </c>
      <c r="C6982" t="s">
        <v>51</v>
      </c>
      <c r="D6982" s="2" t="s">
        <f>=HYPERLINK("https://main.knesset.gov.il/APPS/legislation/main/bills/2195994", "הצעת חוק העונשין (תיקון - מעשה מגונה בהסכמה בקטין שמלאו לו ארבע-עשרה שנים וטרם מלאו לו שש-עשרה שנים), התשפ""ג-2022")</f>
        <v>13686</v>
      </c>
      <c r="E6982" t="s">
        <v>13686</v>
      </c>
      <c r="F6982" t="s">
        <v>13687</v>
      </c>
      <c r="G6982" t="s">
        <v>14</v>
      </c>
      <c r="H6982">
             </c>
      <c r="I6982" t="s">
        <v>14</v>
      </c>
      <c r="J6982" t="s">
        <v>242</v>
      </c>
      <c r="K6982" t="s">
        <v>14</v>
      </c>
      <c r="L6982" t="s">
        <v>20</v>
      </c>
      <c r="M6982" t="s">
        <v>13338</v>
      </c>
      <c r="N6982" t="s">
        <v>14</v>
      </c>
    </row>
    <row r="6983" x14ac:dyDescent="0.25">
      <c r="A6983" t="n">
        <v>25</v>
      </c>
      <c r="B6983" t="s">
        <v>14</v>
      </c>
      <c r="C6983" t="s">
        <v>51</v>
      </c>
      <c r="D6983" s="2" t="s">
        <f>=HYPERLINK("https://main.knesset.gov.il/APPS/legislation/main/bills/2196688", "הצעת חוק להסדרת מקצוע עוזר רופא, התשפ""ג-2022")</f>
        <v>13065</v>
      </c>
      <c r="E6983" t="s">
        <v>13065</v>
      </c>
      <c r="F6983" t="s">
        <v>13688</v>
      </c>
      <c r="G6983" t="s">
        <v>14</v>
      </c>
      <c r="H6983">
             </c>
      <c r="I6983" t="s">
        <v>14</v>
      </c>
      <c r="J6983" t="s">
        <v>242</v>
      </c>
      <c r="K6983" t="s">
        <v>14</v>
      </c>
      <c r="L6983" t="s">
        <v>20</v>
      </c>
      <c r="M6983" t="s">
        <v>13338</v>
      </c>
      <c r="N6983" t="s">
        <v>14</v>
      </c>
    </row>
    <row r="6984" x14ac:dyDescent="0.25">
      <c r="A6984" t="n">
        <v>25</v>
      </c>
      <c r="B6984" t="s">
        <v>14</v>
      </c>
      <c r="C6984" t="s">
        <v>51</v>
      </c>
      <c r="D6984" s="2" t="s">
        <f>=HYPERLINK("https://main.knesset.gov.il/APPS/legislation/main/bills/2196871", "הצעת חוק-יסוד: השפיטה (תיקון - רשות ערעור למדינה על זיכוי אדם בפלילים)")</f>
        <v>1634</v>
      </c>
      <c r="E6984" t="s">
        <v>1634</v>
      </c>
      <c r="F6984" t="s">
        <v>13689</v>
      </c>
      <c r="G6984" t="s">
        <v>14</v>
      </c>
      <c r="H6984">
             </c>
      <c r="I6984" t="s">
        <v>14</v>
      </c>
      <c r="J6984" t="s">
        <v>242</v>
      </c>
      <c r="K6984" t="s">
        <v>14</v>
      </c>
      <c r="L6984" t="s">
        <v>20</v>
      </c>
      <c r="M6984" t="s">
        <v>13338</v>
      </c>
      <c r="N6984" t="s">
        <v>14</v>
      </c>
    </row>
    <row r="6985" x14ac:dyDescent="0.25">
      <c r="A6985" t="n">
        <v>25</v>
      </c>
      <c r="B6985" t="s">
        <v>14</v>
      </c>
      <c r="C6985" t="s">
        <v>51</v>
      </c>
      <c r="D6985" s="2" t="s">
        <f>=HYPERLINK("https://main.knesset.gov.il/APPS/legislation/main/bills/2196729", "הצעת חוק-יסוד: השפיטה (תיקון - רשות ערעור למדינה על זיכוי אדם בפלילים)")</f>
        <v>1634</v>
      </c>
      <c r="E6985" t="s">
        <v>1634</v>
      </c>
      <c r="F6985" t="s">
        <v>13690</v>
      </c>
      <c r="G6985" t="s">
        <v>14</v>
      </c>
      <c r="H6985">
             </c>
      <c r="I6985" t="s">
        <v>14</v>
      </c>
      <c r="J6985" t="s">
        <v>242</v>
      </c>
      <c r="K6985" t="s">
        <v>14</v>
      </c>
      <c r="L6985" t="s">
        <v>20</v>
      </c>
      <c r="M6985" t="s">
        <v>13338</v>
      </c>
      <c r="N6985" t="s">
        <v>14</v>
      </c>
    </row>
    <row r="6986" x14ac:dyDescent="0.25">
      <c r="A6986" t="n">
        <v>25</v>
      </c>
      <c r="B6986" t="s">
        <v>14</v>
      </c>
      <c r="C6986" t="s">
        <v>51</v>
      </c>
      <c r="D6986" s="2" t="s">
        <f>=HYPERLINK("https://main.knesset.gov.il/APPS/legislation/main/bills/2196664", "הצעת חוק להקמת אוניברסיטה ערבית ביישוב ערבי, התשפ""ג-2022")</f>
        <v>13691</v>
      </c>
      <c r="E6986" t="s">
        <v>13691</v>
      </c>
      <c r="F6986" t="s">
        <v>13692</v>
      </c>
      <c r="G6986" t="s">
        <v>14</v>
      </c>
      <c r="H6986">
             </c>
      <c r="I6986" t="s">
        <v>14</v>
      </c>
      <c r="J6986" t="s">
        <v>242</v>
      </c>
      <c r="K6986" t="s">
        <v>14</v>
      </c>
      <c r="L6986" t="s">
        <v>20</v>
      </c>
      <c r="M6986" t="s">
        <v>13338</v>
      </c>
      <c r="N6986" t="s">
        <v>14</v>
      </c>
    </row>
    <row r="6987" x14ac:dyDescent="0.25">
      <c r="A6987" t="n">
        <v>25</v>
      </c>
      <c r="B6987" t="s">
        <v>14</v>
      </c>
      <c r="C6987" t="s">
        <v>51</v>
      </c>
      <c r="D6987" s="2" t="s">
        <f>=HYPERLINK("https://main.knesset.gov.il/APPS/legislation/main/bills/2196043", "הצעת חוק לימוד חובה (תיקון - חובת לימודי ליבה), התשפ""ג-2022")</f>
        <v>13522</v>
      </c>
      <c r="E6987" t="s">
        <v>13522</v>
      </c>
      <c r="F6987" t="s">
        <v>13693</v>
      </c>
      <c r="G6987" t="s">
        <v>14</v>
      </c>
      <c r="H6987">
             </c>
      <c r="I6987" t="s">
        <v>14</v>
      </c>
      <c r="J6987" t="s">
        <v>242</v>
      </c>
      <c r="K6987" t="s">
        <v>14</v>
      </c>
      <c r="L6987" t="s">
        <v>20</v>
      </c>
      <c r="M6987" t="s">
        <v>13338</v>
      </c>
      <c r="N6987" t="s">
        <v>14</v>
      </c>
    </row>
    <row r="6988" x14ac:dyDescent="0.25">
      <c r="A6988" t="n">
        <v>25</v>
      </c>
      <c r="B6988" t="s">
        <v>14</v>
      </c>
      <c r="C6988" t="s">
        <v>51</v>
      </c>
      <c r="D6988" s="2" t="s">
        <f>=HYPERLINK("https://main.knesset.gov.il/APPS/legislation/main/bills/2196653", "הצעת חוק המיזם הלאומי לביטחון תזונתי, התשפ""ג-2022")</f>
        <v>13694</v>
      </c>
      <c r="E6988" t="s">
        <v>13694</v>
      </c>
      <c r="F6988" t="s">
        <v>13695</v>
      </c>
      <c r="G6988" t="s">
        <v>14</v>
      </c>
      <c r="H6988">
             </c>
      <c r="I6988" t="s">
        <v>14</v>
      </c>
      <c r="J6988" t="s">
        <v>242</v>
      </c>
      <c r="K6988" t="s">
        <v>14</v>
      </c>
      <c r="L6988" t="s">
        <v>20</v>
      </c>
      <c r="M6988" t="s">
        <v>13338</v>
      </c>
      <c r="N6988" t="s">
        <v>14</v>
      </c>
    </row>
    <row r="6989" x14ac:dyDescent="0.25">
      <c r="A6989" t="n">
        <v>25</v>
      </c>
      <c r="B6989" t="s">
        <v>14</v>
      </c>
      <c r="C6989" t="s">
        <v>51</v>
      </c>
      <c r="D6989" s="2" t="s">
        <f>=HYPERLINK("https://main.knesset.gov.il/APPS/legislation/main/bills/2195960", "הצעת חוק לתיקון פקודת העדה הדתית (המרה) (גיור על ידי רב מקומי וראש ישיבה), התשפ""ג-2022")</f>
        <v>13696</v>
      </c>
      <c r="E6989" t="s">
        <v>13696</v>
      </c>
      <c r="F6989" t="s">
        <v>13697</v>
      </c>
      <c r="G6989" t="s">
        <v>14</v>
      </c>
      <c r="H6989">
             </c>
      <c r="I6989" t="s">
        <v>14</v>
      </c>
      <c r="J6989" t="s">
        <v>242</v>
      </c>
      <c r="K6989" t="s">
        <v>14</v>
      </c>
      <c r="L6989" t="s">
        <v>20</v>
      </c>
      <c r="M6989" t="s">
        <v>13338</v>
      </c>
      <c r="N6989" t="s">
        <v>14</v>
      </c>
    </row>
    <row r="6990" x14ac:dyDescent="0.25">
      <c r="A6990" t="n">
        <v>25</v>
      </c>
      <c r="B6990" t="s">
        <v>14</v>
      </c>
      <c r="C6990" t="s">
        <v>51</v>
      </c>
      <c r="D6990" s="2" t="s">
        <f>=HYPERLINK("https://main.knesset.gov.il/APPS/legislation/main/bills/2197404", "הצעת חוק הירושה (תיקון - שלילת הזכות לירושה), התשפ""ג-2022")</f>
        <v>13698</v>
      </c>
      <c r="E6990" t="s">
        <v>13698</v>
      </c>
      <c r="F6990" t="s">
        <v>13699</v>
      </c>
      <c r="G6990" t="s">
        <v>14</v>
      </c>
      <c r="H6990">
             </c>
      <c r="I6990" t="s">
        <v>14</v>
      </c>
      <c r="J6990" t="s">
        <v>242</v>
      </c>
      <c r="K6990" t="s">
        <v>14</v>
      </c>
      <c r="L6990" t="s">
        <v>20</v>
      </c>
      <c r="M6990" t="s">
        <v>13338</v>
      </c>
      <c r="N6990" t="s">
        <v>14</v>
      </c>
    </row>
    <row r="6991" x14ac:dyDescent="0.25">
      <c r="A6991" t="n">
        <v>25</v>
      </c>
      <c r="B6991" t="s">
        <v>14</v>
      </c>
      <c r="C6991" t="s">
        <v>51</v>
      </c>
      <c r="D6991" s="2" t="s">
        <f>=HYPERLINK("https://main.knesset.gov.il/APPS/legislation/main/bills/2196586", "הצעת חוק לתיקון פקודת התעבורה (אכיפת נסיעה בלא כרטיס בידי מפקחים), התשפ""ג-2022")</f>
        <v>13700</v>
      </c>
      <c r="E6991" t="s">
        <v>13700</v>
      </c>
      <c r="F6991" t="s">
        <v>13701</v>
      </c>
      <c r="G6991" t="s">
        <v>14</v>
      </c>
      <c r="H6991">
             </c>
      <c r="I6991" t="s">
        <v>14</v>
      </c>
      <c r="J6991" t="s">
        <v>242</v>
      </c>
      <c r="K6991" t="s">
        <v>14</v>
      </c>
      <c r="L6991" t="s">
        <v>20</v>
      </c>
      <c r="M6991" t="s">
        <v>13338</v>
      </c>
      <c r="N6991" t="s">
        <v>14</v>
      </c>
    </row>
    <row r="6992" x14ac:dyDescent="0.25">
      <c r="A6992" t="n">
        <v>25</v>
      </c>
      <c r="B6992" t="s">
        <v>14</v>
      </c>
      <c r="C6992" t="s">
        <v>51</v>
      </c>
      <c r="D6992" s="2" t="s">
        <f>=HYPERLINK("https://main.knesset.gov.il/APPS/legislation/main/bills/2196193", "הצעת חוק הגנת הצרכן (תיקון - סימון תאריך ייצור ומועד תפוגה עברי), התשפ""ג-2022")</f>
        <v>12906</v>
      </c>
      <c r="E6992" t="s">
        <v>12906</v>
      </c>
      <c r="F6992" t="s">
        <v>13702</v>
      </c>
      <c r="G6992" t="s">
        <v>14</v>
      </c>
      <c r="H6992">
             </c>
      <c r="I6992" t="s">
        <v>14</v>
      </c>
      <c r="J6992" t="s">
        <v>242</v>
      </c>
      <c r="K6992" t="s">
        <v>14</v>
      </c>
      <c r="L6992" t="s">
        <v>20</v>
      </c>
      <c r="M6992" t="s">
        <v>13338</v>
      </c>
      <c r="N6992" t="s">
        <v>14</v>
      </c>
    </row>
    <row r="6993" x14ac:dyDescent="0.25">
      <c r="A6993" t="n">
        <v>25</v>
      </c>
      <c r="B6993" t="s">
        <v>14</v>
      </c>
      <c r="C6993" t="s">
        <v>51</v>
      </c>
      <c r="D6993" s="2" t="s">
        <f>=HYPERLINK("https://main.knesset.gov.il/APPS/legislation/main/bills/2195822", "הצעת חוק הבטחת הכנסה (תיקון - הכנסת מינימום לאזרח ותיק), התשפ""ג-2022")</f>
        <v>13703</v>
      </c>
      <c r="E6993" t="s">
        <v>13703</v>
      </c>
      <c r="F6993" t="s">
        <v>13704</v>
      </c>
      <c r="G6993" t="s">
        <v>14</v>
      </c>
      <c r="H6993">
             </c>
      <c r="I6993" t="s">
        <v>14</v>
      </c>
      <c r="J6993" t="s">
        <v>242</v>
      </c>
      <c r="K6993" t="s">
        <v>14</v>
      </c>
      <c r="L6993" t="s">
        <v>20</v>
      </c>
      <c r="M6993" t="s">
        <v>13338</v>
      </c>
      <c r="N6993" t="s">
        <v>14</v>
      </c>
    </row>
    <row r="6994" x14ac:dyDescent="0.25">
      <c r="A6994" t="n">
        <v>25</v>
      </c>
      <c r="B6994" t="s">
        <v>14</v>
      </c>
      <c r="C6994" t="s">
        <v>51</v>
      </c>
      <c r="D6994" s="2" t="s">
        <f>=HYPERLINK("https://main.knesset.gov.il/APPS/legislation/main/bills/2196055", "הצעת חוק מניעת אלימות במשפחה (תיקון - הגדרת אלימות במשפחה), התשפ""ג-2022")</f>
        <v>13705</v>
      </c>
      <c r="E6994" t="s">
        <v>13705</v>
      </c>
      <c r="F6994" t="s">
        <v>13706</v>
      </c>
      <c r="G6994" t="s">
        <v>14</v>
      </c>
      <c r="H6994">
             </c>
      <c r="I6994" t="s">
        <v>14</v>
      </c>
      <c r="J6994" t="s">
        <v>242</v>
      </c>
      <c r="K6994" t="s">
        <v>14</v>
      </c>
      <c r="L6994" t="s">
        <v>20</v>
      </c>
      <c r="M6994" t="s">
        <v>13338</v>
      </c>
      <c r="N6994" t="s">
        <v>14</v>
      </c>
    </row>
    <row r="6995" x14ac:dyDescent="0.25">
      <c r="A6995" t="n">
        <v>25</v>
      </c>
      <c r="B6995" t="s">
        <v>14</v>
      </c>
      <c r="C6995" t="s">
        <v>51</v>
      </c>
      <c r="D6995" s="2" t="s">
        <f>=HYPERLINK("https://main.knesset.gov.il/APPS/legislation/main/bills/2196000", "הצעת חוק מניעת סיכון בריאותי מהפעלת פליקרים במקומות ציבוריים, התשפ""ג-2022")</f>
        <v>13707</v>
      </c>
      <c r="E6995" t="s">
        <v>13707</v>
      </c>
      <c r="F6995" t="s">
        <v>13708</v>
      </c>
      <c r="G6995" t="s">
        <v>14</v>
      </c>
      <c r="H6995">
             </c>
      <c r="I6995" t="s">
        <v>14</v>
      </c>
      <c r="J6995" t="s">
        <v>242</v>
      </c>
      <c r="K6995" t="s">
        <v>14</v>
      </c>
      <c r="L6995" t="s">
        <v>20</v>
      </c>
      <c r="M6995" t="s">
        <v>13338</v>
      </c>
      <c r="N6995" t="s">
        <v>14</v>
      </c>
    </row>
    <row r="6996" x14ac:dyDescent="0.25">
      <c r="A6996" t="n">
        <v>25</v>
      </c>
      <c r="B6996" t="s">
        <v>14</v>
      </c>
      <c r="C6996" t="s">
        <v>51</v>
      </c>
      <c r="D6996" s="2" t="s">
        <f>=HYPERLINK("https://main.knesset.gov.il/APPS/legislation/main/bills/2196099", "הצעת חוק מס ערך מוסף (תיקון - הגבלת שיעור מס שכר למלכ""רים בירושלים), התשפ""ג-2022")</f>
        <v>13709</v>
      </c>
      <c r="E6996" t="s">
        <v>13709</v>
      </c>
      <c r="F6996" t="s">
        <v>13710</v>
      </c>
      <c r="G6996" t="s">
        <v>14</v>
      </c>
      <c r="H6996">
             </c>
      <c r="I6996" t="s">
        <v>14</v>
      </c>
      <c r="J6996" t="s">
        <v>242</v>
      </c>
      <c r="K6996" t="s">
        <v>14</v>
      </c>
      <c r="L6996" t="s">
        <v>20</v>
      </c>
      <c r="M6996" t="s">
        <v>13338</v>
      </c>
      <c r="N6996" t="s">
        <v>14</v>
      </c>
    </row>
    <row r="6997" x14ac:dyDescent="0.25">
      <c r="A6997" t="n">
        <v>25</v>
      </c>
      <c r="B6997" t="s">
        <v>14</v>
      </c>
      <c r="C6997" t="s">
        <v>51</v>
      </c>
      <c r="D6997" s="2" t="s">
        <f>=HYPERLINK("https://main.knesset.gov.il/APPS/legislation/main/bills/2196076", "הצעת חוק מעמד ותיקי מלחמת העולם השנייה (תיקון - מענק הטבות לוותיק מלחמה), התשפ""ג-2022")</f>
        <v>13711</v>
      </c>
      <c r="E6997" t="s">
        <v>13711</v>
      </c>
      <c r="F6997" t="s">
        <v>13712</v>
      </c>
      <c r="G6997" t="s">
        <v>14</v>
      </c>
      <c r="H6997">
             </c>
      <c r="I6997" t="s">
        <v>14</v>
      </c>
      <c r="J6997" t="s">
        <v>242</v>
      </c>
      <c r="K6997" t="s">
        <v>14</v>
      </c>
      <c r="L6997" t="s">
        <v>20</v>
      </c>
      <c r="M6997" t="s">
        <v>13338</v>
      </c>
      <c r="N6997" t="s">
        <v>14</v>
      </c>
    </row>
    <row r="6998" x14ac:dyDescent="0.25">
      <c r="A6998" t="n">
        <v>25</v>
      </c>
      <c r="B6998" t="s">
        <v>14</v>
      </c>
      <c r="C6998" t="s">
        <v>51</v>
      </c>
      <c r="D6998" s="2" t="s">
        <f>=HYPERLINK("https://main.knesset.gov.il/APPS/legislation/main/bills/2196788", "הצעת חוק זכויות הסטודנט (תיקון - ביטול ארגון סטודנטים יציג), התשפ""ג-2022")</f>
        <v>13713</v>
      </c>
      <c r="E6998" t="s">
        <v>13713</v>
      </c>
      <c r="F6998" t="s">
        <v>13714</v>
      </c>
      <c r="G6998" t="s">
        <v>14</v>
      </c>
      <c r="H6998">
             </c>
      <c r="I6998" t="s">
        <v>14</v>
      </c>
      <c r="J6998" t="s">
        <v>242</v>
      </c>
      <c r="K6998" t="s">
        <v>14</v>
      </c>
      <c r="L6998" t="s">
        <v>20</v>
      </c>
      <c r="M6998" t="s">
        <v>13338</v>
      </c>
      <c r="N6998" t="s">
        <v>14</v>
      </c>
    </row>
    <row r="6999" x14ac:dyDescent="0.25">
      <c r="A6999" t="n">
        <v>25</v>
      </c>
      <c r="B6999" t="s">
        <v>14</v>
      </c>
      <c r="C6999" t="s">
        <v>51</v>
      </c>
      <c r="D6999" s="2" t="s">
        <f>=HYPERLINK("https://main.knesset.gov.il/APPS/legislation/main/bills/2196106", "הצעת חוק האזרחים הוותיקים (תיקון - סל תרבות לאזרחים ותיקים עצמאיים המתגוררים בהוסטלים, מקבצי דיור או בתי דיור מוגן), התשפ""ג-2022")</f>
        <v>13715</v>
      </c>
      <c r="E6999" t="s">
        <v>13715</v>
      </c>
      <c r="F6999" t="s">
        <v>13716</v>
      </c>
      <c r="G6999" t="s">
        <v>14</v>
      </c>
      <c r="H6999">
             </c>
      <c r="I6999" t="s">
        <v>14</v>
      </c>
      <c r="J6999" t="s">
        <v>242</v>
      </c>
      <c r="K6999" t="s">
        <v>14</v>
      </c>
      <c r="L6999" t="s">
        <v>20</v>
      </c>
      <c r="M6999" t="s">
        <v>13338</v>
      </c>
      <c r="N6999" t="s">
        <v>14</v>
      </c>
    </row>
    <row r="7000" x14ac:dyDescent="0.25">
      <c r="A7000" t="n">
        <v>25</v>
      </c>
      <c r="B7000" t="s">
        <v>14</v>
      </c>
      <c r="C7000" t="s">
        <v>51</v>
      </c>
      <c r="D7000" s="2" t="s">
        <f>=HYPERLINK("https://main.knesset.gov.il/APPS/legislation/main/bills/2196704", "הצעת חוק זכויות הסטודנט (תיקון - ביטול ארגון סטודנטים יציג), התשפ""ג-2022")</f>
        <v>13713</v>
      </c>
      <c r="E7000" t="s">
        <v>13713</v>
      </c>
      <c r="F7000" t="s">
        <v>13717</v>
      </c>
      <c r="G7000" t="s">
        <v>14</v>
      </c>
      <c r="H7000">
             </c>
      <c r="I7000" t="s">
        <v>14</v>
      </c>
      <c r="J7000" t="s">
        <v>242</v>
      </c>
      <c r="K7000" t="s">
        <v>14</v>
      </c>
      <c r="L7000" t="s">
        <v>20</v>
      </c>
      <c r="M7000" t="s">
        <v>13338</v>
      </c>
      <c r="N7000" t="s">
        <v>14</v>
      </c>
    </row>
    <row r="7001" x14ac:dyDescent="0.25">
      <c r="A7001" t="n">
        <v>25</v>
      </c>
      <c r="B7001" t="s">
        <v>14</v>
      </c>
      <c r="C7001" t="s">
        <v>51</v>
      </c>
      <c r="D7001" s="2" t="s">
        <f>=HYPERLINK("https://main.knesset.gov.il/APPS/legislation/main/bills/2196120", "הצעת חוק עבודת הנוער (תיקון - העסקה במנוחה השבועית), התשפ""ג-2022")</f>
        <v>13718</v>
      </c>
      <c r="E7001" t="s">
        <v>13718</v>
      </c>
      <c r="F7001" t="s">
        <v>13719</v>
      </c>
      <c r="G7001" t="s">
        <v>14</v>
      </c>
      <c r="H7001">
             </c>
      <c r="I7001" t="s">
        <v>14</v>
      </c>
      <c r="J7001" t="s">
        <v>242</v>
      </c>
      <c r="K7001" t="s">
        <v>14</v>
      </c>
      <c r="L7001" t="s">
        <v>20</v>
      </c>
      <c r="M7001" t="s">
        <v>13338</v>
      </c>
      <c r="N7001" t="s">
        <v>14</v>
      </c>
    </row>
    <row r="7002" x14ac:dyDescent="0.25">
      <c r="A7002" t="n">
        <v>25</v>
      </c>
      <c r="B7002" t="s">
        <v>14</v>
      </c>
      <c r="C7002" t="s">
        <v>51</v>
      </c>
      <c r="D7002" s="2" t="s">
        <f>=HYPERLINK("https://main.knesset.gov.il/APPS/legislation/main/bills/2195849", "הצעת חוק האזרחות (תיקון - הוראות לעניין בקשת התאזרחות של בעל ואישה), התשפ''ג-2022")</f>
        <v>13720</v>
      </c>
      <c r="E7002" t="s">
        <v>13720</v>
      </c>
      <c r="F7002" t="s">
        <v>13721</v>
      </c>
      <c r="G7002" t="s">
        <v>14</v>
      </c>
      <c r="H7002">
             </c>
      <c r="I7002" t="s">
        <v>14</v>
      </c>
      <c r="J7002" t="s">
        <v>242</v>
      </c>
      <c r="K7002" t="s">
        <v>14</v>
      </c>
      <c r="L7002" t="s">
        <v>20</v>
      </c>
      <c r="M7002" t="s">
        <v>13338</v>
      </c>
      <c r="N7002" t="s">
        <v>14</v>
      </c>
    </row>
    <row r="7003" x14ac:dyDescent="0.25">
      <c r="A7003" t="n">
        <v>25</v>
      </c>
      <c r="B7003" t="s">
        <v>14</v>
      </c>
      <c r="C7003" t="s">
        <v>51</v>
      </c>
      <c r="D7003" s="2" t="s">
        <f>=HYPERLINK("https://main.knesset.gov.il/APPS/legislation/main/bills/2197649", "הצעת חוק השמירה על המקומות הקדושים (תיקון - חופש הפולחן), התשפ""ג-2022")</f>
        <v>13722</v>
      </c>
      <c r="E7003" t="s">
        <v>13722</v>
      </c>
      <c r="F7003" t="s">
        <v>13723</v>
      </c>
      <c r="G7003" t="s">
        <v>14</v>
      </c>
      <c r="H7003">
             </c>
      <c r="I7003" t="s">
        <v>14</v>
      </c>
      <c r="J7003" t="s">
        <v>242</v>
      </c>
      <c r="K7003" t="s">
        <v>14</v>
      </c>
      <c r="L7003" t="s">
        <v>20</v>
      </c>
      <c r="M7003" t="s">
        <v>13338</v>
      </c>
      <c r="N7003" t="s">
        <v>14</v>
      </c>
    </row>
    <row r="7004" x14ac:dyDescent="0.25">
      <c r="A7004" t="n">
        <v>25</v>
      </c>
      <c r="B7004" t="s">
        <v>14</v>
      </c>
      <c r="C7004" t="s">
        <v>51</v>
      </c>
      <c r="D7004" s="2" t="s">
        <f>=HYPERLINK("https://main.knesset.gov.il/APPS/legislation/main/bills/2196904", "הצעת חוק השמירה על המקומות הקדושים (תיקון - חופש הפולחן), התשפ""ג-2022")</f>
        <v>13722</v>
      </c>
      <c r="E7004" t="s">
        <v>13722</v>
      </c>
      <c r="F7004" t="s">
        <v>13724</v>
      </c>
      <c r="G7004" t="s">
        <v>14</v>
      </c>
      <c r="H7004">
             </c>
      <c r="I7004" t="s">
        <v>14</v>
      </c>
      <c r="J7004" t="s">
        <v>242</v>
      </c>
      <c r="K7004" t="s">
        <v>14</v>
      </c>
      <c r="L7004" t="s">
        <v>20</v>
      </c>
      <c r="M7004" t="s">
        <v>13338</v>
      </c>
      <c r="N7004" t="s">
        <v>14</v>
      </c>
    </row>
    <row r="7005" x14ac:dyDescent="0.25">
      <c r="A7005" t="n">
        <v>25</v>
      </c>
      <c r="B7005" t="s">
        <v>14</v>
      </c>
      <c r="C7005" t="s">
        <v>51</v>
      </c>
      <c r="D7005" s="2" t="s">
        <f>=HYPERLINK("https://main.knesset.gov.il/APPS/legislation/main/bills/2195878", "הצעת חוק ברית הזוגיות לחסרי דת (תיקון - ברית זוגיות למנועי חיתון בישראל), התשפ""ג-2022")</f>
        <v>13725</v>
      </c>
      <c r="E7005" t="s">
        <v>13725</v>
      </c>
      <c r="F7005" t="s">
        <v>13726</v>
      </c>
      <c r="G7005" t="s">
        <v>14</v>
      </c>
      <c r="H7005">
             </c>
      <c r="I7005" t="s">
        <v>14</v>
      </c>
      <c r="J7005" t="s">
        <v>242</v>
      </c>
      <c r="K7005" t="s">
        <v>14</v>
      </c>
      <c r="L7005" t="s">
        <v>20</v>
      </c>
      <c r="M7005" t="s">
        <v>13338</v>
      </c>
      <c r="N7005" t="s">
        <v>14</v>
      </c>
    </row>
    <row r="7006" x14ac:dyDescent="0.25">
      <c r="A7006" t="n">
        <v>25</v>
      </c>
      <c r="B7006" t="s">
        <v>14</v>
      </c>
      <c r="C7006" t="s">
        <v>51</v>
      </c>
      <c r="D7006" s="2" t="s">
        <f>=HYPERLINK("https://main.knesset.gov.il/APPS/legislation/main/bills/2197910", "הצעת חוק שירות המדינה (מינויים) (תיקון - מינוי יועצים משפטיים של משרדים), התשפ""ג-2022")</f>
        <v>13727</v>
      </c>
      <c r="E7006" t="s">
        <v>13727</v>
      </c>
      <c r="F7006" t="s">
        <v>13728</v>
      </c>
      <c r="G7006" t="s">
        <v>14</v>
      </c>
      <c r="H7006">
             </c>
      <c r="I7006" t="s">
        <v>14</v>
      </c>
      <c r="J7006" t="s">
        <v>242</v>
      </c>
      <c r="K7006" t="s">
        <v>14</v>
      </c>
      <c r="L7006" t="s">
        <v>20</v>
      </c>
      <c r="M7006" t="s">
        <v>13338</v>
      </c>
      <c r="N7006" t="s">
        <v>14</v>
      </c>
    </row>
    <row r="7007" x14ac:dyDescent="0.25">
      <c r="A7007" t="n">
        <v>25</v>
      </c>
      <c r="B7007" t="s">
        <v>14</v>
      </c>
      <c r="C7007" t="s">
        <v>51</v>
      </c>
      <c r="D7007" s="2" t="s">
        <f>=HYPERLINK("https://main.knesset.gov.il/APPS/legislation/main/bills/2196022", "הצעת חוק צער בעלי חיים (הגנה על בעלי חיים) (תיקון - תפיסה במקום מגורים ללא צו), התשפ""ג-2022")</f>
        <v>13729</v>
      </c>
      <c r="E7007" t="s">
        <v>13729</v>
      </c>
      <c r="F7007" t="s">
        <v>13730</v>
      </c>
      <c r="G7007" t="s">
        <v>14</v>
      </c>
      <c r="H7007">
             </c>
      <c r="I7007" t="s">
        <v>14</v>
      </c>
      <c r="J7007" t="s">
        <v>242</v>
      </c>
      <c r="K7007" t="s">
        <v>14</v>
      </c>
      <c r="L7007" t="s">
        <v>20</v>
      </c>
      <c r="M7007" t="s">
        <v>13338</v>
      </c>
      <c r="N7007" t="s">
        <v>14</v>
      </c>
    </row>
    <row r="7008" x14ac:dyDescent="0.25">
      <c r="A7008" t="n">
        <v>25</v>
      </c>
      <c r="B7008" t="s">
        <v>14</v>
      </c>
      <c r="C7008" t="s">
        <v>51</v>
      </c>
      <c r="D7008" s="2" t="s">
        <f>=HYPERLINK("https://main.knesset.gov.il/APPS/legislation/main/bills/2196164", "הצעת חוק ביטוח בריאות ממלכתי (תיקון - תרופות בסבסוד מלא לוותיקי מלחמת העולם השנייה), התשפ""ג-2022")</f>
        <v>13731</v>
      </c>
      <c r="E7008" t="s">
        <v>13731</v>
      </c>
      <c r="F7008" t="s">
        <v>13732</v>
      </c>
      <c r="G7008" t="s">
        <v>14</v>
      </c>
      <c r="H7008">
             </c>
      <c r="I7008" t="s">
        <v>14</v>
      </c>
      <c r="J7008" t="s">
        <v>242</v>
      </c>
      <c r="K7008" t="s">
        <v>14</v>
      </c>
      <c r="L7008" t="s">
        <v>20</v>
      </c>
      <c r="M7008" t="s">
        <v>13338</v>
      </c>
      <c r="N7008" t="s">
        <v>14</v>
      </c>
    </row>
    <row r="7009" x14ac:dyDescent="0.25">
      <c r="A7009" t="n">
        <v>25</v>
      </c>
      <c r="B7009" t="s">
        <v>14</v>
      </c>
      <c r="C7009" t="s">
        <v>51</v>
      </c>
      <c r="D7009" s="2" t="s">
        <f>=HYPERLINK("https://main.knesset.gov.il/APPS/legislation/main/bills/2196945", "הצעת חוק שירות המדינה (מינויים) (תיקון - מינוי יועצים משפטיים של משרדים), התשפ""ג-2022 ")</f>
        <v>13733</v>
      </c>
      <c r="E7009" t="s">
        <v>13733</v>
      </c>
      <c r="F7009" t="s">
        <v>13734</v>
      </c>
      <c r="G7009" t="s">
        <v>14</v>
      </c>
      <c r="H7009">
             </c>
      <c r="I7009" t="s">
        <v>14</v>
      </c>
      <c r="J7009" t="s">
        <v>242</v>
      </c>
      <c r="K7009" t="s">
        <v>14</v>
      </c>
      <c r="L7009" t="s">
        <v>20</v>
      </c>
      <c r="M7009" t="s">
        <v>13338</v>
      </c>
      <c r="N7009" t="s">
        <v>14</v>
      </c>
    </row>
    <row r="7010" x14ac:dyDescent="0.25">
      <c r="A7010" t="n">
        <v>25</v>
      </c>
      <c r="B7010" t="s">
        <v>14</v>
      </c>
      <c r="C7010" t="s">
        <v>51</v>
      </c>
      <c r="D7010" s="2" t="s">
        <f>=HYPERLINK("https://main.knesset.gov.il/APPS/legislation/main/bills/2196176", "הצעת חוק שיפוט בתי דין רבניים (נישואין וגירושין) (תיקון - נישואין אזרחיים בשטח שגרירות בישראל), התשפ""ג-2022")</f>
        <v>13735</v>
      </c>
      <c r="E7010" t="s">
        <v>13735</v>
      </c>
      <c r="F7010" t="s">
        <v>13736</v>
      </c>
      <c r="G7010" t="s">
        <v>14</v>
      </c>
      <c r="H7010">
             </c>
      <c r="I7010" t="s">
        <v>14</v>
      </c>
      <c r="J7010" t="s">
        <v>242</v>
      </c>
      <c r="K7010" t="s">
        <v>14</v>
      </c>
      <c r="L7010" t="s">
        <v>20</v>
      </c>
      <c r="M7010" t="s">
        <v>13338</v>
      </c>
      <c r="N7010" t="s">
        <v>14</v>
      </c>
    </row>
    <row r="7011" x14ac:dyDescent="0.25">
      <c r="A7011" t="n">
        <v>25</v>
      </c>
      <c r="B7011" t="s">
        <v>14</v>
      </c>
      <c r="C7011" t="s">
        <v>51</v>
      </c>
      <c r="D7011" s="2" t="s">
        <f>=HYPERLINK("https://main.knesset.gov.il/APPS/legislation/main/bills/2196872", "הצעת חוק שירות המדינה (מינויים) (תיקון - מינוי יועצים משפטיים של משרדים), התשפ""ג-2022 ")</f>
        <v>13733</v>
      </c>
      <c r="E7011" t="s">
        <v>13733</v>
      </c>
      <c r="F7011" t="s">
        <v>13737</v>
      </c>
      <c r="G7011" t="s">
        <v>14</v>
      </c>
      <c r="H7011">
             </c>
      <c r="I7011" t="s">
        <v>14</v>
      </c>
      <c r="J7011" t="s">
        <v>242</v>
      </c>
      <c r="K7011" t="s">
        <v>14</v>
      </c>
      <c r="L7011" t="s">
        <v>20</v>
      </c>
      <c r="M7011" t="s">
        <v>13338</v>
      </c>
      <c r="N7011" t="s">
        <v>14</v>
      </c>
    </row>
    <row r="7012" x14ac:dyDescent="0.25">
      <c r="A7012" t="n">
        <v>25</v>
      </c>
      <c r="B7012" t="s">
        <v>14</v>
      </c>
      <c r="C7012" t="s">
        <v>51</v>
      </c>
      <c r="D7012" s="2" t="s">
        <f>=HYPERLINK("https://main.knesset.gov.il/APPS/legislation/main/bills/2196096", "הצעת חוק שיפוט בתי דין רבניים (נישואין וגירושין) (תיקון - נישואין אזרחיים בשטח שגרירות בישראל), התשפ""ג-2022")</f>
        <v>13735</v>
      </c>
      <c r="E7012" t="s">
        <v>13735</v>
      </c>
      <c r="F7012" t="s">
        <v>13738</v>
      </c>
      <c r="G7012" t="s">
        <v>14</v>
      </c>
      <c r="H7012">
             </c>
      <c r="I7012" t="s">
        <v>14</v>
      </c>
      <c r="J7012" t="s">
        <v>242</v>
      </c>
      <c r="K7012" t="s">
        <v>14</v>
      </c>
      <c r="L7012" t="s">
        <v>20</v>
      </c>
      <c r="M7012" t="s">
        <v>13338</v>
      </c>
      <c r="N7012" t="s">
        <v>14</v>
      </c>
    </row>
    <row r="7013" x14ac:dyDescent="0.25">
      <c r="A7013" t="n">
        <v>25</v>
      </c>
      <c r="B7013" t="s">
        <v>14</v>
      </c>
      <c r="C7013" t="s">
        <v>51</v>
      </c>
      <c r="D7013" s="2" t="s">
        <f>=HYPERLINK("https://main.knesset.gov.il/APPS/legislation/main/bills/2196032", "הצעת חוק שירותי הדת היהודיים (תיקון - קציבת כהונת רב עיר), התשפ""ג-2022")</f>
        <v>13739</v>
      </c>
      <c r="E7013" t="s">
        <v>13739</v>
      </c>
      <c r="F7013" t="s">
        <v>13740</v>
      </c>
      <c r="G7013" t="s">
        <v>14</v>
      </c>
      <c r="H7013">
             </c>
      <c r="I7013" t="s">
        <v>14</v>
      </c>
      <c r="J7013" t="s">
        <v>242</v>
      </c>
      <c r="K7013" t="s">
        <v>14</v>
      </c>
      <c r="L7013" t="s">
        <v>20</v>
      </c>
      <c r="M7013" t="s">
        <v>13338</v>
      </c>
      <c r="N7013" t="s">
        <v>14</v>
      </c>
    </row>
    <row r="7014" x14ac:dyDescent="0.25">
      <c r="A7014" t="n">
        <v>25</v>
      </c>
      <c r="B7014" t="s">
        <v>14</v>
      </c>
      <c r="C7014" t="s">
        <v>51</v>
      </c>
      <c r="D7014" s="2" t="s">
        <f>=HYPERLINK("https://main.knesset.gov.il/APPS/legislation/main/bills/2196177", "הצעת חוק שירות המדינה (מינוים) (תיקון - מינוי יועצים משפטיים של משרדים), התשפ""ג-2022")</f>
        <v>13741</v>
      </c>
      <c r="E7014" t="s">
        <v>13741</v>
      </c>
      <c r="F7014" t="s">
        <v>13742</v>
      </c>
      <c r="G7014" t="s">
        <v>14</v>
      </c>
      <c r="H7014">
             </c>
      <c r="I7014" t="s">
        <v>14</v>
      </c>
      <c r="J7014" t="s">
        <v>242</v>
      </c>
      <c r="K7014" t="s">
        <v>14</v>
      </c>
      <c r="L7014" t="s">
        <v>20</v>
      </c>
      <c r="M7014" t="s">
        <v>13338</v>
      </c>
      <c r="N7014" t="s">
        <v>14</v>
      </c>
    </row>
    <row r="7015" x14ac:dyDescent="0.25">
      <c r="A7015" t="n">
        <v>25</v>
      </c>
      <c r="B7015" t="s">
        <v>14</v>
      </c>
      <c r="C7015" t="s">
        <v>51</v>
      </c>
      <c r="D7015" s="2" t="s">
        <f>=HYPERLINK("https://main.knesset.gov.il/APPS/legislation/main/bills/2197355", "הצעת חוק מעונות יום שיקומיים (תיקון - הקדמת גיל הזכאות), התשפ""ג-2022")</f>
        <v>12908</v>
      </c>
      <c r="E7015" t="s">
        <v>12908</v>
      </c>
      <c r="F7015" t="s">
        <v>13743</v>
      </c>
      <c r="G7015" t="s">
        <v>14</v>
      </c>
      <c r="H7015">
             </c>
      <c r="I7015" t="s">
        <v>14</v>
      </c>
      <c r="J7015" t="s">
        <v>242</v>
      </c>
      <c r="K7015" t="s">
        <v>14</v>
      </c>
      <c r="L7015" t="s">
        <v>20</v>
      </c>
      <c r="M7015" t="s">
        <v>13338</v>
      </c>
      <c r="N7015" t="s">
        <v>14</v>
      </c>
    </row>
    <row r="7016" x14ac:dyDescent="0.25">
      <c r="A7016" t="n">
        <v>25</v>
      </c>
      <c r="B7016" t="s">
        <v>14</v>
      </c>
      <c r="C7016" t="s">
        <v>51</v>
      </c>
      <c r="D7016" s="2" t="s">
        <f>=HYPERLINK("https://main.knesset.gov.il/APPS/legislation/main/bills/2196114", "הצעת חוק מעונות יום שיקומיים (תיקון - הקדמת גיל הזכאות), התשפ""ג-2022")</f>
        <v>12908</v>
      </c>
      <c r="E7016" t="s">
        <v>12908</v>
      </c>
      <c r="F7016" t="s">
        <v>13744</v>
      </c>
      <c r="G7016" t="s">
        <v>14</v>
      </c>
      <c r="H7016">
             </c>
      <c r="I7016" t="s">
        <v>14</v>
      </c>
      <c r="J7016" t="s">
        <v>242</v>
      </c>
      <c r="K7016" t="s">
        <v>14</v>
      </c>
      <c r="L7016" t="s">
        <v>20</v>
      </c>
      <c r="M7016" t="s">
        <v>13338</v>
      </c>
      <c r="N7016" t="s">
        <v>14</v>
      </c>
    </row>
    <row r="7017" x14ac:dyDescent="0.25">
      <c r="A7017" t="n">
        <v>25</v>
      </c>
      <c r="B7017" t="s">
        <v>14</v>
      </c>
      <c r="C7017" t="s">
        <v>51</v>
      </c>
      <c r="D7017" s="2" t="s">
        <f>=HYPERLINK("https://main.knesset.gov.il/APPS/legislation/main/bills/2195676", "הצעת חוק מעונות יום שיקומיים (תיקון - הקדמת גיל הזכאות), התשפ""ג-2022")</f>
        <v>12908</v>
      </c>
      <c r="E7017" t="s">
        <v>12908</v>
      </c>
      <c r="F7017" t="s">
        <v>13745</v>
      </c>
      <c r="G7017" t="s">
        <v>14</v>
      </c>
      <c r="H7017">
             </c>
      <c r="I7017" t="s">
        <v>14</v>
      </c>
      <c r="J7017" t="s">
        <v>242</v>
      </c>
      <c r="K7017" t="s">
        <v>14</v>
      </c>
      <c r="L7017" t="s">
        <v>20</v>
      </c>
      <c r="M7017" t="s">
        <v>13338</v>
      </c>
      <c r="N7017" t="s">
        <v>14</v>
      </c>
    </row>
    <row r="7018" x14ac:dyDescent="0.25">
      <c r="A7018" t="n">
        <v>25</v>
      </c>
      <c r="B7018" t="s">
        <v>14</v>
      </c>
      <c r="C7018" t="s">
        <v>51</v>
      </c>
      <c r="D7018" s="2" t="s">
        <f>=HYPERLINK("https://main.knesset.gov.il/APPS/legislation/main/bills/2197549", "הצעת חוק הגנה על הציבור (מזון) (תיקון - שאריות חומרי הדברה במזון), התשפ""ג-2022")</f>
        <v>13746</v>
      </c>
      <c r="E7018" t="s">
        <v>13746</v>
      </c>
      <c r="F7018" t="s">
        <v>13747</v>
      </c>
      <c r="G7018" t="s">
        <v>14</v>
      </c>
      <c r="H7018">
             </c>
      <c r="I7018" t="s">
        <v>14</v>
      </c>
      <c r="J7018" t="s">
        <v>242</v>
      </c>
      <c r="K7018" t="s">
        <v>14</v>
      </c>
      <c r="L7018" t="s">
        <v>20</v>
      </c>
      <c r="M7018" t="s">
        <v>13338</v>
      </c>
      <c r="N7018" t="s">
        <v>14</v>
      </c>
    </row>
    <row r="7019" x14ac:dyDescent="0.25">
      <c r="A7019" t="n">
        <v>25</v>
      </c>
      <c r="B7019" t="s">
        <v>14</v>
      </c>
      <c r="C7019" t="s">
        <v>51</v>
      </c>
      <c r="D7019" s="2" t="s">
        <f>=HYPERLINK("https://main.knesset.gov.il/APPS/legislation/main/bills/2195671", "הצעת חוק חינוך ממלכתי (תיקון - העסקת עובדי הוראה בחוזה אישי), התשפ""ג-2022 ")</f>
        <v>13748</v>
      </c>
      <c r="E7019" t="s">
        <v>13748</v>
      </c>
      <c r="F7019" t="s">
        <v>13749</v>
      </c>
      <c r="G7019" t="s">
        <v>14</v>
      </c>
      <c r="H7019">
             </c>
      <c r="I7019" t="s">
        <v>14</v>
      </c>
      <c r="J7019" t="s">
        <v>242</v>
      </c>
      <c r="K7019" t="s">
        <v>14</v>
      </c>
      <c r="L7019" t="s">
        <v>20</v>
      </c>
      <c r="M7019" t="s">
        <v>13338</v>
      </c>
      <c r="N7019" t="s">
        <v>14</v>
      </c>
    </row>
    <row r="7020" x14ac:dyDescent="0.25">
      <c r="A7020" t="n">
        <v>25</v>
      </c>
      <c r="B7020" t="s">
        <v>14</v>
      </c>
      <c r="C7020" t="s">
        <v>51</v>
      </c>
      <c r="D7020" s="2" t="s">
        <f>=HYPERLINK("https://main.knesset.gov.il/APPS/legislation/main/bills/2197168", "הצעת חוק משק החשמל (תיקון - תעריף מופחת לבתי חולים בפריפריה), התשפ""ג-2022")</f>
        <v>13750</v>
      </c>
      <c r="E7020" t="s">
        <v>13750</v>
      </c>
      <c r="F7020" t="s">
        <v>13751</v>
      </c>
      <c r="G7020" t="s">
        <v>14</v>
      </c>
      <c r="H7020">
             </c>
      <c r="I7020" t="s">
        <v>14</v>
      </c>
      <c r="J7020" t="s">
        <v>242</v>
      </c>
      <c r="K7020" t="s">
        <v>14</v>
      </c>
      <c r="L7020" t="s">
        <v>20</v>
      </c>
      <c r="M7020" t="s">
        <v>13338</v>
      </c>
      <c r="N7020" t="s">
        <v>14</v>
      </c>
    </row>
    <row r="7021" x14ac:dyDescent="0.25">
      <c r="A7021" t="n">
        <v>25</v>
      </c>
      <c r="B7021" t="s">
        <v>14</v>
      </c>
      <c r="C7021" t="s">
        <v>51</v>
      </c>
      <c r="D7021" s="2" t="s">
        <f>=HYPERLINK("https://main.knesset.gov.il/APPS/legislation/main/bills/2195677", "הצעת חוק לימוד חובה (תיקון - מנהל מוסד חינוך), התשפ""ג-2022")</f>
        <v>13752</v>
      </c>
      <c r="E7021" t="s">
        <v>13752</v>
      </c>
      <c r="F7021" t="s">
        <v>13753</v>
      </c>
      <c r="G7021" t="s">
        <v>14</v>
      </c>
      <c r="H7021">
             </c>
      <c r="I7021" t="s">
        <v>14</v>
      </c>
      <c r="J7021" t="s">
        <v>242</v>
      </c>
      <c r="K7021" t="s">
        <v>14</v>
      </c>
      <c r="L7021" t="s">
        <v>20</v>
      </c>
      <c r="M7021" t="s">
        <v>13338</v>
      </c>
      <c r="N7021" t="s">
        <v>14</v>
      </c>
    </row>
    <row r="7022" x14ac:dyDescent="0.25">
      <c r="A7022" t="n">
        <v>25</v>
      </c>
      <c r="B7022" t="s">
        <v>14</v>
      </c>
      <c r="C7022" t="s">
        <v>51</v>
      </c>
      <c r="D7022" s="2" t="s">
        <f>=HYPERLINK("https://main.knesset.gov.il/APPS/legislation/main/bills/2196800", "הצעת חוק הביטוח הלאומי (תיקון - קביעת אחוזי נכות ללקויי שמיעה - דו-צידי וחד-צידי), התשפ""ג-2022")</f>
        <v>13754</v>
      </c>
      <c r="E7022" t="s">
        <v>13754</v>
      </c>
      <c r="F7022" t="s">
        <v>13755</v>
      </c>
      <c r="G7022" t="s">
        <v>14</v>
      </c>
      <c r="H7022">
             </c>
      <c r="I7022" t="s">
        <v>14</v>
      </c>
      <c r="J7022" t="s">
        <v>242</v>
      </c>
      <c r="K7022" t="s">
        <v>14</v>
      </c>
      <c r="L7022" t="s">
        <v>20</v>
      </c>
      <c r="M7022" t="s">
        <v>13338</v>
      </c>
      <c r="N7022" t="s">
        <v>14</v>
      </c>
    </row>
    <row r="7023" x14ac:dyDescent="0.25">
      <c r="A7023" t="n">
        <v>25</v>
      </c>
      <c r="B7023" t="s">
        <v>14</v>
      </c>
      <c r="C7023" t="s">
        <v>51</v>
      </c>
      <c r="D7023" s="2" t="s">
        <f>=HYPERLINK("https://main.knesset.gov.il/APPS/legislation/main/bills/2196641", "הצעת חוק מיסוי מקרקעין (שבח ורכישה) (תיקון - חזקת דירה יחידה), התשפ""ג-2022")</f>
        <v>13756</v>
      </c>
      <c r="E7023" t="s">
        <v>13756</v>
      </c>
      <c r="F7023" t="s">
        <v>13757</v>
      </c>
      <c r="G7023" t="s">
        <v>14</v>
      </c>
      <c r="H7023">
             </c>
      <c r="I7023" t="s">
        <v>14</v>
      </c>
      <c r="J7023" t="s">
        <v>242</v>
      </c>
      <c r="K7023" t="s">
        <v>14</v>
      </c>
      <c r="L7023" t="s">
        <v>20</v>
      </c>
      <c r="M7023" t="s">
        <v>13338</v>
      </c>
      <c r="N7023" t="s">
        <v>14</v>
      </c>
    </row>
    <row r="7024" x14ac:dyDescent="0.25">
      <c r="A7024" t="n">
        <v>25</v>
      </c>
      <c r="B7024" t="s">
        <v>14</v>
      </c>
      <c r="C7024" t="s">
        <v>51</v>
      </c>
      <c r="D7024" s="2" t="s">
        <f>=HYPERLINK("https://main.knesset.gov.il/APPS/legislation/main/bills/2196633", "הצעת חוק העונשין (תיקון - איסור שיווק ומכירת הימורים בידי מי שאינו בעל היתר, פועל מטעמו או בפיקוחו), התשפ""ג-2022")</f>
        <v>13758</v>
      </c>
      <c r="E7024" t="s">
        <v>13758</v>
      </c>
      <c r="F7024" t="s">
        <v>13759</v>
      </c>
      <c r="G7024" t="s">
        <v>14</v>
      </c>
      <c r="H7024">
             </c>
      <c r="I7024" t="s">
        <v>14</v>
      </c>
      <c r="J7024" t="s">
        <v>242</v>
      </c>
      <c r="K7024" t="s">
        <v>14</v>
      </c>
      <c r="L7024" t="s">
        <v>20</v>
      </c>
      <c r="M7024" t="s">
        <v>13338</v>
      </c>
      <c r="N7024" t="s">
        <v>14</v>
      </c>
    </row>
    <row r="7025" x14ac:dyDescent="0.25">
      <c r="A7025" t="n">
        <v>25</v>
      </c>
      <c r="B7025" t="s">
        <v>14</v>
      </c>
      <c r="C7025" t="s">
        <v>51</v>
      </c>
      <c r="D7025" s="2" t="s">
        <f>=HYPERLINK("https://main.knesset.gov.il/APPS/legislation/main/bills/2196277", "הצעת חוק הבנקאות (שירות ללקוח) (תיקון - העברת משכנתה בין בנקים), התשפ""ג-2022")</f>
        <v>13760</v>
      </c>
      <c r="E7025" t="s">
        <v>13760</v>
      </c>
      <c r="F7025" t="s">
        <v>13761</v>
      </c>
      <c r="G7025" t="s">
        <v>14</v>
      </c>
      <c r="H7025">
             </c>
      <c r="I7025" t="s">
        <v>14</v>
      </c>
      <c r="J7025" t="s">
        <v>242</v>
      </c>
      <c r="K7025" t="s">
        <v>14</v>
      </c>
      <c r="L7025" t="s">
        <v>20</v>
      </c>
      <c r="M7025" t="s">
        <v>13338</v>
      </c>
      <c r="N7025" t="s">
        <v>14</v>
      </c>
    </row>
    <row r="7026" x14ac:dyDescent="0.25">
      <c r="A7026" t="n">
        <v>25</v>
      </c>
      <c r="B7026" t="s">
        <v>14</v>
      </c>
      <c r="C7026" t="s">
        <v>51</v>
      </c>
      <c r="D7026" s="2" t="s">
        <f>=HYPERLINK("https://main.knesset.gov.il/APPS/legislation/main/bills/2197056", "הצעת חוק שירותי הסעד (תיקון - הגבלת מספר התיקים בטיפול עובד סוציאלי המטפל במשפחות), התשפ""ג-2022")</f>
        <v>13762</v>
      </c>
      <c r="E7026" t="s">
        <v>13762</v>
      </c>
      <c r="F7026" t="s">
        <v>13763</v>
      </c>
      <c r="G7026" t="s">
        <v>14</v>
      </c>
      <c r="H7026">
             </c>
      <c r="I7026" t="s">
        <v>14</v>
      </c>
      <c r="J7026" t="s">
        <v>242</v>
      </c>
      <c r="K7026" t="s">
        <v>14</v>
      </c>
      <c r="L7026" t="s">
        <v>20</v>
      </c>
      <c r="M7026" t="s">
        <v>13338</v>
      </c>
      <c r="N7026" t="s">
        <v>14</v>
      </c>
    </row>
    <row r="7027" x14ac:dyDescent="0.25">
      <c r="A7027" t="n">
        <v>25</v>
      </c>
      <c r="B7027" t="s">
        <v>14</v>
      </c>
      <c r="C7027" t="s">
        <v>51</v>
      </c>
      <c r="D7027" s="2" t="s">
        <f>=HYPERLINK("https://main.knesset.gov.il/APPS/legislation/main/bills/2197046", "הצעת חוק ההוצאה לפועל (תיקון - החרגת עיקול רכב), התשפ""ג-2022")</f>
        <v>13764</v>
      </c>
      <c r="E7027" t="s">
        <v>13764</v>
      </c>
      <c r="F7027" t="s">
        <v>13765</v>
      </c>
      <c r="G7027" t="s">
        <v>14</v>
      </c>
      <c r="H7027">
             </c>
      <c r="I7027" t="s">
        <v>14</v>
      </c>
      <c r="J7027" t="s">
        <v>242</v>
      </c>
      <c r="K7027" t="s">
        <v>14</v>
      </c>
      <c r="L7027" t="s">
        <v>20</v>
      </c>
      <c r="M7027" t="s">
        <v>13338</v>
      </c>
      <c r="N7027" t="s">
        <v>14</v>
      </c>
    </row>
    <row r="7028" x14ac:dyDescent="0.25">
      <c r="A7028" t="n">
        <v>25</v>
      </c>
      <c r="B7028" t="s">
        <v>14</v>
      </c>
      <c r="C7028" t="s">
        <v>51</v>
      </c>
      <c r="D7028" s="2" t="s">
        <f>=HYPERLINK("https://main.knesset.gov.il/APPS/legislation/main/bills/2197028", "הצעת חוק פריסת תשלום חוב ללא תוספת ריבית או אגרה, התשפ""ג-2022")</f>
        <v>13766</v>
      </c>
      <c r="E7028" t="s">
        <v>13766</v>
      </c>
      <c r="F7028" t="s">
        <v>13767</v>
      </c>
      <c r="G7028" t="s">
        <v>14</v>
      </c>
      <c r="H7028">
             </c>
      <c r="I7028" t="s">
        <v>14</v>
      </c>
      <c r="J7028" t="s">
        <v>242</v>
      </c>
      <c r="K7028" t="s">
        <v>14</v>
      </c>
      <c r="L7028" t="s">
        <v>20</v>
      </c>
      <c r="M7028" t="s">
        <v>13338</v>
      </c>
      <c r="N7028" t="s">
        <v>14</v>
      </c>
    </row>
    <row r="7029" x14ac:dyDescent="0.25">
      <c r="A7029" t="n">
        <v>25</v>
      </c>
      <c r="B7029" t="s">
        <v>14</v>
      </c>
      <c r="C7029" t="s">
        <v>51</v>
      </c>
      <c r="D7029" s="2" t="s">
        <f>=HYPERLINK("https://main.knesset.gov.il/APPS/legislation/main/bills/2197012", "הצעת חוק להגבלת הוראות ההיתרים לעריכת הגרלות והימורים מאת שר האוצר (הוראת שעה), התשפ""ג-2022")</f>
        <v>13768</v>
      </c>
      <c r="E7029" t="s">
        <v>13768</v>
      </c>
      <c r="F7029" t="s">
        <v>13769</v>
      </c>
      <c r="G7029" t="s">
        <v>14</v>
      </c>
      <c r="H7029">
             </c>
      <c r="I7029" t="s">
        <v>14</v>
      </c>
      <c r="J7029" t="s">
        <v>242</v>
      </c>
      <c r="K7029" t="s">
        <v>14</v>
      </c>
      <c r="L7029" t="s">
        <v>20</v>
      </c>
      <c r="M7029" t="s">
        <v>13338</v>
      </c>
      <c r="N7029" t="s">
        <v>14</v>
      </c>
    </row>
    <row r="7030" x14ac:dyDescent="0.25">
      <c r="A7030" t="n">
        <v>25</v>
      </c>
      <c r="B7030" t="s">
        <v>14</v>
      </c>
      <c r="C7030" t="s">
        <v>51</v>
      </c>
      <c r="D7030" s="2" t="s">
        <f>=HYPERLINK("https://main.knesset.gov.il/APPS/legislation/main/bills/2197839", "הצעת חוק יום ציון ממלכתי לוועידת סן רמו, התשפ""ג-2022")</f>
        <v>13770</v>
      </c>
      <c r="E7030" t="s">
        <v>13770</v>
      </c>
      <c r="F7030" t="s">
        <v>13771</v>
      </c>
      <c r="G7030" t="s">
        <v>14</v>
      </c>
      <c r="H7030">
             </c>
      <c r="I7030" t="s">
        <v>14</v>
      </c>
      <c r="J7030" t="s">
        <v>242</v>
      </c>
      <c r="K7030" t="s">
        <v>14</v>
      </c>
      <c r="L7030" t="s">
        <v>20</v>
      </c>
      <c r="M7030" t="s">
        <v>13338</v>
      </c>
      <c r="N7030" t="s">
        <v>14</v>
      </c>
    </row>
    <row r="7031" x14ac:dyDescent="0.25">
      <c r="A7031" t="n">
        <v>25</v>
      </c>
      <c r="B7031" t="s">
        <v>14</v>
      </c>
      <c r="C7031" t="s">
        <v>51</v>
      </c>
      <c r="D7031" s="2" t="s">
        <f>=HYPERLINK("https://main.knesset.gov.il/APPS/legislation/main/bills/2197009", "הצעת חוק המתווכים במקרקעין (תיקון - הגבלת דמי תיווך), התשפ""ג-2022")</f>
        <v>13772</v>
      </c>
      <c r="E7031" t="s">
        <v>13772</v>
      </c>
      <c r="F7031" t="s">
        <v>13773</v>
      </c>
      <c r="G7031" t="s">
        <v>14</v>
      </c>
      <c r="H7031">
             </c>
      <c r="I7031" t="s">
        <v>14</v>
      </c>
      <c r="J7031" t="s">
        <v>242</v>
      </c>
      <c r="K7031" t="s">
        <v>14</v>
      </c>
      <c r="L7031" t="s">
        <v>20</v>
      </c>
      <c r="M7031" t="s">
        <v>13338</v>
      </c>
      <c r="N7031" t="s">
        <v>14</v>
      </c>
    </row>
    <row r="7032" x14ac:dyDescent="0.25">
      <c r="A7032" t="n">
        <v>25</v>
      </c>
      <c r="B7032" t="s">
        <v>14</v>
      </c>
      <c r="C7032" t="s">
        <v>51</v>
      </c>
      <c r="D7032" s="2" t="s">
        <f>=HYPERLINK("https://main.knesset.gov.il/APPS/legislation/main/bills/2197423", "הצעת חוק העונשין (תיקון - גזר דין עונש מוות למורשע ברצח בנסיבות טרור), התשפ""ג-2022")</f>
        <v>13774</v>
      </c>
      <c r="E7032" t="s">
        <v>13774</v>
      </c>
      <c r="F7032" t="s">
        <v>13775</v>
      </c>
      <c r="G7032" t="s">
        <v>14</v>
      </c>
      <c r="H7032">
             </c>
      <c r="I7032" t="s">
        <v>14</v>
      </c>
      <c r="J7032" t="s">
        <v>242</v>
      </c>
      <c r="K7032" t="s">
        <v>14</v>
      </c>
      <c r="L7032" t="s">
        <v>20</v>
      </c>
      <c r="M7032" t="s">
        <v>13338</v>
      </c>
      <c r="N7032" t="s">
        <v>14</v>
      </c>
    </row>
    <row r="7033" x14ac:dyDescent="0.25">
      <c r="A7033" t="n">
        <v>25</v>
      </c>
      <c r="B7033" t="s">
        <v>14</v>
      </c>
      <c r="C7033" t="s">
        <v>51</v>
      </c>
      <c r="D7033" s="2" t="s">
        <f>=HYPERLINK("https://main.knesset.gov.il/APPS/legislation/main/bills/2197514", "הצעת חוק ביטוח בריאות ממלכתי (תיקון - מחלה נדירה), התשפ""ג-2022")</f>
        <v>13776</v>
      </c>
      <c r="E7033" t="s">
        <v>13776</v>
      </c>
      <c r="F7033" t="s">
        <v>13777</v>
      </c>
      <c r="G7033" t="s">
        <v>14</v>
      </c>
      <c r="H7033">
             </c>
      <c r="I7033" t="s">
        <v>14</v>
      </c>
      <c r="J7033" t="s">
        <v>242</v>
      </c>
      <c r="K7033" t="s">
        <v>14</v>
      </c>
      <c r="L7033" t="s">
        <v>20</v>
      </c>
      <c r="M7033" t="s">
        <v>13338</v>
      </c>
      <c r="N7033" t="s">
        <v>14</v>
      </c>
    </row>
    <row r="7034" x14ac:dyDescent="0.25">
      <c r="A7034" t="n">
        <v>25</v>
      </c>
      <c r="B7034" t="s">
        <v>14</v>
      </c>
      <c r="C7034" t="s">
        <v>51</v>
      </c>
      <c r="D7034" s="2" t="s">
        <f>=HYPERLINK("https://main.knesset.gov.il/APPS/legislation/main/bills/2197315", "הצעת חוק ביטוח בריאות ממלכתי (תיקון - מחלה נדירה), התשפ""ג-2022")</f>
        <v>13776</v>
      </c>
      <c r="E7034" t="s">
        <v>13776</v>
      </c>
      <c r="F7034" t="s">
        <v>13778</v>
      </c>
      <c r="G7034" t="s">
        <v>14</v>
      </c>
      <c r="H7034">
             </c>
      <c r="I7034" t="s">
        <v>14</v>
      </c>
      <c r="J7034" t="s">
        <v>242</v>
      </c>
      <c r="K7034" t="s">
        <v>14</v>
      </c>
      <c r="L7034" t="s">
        <v>20</v>
      </c>
      <c r="M7034" t="s">
        <v>13338</v>
      </c>
      <c r="N7034" t="s">
        <v>14</v>
      </c>
    </row>
    <row r="7035" x14ac:dyDescent="0.25">
      <c r="A7035" t="n">
        <v>25</v>
      </c>
      <c r="B7035" t="s">
        <v>14</v>
      </c>
      <c r="C7035" t="s">
        <v>51</v>
      </c>
      <c r="D7035" s="2" t="s">
        <f>=HYPERLINK("https://main.knesset.gov.il/APPS/legislation/main/bills/2196522", "הצעת חוק לתיקון פקודת בריאות העם (מכרז להצבת מכונות מזון אוטומטיות), התשפ""ג-2022")</f>
        <v>13779</v>
      </c>
      <c r="E7035" t="s">
        <v>13779</v>
      </c>
      <c r="F7035" t="s">
        <v>13780</v>
      </c>
      <c r="G7035" t="s">
        <v>14</v>
      </c>
      <c r="H7035">
             </c>
      <c r="I7035" t="s">
        <v>14</v>
      </c>
      <c r="J7035" t="s">
        <v>242</v>
      </c>
      <c r="K7035" t="s">
        <v>14</v>
      </c>
      <c r="L7035" t="s">
        <v>20</v>
      </c>
      <c r="M7035" t="s">
        <v>13338</v>
      </c>
      <c r="N7035" t="s">
        <v>14</v>
      </c>
    </row>
    <row r="7036" x14ac:dyDescent="0.25">
      <c r="A7036" t="n">
        <v>25</v>
      </c>
      <c r="B7036" t="s">
        <v>14</v>
      </c>
      <c r="C7036" t="s">
        <v>51</v>
      </c>
      <c r="D7036" s="2" t="s">
        <f>=HYPERLINK("https://main.knesset.gov.il/APPS/legislation/main/bills/2196972", "הצעת חוק-יסוד: כבוד האדם וחירותו (תיקון - פסקת התגברות)")</f>
        <v>13781</v>
      </c>
      <c r="E7036" t="s">
        <v>13781</v>
      </c>
      <c r="F7036" t="s">
        <v>13782</v>
      </c>
      <c r="G7036" t="s">
        <v>14</v>
      </c>
      <c r="H7036">
             </c>
      <c r="I7036" t="s">
        <v>14</v>
      </c>
      <c r="J7036" t="s">
        <v>242</v>
      </c>
      <c r="K7036" t="s">
        <v>14</v>
      </c>
      <c r="L7036" t="s">
        <v>20</v>
      </c>
      <c r="M7036" t="s">
        <v>13338</v>
      </c>
      <c r="N7036" t="s">
        <v>14</v>
      </c>
    </row>
    <row r="7037" x14ac:dyDescent="0.25">
      <c r="A7037" t="n">
        <v>25</v>
      </c>
      <c r="B7037" t="s">
        <v>14</v>
      </c>
      <c r="C7037" t="s">
        <v>51</v>
      </c>
      <c r="D7037" s="2" t="s">
        <f>=HYPERLINK("https://main.knesset.gov.il/APPS/legislation/main/bills/2197243", "הצעת חוק ביטוח בריאות ממלכתי (תיקון - מחלה נדירה), התשפ""ג-2022")</f>
        <v>13776</v>
      </c>
      <c r="E7037" t="s">
        <v>13776</v>
      </c>
      <c r="F7037" t="s">
        <v>13783</v>
      </c>
      <c r="G7037" t="s">
        <v>14</v>
      </c>
      <c r="H7037">
             </c>
      <c r="I7037" t="s">
        <v>14</v>
      </c>
      <c r="J7037" t="s">
        <v>242</v>
      </c>
      <c r="K7037" t="s">
        <v>14</v>
      </c>
      <c r="L7037" t="s">
        <v>20</v>
      </c>
      <c r="M7037" t="s">
        <v>13338</v>
      </c>
      <c r="N7037" t="s">
        <v>14</v>
      </c>
    </row>
    <row r="7038" x14ac:dyDescent="0.25">
      <c r="A7038" t="n">
        <v>25</v>
      </c>
      <c r="B7038" t="s">
        <v>14</v>
      </c>
      <c r="C7038" t="s">
        <v>51</v>
      </c>
      <c r="D7038" s="2" t="s">
        <f>=HYPERLINK("https://main.knesset.gov.il/APPS/legislation/main/bills/2196145", "הצעת חוק לתיקון פקודת התעבורה (הגבלת תנועת כלי רכב ביום הכיפורים), התשפ""ג-2022")</f>
        <v>13784</v>
      </c>
      <c r="E7038" t="s">
        <v>13784</v>
      </c>
      <c r="F7038" t="s">
        <v>13785</v>
      </c>
      <c r="G7038" t="s">
        <v>14</v>
      </c>
      <c r="H7038">
             </c>
      <c r="I7038" t="s">
        <v>14</v>
      </c>
      <c r="J7038" t="s">
        <v>242</v>
      </c>
      <c r="K7038" t="s">
        <v>14</v>
      </c>
      <c r="L7038" t="s">
        <v>20</v>
      </c>
      <c r="M7038" t="s">
        <v>13338</v>
      </c>
      <c r="N7038" t="s">
        <v>14</v>
      </c>
    </row>
    <row r="7039" x14ac:dyDescent="0.25">
      <c r="A7039" t="n">
        <v>25</v>
      </c>
      <c r="B7039" t="s">
        <v>14</v>
      </c>
      <c r="C7039" t="s">
        <v>51</v>
      </c>
      <c r="D7039" s="2" t="s">
        <f>=HYPERLINK("https://main.knesset.gov.il/APPS/legislation/main/bills/2196707", "הצעת חוק שמירת הקדושה של הכותל המערבי ורחבתו, התשפ""ג-2022")</f>
        <v>13786</v>
      </c>
      <c r="E7039" t="s">
        <v>13786</v>
      </c>
      <c r="F7039" t="s">
        <v>13787</v>
      </c>
      <c r="G7039" t="s">
        <v>14</v>
      </c>
      <c r="H7039">
             </c>
      <c r="I7039" t="s">
        <v>14</v>
      </c>
      <c r="J7039" t="s">
        <v>242</v>
      </c>
      <c r="K7039" t="s">
        <v>14</v>
      </c>
      <c r="L7039" t="s">
        <v>20</v>
      </c>
      <c r="M7039" t="s">
        <v>13338</v>
      </c>
      <c r="N7039" t="s">
        <v>14</v>
      </c>
    </row>
    <row r="7040" x14ac:dyDescent="0.25">
      <c r="A7040" t="n">
        <v>25</v>
      </c>
      <c r="B7040" t="s">
        <v>14</v>
      </c>
      <c r="C7040" t="s">
        <v>51</v>
      </c>
      <c r="D7040" s="2" t="s">
        <f>=HYPERLINK("https://main.knesset.gov.il/APPS/legislation/main/bills/2196139", "הצעת חוק חוזה עבודה (הגבלות לעניין סיום העסקה של עובד), התשפ""ג-2022 ")</f>
        <v>13788</v>
      </c>
      <c r="E7040" t="s">
        <v>13788</v>
      </c>
      <c r="F7040" t="s">
        <v>13789</v>
      </c>
      <c r="G7040" t="s">
        <v>14</v>
      </c>
      <c r="H7040">
             </c>
      <c r="I7040" t="s">
        <v>14</v>
      </c>
      <c r="J7040" t="s">
        <v>242</v>
      </c>
      <c r="K7040" t="s">
        <v>14</v>
      </c>
      <c r="L7040" t="s">
        <v>20</v>
      </c>
      <c r="M7040" t="s">
        <v>13338</v>
      </c>
      <c r="N7040" t="s">
        <v>14</v>
      </c>
    </row>
    <row r="7041" x14ac:dyDescent="0.25">
      <c r="A7041" t="n">
        <v>25</v>
      </c>
      <c r="B7041" t="s">
        <v>14</v>
      </c>
      <c r="C7041" t="s">
        <v>51</v>
      </c>
      <c r="D7041" s="2" t="s">
        <f>=HYPERLINK("https://main.knesset.gov.il/APPS/legislation/main/bills/2196132", "הצעת חוק רישוי עסקים (תיקון - התקנת מכשיר לבדיקת רמת אלכוהול), התשפ""ג-2022")</f>
        <v>13790</v>
      </c>
      <c r="E7041" t="s">
        <v>13790</v>
      </c>
      <c r="F7041" t="s">
        <v>13791</v>
      </c>
      <c r="G7041" t="s">
        <v>14</v>
      </c>
      <c r="H7041">
             </c>
      <c r="I7041" t="s">
        <v>14</v>
      </c>
      <c r="J7041" t="s">
        <v>242</v>
      </c>
      <c r="K7041" t="s">
        <v>14</v>
      </c>
      <c r="L7041" t="s">
        <v>20</v>
      </c>
      <c r="M7041" t="s">
        <v>13338</v>
      </c>
      <c r="N7041" t="s">
        <v>14</v>
      </c>
    </row>
    <row r="7042" x14ac:dyDescent="0.25">
      <c r="A7042" t="n">
        <v>25</v>
      </c>
      <c r="B7042" t="s">
        <v>14</v>
      </c>
      <c r="C7042" t="s">
        <v>51</v>
      </c>
      <c r="D7042" s="2" t="s">
        <f>=HYPERLINK("https://main.knesset.gov.il/APPS/legislation/main/bills/2196118", "הצעת חוק הפסקת חברות של חבר כנסת והעברת שר וראש ממשלה מכהונתם מחמת הפרת הבטחת בחירות (תיקוני חקיקה), התשפ""ג-2022")</f>
        <v>13792</v>
      </c>
      <c r="E7042" t="s">
        <v>13792</v>
      </c>
      <c r="F7042" t="s">
        <v>13793</v>
      </c>
      <c r="G7042" t="s">
        <v>14</v>
      </c>
      <c r="H7042">
             </c>
      <c r="I7042" t="s">
        <v>14</v>
      </c>
      <c r="J7042" t="s">
        <v>242</v>
      </c>
      <c r="K7042" t="s">
        <v>14</v>
      </c>
      <c r="L7042" t="s">
        <v>20</v>
      </c>
      <c r="M7042" t="s">
        <v>13338</v>
      </c>
      <c r="N7042" t="s">
        <v>14</v>
      </c>
    </row>
    <row r="7043" x14ac:dyDescent="0.25">
      <c r="A7043" t="n">
        <v>25</v>
      </c>
      <c r="B7043" t="s">
        <v>14</v>
      </c>
      <c r="C7043" t="s">
        <v>51</v>
      </c>
      <c r="D7043" s="2" t="s">
        <f>=HYPERLINK("https://main.knesset.gov.il/APPS/legislation/main/bills/2196081", "הצעת חוק הפיקוח על מעונות (תיקון - כשירותם של אנשי צוות), התשפ""ג-2022")</f>
        <v>13794</v>
      </c>
      <c r="E7043" t="s">
        <v>13794</v>
      </c>
      <c r="F7043" t="s">
        <v>13795</v>
      </c>
      <c r="G7043" t="s">
        <v>14</v>
      </c>
      <c r="H7043">
             </c>
      <c r="I7043" t="s">
        <v>14</v>
      </c>
      <c r="J7043" t="s">
        <v>242</v>
      </c>
      <c r="K7043" t="s">
        <v>14</v>
      </c>
      <c r="L7043" t="s">
        <v>20</v>
      </c>
      <c r="M7043" t="s">
        <v>13338</v>
      </c>
      <c r="N7043" t="s">
        <v>14</v>
      </c>
    </row>
    <row r="7044" x14ac:dyDescent="0.25">
      <c r="A7044" t="n">
        <v>25</v>
      </c>
      <c r="B7044" t="s">
        <v>14</v>
      </c>
      <c r="C7044" t="s">
        <v>51</v>
      </c>
      <c r="D7044" s="2" t="s">
        <f>=HYPERLINK("https://main.knesset.gov.il/APPS/legislation/main/bills/2197308", "הצעת חוק ביטוח בריאות ממלכתי (תיקון - החזר דמי נסיעות עבור חולה סיעודי וחולה שנפטר), התשפ""ג-2022")</f>
        <v>13796</v>
      </c>
      <c r="E7044" t="s">
        <v>13796</v>
      </c>
      <c r="F7044" t="s">
        <v>13797</v>
      </c>
      <c r="G7044" t="s">
        <v>14</v>
      </c>
      <c r="H7044">
             </c>
      <c r="I7044" t="s">
        <v>14</v>
      </c>
      <c r="J7044" t="s">
        <v>242</v>
      </c>
      <c r="K7044" t="s">
        <v>14</v>
      </c>
      <c r="L7044" t="s">
        <v>20</v>
      </c>
      <c r="M7044" t="s">
        <v>13338</v>
      </c>
      <c r="N7044" t="s">
        <v>14</v>
      </c>
    </row>
    <row r="7045" x14ac:dyDescent="0.25">
      <c r="A7045" t="n">
        <v>25</v>
      </c>
      <c r="B7045" t="s">
        <v>14</v>
      </c>
      <c r="C7045" t="s">
        <v>51</v>
      </c>
      <c r="D7045" s="2" t="s">
        <f>=HYPERLINK("https://main.knesset.gov.il/APPS/legislation/main/bills/2196051", "הצעת חוק לתיקון פקודת המשטרה (הוראות בדבר פיזור אסיפה או תהלוכה), התשפ""ג-2022")</f>
        <v>13798</v>
      </c>
      <c r="E7045" t="s">
        <v>13798</v>
      </c>
      <c r="F7045" t="s">
        <v>13799</v>
      </c>
      <c r="G7045" t="s">
        <v>14</v>
      </c>
      <c r="H7045">
             </c>
      <c r="I7045" t="s">
        <v>14</v>
      </c>
      <c r="J7045" t="s">
        <v>242</v>
      </c>
      <c r="K7045" t="s">
        <v>14</v>
      </c>
      <c r="L7045" t="s">
        <v>20</v>
      </c>
      <c r="M7045" t="s">
        <v>13338</v>
      </c>
      <c r="N7045" t="s">
        <v>14</v>
      </c>
    </row>
    <row r="7046" x14ac:dyDescent="0.25">
      <c r="A7046" t="n">
        <v>25</v>
      </c>
      <c r="B7046" t="s">
        <v>14</v>
      </c>
      <c r="C7046" t="s">
        <v>51</v>
      </c>
      <c r="D7046" s="2" t="s">
        <f>=HYPERLINK("https://main.knesset.gov.il/APPS/legislation/main/bills/2196028", "הצעת חוק הגנת הצרכן (תיקון - החלת חובת הודעה על סיום עסקה מתמשכת על תאגידים בנקאיים ופיננסיים), התשפ""ג-2022")</f>
        <v>13800</v>
      </c>
      <c r="E7046" t="s">
        <v>13800</v>
      </c>
      <c r="F7046" t="s">
        <v>13801</v>
      </c>
      <c r="G7046" t="s">
        <v>14</v>
      </c>
      <c r="H7046">
             </c>
      <c r="I7046" t="s">
        <v>14</v>
      </c>
      <c r="J7046" t="s">
        <v>242</v>
      </c>
      <c r="K7046" t="s">
        <v>14</v>
      </c>
      <c r="L7046" t="s">
        <v>20</v>
      </c>
      <c r="M7046" t="s">
        <v>13338</v>
      </c>
      <c r="N7046" t="s">
        <v>14</v>
      </c>
    </row>
    <row r="7047" x14ac:dyDescent="0.25">
      <c r="A7047" t="n">
        <v>25</v>
      </c>
      <c r="B7047" t="s">
        <v>14</v>
      </c>
      <c r="C7047" t="s">
        <v>51</v>
      </c>
      <c r="D7047" s="2" t="s">
        <f>=HYPERLINK("https://main.knesset.gov.il/APPS/legislation/main/bills/2196690", "הצעת חוק ביטוח בריאות ממלכתי (תיקון - החזר דמי נסיעות עבור חולה סיעודי וחולה שנפטר), התשפ""ג-2022")</f>
        <v>13796</v>
      </c>
      <c r="E7047" t="s">
        <v>13796</v>
      </c>
      <c r="F7047" t="s">
        <v>13802</v>
      </c>
      <c r="G7047" t="s">
        <v>14</v>
      </c>
      <c r="H7047">
             </c>
      <c r="I7047" t="s">
        <v>14</v>
      </c>
      <c r="J7047" t="s">
        <v>242</v>
      </c>
      <c r="K7047" t="s">
        <v>14</v>
      </c>
      <c r="L7047" t="s">
        <v>20</v>
      </c>
      <c r="M7047" t="s">
        <v>13338</v>
      </c>
      <c r="N7047" t="s">
        <v>14</v>
      </c>
    </row>
    <row r="7048" x14ac:dyDescent="0.25">
      <c r="A7048" t="n">
        <v>25</v>
      </c>
      <c r="B7048" t="s">
        <v>14</v>
      </c>
      <c r="C7048" t="s">
        <v>51</v>
      </c>
      <c r="D7048" s="2" t="s">
        <f>=HYPERLINK("https://main.knesset.gov.il/APPS/legislation/main/bills/2196009", "הצעת חוק המוסד העליון ללשון העברית (תיקון - מעמד החלטות המוסד וועדת השמות הממשלתית), התשפ""ג-2022")</f>
        <v>13803</v>
      </c>
      <c r="E7048" t="s">
        <v>13803</v>
      </c>
      <c r="F7048" t="s">
        <v>13804</v>
      </c>
      <c r="G7048" t="s">
        <v>14</v>
      </c>
      <c r="H7048">
             </c>
      <c r="I7048" t="s">
        <v>14</v>
      </c>
      <c r="J7048" t="s">
        <v>242</v>
      </c>
      <c r="K7048" t="s">
        <v>14</v>
      </c>
      <c r="L7048" t="s">
        <v>20</v>
      </c>
      <c r="M7048" t="s">
        <v>13338</v>
      </c>
      <c r="N7048" t="s">
        <v>14</v>
      </c>
    </row>
    <row r="7049" x14ac:dyDescent="0.25">
      <c r="A7049" t="n">
        <v>25</v>
      </c>
      <c r="B7049" t="s">
        <v>14</v>
      </c>
      <c r="C7049" t="s">
        <v>51</v>
      </c>
      <c r="D7049" s="2" t="s">
        <f>=HYPERLINK("https://main.knesset.gov.il/APPS/legislation/main/bills/2196195", "הצעת חוק הביטוח הלאומי (תיקון - הארכת המועד להגשת תביעה לגמלה והתקופה שבעדה תשולם), התשפ""ג-2022")</f>
        <v>13805</v>
      </c>
      <c r="E7049" t="s">
        <v>13805</v>
      </c>
      <c r="F7049" t="s">
        <v>13806</v>
      </c>
      <c r="G7049" t="s">
        <v>14</v>
      </c>
      <c r="H7049">
             </c>
      <c r="I7049" t="s">
        <v>14</v>
      </c>
      <c r="J7049" t="s">
        <v>242</v>
      </c>
      <c r="K7049" t="s">
        <v>14</v>
      </c>
      <c r="L7049" t="s">
        <v>20</v>
      </c>
      <c r="M7049" t="s">
        <v>13338</v>
      </c>
      <c r="N7049" t="s">
        <v>14</v>
      </c>
    </row>
    <row r="7050" x14ac:dyDescent="0.25">
      <c r="A7050" t="n">
        <v>25</v>
      </c>
      <c r="B7050" t="s">
        <v>14</v>
      </c>
      <c r="C7050" t="s">
        <v>51</v>
      </c>
      <c r="D7050" s="2" t="s">
        <f>=HYPERLINK("https://main.knesset.gov.il/APPS/legislation/main/bills/2197295", "הצעת חוק להפחתת השימוש ברכב פרטי ולעידוד שימוש בתחבורה הציבורית, התשפ""ג-2022 ")</f>
        <v>13807</v>
      </c>
      <c r="E7050" t="s">
        <v>13807</v>
      </c>
      <c r="F7050" t="s">
        <v>13808</v>
      </c>
      <c r="G7050" t="s">
        <v>14</v>
      </c>
      <c r="H7050">
             </c>
      <c r="I7050" t="s">
        <v>14</v>
      </c>
      <c r="J7050" t="s">
        <v>242</v>
      </c>
      <c r="K7050" t="s">
        <v>14</v>
      </c>
      <c r="L7050" t="s">
        <v>20</v>
      </c>
      <c r="M7050" t="s">
        <v>13338</v>
      </c>
      <c r="N7050" t="s">
        <v>14</v>
      </c>
    </row>
    <row r="7051" x14ac:dyDescent="0.25">
      <c r="A7051" t="n">
        <v>25</v>
      </c>
      <c r="B7051" t="s">
        <v>14</v>
      </c>
      <c r="C7051" t="s">
        <v>51</v>
      </c>
      <c r="D7051" s="2" t="s">
        <f>=HYPERLINK("https://main.knesset.gov.il/APPS/legislation/main/bills/2196909", "הצעת חוק שירות הציבור (הגבלות לאחר פרישה) (תיקון - תקופת צינון לשופטים), התשפ""ג-2022 ")</f>
        <v>13809</v>
      </c>
      <c r="E7051" t="s">
        <v>13809</v>
      </c>
      <c r="F7051" t="s">
        <v>13810</v>
      </c>
      <c r="G7051" t="s">
        <v>14</v>
      </c>
      <c r="H7051">
             </c>
      <c r="I7051" t="s">
        <v>14</v>
      </c>
      <c r="J7051" t="s">
        <v>242</v>
      </c>
      <c r="K7051" t="s">
        <v>14</v>
      </c>
      <c r="L7051" t="s">
        <v>20</v>
      </c>
      <c r="M7051" t="s">
        <v>13338</v>
      </c>
      <c r="N7051" t="s">
        <v>14</v>
      </c>
    </row>
    <row r="7052" x14ac:dyDescent="0.25">
      <c r="A7052" t="n">
        <v>25</v>
      </c>
      <c r="B7052" t="s">
        <v>14</v>
      </c>
      <c r="C7052" t="s">
        <v>51</v>
      </c>
      <c r="D7052" s="2" t="s">
        <f>=HYPERLINK("https://main.knesset.gov.il/APPS/legislation/main/bills/2197849", "הצעת חוק ביטול מאסר חלף קנס (תיקוני חקיקה), התשפ""ג-2022")</f>
        <v>13811</v>
      </c>
      <c r="E7052" t="s">
        <v>13811</v>
      </c>
      <c r="F7052" t="s">
        <v>13812</v>
      </c>
      <c r="G7052" t="s">
        <v>14</v>
      </c>
      <c r="H7052">
             </c>
      <c r="I7052" t="s">
        <v>14</v>
      </c>
      <c r="J7052" t="s">
        <v>242</v>
      </c>
      <c r="K7052" t="s">
        <v>14</v>
      </c>
      <c r="L7052" t="s">
        <v>20</v>
      </c>
      <c r="M7052" t="s">
        <v>13338</v>
      </c>
      <c r="N7052" t="s">
        <v>14</v>
      </c>
    </row>
    <row r="7053" x14ac:dyDescent="0.25">
      <c r="A7053" t="n">
        <v>25</v>
      </c>
      <c r="B7053" t="s">
        <v>14</v>
      </c>
      <c r="C7053" t="s">
        <v>51</v>
      </c>
      <c r="D7053" s="2" t="s">
        <f>=HYPERLINK("https://main.knesset.gov.il/APPS/legislation/main/bills/2197286", "הצעת חוק לתיקון פקודת התעבורה (שירות טלפוני לדיווח ולקבלת תלונות על עבירות תעבורה או נהיגה מסוכנת של נהג אוטובוס), התשפ""ג-2022")</f>
        <v>13813</v>
      </c>
      <c r="E7053" t="s">
        <v>13813</v>
      </c>
      <c r="F7053" t="s">
        <v>13814</v>
      </c>
      <c r="G7053" t="s">
        <v>14</v>
      </c>
      <c r="H7053">
             </c>
      <c r="I7053" t="s">
        <v>14</v>
      </c>
      <c r="J7053" t="s">
        <v>242</v>
      </c>
      <c r="K7053" t="s">
        <v>14</v>
      </c>
      <c r="L7053" t="s">
        <v>20</v>
      </c>
      <c r="M7053" t="s">
        <v>13338</v>
      </c>
      <c r="N7053" t="s">
        <v>14</v>
      </c>
    </row>
    <row r="7054" x14ac:dyDescent="0.25">
      <c r="A7054" t="n">
        <v>25</v>
      </c>
      <c r="B7054" t="s">
        <v>14</v>
      </c>
      <c r="C7054" t="s">
        <v>51</v>
      </c>
      <c r="D7054" s="2" t="s">
        <f>=HYPERLINK("https://main.knesset.gov.il/APPS/legislation/main/bills/2197318", "הצעת חוק ביטול מאסר חלף קנס (תיקוני חקיקה), התשפ""ג-2022")</f>
        <v>13811</v>
      </c>
      <c r="E7054" t="s">
        <v>13811</v>
      </c>
      <c r="F7054" t="s">
        <v>13815</v>
      </c>
      <c r="G7054" t="s">
        <v>14</v>
      </c>
      <c r="H7054">
             </c>
      <c r="I7054" t="s">
        <v>14</v>
      </c>
      <c r="J7054" t="s">
        <v>242</v>
      </c>
      <c r="K7054" t="s">
        <v>14</v>
      </c>
      <c r="L7054" t="s">
        <v>20</v>
      </c>
      <c r="M7054" t="s">
        <v>13338</v>
      </c>
      <c r="N7054" t="s">
        <v>14</v>
      </c>
    </row>
    <row r="7055" x14ac:dyDescent="0.25">
      <c r="A7055" t="n">
        <v>25</v>
      </c>
      <c r="B7055" t="s">
        <v>14</v>
      </c>
      <c r="C7055" t="s">
        <v>51</v>
      </c>
      <c r="D7055" s="2" t="s">
        <f>=HYPERLINK("https://main.knesset.gov.il/APPS/legislation/main/bills/2197284", "הצעת חוק משק החשמל (תיקון - תשלומי חשמל מופחתים לקשישים נכים), התשפ""ג-2022")</f>
        <v>13816</v>
      </c>
      <c r="E7055" t="s">
        <v>13816</v>
      </c>
      <c r="F7055" t="s">
        <v>13817</v>
      </c>
      <c r="G7055" t="s">
        <v>14</v>
      </c>
      <c r="H7055">
             </c>
      <c r="I7055" t="s">
        <v>14</v>
      </c>
      <c r="J7055" t="s">
        <v>242</v>
      </c>
      <c r="K7055" t="s">
        <v>14</v>
      </c>
      <c r="L7055" t="s">
        <v>20</v>
      </c>
      <c r="M7055" t="s">
        <v>13338</v>
      </c>
      <c r="N7055" t="s">
        <v>14</v>
      </c>
    </row>
    <row r="7056" x14ac:dyDescent="0.25">
      <c r="A7056" t="n">
        <v>25</v>
      </c>
      <c r="B7056" t="s">
        <v>14</v>
      </c>
      <c r="C7056" t="s">
        <v>51</v>
      </c>
      <c r="D7056" s="2" t="s">
        <f>=HYPERLINK("https://main.knesset.gov.il/APPS/legislation/main/bills/2197327", "הצעת חוק ביטוח בריאות ממלכתי (תיקון - השתתפות בטיפולי שיניים, פה ולסת לנפגעי שיתוק מוחין), התשפ""ג-2022")</f>
        <v>13818</v>
      </c>
      <c r="E7056" t="s">
        <v>13818</v>
      </c>
      <c r="F7056" t="s">
        <v>13819</v>
      </c>
      <c r="G7056" t="s">
        <v>14</v>
      </c>
      <c r="H7056">
             </c>
      <c r="I7056" t="s">
        <v>14</v>
      </c>
      <c r="J7056" t="s">
        <v>242</v>
      </c>
      <c r="K7056" t="s">
        <v>14</v>
      </c>
      <c r="L7056" t="s">
        <v>20</v>
      </c>
      <c r="M7056" t="s">
        <v>13338</v>
      </c>
      <c r="N7056" t="s">
        <v>14</v>
      </c>
    </row>
    <row r="7057" x14ac:dyDescent="0.25">
      <c r="A7057" t="n">
        <v>25</v>
      </c>
      <c r="B7057" t="s">
        <v>14</v>
      </c>
      <c r="C7057" t="s">
        <v>51</v>
      </c>
      <c r="D7057" s="2" t="s">
        <f>=HYPERLINK("https://main.knesset.gov.il/APPS/legislation/main/bills/2197283", "הצעת חוק משק החשמל (תיקון - פיקוח פרלמנטרי על תעריפי החשמל), התשפ""ג-2022")</f>
        <v>13820</v>
      </c>
      <c r="E7057" t="s">
        <v>13820</v>
      </c>
      <c r="F7057" t="s">
        <v>13821</v>
      </c>
      <c r="G7057" t="s">
        <v>14</v>
      </c>
      <c r="H7057">
             </c>
      <c r="I7057" t="s">
        <v>14</v>
      </c>
      <c r="J7057" t="s">
        <v>242</v>
      </c>
      <c r="K7057" t="s">
        <v>14</v>
      </c>
      <c r="L7057" t="s">
        <v>20</v>
      </c>
      <c r="M7057" t="s">
        <v>13338</v>
      </c>
      <c r="N7057" t="s">
        <v>14</v>
      </c>
    </row>
    <row r="7058" x14ac:dyDescent="0.25">
      <c r="A7058" t="n">
        <v>25</v>
      </c>
      <c r="B7058" t="s">
        <v>14</v>
      </c>
      <c r="C7058" t="s">
        <v>51</v>
      </c>
      <c r="D7058" s="2" t="s">
        <f>=HYPERLINK("https://main.knesset.gov.il/APPS/legislation/main/bills/2196916", "הצעת חוק ביטוח בריאות ממלכתי (תיקון - מתן טיפולי שיניים, פה ולסת למבוטח עם שיתוק מוחין), התשפ""ג-2022")</f>
        <v>13822</v>
      </c>
      <c r="E7058" t="s">
        <v>13822</v>
      </c>
      <c r="F7058" t="s">
        <v>13823</v>
      </c>
      <c r="G7058" t="s">
        <v>14</v>
      </c>
      <c r="H7058">
             </c>
      <c r="I7058" t="s">
        <v>14</v>
      </c>
      <c r="J7058" t="s">
        <v>242</v>
      </c>
      <c r="K7058" t="s">
        <v>14</v>
      </c>
      <c r="L7058" t="s">
        <v>20</v>
      </c>
      <c r="M7058" t="s">
        <v>13338</v>
      </c>
      <c r="N7058" t="s">
        <v>14</v>
      </c>
    </row>
    <row r="7059" x14ac:dyDescent="0.25">
      <c r="A7059" t="n">
        <v>25</v>
      </c>
      <c r="B7059" t="s">
        <v>14</v>
      </c>
      <c r="C7059" t="s">
        <v>51</v>
      </c>
      <c r="D7059" s="2" t="s">
        <f>=HYPERLINK("https://main.knesset.gov.il/APPS/legislation/main/bills/2197270", "הצעת חוק זכויות התלמיד (תיקון - הנחה בתחבורה ציבורית), התשפ""ג-2022")</f>
        <v>13824</v>
      </c>
      <c r="E7059" t="s">
        <v>13824</v>
      </c>
      <c r="F7059" t="s">
        <v>13825</v>
      </c>
      <c r="G7059" t="s">
        <v>14</v>
      </c>
      <c r="H7059">
             </c>
      <c r="I7059" t="s">
        <v>14</v>
      </c>
      <c r="J7059" t="s">
        <v>242</v>
      </c>
      <c r="K7059" t="s">
        <v>14</v>
      </c>
      <c r="L7059" t="s">
        <v>20</v>
      </c>
      <c r="M7059" t="s">
        <v>13338</v>
      </c>
      <c r="N7059" t="s">
        <v>14</v>
      </c>
    </row>
    <row r="7060" x14ac:dyDescent="0.25">
      <c r="A7060" t="n">
        <v>25</v>
      </c>
      <c r="B7060" t="s">
        <v>14</v>
      </c>
      <c r="C7060" t="s">
        <v>51</v>
      </c>
      <c r="D7060" s="2" t="s">
        <f>=HYPERLINK("https://main.knesset.gov.il/APPS/legislation/main/bills/2197281", "הצעת חוק חובת המכרזים (תיקון - עידוד העסקת עובדים מאוכלוסיות ייחודיות), התשפ""ג-2022")</f>
        <v>13826</v>
      </c>
      <c r="E7060" t="s">
        <v>13826</v>
      </c>
      <c r="F7060" t="s">
        <v>13827</v>
      </c>
      <c r="G7060" t="s">
        <v>14</v>
      </c>
      <c r="H7060">
             </c>
      <c r="I7060" t="s">
        <v>14</v>
      </c>
      <c r="J7060" t="s">
        <v>242</v>
      </c>
      <c r="K7060" t="s">
        <v>14</v>
      </c>
      <c r="L7060" t="s">
        <v>20</v>
      </c>
      <c r="M7060" t="s">
        <v>13338</v>
      </c>
      <c r="N7060" t="s">
        <v>14</v>
      </c>
    </row>
    <row r="7061" x14ac:dyDescent="0.25">
      <c r="A7061" t="n">
        <v>25</v>
      </c>
      <c r="B7061" t="s">
        <v>14</v>
      </c>
      <c r="C7061" t="s">
        <v>51</v>
      </c>
      <c r="D7061" s="2" t="s">
        <f>=HYPERLINK("https://main.knesset.gov.il/APPS/legislation/main/bills/2197257", "הצעת חוק לתיקון פקודת סדר הדין הפלילי (מעצר וחיפוש) (תנאים למסירת התפוס לפי צו), התשפ""ג-2022")</f>
        <v>13828</v>
      </c>
      <c r="E7061" t="s">
        <v>13828</v>
      </c>
      <c r="F7061" t="s">
        <v>13829</v>
      </c>
      <c r="G7061" t="s">
        <v>14</v>
      </c>
      <c r="H7061">
             </c>
      <c r="I7061" t="s">
        <v>14</v>
      </c>
      <c r="J7061" t="s">
        <v>242</v>
      </c>
      <c r="K7061" t="s">
        <v>14</v>
      </c>
      <c r="L7061" t="s">
        <v>20</v>
      </c>
      <c r="M7061" t="s">
        <v>13338</v>
      </c>
      <c r="N7061" t="s">
        <v>14</v>
      </c>
    </row>
    <row r="7062" x14ac:dyDescent="0.25">
      <c r="A7062" t="n">
        <v>25</v>
      </c>
      <c r="B7062" t="s">
        <v>14</v>
      </c>
      <c r="C7062" t="s">
        <v>51</v>
      </c>
      <c r="D7062" s="2" t="s">
        <f>=HYPERLINK("https://main.knesset.gov.il/APPS/legislation/main/bills/2197273", "הצעת חוק דמי מחלה (תיקון - איסור פיטורים בעת היעדרות בשל מחלת ילד), התשפ""ג-2022")</f>
        <v>13830</v>
      </c>
      <c r="E7062" t="s">
        <v>13830</v>
      </c>
      <c r="F7062" t="s">
        <v>13831</v>
      </c>
      <c r="G7062" t="s">
        <v>14</v>
      </c>
      <c r="H7062">
             </c>
      <c r="I7062" t="s">
        <v>14</v>
      </c>
      <c r="J7062" t="s">
        <v>242</v>
      </c>
      <c r="K7062" t="s">
        <v>14</v>
      </c>
      <c r="L7062" t="s">
        <v>20</v>
      </c>
      <c r="M7062" t="s">
        <v>13338</v>
      </c>
      <c r="N7062" t="s">
        <v>14</v>
      </c>
    </row>
    <row r="7063" x14ac:dyDescent="0.25">
      <c r="A7063" t="n">
        <v>25</v>
      </c>
      <c r="B7063" t="s">
        <v>14</v>
      </c>
      <c r="C7063" t="s">
        <v>51</v>
      </c>
      <c r="D7063" s="2" t="s">
        <f>=HYPERLINK("https://main.knesset.gov.il/APPS/legislation/main/bills/2197079", "הצעת חוק-יסוד: השוויון")</f>
        <v>11923</v>
      </c>
      <c r="E7063" t="s">
        <v>11923</v>
      </c>
      <c r="F7063" t="s">
        <v>13832</v>
      </c>
      <c r="G7063" t="s">
        <v>14</v>
      </c>
      <c r="H7063">
             </c>
      <c r="I7063" t="s">
        <v>14</v>
      </c>
      <c r="J7063" t="s">
        <v>242</v>
      </c>
      <c r="K7063" t="s">
        <v>14</v>
      </c>
      <c r="L7063" t="s">
        <v>20</v>
      </c>
      <c r="M7063" t="s">
        <v>13338</v>
      </c>
      <c r="N7063" t="s">
        <v>14</v>
      </c>
    </row>
    <row r="7064" x14ac:dyDescent="0.25">
      <c r="A7064" t="n">
        <v>25</v>
      </c>
      <c r="B7064" t="s">
        <v>14</v>
      </c>
      <c r="C7064" t="s">
        <v>51</v>
      </c>
      <c r="D7064" s="2" t="s">
        <f>=HYPERLINK("https://main.knesset.gov.il/APPS/legislation/main/bills/2197539", "הצעת חוק לתיקון פקודת בתי הסוהר (מס' 48) (ביטול החוק), התשפ""ג-2022")</f>
        <v>13833</v>
      </c>
      <c r="E7064" t="s">
        <v>13833</v>
      </c>
      <c r="F7064" t="s">
        <v>13834</v>
      </c>
      <c r="G7064" t="s">
        <v>14</v>
      </c>
      <c r="H7064">
             </c>
      <c r="I7064" t="s">
        <v>14</v>
      </c>
      <c r="J7064" t="s">
        <v>242</v>
      </c>
      <c r="K7064" t="s">
        <v>14</v>
      </c>
      <c r="L7064" t="s">
        <v>20</v>
      </c>
      <c r="M7064" t="s">
        <v>13338</v>
      </c>
      <c r="N7064" t="s">
        <v>14</v>
      </c>
    </row>
    <row r="7065" x14ac:dyDescent="0.25">
      <c r="A7065" t="n">
        <v>25</v>
      </c>
      <c r="B7065" t="s">
        <v>14</v>
      </c>
      <c r="C7065" t="s">
        <v>51</v>
      </c>
      <c r="D7065" s="2" t="s">
        <f>=HYPERLINK("https://main.knesset.gov.il/APPS/legislation/main/bills/2197552", "הצעת חוק מימון מפלגות (תיקון - ייצוג הולם לנשים בבחירות לכנסת), התשפ""ג-2022")</f>
        <v>13835</v>
      </c>
      <c r="E7065" t="s">
        <v>13835</v>
      </c>
      <c r="F7065" t="s">
        <v>13836</v>
      </c>
      <c r="G7065" t="s">
        <v>14</v>
      </c>
      <c r="H7065">
             </c>
      <c r="I7065" t="s">
        <v>14</v>
      </c>
      <c r="J7065" t="s">
        <v>242</v>
      </c>
      <c r="K7065" t="s">
        <v>14</v>
      </c>
      <c r="L7065" t="s">
        <v>20</v>
      </c>
      <c r="M7065" t="s">
        <v>13338</v>
      </c>
      <c r="N7065" t="s">
        <v>14</v>
      </c>
    </row>
    <row r="7066" x14ac:dyDescent="0.25">
      <c r="A7066" t="n">
        <v>25</v>
      </c>
      <c r="B7066" t="s">
        <v>14</v>
      </c>
      <c r="C7066" t="s">
        <v>51</v>
      </c>
      <c r="D7066" s="2" t="s">
        <f>=HYPERLINK("https://main.knesset.gov.il/APPS/legislation/main/bills/2197071", "הצעת חוק המים (תיקון - איסור הפסקת אספקת מים), התשפ""ג-2022")</f>
        <v>13837</v>
      </c>
      <c r="E7066" t="s">
        <v>13837</v>
      </c>
      <c r="F7066" t="s">
        <v>13838</v>
      </c>
      <c r="G7066" t="s">
        <v>14</v>
      </c>
      <c r="H7066">
             </c>
      <c r="I7066" t="s">
        <v>14</v>
      </c>
      <c r="J7066" t="s">
        <v>242</v>
      </c>
      <c r="K7066" t="s">
        <v>14</v>
      </c>
      <c r="L7066" t="s">
        <v>20</v>
      </c>
      <c r="M7066" t="s">
        <v>13338</v>
      </c>
      <c r="N7066" t="s">
        <v>14</v>
      </c>
    </row>
    <row r="7067" x14ac:dyDescent="0.25">
      <c r="A7067" t="n">
        <v>25</v>
      </c>
      <c r="B7067" t="s">
        <v>14</v>
      </c>
      <c r="C7067" t="s">
        <v>51</v>
      </c>
      <c r="D7067" s="2" t="s">
        <f>=HYPERLINK("https://main.knesset.gov.il/APPS/legislation/main/bills/2197017", "הצעת חוק להגדלת שיעור ההשתתפות בכוח העבודה ולצמצום פערים חברתיים (מענק עבודה) (תיקון - הורדת גיל הזכאות), התשפ""ג-2022")</f>
        <v>13839</v>
      </c>
      <c r="E7067" t="s">
        <v>13839</v>
      </c>
      <c r="F7067" t="s">
        <v>13840</v>
      </c>
      <c r="G7067" t="s">
        <v>14</v>
      </c>
      <c r="H7067">
             </c>
      <c r="I7067" t="s">
        <v>14</v>
      </c>
      <c r="J7067" t="s">
        <v>242</v>
      </c>
      <c r="K7067" t="s">
        <v>14</v>
      </c>
      <c r="L7067" t="s">
        <v>20</v>
      </c>
      <c r="M7067" t="s">
        <v>13338</v>
      </c>
      <c r="N7067" t="s">
        <v>14</v>
      </c>
    </row>
    <row r="7068" x14ac:dyDescent="0.25">
      <c r="A7068" t="n">
        <v>25</v>
      </c>
      <c r="B7068" t="s">
        <v>14</v>
      </c>
      <c r="C7068" t="s">
        <v>51</v>
      </c>
      <c r="D7068" s="2" t="s">
        <f>=HYPERLINK("https://main.knesset.gov.il/APPS/legislation/main/bills/2196222", "הצעת חוק להגדלת שיעור ההשתתפות בכוח העבודה ולצמצום פערים חברתיים (מענק עבודה) (תיקון - גיל העובד), התשפ""ג-2022")</f>
        <v>13841</v>
      </c>
      <c r="E7068" t="s">
        <v>13841</v>
      </c>
      <c r="F7068" t="s">
        <v>13842</v>
      </c>
      <c r="G7068" t="s">
        <v>14</v>
      </c>
      <c r="H7068">
             </c>
      <c r="I7068" t="s">
        <v>14</v>
      </c>
      <c r="J7068" t="s">
        <v>242</v>
      </c>
      <c r="K7068" t="s">
        <v>14</v>
      </c>
      <c r="L7068" t="s">
        <v>20</v>
      </c>
      <c r="M7068" t="s">
        <v>13338</v>
      </c>
      <c r="N7068" t="s">
        <v>14</v>
      </c>
    </row>
    <row r="7069" x14ac:dyDescent="0.25">
      <c r="A7069" t="n">
        <v>25</v>
      </c>
      <c r="B7069" t="s">
        <v>14</v>
      </c>
      <c r="C7069" t="s">
        <v>51</v>
      </c>
      <c r="D7069" s="2" t="s">
        <f>=HYPERLINK("https://main.knesset.gov.il/APPS/legislation/main/bills/2197517", "הצעת חוק צעירים חסרי עורף משפחתי, התשפ""ג-2022")</f>
        <v>13843</v>
      </c>
      <c r="E7069" t="s">
        <v>13843</v>
      </c>
      <c r="F7069" t="s">
        <v>13844</v>
      </c>
      <c r="G7069" t="s">
        <v>14</v>
      </c>
      <c r="H7069">
             </c>
      <c r="I7069" t="s">
        <v>14</v>
      </c>
      <c r="J7069" t="s">
        <v>242</v>
      </c>
      <c r="K7069" t="s">
        <v>14</v>
      </c>
      <c r="L7069" t="s">
        <v>20</v>
      </c>
      <c r="M7069" t="s">
        <v>13338</v>
      </c>
      <c r="N7069" t="s">
        <v>14</v>
      </c>
    </row>
    <row r="7070" x14ac:dyDescent="0.25">
      <c r="A7070" t="n">
        <v>25</v>
      </c>
      <c r="B7070" t="s">
        <v>14</v>
      </c>
      <c r="C7070" t="s">
        <v>51</v>
      </c>
      <c r="D7070" s="2" t="s">
        <f>=HYPERLINK("https://main.knesset.gov.il/APPS/legislation/main/bills/2196879", "הצעת חוק סיוע לצעירים חסרי עורף משפחתי, התשפ""ג-2022")</f>
        <v>13845</v>
      </c>
      <c r="E7070" t="s">
        <v>13845</v>
      </c>
      <c r="F7070" t="s">
        <v>13846</v>
      </c>
      <c r="G7070" t="s">
        <v>14</v>
      </c>
      <c r="H7070">
             </c>
      <c r="I7070" t="s">
        <v>14</v>
      </c>
      <c r="J7070" t="s">
        <v>242</v>
      </c>
      <c r="K7070" t="s">
        <v>14</v>
      </c>
      <c r="L7070" t="s">
        <v>20</v>
      </c>
      <c r="M7070" t="s">
        <v>13338</v>
      </c>
      <c r="N7070" t="s">
        <v>14</v>
      </c>
    </row>
    <row r="7071" x14ac:dyDescent="0.25">
      <c r="A7071" t="n">
        <v>25</v>
      </c>
      <c r="B7071" t="s">
        <v>14</v>
      </c>
      <c r="C7071" t="s">
        <v>51</v>
      </c>
      <c r="D7071" s="2" t="s">
        <f>=HYPERLINK("https://main.knesset.gov.il/APPS/legislation/main/bills/2197398", "הצעת חוק צער בעלי חיים (הגנה על בעלי חיים) (תיקון - איסור משלוחים חיים לשחיטה), התשפ""ג-2022")</f>
        <v>13230</v>
      </c>
      <c r="E7071" t="s">
        <v>13230</v>
      </c>
      <c r="F7071" t="s">
        <v>13847</v>
      </c>
      <c r="G7071" t="s">
        <v>14</v>
      </c>
      <c r="H7071">
             </c>
      <c r="I7071" t="s">
        <v>14</v>
      </c>
      <c r="J7071" t="s">
        <v>242</v>
      </c>
      <c r="K7071" t="s">
        <v>14</v>
      </c>
      <c r="L7071" t="s">
        <v>20</v>
      </c>
      <c r="M7071" t="s">
        <v>13338</v>
      </c>
      <c r="N7071" t="s">
        <v>14</v>
      </c>
    </row>
    <row r="7072" x14ac:dyDescent="0.25">
      <c r="A7072" t="n">
        <v>25</v>
      </c>
      <c r="B7072" t="s">
        <v>14</v>
      </c>
      <c r="C7072" t="s">
        <v>51</v>
      </c>
      <c r="D7072" s="2" t="s">
        <f>=HYPERLINK("https://main.knesset.gov.il/APPS/legislation/main/bills/2197395", "הצעת חוק החברות הממשלתיות (תיקון - ייצוג הולם בתאגידים ממשלתיים וגופים סטטוטוריים), התשפ""ג-2022")</f>
        <v>13848</v>
      </c>
      <c r="E7072" t="s">
        <v>13848</v>
      </c>
      <c r="F7072" t="s">
        <v>13849</v>
      </c>
      <c r="G7072" t="s">
        <v>14</v>
      </c>
      <c r="H7072">
             </c>
      <c r="I7072" t="s">
        <v>14</v>
      </c>
      <c r="J7072" t="s">
        <v>242</v>
      </c>
      <c r="K7072" t="s">
        <v>14</v>
      </c>
      <c r="L7072" t="s">
        <v>20</v>
      </c>
      <c r="M7072" t="s">
        <v>13338</v>
      </c>
      <c r="N7072" t="s">
        <v>14</v>
      </c>
    </row>
    <row r="7073" x14ac:dyDescent="0.25">
      <c r="A7073" t="n">
        <v>25</v>
      </c>
      <c r="B7073" t="s">
        <v>14</v>
      </c>
      <c r="C7073" t="s">
        <v>51</v>
      </c>
      <c r="D7073" s="2" t="s">
        <f>=HYPERLINK("https://main.knesset.gov.il/APPS/legislation/main/bills/2196625", "הצעת חוק החברות הממשלתיות (תיקון - ייצוג הולם בתאגידים ממשלתיים וגופים סטטוטוריים), התשפ""ג-2022")</f>
        <v>13848</v>
      </c>
      <c r="E7073" t="s">
        <v>13848</v>
      </c>
      <c r="F7073" t="s">
        <v>13850</v>
      </c>
      <c r="G7073" t="s">
        <v>14</v>
      </c>
      <c r="H7073">
             </c>
      <c r="I7073" t="s">
        <v>14</v>
      </c>
      <c r="J7073" t="s">
        <v>242</v>
      </c>
      <c r="K7073" t="s">
        <v>14</v>
      </c>
      <c r="L7073" t="s">
        <v>20</v>
      </c>
      <c r="M7073" t="s">
        <v>13338</v>
      </c>
      <c r="N7073" t="s">
        <v>14</v>
      </c>
    </row>
    <row r="7074" x14ac:dyDescent="0.25">
      <c r="A7074" t="n">
        <v>25</v>
      </c>
      <c r="B7074" t="s">
        <v>14</v>
      </c>
      <c r="C7074" t="s">
        <v>51</v>
      </c>
      <c r="D7074" s="2" t="s">
        <f>=HYPERLINK("https://main.knesset.gov.il/APPS/legislation/main/bills/2197753", "הצעת חוק שיפוט בתי דין רבניים (סמכות שיפוט בהסכמה), התשפ""ג-2022")</f>
        <v>13851</v>
      </c>
      <c r="E7074" t="s">
        <v>13851</v>
      </c>
      <c r="F7074" t="s">
        <v>13852</v>
      </c>
      <c r="G7074" t="s">
        <v>14</v>
      </c>
      <c r="H7074">
             </c>
      <c r="I7074" t="s">
        <v>14</v>
      </c>
      <c r="J7074" t="s">
        <v>242</v>
      </c>
      <c r="K7074" t="s">
        <v>14</v>
      </c>
      <c r="L7074" t="s">
        <v>20</v>
      </c>
      <c r="M7074" t="s">
        <v>13338</v>
      </c>
      <c r="N7074" t="s">
        <v>14</v>
      </c>
    </row>
    <row r="7075" x14ac:dyDescent="0.25">
      <c r="A7075" t="n">
        <v>25</v>
      </c>
      <c r="B7075" t="s">
        <v>14</v>
      </c>
      <c r="C7075" t="s">
        <v>51</v>
      </c>
      <c r="D7075" s="2" t="s">
        <f>=HYPERLINK("https://main.knesset.gov.il/APPS/legislation/main/bills/2196475", "הצעת חוק שיפוט בתי דין רבניים (סמכות שיפוט בהסכמה), התשפ""ג-2022")</f>
        <v>13851</v>
      </c>
      <c r="E7075" t="s">
        <v>13851</v>
      </c>
      <c r="F7075" t="s">
        <v>13853</v>
      </c>
      <c r="G7075" t="s">
        <v>14</v>
      </c>
      <c r="H7075">
             </c>
      <c r="I7075" t="s">
        <v>14</v>
      </c>
      <c r="J7075" t="s">
        <v>242</v>
      </c>
      <c r="K7075" t="s">
        <v>14</v>
      </c>
      <c r="L7075" t="s">
        <v>20</v>
      </c>
      <c r="M7075" t="s">
        <v>13338</v>
      </c>
      <c r="N7075" t="s">
        <v>14</v>
      </c>
    </row>
    <row r="7076" x14ac:dyDescent="0.25">
      <c r="A7076" t="n">
        <v>25</v>
      </c>
      <c r="B7076" t="s">
        <v>14</v>
      </c>
      <c r="C7076" t="s">
        <v>51</v>
      </c>
      <c r="D7076" s="2" t="s">
        <f>=HYPERLINK("https://main.knesset.gov.il/APPS/legislation/main/bills/2197497", "הצעת חוק עבודת נשים (תיקון - תקופת לידה והורות לנשים בעבודה פיזית קשה), התשפ""ג-2022")</f>
        <v>13854</v>
      </c>
      <c r="E7076" t="s">
        <v>13854</v>
      </c>
      <c r="F7076" t="s">
        <v>13855</v>
      </c>
      <c r="G7076" t="s">
        <v>14</v>
      </c>
      <c r="H7076">
             </c>
      <c r="I7076" t="s">
        <v>14</v>
      </c>
      <c r="J7076" t="s">
        <v>242</v>
      </c>
      <c r="K7076" t="s">
        <v>14</v>
      </c>
      <c r="L7076" t="s">
        <v>20</v>
      </c>
      <c r="M7076" t="s">
        <v>13338</v>
      </c>
      <c r="N7076" t="s">
        <v>14</v>
      </c>
    </row>
    <row r="7077" x14ac:dyDescent="0.25">
      <c r="A7077" t="n">
        <v>25</v>
      </c>
      <c r="B7077" t="s">
        <v>14</v>
      </c>
      <c r="C7077" t="s">
        <v>51</v>
      </c>
      <c r="D7077" s="2" t="s">
        <f>=HYPERLINK("https://main.knesset.gov.il/APPS/legislation/main/bills/2197857", "הצעת חוק לימוד חובה (תיקון - חינוך חינם לפעוטות ולילדים), התשפ""ג-2022")</f>
        <v>13228</v>
      </c>
      <c r="E7077" t="s">
        <v>13228</v>
      </c>
      <c r="F7077" t="s">
        <v>13856</v>
      </c>
      <c r="G7077" t="s">
        <v>14</v>
      </c>
      <c r="H7077">
             </c>
      <c r="I7077" t="s">
        <v>14</v>
      </c>
      <c r="J7077" t="s">
        <v>242</v>
      </c>
      <c r="K7077" t="s">
        <v>14</v>
      </c>
      <c r="L7077" t="s">
        <v>20</v>
      </c>
      <c r="M7077" t="s">
        <v>13338</v>
      </c>
      <c r="N7077" t="s">
        <v>14</v>
      </c>
    </row>
    <row r="7078" x14ac:dyDescent="0.25">
      <c r="A7078" t="n">
        <v>25</v>
      </c>
      <c r="B7078" t="s">
        <v>14</v>
      </c>
      <c r="C7078" t="s">
        <v>51</v>
      </c>
      <c r="D7078" s="2" t="s">
        <f>=HYPERLINK("https://main.knesset.gov.il/APPS/legislation/main/bills/2197234", "הצעת חוק סיוע לחולי דגנת, התשפ""ג-2022")</f>
        <v>13857</v>
      </c>
      <c r="E7078" t="s">
        <v>13857</v>
      </c>
      <c r="F7078" t="s">
        <v>13858</v>
      </c>
      <c r="G7078" t="s">
        <v>14</v>
      </c>
      <c r="H7078">
             </c>
      <c r="I7078" t="s">
        <v>14</v>
      </c>
      <c r="J7078" t="s">
        <v>242</v>
      </c>
      <c r="K7078" t="s">
        <v>14</v>
      </c>
      <c r="L7078" t="s">
        <v>20</v>
      </c>
      <c r="M7078" t="s">
        <v>13338</v>
      </c>
      <c r="N7078" t="s">
        <v>14</v>
      </c>
    </row>
    <row r="7079" x14ac:dyDescent="0.25">
      <c r="A7079" t="n">
        <v>25</v>
      </c>
      <c r="B7079" t="s">
        <v>14</v>
      </c>
      <c r="C7079" t="s">
        <v>51</v>
      </c>
      <c r="D7079" s="2" t="s">
        <f>=HYPERLINK("https://main.knesset.gov.il/APPS/legislation/main/bills/2196853", "הצעת חוק החברות הממשלתיות (תיקון - כשירות מיוחדת), התשפ""ג-2022")</f>
        <v>1432</v>
      </c>
      <c r="E7079" t="s">
        <v>1432</v>
      </c>
      <c r="F7079" t="s">
        <v>13859</v>
      </c>
      <c r="G7079" t="s">
        <v>14</v>
      </c>
      <c r="H7079">
             </c>
      <c r="I7079" t="s">
        <v>14</v>
      </c>
      <c r="J7079" t="s">
        <v>242</v>
      </c>
      <c r="K7079" t="s">
        <v>14</v>
      </c>
      <c r="L7079" t="s">
        <v>20</v>
      </c>
      <c r="M7079" t="s">
        <v>13338</v>
      </c>
      <c r="N7079" t="s">
        <v>14</v>
      </c>
    </row>
    <row r="7080" x14ac:dyDescent="0.25">
      <c r="A7080" t="n">
        <v>25</v>
      </c>
      <c r="B7080" t="s">
        <v>14</v>
      </c>
      <c r="C7080" t="s">
        <v>51</v>
      </c>
      <c r="D7080" s="2" t="s">
        <f>=HYPERLINK("https://main.knesset.gov.il/APPS/legislation/main/bills/2197008", "הצעת חוק בתי המשפט (תיקון - קביעת מותבים בבית המשפט העליון), התשפ""ג-2022")</f>
        <v>13860</v>
      </c>
      <c r="E7080" t="s">
        <v>13860</v>
      </c>
      <c r="F7080" t="s">
        <v>13861</v>
      </c>
      <c r="G7080" t="s">
        <v>14</v>
      </c>
      <c r="H7080">
             </c>
      <c r="I7080" t="s">
        <v>14</v>
      </c>
      <c r="J7080" t="s">
        <v>242</v>
      </c>
      <c r="K7080" t="s">
        <v>14</v>
      </c>
      <c r="L7080" t="s">
        <v>20</v>
      </c>
      <c r="M7080" t="s">
        <v>13338</v>
      </c>
      <c r="N7080" t="s">
        <v>14</v>
      </c>
    </row>
    <row r="7081" x14ac:dyDescent="0.25">
      <c r="A7081" t="n">
        <v>25</v>
      </c>
      <c r="B7081" t="s">
        <v>14</v>
      </c>
      <c r="C7081" t="s">
        <v>51</v>
      </c>
      <c r="D7081" s="2" t="s">
        <f>=HYPERLINK("https://main.knesset.gov.il/APPS/legislation/main/bills/2197006", "הצעת חוק בתי המשפט (תיקון - קביעת מותבים בבית המשפט העליון), התשפ""ג-2022")</f>
        <v>13860</v>
      </c>
      <c r="E7081" t="s">
        <v>13860</v>
      </c>
      <c r="F7081" t="s">
        <v>13862</v>
      </c>
      <c r="G7081" t="s">
        <v>14</v>
      </c>
      <c r="H7081">
             </c>
      <c r="I7081" t="s">
        <v>14</v>
      </c>
      <c r="J7081" t="s">
        <v>242</v>
      </c>
      <c r="K7081" t="s">
        <v>14</v>
      </c>
      <c r="L7081" t="s">
        <v>20</v>
      </c>
      <c r="M7081" t="s">
        <v>13338</v>
      </c>
      <c r="N7081" t="s">
        <v>14</v>
      </c>
    </row>
    <row r="7082" x14ac:dyDescent="0.25">
      <c r="A7082" t="n">
        <v>25</v>
      </c>
      <c r="B7082" t="s">
        <v>14</v>
      </c>
      <c r="C7082" t="s">
        <v>51</v>
      </c>
      <c r="D7082" s="2" t="s">
        <f>=HYPERLINK("https://main.knesset.gov.il/APPS/legislation/main/bills/2197431", "הצעת חוק פיצויים לבעלי זכות במקרקעין מועברים, התשפ""ג-2022")</f>
        <v>13863</v>
      </c>
      <c r="E7082" t="s">
        <v>13863</v>
      </c>
      <c r="F7082" t="s">
        <v>13864</v>
      </c>
      <c r="G7082" t="s">
        <v>14</v>
      </c>
      <c r="H7082">
             </c>
      <c r="I7082" t="s">
        <v>14</v>
      </c>
      <c r="J7082" t="s">
        <v>242</v>
      </c>
      <c r="K7082" t="s">
        <v>14</v>
      </c>
      <c r="L7082" t="s">
        <v>20</v>
      </c>
      <c r="M7082" t="s">
        <v>13338</v>
      </c>
      <c r="N7082" t="s">
        <v>14</v>
      </c>
    </row>
    <row r="7083" x14ac:dyDescent="0.25">
      <c r="A7083" t="n">
        <v>25</v>
      </c>
      <c r="B7083" t="s">
        <v>14</v>
      </c>
      <c r="C7083" t="s">
        <v>51</v>
      </c>
      <c r="D7083" s="2" t="s">
        <f>=HYPERLINK("https://main.knesset.gov.il/APPS/legislation/main/bills/2197411", "הצעת חוק-יסוד: ההגירה לישראל")</f>
        <v>2473</v>
      </c>
      <c r="E7083" t="s">
        <v>2473</v>
      </c>
      <c r="F7083" t="s">
        <v>13865</v>
      </c>
      <c r="G7083" t="s">
        <v>14</v>
      </c>
      <c r="H7083">
             </c>
      <c r="I7083" t="s">
        <v>14</v>
      </c>
      <c r="J7083" t="s">
        <v>242</v>
      </c>
      <c r="K7083" t="s">
        <v>14</v>
      </c>
      <c r="L7083" t="s">
        <v>20</v>
      </c>
      <c r="M7083" t="s">
        <v>13338</v>
      </c>
      <c r="N7083" t="s">
        <v>14</v>
      </c>
    </row>
    <row r="7084" x14ac:dyDescent="0.25">
      <c r="A7084" t="n">
        <v>25</v>
      </c>
      <c r="B7084" t="s">
        <v>14</v>
      </c>
      <c r="C7084" t="s">
        <v>51</v>
      </c>
      <c r="D7084" s="2" t="s">
        <f>=HYPERLINK("https://main.knesset.gov.il/APPS/legislation/main/bills/2197128", "הצעת חוק הביטוח הלאומי (תיקון - ביטוח זכויות עצמאי שעיקר הכנסתו מעסק בהליכי חדלות פירעון), התשפ""ג-2022")</f>
        <v>13866</v>
      </c>
      <c r="E7084" t="s">
        <v>13866</v>
      </c>
      <c r="F7084" t="s">
        <v>13867</v>
      </c>
      <c r="G7084" t="s">
        <v>14</v>
      </c>
      <c r="H7084">
             </c>
      <c r="I7084" t="s">
        <v>14</v>
      </c>
      <c r="J7084" t="s">
        <v>242</v>
      </c>
      <c r="K7084" t="s">
        <v>14</v>
      </c>
      <c r="L7084" t="s">
        <v>20</v>
      </c>
      <c r="M7084" t="s">
        <v>13338</v>
      </c>
      <c r="N7084" t="s">
        <v>14</v>
      </c>
    </row>
    <row r="7085" x14ac:dyDescent="0.25">
      <c r="A7085" t="n">
        <v>25</v>
      </c>
      <c r="B7085" t="s">
        <v>14</v>
      </c>
      <c r="C7085" t="s">
        <v>51</v>
      </c>
      <c r="D7085" s="2" t="s">
        <f>=HYPERLINK("https://main.knesset.gov.il/APPS/legislation/main/bills/2197103", "הצעת חוק-יסוד: ההגירה לישראל")</f>
        <v>2473</v>
      </c>
      <c r="E7085" t="s">
        <v>2473</v>
      </c>
      <c r="F7085" t="s">
        <v>13868</v>
      </c>
      <c r="G7085" t="s">
        <v>14</v>
      </c>
      <c r="H7085">
             </c>
      <c r="I7085" t="s">
        <v>14</v>
      </c>
      <c r="J7085" t="s">
        <v>242</v>
      </c>
      <c r="K7085" t="s">
        <v>14</v>
      </c>
      <c r="L7085" t="s">
        <v>20</v>
      </c>
      <c r="M7085" t="s">
        <v>13338</v>
      </c>
      <c r="N7085" t="s">
        <v>14</v>
      </c>
    </row>
    <row r="7086" x14ac:dyDescent="0.25">
      <c r="A7086" t="n">
        <v>25</v>
      </c>
      <c r="B7086" t="s">
        <v>14</v>
      </c>
      <c r="C7086" t="s">
        <v>51</v>
      </c>
      <c r="D7086" s="2" t="s">
        <f>=HYPERLINK("https://main.knesset.gov.il/APPS/legislation/main/bills/2196144", "הצעת חוק הפיקוח על מעונות יום לפעוטות (תיקון - החמרת ענישה), התשפ""ג-2022")</f>
        <v>13869</v>
      </c>
      <c r="E7086" t="s">
        <v>13869</v>
      </c>
      <c r="F7086" t="s">
        <v>13870</v>
      </c>
      <c r="G7086" t="s">
        <v>14</v>
      </c>
      <c r="H7086">
             </c>
      <c r="I7086" t="s">
        <v>14</v>
      </c>
      <c r="J7086" t="s">
        <v>242</v>
      </c>
      <c r="K7086" t="s">
        <v>14</v>
      </c>
      <c r="L7086" t="s">
        <v>20</v>
      </c>
      <c r="M7086" t="s">
        <v>13338</v>
      </c>
      <c r="N7086" t="s">
        <v>14</v>
      </c>
    </row>
    <row r="7087" x14ac:dyDescent="0.25">
      <c r="A7087" t="n">
        <v>25</v>
      </c>
      <c r="B7087" t="s">
        <v>14</v>
      </c>
      <c r="C7087" t="s">
        <v>51</v>
      </c>
      <c r="D7087" s="2" t="s">
        <f>=HYPERLINK("https://main.knesset.gov.il/APPS/legislation/main/bills/2197427", "הצעת חוק למניעת מפגעים (תיקון - עידוד הפחתת שימוש בזיקוקי דינור), התשפ""ג-2022")</f>
        <v>13871</v>
      </c>
      <c r="E7087" t="s">
        <v>13871</v>
      </c>
      <c r="F7087" t="s">
        <v>13872</v>
      </c>
      <c r="G7087" t="s">
        <v>14</v>
      </c>
      <c r="H7087">
             </c>
      <c r="I7087" t="s">
        <v>14</v>
      </c>
      <c r="J7087" t="s">
        <v>242</v>
      </c>
      <c r="K7087" t="s">
        <v>14</v>
      </c>
      <c r="L7087" t="s">
        <v>20</v>
      </c>
      <c r="M7087" t="s">
        <v>13338</v>
      </c>
      <c r="N7087" t="s">
        <v>14</v>
      </c>
    </row>
    <row r="7088" x14ac:dyDescent="0.25">
      <c r="A7088" t="n">
        <v>25</v>
      </c>
      <c r="B7088" t="s">
        <v>14</v>
      </c>
      <c r="C7088" t="s">
        <v>51</v>
      </c>
      <c r="D7088" s="2" t="s">
        <f>=HYPERLINK("https://main.knesset.gov.il/APPS/legislation/main/bills/2196039", "הצעת חוק צער בעלי חיים (הגנה על בעלי חיים) (תיקון - ענישה מזערית), התשפ""ג-2022")</f>
        <v>13873</v>
      </c>
      <c r="E7088" t="s">
        <v>13873</v>
      </c>
      <c r="F7088" t="s">
        <v>13874</v>
      </c>
      <c r="G7088" t="s">
        <v>14</v>
      </c>
      <c r="H7088">
             </c>
      <c r="I7088" t="s">
        <v>14</v>
      </c>
      <c r="J7088" t="s">
        <v>242</v>
      </c>
      <c r="K7088" t="s">
        <v>14</v>
      </c>
      <c r="L7088" t="s">
        <v>20</v>
      </c>
      <c r="M7088" t="s">
        <v>13338</v>
      </c>
      <c r="N7088" t="s">
        <v>14</v>
      </c>
    </row>
    <row r="7089" x14ac:dyDescent="0.25">
      <c r="A7089" t="n">
        <v>25</v>
      </c>
      <c r="B7089" t="s">
        <v>14</v>
      </c>
      <c r="C7089" t="s">
        <v>51</v>
      </c>
      <c r="D7089" s="2" t="s">
        <f>=HYPERLINK("https://main.knesset.gov.il/APPS/legislation/main/bills/2196784", "הצעת חוק בתי המשפט (תיקון - קביעת הרכבים בבית המשפט העליון וקביעת דיון נוסף), התשפ""ג-2022")</f>
        <v>13875</v>
      </c>
      <c r="E7089" t="s">
        <v>13875</v>
      </c>
      <c r="F7089" t="s">
        <v>13876</v>
      </c>
      <c r="G7089" t="s">
        <v>14</v>
      </c>
      <c r="H7089">
             </c>
      <c r="I7089" t="s">
        <v>14</v>
      </c>
      <c r="J7089" t="s">
        <v>242</v>
      </c>
      <c r="K7089" t="s">
        <v>14</v>
      </c>
      <c r="L7089" t="s">
        <v>20</v>
      </c>
      <c r="M7089" t="s">
        <v>13338</v>
      </c>
      <c r="N7089" t="s">
        <v>14</v>
      </c>
    </row>
    <row r="7090" x14ac:dyDescent="0.25">
      <c r="A7090" t="n">
        <v>25</v>
      </c>
      <c r="B7090" t="s">
        <v>14</v>
      </c>
      <c r="C7090" t="s">
        <v>51</v>
      </c>
      <c r="D7090" s="2" t="s">
        <f>=HYPERLINK("https://main.knesset.gov.il/APPS/legislation/main/bills/2196922", "הצעת חוק לתיקון פקודת המסים (גבייה) (גבייה לפי חוק ההוצאה לפועל), התשפ""ג-2022")</f>
        <v>13877</v>
      </c>
      <c r="E7090" t="s">
        <v>13877</v>
      </c>
      <c r="F7090" t="s">
        <v>13878</v>
      </c>
      <c r="G7090" t="s">
        <v>14</v>
      </c>
      <c r="H7090">
             </c>
      <c r="I7090" t="s">
        <v>14</v>
      </c>
      <c r="J7090" t="s">
        <v>242</v>
      </c>
      <c r="K7090" t="s">
        <v>14</v>
      </c>
      <c r="L7090" t="s">
        <v>20</v>
      </c>
      <c r="M7090" t="s">
        <v>13338</v>
      </c>
      <c r="N7090" t="s">
        <v>14</v>
      </c>
    </row>
    <row r="7091" x14ac:dyDescent="0.25">
      <c r="A7091" t="n">
        <v>25</v>
      </c>
      <c r="B7091" t="s">
        <v>14</v>
      </c>
      <c r="C7091" t="s">
        <v>51</v>
      </c>
      <c r="D7091" s="2" t="s">
        <f>=HYPERLINK("https://main.knesset.gov.il/APPS/legislation/main/bills/2196100", "הצעת חוק לתיקון פקודת המסים (גבייה) (גבייה לפי חוק ההוצאה לפועל), התשפ""ג-2022")</f>
        <v>13877</v>
      </c>
      <c r="E7091" t="s">
        <v>13877</v>
      </c>
      <c r="F7091" t="s">
        <v>13879</v>
      </c>
      <c r="G7091" t="s">
        <v>14</v>
      </c>
      <c r="H7091">
             </c>
      <c r="I7091" t="s">
        <v>14</v>
      </c>
      <c r="J7091" t="s">
        <v>242</v>
      </c>
      <c r="K7091" t="s">
        <v>14</v>
      </c>
      <c r="L7091" t="s">
        <v>20</v>
      </c>
      <c r="M7091" t="s">
        <v>13338</v>
      </c>
      <c r="N7091" t="s">
        <v>14</v>
      </c>
    </row>
    <row r="7092" x14ac:dyDescent="0.25">
      <c r="A7092" t="n">
        <v>25</v>
      </c>
      <c r="B7092" t="s">
        <v>14</v>
      </c>
      <c r="C7092" t="s">
        <v>51</v>
      </c>
      <c r="D7092" s="2" t="s">
        <f>=HYPERLINK("https://main.knesset.gov.il/APPS/legislation/main/bills/2197712", "הצעת חוק העונשין (תיקון - החמרת ענישה בשל תקיפת צוות רפואי), התשפ''ג-2022")</f>
        <v>13880</v>
      </c>
      <c r="E7092" t="s">
        <v>13880</v>
      </c>
      <c r="F7092" t="s">
        <v>13881</v>
      </c>
      <c r="G7092" t="s">
        <v>14</v>
      </c>
      <c r="H7092">
             </c>
      <c r="I7092" t="s">
        <v>14</v>
      </c>
      <c r="J7092" t="s">
        <v>242</v>
      </c>
      <c r="K7092" t="s">
        <v>14</v>
      </c>
      <c r="L7092" t="s">
        <v>20</v>
      </c>
      <c r="M7092" t="s">
        <v>13338</v>
      </c>
      <c r="N7092" t="s">
        <v>14</v>
      </c>
    </row>
    <row r="7093" x14ac:dyDescent="0.25">
      <c r="A7093" t="n">
        <v>25</v>
      </c>
      <c r="B7093" t="s">
        <v>14</v>
      </c>
      <c r="C7093" t="s">
        <v>51</v>
      </c>
      <c r="D7093" s="2" t="s">
        <f>=HYPERLINK("https://main.knesset.gov.il/APPS/legislation/main/bills/2197260", "הצעת חוק לתיקון פקודת התעבורה (תשלום קנס בתשלומים), התשפ""ג-2022")</f>
        <v>13882</v>
      </c>
      <c r="E7093" t="s">
        <v>13882</v>
      </c>
      <c r="F7093" t="s">
        <v>13883</v>
      </c>
      <c r="G7093" t="s">
        <v>14</v>
      </c>
      <c r="H7093">
             </c>
      <c r="I7093" t="s">
        <v>14</v>
      </c>
      <c r="J7093" t="s">
        <v>242</v>
      </c>
      <c r="K7093" t="s">
        <v>14</v>
      </c>
      <c r="L7093" t="s">
        <v>20</v>
      </c>
      <c r="M7093" t="s">
        <v>13338</v>
      </c>
      <c r="N7093" t="s">
        <v>14</v>
      </c>
    </row>
    <row r="7094" x14ac:dyDescent="0.25">
      <c r="A7094" t="n">
        <v>25</v>
      </c>
      <c r="B7094" t="s">
        <v>14</v>
      </c>
      <c r="C7094" t="s">
        <v>51</v>
      </c>
      <c r="D7094" s="2" t="s">
        <f>=HYPERLINK("https://main.knesset.gov.il/APPS/legislation/main/bills/2197113", "הצעת חוק לתיקון פקודת התעבורה (תשלום קנס בתשלומים), התשפ""ג-2022")</f>
        <v>13882</v>
      </c>
      <c r="E7094" t="s">
        <v>13882</v>
      </c>
      <c r="F7094" t="s">
        <v>13884</v>
      </c>
      <c r="G7094" t="s">
        <v>14</v>
      </c>
      <c r="H7094">
             </c>
      <c r="I7094" t="s">
        <v>14</v>
      </c>
      <c r="J7094" t="s">
        <v>242</v>
      </c>
      <c r="K7094" t="s">
        <v>14</v>
      </c>
      <c r="L7094" t="s">
        <v>20</v>
      </c>
      <c r="M7094" t="s">
        <v>13338</v>
      </c>
      <c r="N7094" t="s">
        <v>14</v>
      </c>
    </row>
    <row r="7095" x14ac:dyDescent="0.25">
      <c r="A7095" t="n">
        <v>25</v>
      </c>
      <c r="B7095" t="s">
        <v>14</v>
      </c>
      <c r="C7095" t="s">
        <v>51</v>
      </c>
      <c r="D7095" s="2" t="s">
        <f>=HYPERLINK("https://main.knesset.gov.il/APPS/legislation/main/bills/2196898", "הצעת חוק להקפאת כספים ששילמה הרשות הפלסטינית בזיקה לטרור מהכספים המועברים אליה מממשלת ישראל (תיקון - איסור מתן הטבות פיננסיות לרשות הפלסטינית), התשפ""ג-2022 ")</f>
        <v>13885</v>
      </c>
      <c r="E7095" t="s">
        <v>13885</v>
      </c>
      <c r="F7095" t="s">
        <v>13886</v>
      </c>
      <c r="G7095" t="s">
        <v>14</v>
      </c>
      <c r="H7095">
             </c>
      <c r="I7095" t="s">
        <v>14</v>
      </c>
      <c r="J7095" t="s">
        <v>242</v>
      </c>
      <c r="K7095" t="s">
        <v>14</v>
      </c>
      <c r="L7095" t="s">
        <v>20</v>
      </c>
      <c r="M7095" t="s">
        <v>13338</v>
      </c>
      <c r="N7095" t="s">
        <v>14</v>
      </c>
    </row>
    <row r="7096" x14ac:dyDescent="0.25">
      <c r="A7096" t="n">
        <v>25</v>
      </c>
      <c r="B7096" t="s">
        <v>14</v>
      </c>
      <c r="C7096" t="s">
        <v>51</v>
      </c>
      <c r="D7096" s="2" t="s">
        <f>=HYPERLINK("https://main.knesset.gov.il/APPS/legislation/main/bills/2196846", "הצעת חוק העונשין (תיקון - הגדרת סוכן חוץ), התשפ""ג-2022")</f>
        <v>13887</v>
      </c>
      <c r="E7096" t="s">
        <v>13887</v>
      </c>
      <c r="F7096" t="s">
        <v>13888</v>
      </c>
      <c r="G7096" t="s">
        <v>14</v>
      </c>
      <c r="H7096">
             </c>
      <c r="I7096" t="s">
        <v>14</v>
      </c>
      <c r="J7096" t="s">
        <v>242</v>
      </c>
      <c r="K7096" t="s">
        <v>14</v>
      </c>
      <c r="L7096" t="s">
        <v>20</v>
      </c>
      <c r="M7096" t="s">
        <v>13338</v>
      </c>
      <c r="N7096" t="s">
        <v>14</v>
      </c>
    </row>
    <row r="7097" x14ac:dyDescent="0.25">
      <c r="A7097" t="n">
        <v>25</v>
      </c>
      <c r="B7097" t="s">
        <v>14</v>
      </c>
      <c r="C7097" t="s">
        <v>51</v>
      </c>
      <c r="D7097" s="2" t="s">
        <f>=HYPERLINK("https://main.knesset.gov.il/APPS/legislation/main/bills/2196075", "הצעת חוק העונשין (תיקון - הגדרת סוכן חוץ), התשפ""ג-2022")</f>
        <v>13887</v>
      </c>
      <c r="E7097" t="s">
        <v>13887</v>
      </c>
      <c r="F7097" t="s">
        <v>13889</v>
      </c>
      <c r="G7097" t="s">
        <v>14</v>
      </c>
      <c r="H7097">
             </c>
      <c r="I7097" t="s">
        <v>14</v>
      </c>
      <c r="J7097" t="s">
        <v>242</v>
      </c>
      <c r="K7097" t="s">
        <v>14</v>
      </c>
      <c r="L7097" t="s">
        <v>20</v>
      </c>
      <c r="M7097" t="s">
        <v>13338</v>
      </c>
      <c r="N7097" t="s">
        <v>14</v>
      </c>
    </row>
    <row r="7098" x14ac:dyDescent="0.25">
      <c r="A7098" t="n">
        <v>25</v>
      </c>
      <c r="B7098" t="s">
        <v>14</v>
      </c>
      <c r="C7098" t="s">
        <v>51</v>
      </c>
      <c r="D7098" s="2" t="s">
        <f>=HYPERLINK("https://main.knesset.gov.il/APPS/legislation/main/bills/2196776", "הצעת חוק איסור הלבנת הון (תיקון - צו תפיסה זמני טרם הגשת כתב אישום), התשפ""ג-2022 ")</f>
        <v>13890</v>
      </c>
      <c r="E7098" t="s">
        <v>13890</v>
      </c>
      <c r="F7098" t="s">
        <v>13891</v>
      </c>
      <c r="G7098" t="s">
        <v>14</v>
      </c>
      <c r="H7098">
             </c>
      <c r="I7098" t="s">
        <v>14</v>
      </c>
      <c r="J7098" t="s">
        <v>242</v>
      </c>
      <c r="K7098" t="s">
        <v>14</v>
      </c>
      <c r="L7098" t="s">
        <v>20</v>
      </c>
      <c r="M7098" t="s">
        <v>13338</v>
      </c>
      <c r="N7098" t="s">
        <v>14</v>
      </c>
    </row>
    <row r="7099" x14ac:dyDescent="0.25">
      <c r="A7099" t="n">
        <v>25</v>
      </c>
      <c r="B7099" t="s">
        <v>14</v>
      </c>
      <c r="C7099" t="s">
        <v>51</v>
      </c>
      <c r="D7099" s="2" t="s">
        <f>=HYPERLINK("https://main.knesset.gov.il/APPS/legislation/main/bills/2197414", "הצעת חוק-יסוד: השפיטה (תיקון - מינוי שופטים לבית המשפט העליון וקציבת כהונתם)")</f>
        <v>11544</v>
      </c>
      <c r="E7099" t="s">
        <v>11544</v>
      </c>
      <c r="F7099" t="s">
        <v>13892</v>
      </c>
      <c r="G7099" t="s">
        <v>14</v>
      </c>
      <c r="H7099">
             </c>
      <c r="I7099" t="s">
        <v>14</v>
      </c>
      <c r="J7099" t="s">
        <v>242</v>
      </c>
      <c r="K7099" t="s">
        <v>14</v>
      </c>
      <c r="L7099" t="s">
        <v>20</v>
      </c>
      <c r="M7099" t="s">
        <v>13338</v>
      </c>
      <c r="N7099" t="s">
        <v>14</v>
      </c>
    </row>
    <row r="7100" x14ac:dyDescent="0.25">
      <c r="A7100" t="n">
        <v>25</v>
      </c>
      <c r="B7100" t="s">
        <v>14</v>
      </c>
      <c r="C7100" t="s">
        <v>51</v>
      </c>
      <c r="D7100" s="2" t="s">
        <f>=HYPERLINK("https://main.knesset.gov.il/APPS/legislation/main/bills/2196902", "הצעת חוק-יסוד: השפיטה (תיקון - מינוי שופטים לבית המשפט העליון וקציבת כהונתם) ")</f>
        <v>13893</v>
      </c>
      <c r="E7100" t="s">
        <v>13893</v>
      </c>
      <c r="F7100" t="s">
        <v>13894</v>
      </c>
      <c r="G7100" t="s">
        <v>14</v>
      </c>
      <c r="H7100">
             </c>
      <c r="I7100" t="s">
        <v>14</v>
      </c>
      <c r="J7100" t="s">
        <v>242</v>
      </c>
      <c r="K7100" t="s">
        <v>14</v>
      </c>
      <c r="L7100" t="s">
        <v>20</v>
      </c>
      <c r="M7100" t="s">
        <v>13338</v>
      </c>
      <c r="N7100" t="s">
        <v>14</v>
      </c>
    </row>
    <row r="7101" x14ac:dyDescent="0.25">
      <c r="A7101" t="n">
        <v>25</v>
      </c>
      <c r="B7101" t="s">
        <v>14</v>
      </c>
      <c r="C7101" t="s">
        <v>51</v>
      </c>
      <c r="D7101" s="2" t="s">
        <f>=HYPERLINK("https://main.knesset.gov.il/APPS/legislation/main/bills/2197030", "הצעת חוק זכויות נפגעי עבירה (תיקון - הרחבת זכות היידוע), התשפ""ג-2022")</f>
        <v>13895</v>
      </c>
      <c r="E7101" t="s">
        <v>13895</v>
      </c>
      <c r="F7101" t="s">
        <v>13896</v>
      </c>
      <c r="G7101" t="s">
        <v>14</v>
      </c>
      <c r="H7101">
             </c>
      <c r="I7101" t="s">
        <v>14</v>
      </c>
      <c r="J7101" t="s">
        <v>242</v>
      </c>
      <c r="K7101" t="s">
        <v>14</v>
      </c>
      <c r="L7101" t="s">
        <v>20</v>
      </c>
      <c r="M7101" t="s">
        <v>13338</v>
      </c>
      <c r="N7101" t="s">
        <v>14</v>
      </c>
    </row>
    <row r="7102" x14ac:dyDescent="0.25">
      <c r="A7102" t="n">
        <v>25</v>
      </c>
      <c r="B7102" t="s">
        <v>14</v>
      </c>
      <c r="C7102" t="s">
        <v>51</v>
      </c>
      <c r="D7102" s="2" t="s">
        <f>=HYPERLINK("https://main.knesset.gov.il/APPS/legislation/main/bills/2196886", "הצעת חוק-יסוד: השפיטה (תיקון - מינוי שופטים לבית המשפט העליון וקציבת כהונתם)")</f>
        <v>11544</v>
      </c>
      <c r="E7102" t="s">
        <v>11544</v>
      </c>
      <c r="F7102" t="s">
        <v>13897</v>
      </c>
      <c r="G7102" t="s">
        <v>14</v>
      </c>
      <c r="H7102">
             </c>
      <c r="I7102" t="s">
        <v>14</v>
      </c>
      <c r="J7102" t="s">
        <v>242</v>
      </c>
      <c r="K7102" t="s">
        <v>14</v>
      </c>
      <c r="L7102" t="s">
        <v>20</v>
      </c>
      <c r="M7102" t="s">
        <v>13338</v>
      </c>
      <c r="N7102" t="s">
        <v>14</v>
      </c>
    </row>
    <row r="7103" x14ac:dyDescent="0.25">
      <c r="A7103" t="n">
        <v>25</v>
      </c>
      <c r="B7103" t="s">
        <v>14</v>
      </c>
      <c r="C7103" t="s">
        <v>51</v>
      </c>
      <c r="D7103" s="2" t="s">
        <f>=HYPERLINK("https://main.knesset.gov.il/APPS/legislation/main/bills/2197015", "הצעת חוק למניעת הטרדה מינית (תיקון - הטלת חובות לשם מניעת הטרדה מינית במוסד חינוך), התשפ""ג-2022")</f>
        <v>13898</v>
      </c>
      <c r="E7103" t="s">
        <v>13898</v>
      </c>
      <c r="F7103" t="s">
        <v>13899</v>
      </c>
      <c r="G7103" t="s">
        <v>14</v>
      </c>
      <c r="H7103">
             </c>
      <c r="I7103" t="s">
        <v>14</v>
      </c>
      <c r="J7103" t="s">
        <v>242</v>
      </c>
      <c r="K7103" t="s">
        <v>14</v>
      </c>
      <c r="L7103" t="s">
        <v>20</v>
      </c>
      <c r="M7103" t="s">
        <v>13338</v>
      </c>
      <c r="N7103" t="s">
        <v>14</v>
      </c>
    </row>
    <row r="7104" x14ac:dyDescent="0.25">
      <c r="A7104" t="n">
        <v>25</v>
      </c>
      <c r="B7104" t="s">
        <v>14</v>
      </c>
      <c r="C7104" t="s">
        <v>51</v>
      </c>
      <c r="D7104" s="2" t="s">
        <f>=HYPERLINK("https://main.knesset.gov.il/APPS/legislation/main/bills/2197393", "הצעת חוק-יסוד: ההתגברות (תיקוני חקיקה)")</f>
        <v>13900</v>
      </c>
      <c r="E7104" t="s">
        <v>13900</v>
      </c>
      <c r="F7104" t="s">
        <v>13901</v>
      </c>
      <c r="G7104" t="s">
        <v>14</v>
      </c>
      <c r="H7104">
             </c>
      <c r="I7104" t="s">
        <v>14</v>
      </c>
      <c r="J7104" t="s">
        <v>242</v>
      </c>
      <c r="K7104" t="s">
        <v>14</v>
      </c>
      <c r="L7104" t="s">
        <v>20</v>
      </c>
      <c r="M7104" t="s">
        <v>13338</v>
      </c>
      <c r="N7104" t="s">
        <v>14</v>
      </c>
    </row>
    <row r="7105" x14ac:dyDescent="0.25">
      <c r="A7105" t="n">
        <v>25</v>
      </c>
      <c r="B7105" t="s">
        <v>14</v>
      </c>
      <c r="C7105" t="s">
        <v>51</v>
      </c>
      <c r="D7105" s="2" t="s">
        <f>=HYPERLINK("https://main.knesset.gov.il/APPS/legislation/main/bills/2197000", "הצעת חוק הרשויות המקומיות (יועצת לענייני מעמד האישה) (תיקון - תקציב ייעודי וייחוד הכהונה), התשפ""ג-2022")</f>
        <v>13902</v>
      </c>
      <c r="E7105" t="s">
        <v>13902</v>
      </c>
      <c r="F7105" t="s">
        <v>13903</v>
      </c>
      <c r="G7105" t="s">
        <v>14</v>
      </c>
      <c r="H7105">
             </c>
      <c r="I7105" t="s">
        <v>14</v>
      </c>
      <c r="J7105" t="s">
        <v>242</v>
      </c>
      <c r="K7105" t="s">
        <v>14</v>
      </c>
      <c r="L7105" t="s">
        <v>20</v>
      </c>
      <c r="M7105" t="s">
        <v>13338</v>
      </c>
      <c r="N7105" t="s">
        <v>14</v>
      </c>
    </row>
    <row r="7106" x14ac:dyDescent="0.25">
      <c r="A7106" t="n">
        <v>25</v>
      </c>
      <c r="B7106" t="s">
        <v>14</v>
      </c>
      <c r="C7106" t="s">
        <v>51</v>
      </c>
      <c r="D7106" s="2" t="s">
        <f>=HYPERLINK("https://main.knesset.gov.il/APPS/legislation/main/bills/2197119", "הצעת חוק-יסוד: פסקת ההתגברות (תיקוני חקיקה)")</f>
        <v>13904</v>
      </c>
      <c r="E7106" t="s">
        <v>13904</v>
      </c>
      <c r="F7106" t="s">
        <v>13905</v>
      </c>
      <c r="G7106" t="s">
        <v>14</v>
      </c>
      <c r="H7106">
             </c>
      <c r="I7106" t="s">
        <v>14</v>
      </c>
      <c r="J7106" t="s">
        <v>242</v>
      </c>
      <c r="K7106" t="s">
        <v>14</v>
      </c>
      <c r="L7106" t="s">
        <v>20</v>
      </c>
      <c r="M7106" t="s">
        <v>13338</v>
      </c>
      <c r="N7106" t="s">
        <v>14</v>
      </c>
    </row>
    <row r="7107" x14ac:dyDescent="0.25">
      <c r="A7107" t="n">
        <v>25</v>
      </c>
      <c r="B7107" t="s">
        <v>14</v>
      </c>
      <c r="C7107" t="s">
        <v>51</v>
      </c>
      <c r="D7107" s="2" t="s">
        <f>=HYPERLINK("https://main.knesset.gov.il/APPS/legislation/main/bills/2197957", "הצעת חוק הכנסת (תיקון - ועדה לפיקוח על רשויות פיקוח פיננסיות), התשפ""ג-2022")</f>
        <v>13906</v>
      </c>
      <c r="E7107" t="s">
        <v>13906</v>
      </c>
      <c r="F7107" t="s">
        <v>13907</v>
      </c>
      <c r="G7107" t="s">
        <v>14</v>
      </c>
      <c r="H7107">
             </c>
      <c r="I7107" t="s">
        <v>14</v>
      </c>
      <c r="J7107" t="s">
        <v>242</v>
      </c>
      <c r="K7107" t="s">
        <v>14</v>
      </c>
      <c r="L7107" t="s">
        <v>20</v>
      </c>
      <c r="M7107" t="s">
        <v>13338</v>
      </c>
      <c r="N7107" t="s">
        <v>14</v>
      </c>
    </row>
    <row r="7108" x14ac:dyDescent="0.25">
      <c r="A7108" t="n">
        <v>25</v>
      </c>
      <c r="B7108" t="s">
        <v>14</v>
      </c>
      <c r="C7108" t="s">
        <v>51</v>
      </c>
      <c r="D7108" s="2" t="s">
        <f>=HYPERLINK("https://main.knesset.gov.il/APPS/legislation/main/bills/2196932", "הצעת חוק השבות (תיקון - צמצום הזכאים לזכויות), התשפ""ג-2022 ")</f>
        <v>13908</v>
      </c>
      <c r="E7108" t="s">
        <v>13908</v>
      </c>
      <c r="F7108" t="s">
        <v>13909</v>
      </c>
      <c r="G7108" t="s">
        <v>14</v>
      </c>
      <c r="H7108">
             </c>
      <c r="I7108" t="s">
        <v>14</v>
      </c>
      <c r="J7108" t="s">
        <v>242</v>
      </c>
      <c r="K7108" t="s">
        <v>14</v>
      </c>
      <c r="L7108" t="s">
        <v>20</v>
      </c>
      <c r="M7108" t="s">
        <v>13338</v>
      </c>
      <c r="N7108" t="s">
        <v>14</v>
      </c>
    </row>
    <row r="7109" x14ac:dyDescent="0.25">
      <c r="A7109" t="n">
        <v>25</v>
      </c>
      <c r="B7109" t="s">
        <v>14</v>
      </c>
      <c r="C7109" t="s">
        <v>51</v>
      </c>
      <c r="D7109" s="2" t="s">
        <f>=HYPERLINK("https://main.knesset.gov.il/APPS/legislation/main/bills/2197062", "הצעת חוק למניעת הטרדה מינית (תיקון - הרחבת התחולה לגבי מוסד ציבורי הנותן שירות חיוני), התשפ""ג-2022")</f>
        <v>13910</v>
      </c>
      <c r="E7109" t="s">
        <v>13910</v>
      </c>
      <c r="F7109" t="s">
        <v>13911</v>
      </c>
      <c r="G7109" t="s">
        <v>14</v>
      </c>
      <c r="H7109">
             </c>
      <c r="I7109" t="s">
        <v>14</v>
      </c>
      <c r="J7109" t="s">
        <v>242</v>
      </c>
      <c r="K7109" t="s">
        <v>14</v>
      </c>
      <c r="L7109" t="s">
        <v>20</v>
      </c>
      <c r="M7109" t="s">
        <v>13338</v>
      </c>
      <c r="N7109" t="s">
        <v>14</v>
      </c>
    </row>
    <row r="7110" x14ac:dyDescent="0.25">
      <c r="A7110" t="n">
        <v>25</v>
      </c>
      <c r="B7110" t="s">
        <v>14</v>
      </c>
      <c r="C7110" t="s">
        <v>51</v>
      </c>
      <c r="D7110" s="2" t="s">
        <f>=HYPERLINK("https://main.knesset.gov.il/APPS/legislation/main/bills/2197599", "הצעת חוק העונשין (תיקון - קביעת עונש מינימום לעבירות יידוי אבנים), התשפ""ג-2022")</f>
        <v>10939</v>
      </c>
      <c r="E7110" t="s">
        <v>10939</v>
      </c>
      <c r="F7110" t="s">
        <v>13912</v>
      </c>
      <c r="G7110" t="s">
        <v>14</v>
      </c>
      <c r="H7110">
             </c>
      <c r="I7110" t="s">
        <v>14</v>
      </c>
      <c r="J7110" t="s">
        <v>242</v>
      </c>
      <c r="K7110" t="s">
        <v>14</v>
      </c>
      <c r="L7110" t="s">
        <v>20</v>
      </c>
      <c r="M7110" t="s">
        <v>13338</v>
      </c>
      <c r="N7110" t="s">
        <v>14</v>
      </c>
    </row>
    <row r="7111" x14ac:dyDescent="0.25">
      <c r="A7111" t="n">
        <v>25</v>
      </c>
      <c r="B7111" t="s">
        <v>14</v>
      </c>
      <c r="C7111" t="s">
        <v>51</v>
      </c>
      <c r="D7111" s="2" t="s">
        <f>=HYPERLINK("https://main.knesset.gov.il/APPS/legislation/main/bills/2196979", "הצעת חוק לימוד חובה (תיקון - חינוך חינם לפעוטות ולילדים), התשפ""ג-2022")</f>
        <v>13228</v>
      </c>
      <c r="E7111" t="s">
        <v>13228</v>
      </c>
      <c r="F7111" t="s">
        <v>13913</v>
      </c>
      <c r="G7111" t="s">
        <v>14</v>
      </c>
      <c r="H7111">
             </c>
      <c r="I7111" t="s">
        <v>14</v>
      </c>
      <c r="J7111" t="s">
        <v>242</v>
      </c>
      <c r="K7111" t="s">
        <v>14</v>
      </c>
      <c r="L7111" t="s">
        <v>20</v>
      </c>
      <c r="M7111" t="s">
        <v>13338</v>
      </c>
      <c r="N7111" t="s">
        <v>14</v>
      </c>
    </row>
    <row r="7112" x14ac:dyDescent="0.25">
      <c r="A7112" t="n">
        <v>25</v>
      </c>
      <c r="B7112" t="s">
        <v>14</v>
      </c>
      <c r="C7112" t="s">
        <v>51</v>
      </c>
      <c r="D7112" s="2" t="s">
        <f>=HYPERLINK("https://main.knesset.gov.il/APPS/legislation/main/bills/2196809", "הצעת חוק העונשין (תיקון - גזר דין עונש מוות למורשע ברצח בנסיבות טרור), התשפ""ג-2022")</f>
        <v>13774</v>
      </c>
      <c r="E7112" t="s">
        <v>13774</v>
      </c>
      <c r="F7112" t="s">
        <v>13914</v>
      </c>
      <c r="G7112" t="s">
        <v>14</v>
      </c>
      <c r="H7112">
             </c>
      <c r="I7112" t="s">
        <v>14</v>
      </c>
      <c r="J7112" t="s">
        <v>242</v>
      </c>
      <c r="K7112" t="s">
        <v>14</v>
      </c>
      <c r="L7112" t="s">
        <v>20</v>
      </c>
      <c r="M7112" t="s">
        <v>13338</v>
      </c>
      <c r="N7112" t="s">
        <v>14</v>
      </c>
    </row>
    <row r="7113" x14ac:dyDescent="0.25">
      <c r="A7113" t="n">
        <v>25</v>
      </c>
      <c r="B7113" t="s">
        <v>14</v>
      </c>
      <c r="C7113" t="s">
        <v>51</v>
      </c>
      <c r="D7113" s="2" t="s">
        <f>=HYPERLINK("https://main.knesset.gov.il/APPS/legislation/main/bills/2196793", "הצעת חוק-יסוד: הממשלה (תיקון - ביטול ממשלת חילופים)")</f>
        <v>4642</v>
      </c>
      <c r="E7113" t="s">
        <v>4642</v>
      </c>
      <c r="F7113" t="s">
        <v>13915</v>
      </c>
      <c r="G7113" t="s">
        <v>14</v>
      </c>
      <c r="H7113">
             </c>
      <c r="I7113" t="s">
        <v>14</v>
      </c>
      <c r="J7113" t="s">
        <v>242</v>
      </c>
      <c r="K7113" t="s">
        <v>14</v>
      </c>
      <c r="L7113" t="s">
        <v>20</v>
      </c>
      <c r="M7113" t="s">
        <v>13338</v>
      </c>
      <c r="N7113" t="s">
        <v>14</v>
      </c>
    </row>
    <row r="7114" x14ac:dyDescent="0.25">
      <c r="A7114" t="n">
        <v>25</v>
      </c>
      <c r="B7114" t="s">
        <v>14</v>
      </c>
      <c r="C7114" t="s">
        <v>51</v>
      </c>
      <c r="D7114" s="2" t="s">
        <f>=HYPERLINK("https://main.knesset.gov.il/APPS/legislation/main/bills/2196975", "הצעת חוק הביטוח הלאומי (תיקון - ביטוח שאירים לאלמן), התשפ""ג-2022")</f>
        <v>13916</v>
      </c>
      <c r="E7114" t="s">
        <v>13916</v>
      </c>
      <c r="F7114" t="s">
        <v>13917</v>
      </c>
      <c r="G7114" t="s">
        <v>14</v>
      </c>
      <c r="H7114">
             </c>
      <c r="I7114" t="s">
        <v>14</v>
      </c>
      <c r="J7114" t="s">
        <v>242</v>
      </c>
      <c r="K7114" t="s">
        <v>14</v>
      </c>
      <c r="L7114" t="s">
        <v>20</v>
      </c>
      <c r="M7114" t="s">
        <v>13338</v>
      </c>
      <c r="N7114" t="s">
        <v>14</v>
      </c>
    </row>
    <row r="7115" x14ac:dyDescent="0.25">
      <c r="A7115" t="n">
        <v>25</v>
      </c>
      <c r="B7115" t="s">
        <v>14</v>
      </c>
      <c r="C7115" t="s">
        <v>51</v>
      </c>
      <c r="D7115" s="2" t="s">
        <f>=HYPERLINK("https://main.knesset.gov.il/APPS/legislation/main/bills/2196786", "הצעת חוק הביטוח הלאומי (תיקון - ביטוח שאירים לאלמן), התשפ""ג-2022")</f>
        <v>13916</v>
      </c>
      <c r="E7115" t="s">
        <v>13916</v>
      </c>
      <c r="F7115" t="s">
        <v>13918</v>
      </c>
      <c r="G7115" t="s">
        <v>14</v>
      </c>
      <c r="H7115">
             </c>
      <c r="I7115" t="s">
        <v>14</v>
      </c>
      <c r="J7115" t="s">
        <v>242</v>
      </c>
      <c r="K7115" t="s">
        <v>14</v>
      </c>
      <c r="L7115" t="s">
        <v>20</v>
      </c>
      <c r="M7115" t="s">
        <v>13338</v>
      </c>
      <c r="N7115" t="s">
        <v>14</v>
      </c>
    </row>
    <row r="7116" x14ac:dyDescent="0.25">
      <c r="A7116" t="n">
        <v>25</v>
      </c>
      <c r="B7116" t="s">
        <v>14</v>
      </c>
      <c r="C7116" t="s">
        <v>51</v>
      </c>
      <c r="D7116" s="2" t="s">
        <f>=HYPERLINK("https://main.knesset.gov.il/APPS/legislation/main/bills/2196893", "הצעת חוק מינוי תובע מיוחד, התשפ""ג-2022")</f>
        <v>13919</v>
      </c>
      <c r="E7116" t="s">
        <v>13919</v>
      </c>
      <c r="F7116" t="s">
        <v>13920</v>
      </c>
      <c r="G7116" t="s">
        <v>14</v>
      </c>
      <c r="H7116">
             </c>
      <c r="I7116" t="s">
        <v>14</v>
      </c>
      <c r="J7116" t="s">
        <v>242</v>
      </c>
      <c r="K7116" t="s">
        <v>14</v>
      </c>
      <c r="L7116" t="s">
        <v>20</v>
      </c>
      <c r="M7116" t="s">
        <v>13338</v>
      </c>
      <c r="N7116" t="s">
        <v>14</v>
      </c>
    </row>
    <row r="7117" x14ac:dyDescent="0.25">
      <c r="A7117" t="n">
        <v>25</v>
      </c>
      <c r="B7117" t="s">
        <v>14</v>
      </c>
      <c r="C7117" t="s">
        <v>51</v>
      </c>
      <c r="D7117" s="2" t="s">
        <f>=HYPERLINK("https://main.knesset.gov.il/APPS/legislation/main/bills/2197550", "הצעת חוק לביטול הרשות לפיתוח והתיישבות הבדואים בנגב, התשפ""ג-2022")</f>
        <v>13921</v>
      </c>
      <c r="E7117" t="s">
        <v>13921</v>
      </c>
      <c r="F7117" t="s">
        <v>13922</v>
      </c>
      <c r="G7117" t="s">
        <v>14</v>
      </c>
      <c r="H7117">
             </c>
      <c r="I7117" t="s">
        <v>14</v>
      </c>
      <c r="J7117" t="s">
        <v>242</v>
      </c>
      <c r="K7117" t="s">
        <v>14</v>
      </c>
      <c r="L7117" t="s">
        <v>20</v>
      </c>
      <c r="M7117" t="s">
        <v>13338</v>
      </c>
      <c r="N7117" t="s">
        <v>14</v>
      </c>
    </row>
    <row r="7118" x14ac:dyDescent="0.25">
      <c r="A7118" t="n">
        <v>25</v>
      </c>
      <c r="B7118" t="s">
        <v>14</v>
      </c>
      <c r="C7118" t="s">
        <v>51</v>
      </c>
      <c r="D7118" s="2" t="s">
        <f>=HYPERLINK("https://main.knesset.gov.il/APPS/legislation/main/bills/2195771", "הצעת חוק הבחירות (דרכי תעמולה) (תיקון - איסור על תעמולה גזענית), התשפ""ג-2022")</f>
        <v>13923</v>
      </c>
      <c r="E7118" t="s">
        <v>13923</v>
      </c>
      <c r="F7118" t="s">
        <v>13924</v>
      </c>
      <c r="G7118" t="s">
        <v>14</v>
      </c>
      <c r="H7118">
             </c>
      <c r="I7118" t="s">
        <v>14</v>
      </c>
      <c r="J7118" t="s">
        <v>242</v>
      </c>
      <c r="K7118" t="s">
        <v>14</v>
      </c>
      <c r="L7118" t="s">
        <v>20</v>
      </c>
      <c r="M7118" t="s">
        <v>13338</v>
      </c>
      <c r="N7118" t="s">
        <v>14</v>
      </c>
    </row>
    <row r="7119" x14ac:dyDescent="0.25">
      <c r="A7119" t="n">
        <v>25</v>
      </c>
      <c r="B7119" t="s">
        <v>14</v>
      </c>
      <c r="C7119" t="s">
        <v>51</v>
      </c>
      <c r="D7119" s="2" t="s">
        <f>=HYPERLINK("https://main.knesset.gov.il/APPS/legislation/main/bills/2196751", "הצעת חוק העונשין (תיקון - חלופת מאסר לנשים הרות ולאמהות), התשפ""ג-2022")</f>
        <v>13925</v>
      </c>
      <c r="E7119" t="s">
        <v>13925</v>
      </c>
      <c r="F7119" t="s">
        <v>13926</v>
      </c>
      <c r="G7119" t="s">
        <v>14</v>
      </c>
      <c r="H7119">
             </c>
      <c r="I7119" t="s">
        <v>14</v>
      </c>
      <c r="J7119" t="s">
        <v>242</v>
      </c>
      <c r="K7119" t="s">
        <v>14</v>
      </c>
      <c r="L7119" t="s">
        <v>20</v>
      </c>
      <c r="M7119" t="s">
        <v>13338</v>
      </c>
      <c r="N7119" t="s">
        <v>14</v>
      </c>
    </row>
    <row r="7120" x14ac:dyDescent="0.25">
      <c r="A7120" t="n">
        <v>25</v>
      </c>
      <c r="B7120" t="s">
        <v>14</v>
      </c>
      <c r="C7120" t="s">
        <v>51</v>
      </c>
      <c r="D7120" s="2" t="s">
        <f>=HYPERLINK("https://main.knesset.gov.il/APPS/legislation/main/bills/2195873", "הצעת חוק המשטרה (תיקון - התיישנות עבירות), התשפ""ג-2022")</f>
        <v>13927</v>
      </c>
      <c r="E7120" t="s">
        <v>13927</v>
      </c>
      <c r="F7120" t="s">
        <v>13928</v>
      </c>
      <c r="G7120" t="s">
        <v>14</v>
      </c>
      <c r="H7120">
             </c>
      <c r="I7120" t="s">
        <v>14</v>
      </c>
      <c r="J7120" t="s">
        <v>242</v>
      </c>
      <c r="K7120" t="s">
        <v>14</v>
      </c>
      <c r="L7120" t="s">
        <v>20</v>
      </c>
      <c r="M7120" t="s">
        <v>13338</v>
      </c>
      <c r="N7120" t="s">
        <v>14</v>
      </c>
    </row>
    <row r="7121" x14ac:dyDescent="0.25">
      <c r="A7121" t="n">
        <v>25</v>
      </c>
      <c r="B7121" t="s">
        <v>14</v>
      </c>
      <c r="C7121" t="s">
        <v>51</v>
      </c>
      <c r="D7121" s="2" t="s">
        <f>=HYPERLINK("https://main.knesset.gov.il/APPS/legislation/main/bills/2196903", "הצעת חוק הסיוע המשפטי (תיקון - סיוע משפטי לנפגעי אלימות במשפחה), התשפ""ג-2022")</f>
        <v>13929</v>
      </c>
      <c r="E7121" t="s">
        <v>13929</v>
      </c>
      <c r="F7121" t="s">
        <v>13930</v>
      </c>
      <c r="G7121" t="s">
        <v>14</v>
      </c>
      <c r="H7121">
             </c>
      <c r="I7121" t="s">
        <v>14</v>
      </c>
      <c r="J7121" t="s">
        <v>242</v>
      </c>
      <c r="K7121" t="s">
        <v>14</v>
      </c>
      <c r="L7121" t="s">
        <v>20</v>
      </c>
      <c r="M7121" t="s">
        <v>13338</v>
      </c>
      <c r="N7121" t="s">
        <v>14</v>
      </c>
    </row>
    <row r="7122" x14ac:dyDescent="0.25">
      <c r="A7122" t="n">
        <v>25</v>
      </c>
      <c r="B7122" t="s">
        <v>14</v>
      </c>
      <c r="C7122" t="s">
        <v>51</v>
      </c>
      <c r="D7122" s="2" t="s">
        <f>=HYPERLINK("https://main.knesset.gov.il/APPS/legislation/main/bills/2196067", "הצעת חוק הדגל, הסמל והמנון המדינה (תיקון - שלילת תמיכה), התשפ""ג-2022")</f>
        <v>13931</v>
      </c>
      <c r="E7122" t="s">
        <v>13931</v>
      </c>
      <c r="F7122" t="s">
        <v>13932</v>
      </c>
      <c r="G7122" t="s">
        <v>14</v>
      </c>
      <c r="H7122">
             </c>
      <c r="I7122" t="s">
        <v>14</v>
      </c>
      <c r="J7122" t="s">
        <v>242</v>
      </c>
      <c r="K7122" t="s">
        <v>14</v>
      </c>
      <c r="L7122" t="s">
        <v>20</v>
      </c>
      <c r="M7122" t="s">
        <v>13338</v>
      </c>
      <c r="N7122" t="s">
        <v>14</v>
      </c>
    </row>
    <row r="7123" x14ac:dyDescent="0.25">
      <c r="A7123" t="n">
        <v>25</v>
      </c>
      <c r="B7123" t="s">
        <v>14</v>
      </c>
      <c r="C7123" t="s">
        <v>51</v>
      </c>
      <c r="D7123" s="2" t="s">
        <f>=HYPERLINK("https://main.knesset.gov.il/APPS/legislation/main/bills/2196954", "הצעת חוק הגנת הצרכן (תיקון - חובת הקלטה של עסקה טלפונית), התשפ""ג-2022")</f>
        <v>13933</v>
      </c>
      <c r="E7123" t="s">
        <v>13933</v>
      </c>
      <c r="F7123" t="s">
        <v>13934</v>
      </c>
      <c r="G7123" t="s">
        <v>14</v>
      </c>
      <c r="H7123">
             </c>
      <c r="I7123" t="s">
        <v>14</v>
      </c>
      <c r="J7123" t="s">
        <v>242</v>
      </c>
      <c r="K7123" t="s">
        <v>14</v>
      </c>
      <c r="L7123" t="s">
        <v>20</v>
      </c>
      <c r="M7123" t="s">
        <v>13338</v>
      </c>
      <c r="N7123" t="s">
        <v>14</v>
      </c>
    </row>
    <row r="7124" x14ac:dyDescent="0.25">
      <c r="A7124" t="n">
        <v>25</v>
      </c>
      <c r="B7124" t="s">
        <v>14</v>
      </c>
      <c r="C7124" t="s">
        <v>51</v>
      </c>
      <c r="D7124" s="2" t="s">
        <f>=HYPERLINK("https://main.knesset.gov.il/APPS/legislation/main/bills/2197642", "הצעת חוק החברות הממשלתיות (תיקון - ייצוג הולם לאוכלוסייה הערבית), התשפ""ג-2022")</f>
        <v>13935</v>
      </c>
      <c r="E7124" t="s">
        <v>13935</v>
      </c>
      <c r="F7124" t="s">
        <v>13936</v>
      </c>
      <c r="G7124" t="s">
        <v>14</v>
      </c>
      <c r="H7124">
             </c>
      <c r="I7124" t="s">
        <v>14</v>
      </c>
      <c r="J7124" t="s">
        <v>242</v>
      </c>
      <c r="K7124" t="s">
        <v>14</v>
      </c>
      <c r="L7124" t="s">
        <v>20</v>
      </c>
      <c r="M7124" t="s">
        <v>13338</v>
      </c>
      <c r="N7124" t="s">
        <v>14</v>
      </c>
    </row>
    <row r="7125" x14ac:dyDescent="0.25">
      <c r="A7125" t="n">
        <v>25</v>
      </c>
      <c r="B7125" t="s">
        <v>14</v>
      </c>
      <c r="C7125" t="s">
        <v>51</v>
      </c>
      <c r="D7125" s="2" t="s">
        <f>=HYPERLINK("https://main.knesset.gov.il/APPS/legislation/main/bills/2197031", "הצעת חוק הביטוח הלאומי (תיקון - שמירה חקלאית כעבודה מועדפת), התשפ""ג-2022")</f>
        <v>13937</v>
      </c>
      <c r="E7125" t="s">
        <v>13937</v>
      </c>
      <c r="F7125" t="s">
        <v>13938</v>
      </c>
      <c r="G7125" t="s">
        <v>14</v>
      </c>
      <c r="H7125">
             </c>
      <c r="I7125" t="s">
        <v>14</v>
      </c>
      <c r="J7125" t="s">
        <v>242</v>
      </c>
      <c r="K7125" t="s">
        <v>14</v>
      </c>
      <c r="L7125" t="s">
        <v>20</v>
      </c>
      <c r="M7125" t="s">
        <v>13338</v>
      </c>
      <c r="N7125" t="s">
        <v>14</v>
      </c>
    </row>
    <row r="7126" x14ac:dyDescent="0.25">
      <c r="A7126" t="n">
        <v>25</v>
      </c>
      <c r="B7126" t="s">
        <v>14</v>
      </c>
      <c r="C7126" t="s">
        <v>51</v>
      </c>
      <c r="D7126" s="2" t="s">
        <f>=HYPERLINK("https://main.knesset.gov.il/APPS/legislation/main/bills/2196074", "הצעת חוק לתיקון פקודת ביטוח רכב מנועי (חיוב שיווק פוליסה), התשפ""ג–2022")</f>
        <v>13939</v>
      </c>
      <c r="E7126" t="s">
        <v>13939</v>
      </c>
      <c r="F7126" t="s">
        <v>13940</v>
      </c>
      <c r="G7126" t="s">
        <v>14</v>
      </c>
      <c r="H7126">
             </c>
      <c r="I7126" t="s">
        <v>14</v>
      </c>
      <c r="J7126" t="s">
        <v>242</v>
      </c>
      <c r="K7126" t="s">
        <v>14</v>
      </c>
      <c r="L7126" t="s">
        <v>20</v>
      </c>
      <c r="M7126" t="s">
        <v>13338</v>
      </c>
      <c r="N7126" t="s">
        <v>14</v>
      </c>
    </row>
    <row r="7127" x14ac:dyDescent="0.25">
      <c r="A7127" t="n">
        <v>25</v>
      </c>
      <c r="B7127" t="s">
        <v>14</v>
      </c>
      <c r="C7127" t="s">
        <v>51</v>
      </c>
      <c r="D7127" s="2" t="s">
        <f>=HYPERLINK("https://main.knesset.gov.il/APPS/legislation/main/bills/2196135", "הצעת חוק לביטול אזרחותו או תושבותו של פעיל טרור שמקבל תגמול עבור ביצוע מעשה הטרור (תיקוני חקיקה), התשפ""ג-2022")</f>
        <v>11848</v>
      </c>
      <c r="E7127" t="s">
        <v>11848</v>
      </c>
      <c r="F7127" t="s">
        <v>13941</v>
      </c>
      <c r="G7127" t="s">
        <v>14</v>
      </c>
      <c r="H7127">
             </c>
      <c r="I7127" t="s">
        <v>14</v>
      </c>
      <c r="J7127" t="s">
        <v>242</v>
      </c>
      <c r="K7127" t="s">
        <v>14</v>
      </c>
      <c r="L7127" t="s">
        <v>20</v>
      </c>
      <c r="M7127" t="s">
        <v>13338</v>
      </c>
      <c r="N7127" t="s">
        <v>14</v>
      </c>
    </row>
    <row r="7128" x14ac:dyDescent="0.25">
      <c r="A7128" t="n">
        <v>25</v>
      </c>
      <c r="B7128" t="s">
        <v>14</v>
      </c>
      <c r="C7128" t="s">
        <v>51</v>
      </c>
      <c r="D7128" s="2" t="s">
        <f>=HYPERLINK("https://main.knesset.gov.il/APPS/legislation/main/bills/2196598", "הצעת חוק שכר מינימום (תיקון - העלאת שכר המינימום), התשפ""ג-2022")</f>
        <v>13942</v>
      </c>
      <c r="E7128" t="s">
        <v>13942</v>
      </c>
      <c r="F7128" t="s">
        <v>13943</v>
      </c>
      <c r="G7128" t="s">
        <v>14</v>
      </c>
      <c r="H7128">
             </c>
      <c r="I7128" t="s">
        <v>14</v>
      </c>
      <c r="J7128" t="s">
        <v>242</v>
      </c>
      <c r="K7128" t="s">
        <v>14</v>
      </c>
      <c r="L7128" t="s">
        <v>20</v>
      </c>
      <c r="M7128" t="s">
        <v>13338</v>
      </c>
      <c r="N7128" t="s">
        <v>14</v>
      </c>
    </row>
    <row r="7129" x14ac:dyDescent="0.25">
      <c r="A7129" t="n">
        <v>25</v>
      </c>
      <c r="B7129" t="s">
        <v>14</v>
      </c>
      <c r="C7129" t="s">
        <v>51</v>
      </c>
      <c r="D7129" s="2" t="s">
        <f>=HYPERLINK("https://main.knesset.gov.il/APPS/legislation/main/bills/2196896", "הצעת חוק העונשין (תיקון - הגנת בית מגורים, נכס, בית עסק, משק חקלאי מגודר ורכב), התשפ""ג-2022")</f>
        <v>13944</v>
      </c>
      <c r="E7129" t="s">
        <v>13944</v>
      </c>
      <c r="F7129" t="s">
        <v>13945</v>
      </c>
      <c r="G7129" t="s">
        <v>14</v>
      </c>
      <c r="H7129">
             </c>
      <c r="I7129" t="s">
        <v>14</v>
      </c>
      <c r="J7129" t="s">
        <v>242</v>
      </c>
      <c r="K7129" t="s">
        <v>14</v>
      </c>
      <c r="L7129" t="s">
        <v>20</v>
      </c>
      <c r="M7129" t="s">
        <v>13338</v>
      </c>
      <c r="N7129" t="s">
        <v>14</v>
      </c>
    </row>
    <row r="7130" x14ac:dyDescent="0.25">
      <c r="A7130" t="n">
        <v>25</v>
      </c>
      <c r="B7130" t="s">
        <v>14</v>
      </c>
      <c r="C7130" t="s">
        <v>51</v>
      </c>
      <c r="D7130" s="2" t="s">
        <f>=HYPERLINK("https://main.knesset.gov.il/APPS/legislation/main/bills/2196769", "הצעת חוק העונשין (תיקון - הגנת בית מגורים, נכס, בית עסק, משק חקלאי מגודר ורכב), התשפ""ג-2022")</f>
        <v>13944</v>
      </c>
      <c r="E7130" t="s">
        <v>13944</v>
      </c>
      <c r="F7130" t="s">
        <v>13946</v>
      </c>
      <c r="G7130" t="s">
        <v>14</v>
      </c>
      <c r="H7130">
             </c>
      <c r="I7130" t="s">
        <v>14</v>
      </c>
      <c r="J7130" t="s">
        <v>242</v>
      </c>
      <c r="K7130" t="s">
        <v>14</v>
      </c>
      <c r="L7130" t="s">
        <v>20</v>
      </c>
      <c r="M7130" t="s">
        <v>13338</v>
      </c>
      <c r="N7130" t="s">
        <v>14</v>
      </c>
    </row>
    <row r="7131" x14ac:dyDescent="0.25">
      <c r="A7131" t="n">
        <v>25</v>
      </c>
      <c r="B7131" t="s">
        <v>14</v>
      </c>
      <c r="C7131" t="s">
        <v>51</v>
      </c>
      <c r="D7131" s="2" t="s">
        <f>=HYPERLINK("https://main.knesset.gov.il/APPS/legislation/main/bills/2196587", "הצעת חוק השפה הערבית שפה רשמית, התשפ""ג-2022")</f>
        <v>13947</v>
      </c>
      <c r="E7131" t="s">
        <v>13947</v>
      </c>
      <c r="F7131" t="s">
        <v>13948</v>
      </c>
      <c r="G7131" t="s">
        <v>14</v>
      </c>
      <c r="H7131">
             </c>
      <c r="I7131" t="s">
        <v>14</v>
      </c>
      <c r="J7131" t="s">
        <v>242</v>
      </c>
      <c r="K7131" t="s">
        <v>14</v>
      </c>
      <c r="L7131" t="s">
        <v>20</v>
      </c>
      <c r="M7131" t="s">
        <v>13338</v>
      </c>
      <c r="N7131" t="s">
        <v>14</v>
      </c>
    </row>
    <row r="7132" x14ac:dyDescent="0.25">
      <c r="A7132" t="n">
        <v>25</v>
      </c>
      <c r="B7132" t="s">
        <v>14</v>
      </c>
      <c r="C7132" t="s">
        <v>51</v>
      </c>
      <c r="D7132" s="2" t="s">
        <f>=HYPERLINK("https://main.knesset.gov.il/APPS/legislation/main/bills/2197202", "הצעת חוק לתיקון פקודת מס הכנסה (שווי השימוש ברכב או ברדיו טלפון נייד), התשפ""ג-2022")</f>
        <v>13949</v>
      </c>
      <c r="E7132" t="s">
        <v>13949</v>
      </c>
      <c r="F7132" t="s">
        <v>13950</v>
      </c>
      <c r="G7132" t="s">
        <v>14</v>
      </c>
      <c r="H7132">
             </c>
      <c r="I7132" t="s">
        <v>14</v>
      </c>
      <c r="J7132" t="s">
        <v>242</v>
      </c>
      <c r="K7132" t="s">
        <v>14</v>
      </c>
      <c r="L7132" t="s">
        <v>20</v>
      </c>
      <c r="M7132" t="s">
        <v>13338</v>
      </c>
      <c r="N7132" t="s">
        <v>14</v>
      </c>
    </row>
    <row r="7133" x14ac:dyDescent="0.25">
      <c r="A7133" t="n">
        <v>25</v>
      </c>
      <c r="B7133" t="s">
        <v>14</v>
      </c>
      <c r="C7133" t="s">
        <v>51</v>
      </c>
      <c r="D7133" s="2" t="s">
        <f>=HYPERLINK("https://main.knesset.gov.il/APPS/legislation/main/bills/2195889", "הצעת חוק הביטוח הלאומי (תיקון - הצמדת קצבת אזרח ותיק לשכר הממוצע לפחות), התשפ""ג-2022")</f>
        <v>13951</v>
      </c>
      <c r="E7133" t="s">
        <v>13951</v>
      </c>
      <c r="F7133" t="s">
        <v>13952</v>
      </c>
      <c r="G7133" t="s">
        <v>14</v>
      </c>
      <c r="H7133">
             </c>
      <c r="I7133" t="s">
        <v>14</v>
      </c>
      <c r="J7133" t="s">
        <v>242</v>
      </c>
      <c r="K7133" t="s">
        <v>14</v>
      </c>
      <c r="L7133" t="s">
        <v>20</v>
      </c>
      <c r="M7133" t="s">
        <v>13338</v>
      </c>
      <c r="N7133" t="s">
        <v>14</v>
      </c>
    </row>
    <row r="7134" x14ac:dyDescent="0.25">
      <c r="A7134" t="n">
        <v>25</v>
      </c>
      <c r="B7134" t="s">
        <v>14</v>
      </c>
      <c r="C7134" t="s">
        <v>51</v>
      </c>
      <c r="D7134" s="2" t="s">
        <f>=HYPERLINK("https://main.knesset.gov.il/APPS/legislation/main/bills/2196878", "הצעת חוק לתיקון פקודת מס הכנסה (שווי השימוש ברכב או ברדיו טלפון נייד), התשפ""ג-2022")</f>
        <v>13949</v>
      </c>
      <c r="E7134" t="s">
        <v>13949</v>
      </c>
      <c r="F7134" t="s">
        <v>13953</v>
      </c>
      <c r="G7134" t="s">
        <v>14</v>
      </c>
      <c r="H7134">
             </c>
      <c r="I7134" t="s">
        <v>14</v>
      </c>
      <c r="J7134" t="s">
        <v>242</v>
      </c>
      <c r="K7134" t="s">
        <v>14</v>
      </c>
      <c r="L7134" t="s">
        <v>20</v>
      </c>
      <c r="M7134" t="s">
        <v>13338</v>
      </c>
      <c r="N7134" t="s">
        <v>14</v>
      </c>
    </row>
    <row r="7135" x14ac:dyDescent="0.25">
      <c r="A7135" t="n">
        <v>25</v>
      </c>
      <c r="B7135" t="s">
        <v>14</v>
      </c>
      <c r="C7135" t="s">
        <v>51</v>
      </c>
      <c r="D7135" s="2" t="s">
        <f>=HYPERLINK("https://main.knesset.gov.il/APPS/legislation/main/bills/2195965", "הצעת חוק לתיקון פקודת מס הכנסה (שווי השימוש ברכב או ברדיו טלפון נייד), התשפ""ג-2022")</f>
        <v>13949</v>
      </c>
      <c r="E7135" t="s">
        <v>13949</v>
      </c>
      <c r="F7135" t="s">
        <v>13954</v>
      </c>
      <c r="G7135" t="s">
        <v>14</v>
      </c>
      <c r="H7135">
             </c>
      <c r="I7135" t="s">
        <v>14</v>
      </c>
      <c r="J7135" t="s">
        <v>242</v>
      </c>
      <c r="K7135" t="s">
        <v>14</v>
      </c>
      <c r="L7135" t="s">
        <v>20</v>
      </c>
      <c r="M7135" t="s">
        <v>13338</v>
      </c>
      <c r="N7135" t="s">
        <v>14</v>
      </c>
    </row>
    <row r="7136" x14ac:dyDescent="0.25">
      <c r="A7136" t="n">
        <v>25</v>
      </c>
      <c r="B7136" t="s">
        <v>14</v>
      </c>
      <c r="C7136" t="s">
        <v>51</v>
      </c>
      <c r="D7136" s="2" t="s">
        <f>=HYPERLINK("https://main.knesset.gov.il/APPS/legislation/main/bills/2196191", "הצעת חוק הביטוח הלאומי (תיקון - השוואת קצבת נכות לשכר המינימום), התשפ""ג-2022")</f>
        <v>13496</v>
      </c>
      <c r="E7136" t="s">
        <v>13496</v>
      </c>
      <c r="F7136" t="s">
        <v>13955</v>
      </c>
      <c r="G7136" t="s">
        <v>14</v>
      </c>
      <c r="H7136">
             </c>
      <c r="I7136" t="s">
        <v>14</v>
      </c>
      <c r="J7136" t="s">
        <v>242</v>
      </c>
      <c r="K7136" t="s">
        <v>14</v>
      </c>
      <c r="L7136" t="s">
        <v>20</v>
      </c>
      <c r="M7136" t="s">
        <v>13338</v>
      </c>
      <c r="N7136" t="s">
        <v>14</v>
      </c>
    </row>
    <row r="7137" x14ac:dyDescent="0.25">
      <c r="A7137" t="n">
        <v>25</v>
      </c>
      <c r="B7137" t="s">
        <v>14</v>
      </c>
      <c r="C7137" t="s">
        <v>51</v>
      </c>
      <c r="D7137" s="2" t="s">
        <f>=HYPERLINK("https://main.knesset.gov.il/APPS/legislation/main/bills/2197249", "הצעת חוק לתיקון פקודת המשטרה (תיעוד חזותי של השימוש במכת""זית), התשפ""ג-2022")</f>
        <v>1310</v>
      </c>
      <c r="E7137" t="s">
        <v>1310</v>
      </c>
      <c r="F7137" t="s">
        <v>13956</v>
      </c>
      <c r="G7137" t="s">
        <v>14</v>
      </c>
      <c r="H7137">
             </c>
      <c r="I7137" t="s">
        <v>14</v>
      </c>
      <c r="J7137" t="s">
        <v>242</v>
      </c>
      <c r="K7137" t="s">
        <v>14</v>
      </c>
      <c r="L7137" t="s">
        <v>20</v>
      </c>
      <c r="M7137" t="s">
        <v>13338</v>
      </c>
      <c r="N7137" t="s">
        <v>14</v>
      </c>
    </row>
    <row r="7138" x14ac:dyDescent="0.25">
      <c r="A7138" t="n">
        <v>25</v>
      </c>
      <c r="B7138" t="s">
        <v>14</v>
      </c>
      <c r="C7138" t="s">
        <v>51</v>
      </c>
      <c r="D7138" s="2" t="s">
        <f>=HYPERLINK("https://main.knesset.gov.il/APPS/legislation/main/bills/2196981", "הצעת חוק למניעת התעמרות בעבודה, התשפ""ג-2022")</f>
        <v>13957</v>
      </c>
      <c r="E7138" t="s">
        <v>13957</v>
      </c>
      <c r="F7138" t="s">
        <v>13958</v>
      </c>
      <c r="G7138" t="s">
        <v>14</v>
      </c>
      <c r="H7138">
             </c>
      <c r="I7138" t="s">
        <v>14</v>
      </c>
      <c r="J7138" t="s">
        <v>242</v>
      </c>
      <c r="K7138" t="s">
        <v>14</v>
      </c>
      <c r="L7138" t="s">
        <v>20</v>
      </c>
      <c r="M7138" t="s">
        <v>13338</v>
      </c>
      <c r="N7138" t="s">
        <v>14</v>
      </c>
    </row>
    <row r="7139" x14ac:dyDescent="0.25">
      <c r="A7139" t="n">
        <v>25</v>
      </c>
      <c r="B7139" t="s">
        <v>14</v>
      </c>
      <c r="C7139" t="s">
        <v>51</v>
      </c>
      <c r="D7139" s="2" t="s">
        <f>=HYPERLINK("https://main.knesset.gov.il/APPS/legislation/main/bills/2196637", "הצעת חוק לתיקון פקודת המשטרה (חובת שימוש במצלמות גוף בעת הפגנה), התשפ""ג-2022")</f>
        <v>13959</v>
      </c>
      <c r="E7139" t="s">
        <v>13959</v>
      </c>
      <c r="F7139" t="s">
        <v>13960</v>
      </c>
      <c r="G7139" t="s">
        <v>14</v>
      </c>
      <c r="H7139">
             </c>
      <c r="I7139" t="s">
        <v>14</v>
      </c>
      <c r="J7139" t="s">
        <v>242</v>
      </c>
      <c r="K7139" t="s">
        <v>14</v>
      </c>
      <c r="L7139" t="s">
        <v>20</v>
      </c>
      <c r="M7139" t="s">
        <v>13338</v>
      </c>
      <c r="N7139" t="s">
        <v>14</v>
      </c>
    </row>
    <row r="7140" x14ac:dyDescent="0.25">
      <c r="A7140" t="n">
        <v>25</v>
      </c>
      <c r="B7140" t="s">
        <v>14</v>
      </c>
      <c r="C7140" t="s">
        <v>51</v>
      </c>
      <c r="D7140" s="2" t="s">
        <f>=HYPERLINK("https://main.knesset.gov.il/APPS/legislation/main/bills/2197239", "הצעת חוק בתי דין רבניים (קיום פסקי דין של גירושין) (תיקון - הגבלת שימוש בכרטיסי אשראי לסרבני גט), התשפ""ג-2022")</f>
        <v>13961</v>
      </c>
      <c r="E7140" t="s">
        <v>13961</v>
      </c>
      <c r="F7140" t="s">
        <v>13962</v>
      </c>
      <c r="G7140" t="s">
        <v>14</v>
      </c>
      <c r="H7140">
             </c>
      <c r="I7140" t="s">
        <v>14</v>
      </c>
      <c r="J7140" t="s">
        <v>242</v>
      </c>
      <c r="K7140" t="s">
        <v>14</v>
      </c>
      <c r="L7140" t="s">
        <v>20</v>
      </c>
      <c r="M7140" t="s">
        <v>13338</v>
      </c>
      <c r="N7140" t="s">
        <v>14</v>
      </c>
    </row>
    <row r="7141" x14ac:dyDescent="0.25">
      <c r="A7141" t="n">
        <v>25</v>
      </c>
      <c r="B7141" t="s">
        <v>14</v>
      </c>
      <c r="C7141" t="s">
        <v>51</v>
      </c>
      <c r="D7141" s="2" t="s">
        <f>=HYPERLINK("https://main.knesset.gov.il/APPS/legislation/main/bills/2196165", "הצעת חוק הכשרות המשפטית והאפוטרופסות (תיקון - ביטול חזקת הגיל הרך), התשפ""ג-2022")</f>
        <v>13963</v>
      </c>
      <c r="E7141" t="s">
        <v>13963</v>
      </c>
      <c r="F7141" t="s">
        <v>13964</v>
      </c>
      <c r="G7141" t="s">
        <v>14</v>
      </c>
      <c r="H7141">
             </c>
      <c r="I7141" t="s">
        <v>14</v>
      </c>
      <c r="J7141" t="s">
        <v>242</v>
      </c>
      <c r="K7141" t="s">
        <v>14</v>
      </c>
      <c r="L7141" t="s">
        <v>20</v>
      </c>
      <c r="M7141" t="s">
        <v>13338</v>
      </c>
      <c r="N7141" t="s">
        <v>14</v>
      </c>
    </row>
    <row r="7142" x14ac:dyDescent="0.25">
      <c r="A7142" t="n">
        <v>25</v>
      </c>
      <c r="B7142" t="s">
        <v>14</v>
      </c>
      <c r="C7142" t="s">
        <v>51</v>
      </c>
      <c r="D7142" s="2" t="s">
        <f>=HYPERLINK("https://main.knesset.gov.il/APPS/legislation/main/bills/2197227", "הצעת חוק לקביעת שעות ההצבעה בקלפיות ולקביעת היקף יום השבתון בבחירות לכנסת ולרשויות המקומיות (תיקוני חקיקה), התשפ""ג-2022")</f>
        <v>13965</v>
      </c>
      <c r="E7142" t="s">
        <v>13965</v>
      </c>
      <c r="F7142" t="s">
        <v>13966</v>
      </c>
      <c r="G7142" t="s">
        <v>14</v>
      </c>
      <c r="H7142">
             </c>
      <c r="I7142" t="s">
        <v>14</v>
      </c>
      <c r="J7142" t="s">
        <v>242</v>
      </c>
      <c r="K7142" t="s">
        <v>14</v>
      </c>
      <c r="L7142" t="s">
        <v>20</v>
      </c>
      <c r="M7142" t="s">
        <v>13338</v>
      </c>
      <c r="N7142" t="s">
        <v>14</v>
      </c>
    </row>
    <row r="7143" x14ac:dyDescent="0.25">
      <c r="A7143" t="n">
        <v>25</v>
      </c>
      <c r="B7143" t="s">
        <v>14</v>
      </c>
      <c r="C7143" t="s">
        <v>51</v>
      </c>
      <c r="D7143" s="2" t="s">
        <f>=HYPERLINK("https://main.knesset.gov.il/APPS/legislation/main/bills/2196483", "הצעת חוק העברת הכנסות מהימורים לתמיכה במרכזי גמילה מהימורים, התשפ""ג-2022")</f>
        <v>13967</v>
      </c>
      <c r="E7143" t="s">
        <v>13967</v>
      </c>
      <c r="F7143" t="s">
        <v>13968</v>
      </c>
      <c r="G7143" t="s">
        <v>14</v>
      </c>
      <c r="H7143">
             </c>
      <c r="I7143" t="s">
        <v>14</v>
      </c>
      <c r="J7143" t="s">
        <v>242</v>
      </c>
      <c r="K7143" t="s">
        <v>14</v>
      </c>
      <c r="L7143" t="s">
        <v>20</v>
      </c>
      <c r="M7143" t="s">
        <v>13338</v>
      </c>
      <c r="N7143" t="s">
        <v>14</v>
      </c>
    </row>
    <row r="7144" x14ac:dyDescent="0.25">
      <c r="A7144" t="n">
        <v>25</v>
      </c>
      <c r="B7144" t="s">
        <v>14</v>
      </c>
      <c r="C7144" t="s">
        <v>51</v>
      </c>
      <c r="D7144" s="2" t="s">
        <f>=HYPERLINK("https://main.knesset.gov.il/APPS/legislation/main/bills/2197225", "הצעת חוק התכנון והבנייה (תיקון - גני ילדים ומעונות יום), התשפ""ג-2022")</f>
        <v>13969</v>
      </c>
      <c r="E7144" t="s">
        <v>13969</v>
      </c>
      <c r="F7144" t="s">
        <v>13970</v>
      </c>
      <c r="G7144" t="s">
        <v>14</v>
      </c>
      <c r="H7144">
             </c>
      <c r="I7144" t="s">
        <v>14</v>
      </c>
      <c r="J7144" t="s">
        <v>242</v>
      </c>
      <c r="K7144" t="s">
        <v>14</v>
      </c>
      <c r="L7144" t="s">
        <v>20</v>
      </c>
      <c r="M7144" t="s">
        <v>13338</v>
      </c>
      <c r="N7144" t="s">
        <v>14</v>
      </c>
    </row>
    <row r="7145" x14ac:dyDescent="0.25">
      <c r="A7145" t="n">
        <v>25</v>
      </c>
      <c r="B7145" t="s">
        <v>14</v>
      </c>
      <c r="C7145" t="s">
        <v>51</v>
      </c>
      <c r="D7145" s="2" t="s">
        <f>=HYPERLINK("https://main.knesset.gov.il/APPS/legislation/main/bills/2196289", "הצעת חוק-יסוד: המיעוט הערבי")</f>
        <v>11822</v>
      </c>
      <c r="E7145" t="s">
        <v>11822</v>
      </c>
      <c r="F7145" t="s">
        <v>13971</v>
      </c>
      <c r="G7145" t="s">
        <v>14</v>
      </c>
      <c r="H7145">
             </c>
      <c r="I7145" t="s">
        <v>14</v>
      </c>
      <c r="J7145" t="s">
        <v>242</v>
      </c>
      <c r="K7145" t="s">
        <v>14</v>
      </c>
      <c r="L7145" t="s">
        <v>20</v>
      </c>
      <c r="M7145" t="s">
        <v>13338</v>
      </c>
      <c r="N7145" t="s">
        <v>14</v>
      </c>
    </row>
    <row r="7146" x14ac:dyDescent="0.25">
      <c r="A7146" t="n">
        <v>25</v>
      </c>
      <c r="B7146" t="s">
        <v>14</v>
      </c>
      <c r="C7146" t="s">
        <v>51</v>
      </c>
      <c r="D7146" s="2" t="s">
        <f>=HYPERLINK("https://main.knesset.gov.il/APPS/legislation/main/bills/2197158", "הצעת חוק לתיקון פקודת מס הכנסה (הגדלת זיכוי מס על תרומה לבתי חולים בפריפריה), התשפ""ג-2022")</f>
        <v>7416</v>
      </c>
      <c r="E7146" t="s">
        <v>7416</v>
      </c>
      <c r="F7146" t="s">
        <v>13972</v>
      </c>
      <c r="G7146" t="s">
        <v>14</v>
      </c>
      <c r="H7146">
             </c>
      <c r="I7146" t="s">
        <v>14</v>
      </c>
      <c r="J7146" t="s">
        <v>242</v>
      </c>
      <c r="K7146" t="s">
        <v>14</v>
      </c>
      <c r="L7146" t="s">
        <v>20</v>
      </c>
      <c r="M7146" t="s">
        <v>13338</v>
      </c>
      <c r="N7146" t="s">
        <v>14</v>
      </c>
    </row>
    <row r="7147" x14ac:dyDescent="0.25">
      <c r="A7147" t="n">
        <v>25</v>
      </c>
      <c r="B7147" t="s">
        <v>14</v>
      </c>
      <c r="C7147" t="s">
        <v>51</v>
      </c>
      <c r="D7147" s="2" t="s">
        <f>=HYPERLINK("https://main.knesset.gov.il/APPS/legislation/main/bills/2197149", "הצעת חוק התקנת מצלמות לשם הגנה על פעוטות במעונות יום לפעוטות (תיקון - צפייה מקוונת של ההורים בצילומים), התשפ""ג-2022")</f>
        <v>13973</v>
      </c>
      <c r="E7147" t="s">
        <v>13973</v>
      </c>
      <c r="F7147" t="s">
        <v>13974</v>
      </c>
      <c r="G7147" t="s">
        <v>14</v>
      </c>
      <c r="H7147">
             </c>
      <c r="I7147" t="s">
        <v>14</v>
      </c>
      <c r="J7147" t="s">
        <v>242</v>
      </c>
      <c r="K7147" t="s">
        <v>14</v>
      </c>
      <c r="L7147" t="s">
        <v>20</v>
      </c>
      <c r="M7147" t="s">
        <v>13338</v>
      </c>
      <c r="N7147" t="s">
        <v>14</v>
      </c>
    </row>
    <row r="7148" x14ac:dyDescent="0.25">
      <c r="A7148" t="n">
        <v>25</v>
      </c>
      <c r="B7148" t="s">
        <v>14</v>
      </c>
      <c r="C7148" t="s">
        <v>51</v>
      </c>
      <c r="D7148" s="2" t="s">
        <f>=HYPERLINK("https://main.knesset.gov.il/APPS/legislation/main/bills/2197301", "הצעת חוק הביטוח הלאומי (תיקון - אבטחה במוסד רפואי כעבודה מועדפת), התשפ""ג-2022")</f>
        <v>13975</v>
      </c>
      <c r="E7148" t="s">
        <v>13975</v>
      </c>
      <c r="F7148" t="s">
        <v>13976</v>
      </c>
      <c r="G7148" t="s">
        <v>14</v>
      </c>
      <c r="H7148">
             </c>
      <c r="I7148" t="s">
        <v>14</v>
      </c>
      <c r="J7148" t="s">
        <v>242</v>
      </c>
      <c r="K7148" t="s">
        <v>14</v>
      </c>
      <c r="L7148" t="s">
        <v>20</v>
      </c>
      <c r="M7148" t="s">
        <v>13338</v>
      </c>
      <c r="N7148" t="s">
        <v>14</v>
      </c>
    </row>
    <row r="7149" x14ac:dyDescent="0.25">
      <c r="A7149" t="n">
        <v>25</v>
      </c>
      <c r="B7149" t="s">
        <v>14</v>
      </c>
      <c r="C7149" t="s">
        <v>51</v>
      </c>
      <c r="D7149" s="2" t="s">
        <f>=HYPERLINK("https://main.knesset.gov.il/APPS/legislation/main/bills/2196957", "הצעת חוק הביטוח הלאומי (תיקון - אבטחה במוסד רפואי כעבודה מועדפת), התשפ""ג-2022")</f>
        <v>13975</v>
      </c>
      <c r="E7149" t="s">
        <v>13975</v>
      </c>
      <c r="F7149" t="s">
        <v>13977</v>
      </c>
      <c r="G7149" t="s">
        <v>14</v>
      </c>
      <c r="H7149">
             </c>
      <c r="I7149" t="s">
        <v>14</v>
      </c>
      <c r="J7149" t="s">
        <v>242</v>
      </c>
      <c r="K7149" t="s">
        <v>14</v>
      </c>
      <c r="L7149" t="s">
        <v>20</v>
      </c>
      <c r="M7149" t="s">
        <v>13338</v>
      </c>
      <c r="N7149" t="s">
        <v>14</v>
      </c>
    </row>
    <row r="7150" x14ac:dyDescent="0.25">
      <c r="A7150" t="n">
        <v>25</v>
      </c>
      <c r="B7150" t="s">
        <v>14</v>
      </c>
      <c r="C7150" t="s">
        <v>51</v>
      </c>
      <c r="D7150" s="2" t="s">
        <f>=HYPERLINK("https://main.knesset.gov.il/APPS/legislation/main/bills/2196956", "הצעת חוק הפיקוח על מעונות יום לפעוטות (תיקון - הסמכת מתנדבים וטכנאי מצלמות), התשפ""ג-2022")</f>
        <v>13978</v>
      </c>
      <c r="E7150" t="s">
        <v>13978</v>
      </c>
      <c r="F7150" t="s">
        <v>13979</v>
      </c>
      <c r="G7150" t="s">
        <v>14</v>
      </c>
      <c r="H7150">
             </c>
      <c r="I7150" t="s">
        <v>14</v>
      </c>
      <c r="J7150" t="s">
        <v>242</v>
      </c>
      <c r="K7150" t="s">
        <v>14</v>
      </c>
      <c r="L7150" t="s">
        <v>20</v>
      </c>
      <c r="M7150" t="s">
        <v>13338</v>
      </c>
      <c r="N7150" t="s">
        <v>14</v>
      </c>
    </row>
    <row r="7151" x14ac:dyDescent="0.25">
      <c r="A7151" t="n">
        <v>25</v>
      </c>
      <c r="B7151" t="s">
        <v>14</v>
      </c>
      <c r="C7151" t="s">
        <v>51</v>
      </c>
      <c r="D7151" s="2" t="s">
        <f>=HYPERLINK("https://main.knesset.gov.il/APPS/legislation/main/bills/2196946", "הצעת חוק הרשויות המקומיות (בחירת ראש הרשות וסגניו וכהונתם) (תיקון - חסינות ממעצר לראשי רשויות ולראשי מועצות אזוריות), התשפ""ג-2022")</f>
        <v>13980</v>
      </c>
      <c r="E7151" t="s">
        <v>13980</v>
      </c>
      <c r="F7151" t="s">
        <v>13981</v>
      </c>
      <c r="G7151" t="s">
        <v>14</v>
      </c>
      <c r="H7151">
             </c>
      <c r="I7151" t="s">
        <v>14</v>
      </c>
      <c r="J7151" t="s">
        <v>242</v>
      </c>
      <c r="K7151" t="s">
        <v>14</v>
      </c>
      <c r="L7151" t="s">
        <v>20</v>
      </c>
      <c r="M7151" t="s">
        <v>13338</v>
      </c>
      <c r="N7151" t="s">
        <v>14</v>
      </c>
    </row>
    <row r="7152" x14ac:dyDescent="0.25">
      <c r="A7152" t="n">
        <v>25</v>
      </c>
      <c r="B7152" t="s">
        <v>14</v>
      </c>
      <c r="C7152" t="s">
        <v>51</v>
      </c>
      <c r="D7152" s="2" t="s">
        <f>=HYPERLINK("https://main.knesset.gov.il/APPS/legislation/main/bills/2197402", "הצעת חוק להנצחת מורשת המחתרות, התשפ""ג-2022")</f>
        <v>13982</v>
      </c>
      <c r="E7152" t="s">
        <v>13982</v>
      </c>
      <c r="F7152" t="s">
        <v>13983</v>
      </c>
      <c r="G7152" t="s">
        <v>14</v>
      </c>
      <c r="H7152">
             </c>
      <c r="I7152" t="s">
        <v>14</v>
      </c>
      <c r="J7152" t="s">
        <v>242</v>
      </c>
      <c r="K7152" t="s">
        <v>14</v>
      </c>
      <c r="L7152" t="s">
        <v>20</v>
      </c>
      <c r="M7152" t="s">
        <v>13338</v>
      </c>
      <c r="N7152" t="s">
        <v>14</v>
      </c>
    </row>
    <row r="7153" x14ac:dyDescent="0.25">
      <c r="A7153" t="n">
        <v>25</v>
      </c>
      <c r="B7153" t="s">
        <v>14</v>
      </c>
      <c r="C7153" t="s">
        <v>51</v>
      </c>
      <c r="D7153" s="2" t="s">
        <f>=HYPERLINK("https://main.knesset.gov.il/APPS/legislation/main/bills/2196740", "הצעת חוק להנצחת מורשת המחתרות, התשפ""ג-2022")</f>
        <v>13982</v>
      </c>
      <c r="E7153" t="s">
        <v>13982</v>
      </c>
      <c r="F7153" t="s">
        <v>13984</v>
      </c>
      <c r="G7153" t="s">
        <v>14</v>
      </c>
      <c r="H7153">
             </c>
      <c r="I7153" t="s">
        <v>14</v>
      </c>
      <c r="J7153" t="s">
        <v>242</v>
      </c>
      <c r="K7153" t="s">
        <v>14</v>
      </c>
      <c r="L7153" t="s">
        <v>20</v>
      </c>
      <c r="M7153" t="s">
        <v>13338</v>
      </c>
      <c r="N7153" t="s">
        <v>14</v>
      </c>
    </row>
    <row r="7154" x14ac:dyDescent="0.25">
      <c r="A7154" t="n">
        <v>25</v>
      </c>
      <c r="B7154" t="s">
        <v>14</v>
      </c>
      <c r="C7154" t="s">
        <v>51</v>
      </c>
      <c r="D7154" s="2" t="s">
        <f>=HYPERLINK("https://main.knesset.gov.il/APPS/legislation/main/bills/2197406", "הצעת חוק גירוש משפחות מחבלים, התשפ""ג-2022")</f>
        <v>13985</v>
      </c>
      <c r="E7154" t="s">
        <v>13985</v>
      </c>
      <c r="F7154" t="s">
        <v>13986</v>
      </c>
      <c r="G7154" t="s">
        <v>14</v>
      </c>
      <c r="H7154">
             </c>
      <c r="I7154" t="s">
        <v>14</v>
      </c>
      <c r="J7154" t="s">
        <v>242</v>
      </c>
      <c r="K7154" t="s">
        <v>14</v>
      </c>
      <c r="L7154" t="s">
        <v>20</v>
      </c>
      <c r="M7154" t="s">
        <v>13338</v>
      </c>
      <c r="N7154" t="s">
        <v>14</v>
      </c>
    </row>
    <row r="7155" x14ac:dyDescent="0.25">
      <c r="A7155" t="n">
        <v>25</v>
      </c>
      <c r="B7155" t="s">
        <v>14</v>
      </c>
      <c r="C7155" t="s">
        <v>51</v>
      </c>
      <c r="D7155" s="2" t="s">
        <f>=HYPERLINK("https://main.knesset.gov.il/APPS/legislation/main/bills/2197650", "הצעת חוק יישוב סכסוכי עבודה (תיקון - דין שביתה בתקופת בחירות), התשפ""ג-2022")</f>
        <v>13987</v>
      </c>
      <c r="E7155" t="s">
        <v>13987</v>
      </c>
      <c r="F7155" t="s">
        <v>13988</v>
      </c>
      <c r="G7155" t="s">
        <v>14</v>
      </c>
      <c r="H7155">
             </c>
      <c r="I7155" t="s">
        <v>14</v>
      </c>
      <c r="J7155" t="s">
        <v>242</v>
      </c>
      <c r="K7155" t="s">
        <v>14</v>
      </c>
      <c r="L7155" t="s">
        <v>20</v>
      </c>
      <c r="M7155" t="s">
        <v>13338</v>
      </c>
      <c r="N7155" t="s">
        <v>14</v>
      </c>
    </row>
    <row r="7156" x14ac:dyDescent="0.25">
      <c r="A7156" t="n">
        <v>25</v>
      </c>
      <c r="B7156" t="s">
        <v>14</v>
      </c>
      <c r="C7156" t="s">
        <v>51</v>
      </c>
      <c r="D7156" s="2" t="s">
        <f>=HYPERLINK("https://main.knesset.gov.il/APPS/legislation/main/bills/2196915", "הצעת חוק אישור לפתיחת חקירת שוטרים המעורבים באירוע לאומני, התשפ""ג-2022")</f>
        <v>13989</v>
      </c>
      <c r="E7156" t="s">
        <v>13989</v>
      </c>
      <c r="F7156" t="s">
        <v>13990</v>
      </c>
      <c r="G7156" t="s">
        <v>14</v>
      </c>
      <c r="H7156">
             </c>
      <c r="I7156" t="s">
        <v>14</v>
      </c>
      <c r="J7156" t="s">
        <v>242</v>
      </c>
      <c r="K7156" t="s">
        <v>14</v>
      </c>
      <c r="L7156" t="s">
        <v>20</v>
      </c>
      <c r="M7156" t="s">
        <v>13338</v>
      </c>
      <c r="N7156" t="s">
        <v>14</v>
      </c>
    </row>
    <row r="7157" x14ac:dyDescent="0.25">
      <c r="A7157" t="n">
        <v>25</v>
      </c>
      <c r="B7157" t="s">
        <v>14</v>
      </c>
      <c r="C7157" t="s">
        <v>51</v>
      </c>
      <c r="D7157" s="2" t="s">
        <f>=HYPERLINK("https://main.knesset.gov.il/APPS/legislation/main/bills/2197096", "הצעת חוק-יסוד: השפיטה (תיקון - תיעוד מצולם של דיוני בתי המשפט)")</f>
        <v>13991</v>
      </c>
      <c r="E7157" t="s">
        <v>13991</v>
      </c>
      <c r="F7157" t="s">
        <v>13992</v>
      </c>
      <c r="G7157" t="s">
        <v>14</v>
      </c>
      <c r="H7157">
             </c>
      <c r="I7157" t="s">
        <v>14</v>
      </c>
      <c r="J7157" t="s">
        <v>242</v>
      </c>
      <c r="K7157" t="s">
        <v>14</v>
      </c>
      <c r="L7157" t="s">
        <v>20</v>
      </c>
      <c r="M7157" t="s">
        <v>13338</v>
      </c>
      <c r="N7157" t="s">
        <v>14</v>
      </c>
    </row>
    <row r="7158" x14ac:dyDescent="0.25">
      <c r="A7158" t="n">
        <v>25</v>
      </c>
      <c r="B7158" t="s">
        <v>14</v>
      </c>
      <c r="C7158" t="s">
        <v>51</v>
      </c>
      <c r="D7158" s="2" t="s">
        <f>=HYPERLINK("https://main.knesset.gov.il/APPS/legislation/main/bills/2195920", "הצעת חוק הביטוח הלאומי (תיקון - גמלת אבל), התשפ""ג-2022")</f>
        <v>13993</v>
      </c>
      <c r="E7158" t="s">
        <v>13993</v>
      </c>
      <c r="F7158" t="s">
        <v>13994</v>
      </c>
      <c r="G7158" t="s">
        <v>14</v>
      </c>
      <c r="H7158">
             </c>
      <c r="I7158" t="s">
        <v>14</v>
      </c>
      <c r="J7158" t="s">
        <v>242</v>
      </c>
      <c r="K7158" t="s">
        <v>14</v>
      </c>
      <c r="L7158" t="s">
        <v>20</v>
      </c>
      <c r="M7158" t="s">
        <v>13338</v>
      </c>
      <c r="N7158" t="s">
        <v>14</v>
      </c>
    </row>
    <row r="7159" x14ac:dyDescent="0.25">
      <c r="A7159" t="n">
        <v>25</v>
      </c>
      <c r="B7159" t="s">
        <v>14</v>
      </c>
      <c r="C7159" t="s">
        <v>51</v>
      </c>
      <c r="D7159" s="2" t="s">
        <f>=HYPERLINK("https://main.knesset.gov.il/APPS/legislation/main/bills/2195934", "הצעת חוק ביטוח בריאות ממלכתי (תיקון - מחלה יתומה), התשפ""ג-2022")</f>
        <v>13995</v>
      </c>
      <c r="E7159" t="s">
        <v>13995</v>
      </c>
      <c r="F7159" t="s">
        <v>13996</v>
      </c>
      <c r="G7159" t="s">
        <v>14</v>
      </c>
      <c r="H7159">
             </c>
      <c r="I7159" t="s">
        <v>14</v>
      </c>
      <c r="J7159" t="s">
        <v>242</v>
      </c>
      <c r="K7159" t="s">
        <v>14</v>
      </c>
      <c r="L7159" t="s">
        <v>20</v>
      </c>
      <c r="M7159" t="s">
        <v>13338</v>
      </c>
      <c r="N7159" t="s">
        <v>14</v>
      </c>
    </row>
    <row r="7160" x14ac:dyDescent="0.25">
      <c r="A7160" t="n">
        <v>25</v>
      </c>
      <c r="B7160" t="s">
        <v>14</v>
      </c>
      <c r="C7160" t="s">
        <v>51</v>
      </c>
      <c r="D7160" s="2" t="s">
        <f>=HYPERLINK("https://main.knesset.gov.il/APPS/legislation/main/bills/2197843", "הצעת חוק מימון מפלגות (תיקון - מענק למפלגות המקיימות בחירות מקדימות), התשפ""ג-2022")</f>
        <v>13997</v>
      </c>
      <c r="E7160" t="s">
        <v>13997</v>
      </c>
      <c r="F7160" t="s">
        <v>13998</v>
      </c>
      <c r="G7160" t="s">
        <v>14</v>
      </c>
      <c r="H7160">
             </c>
      <c r="I7160" t="s">
        <v>14</v>
      </c>
      <c r="J7160" t="s">
        <v>242</v>
      </c>
      <c r="K7160" t="s">
        <v>14</v>
      </c>
      <c r="L7160" t="s">
        <v>20</v>
      </c>
      <c r="M7160" t="s">
        <v>13338</v>
      </c>
      <c r="N7160" t="s">
        <v>14</v>
      </c>
    </row>
    <row r="7161" x14ac:dyDescent="0.25">
      <c r="A7161" t="n">
        <v>25</v>
      </c>
      <c r="B7161" t="s">
        <v>14</v>
      </c>
      <c r="C7161" t="s">
        <v>51</v>
      </c>
      <c r="D7161" s="2" t="s">
        <f>=HYPERLINK("https://main.knesset.gov.il/APPS/legislation/main/bills/2197585", "הצעת חוק חינוך פיננסי, התשפ""ג-2022")</f>
        <v>13999</v>
      </c>
      <c r="E7161" t="s">
        <v>13999</v>
      </c>
      <c r="F7161" t="s">
        <v>14000</v>
      </c>
      <c r="G7161" t="s">
        <v>14</v>
      </c>
      <c r="H7161">
             </c>
      <c r="I7161" t="s">
        <v>14</v>
      </c>
      <c r="J7161" t="s">
        <v>242</v>
      </c>
      <c r="K7161" t="s">
        <v>14</v>
      </c>
      <c r="L7161" t="s">
        <v>20</v>
      </c>
      <c r="M7161" t="s">
        <v>13338</v>
      </c>
      <c r="N7161" t="s">
        <v>14</v>
      </c>
    </row>
    <row r="7162" x14ac:dyDescent="0.25">
      <c r="A7162" t="n">
        <v>25</v>
      </c>
      <c r="B7162" t="s">
        <v>14</v>
      </c>
      <c r="C7162" t="s">
        <v>51</v>
      </c>
      <c r="D7162" s="2" t="s">
        <f>=HYPERLINK("https://main.knesset.gov.il/APPS/legislation/main/bills/2196907", "הצעת חוק האזנת סתר (תיקון - האזנה בשל חשד להתעללות בילדים ובחסרי ישע), התשפ״ג-2022")</f>
        <v>14001</v>
      </c>
      <c r="E7162" t="s">
        <v>14001</v>
      </c>
      <c r="F7162" t="s">
        <v>14002</v>
      </c>
      <c r="G7162" t="s">
        <v>14</v>
      </c>
      <c r="H7162">
             </c>
      <c r="I7162" t="s">
        <v>14</v>
      </c>
      <c r="J7162" t="s">
        <v>242</v>
      </c>
      <c r="K7162" t="s">
        <v>14</v>
      </c>
      <c r="L7162" t="s">
        <v>20</v>
      </c>
      <c r="M7162" t="s">
        <v>13338</v>
      </c>
      <c r="N7162" t="s">
        <v>14</v>
      </c>
    </row>
    <row r="7163" x14ac:dyDescent="0.25">
      <c r="A7163" t="n">
        <v>25</v>
      </c>
      <c r="B7163" t="s">
        <v>14</v>
      </c>
      <c r="C7163" t="s">
        <v>51</v>
      </c>
      <c r="D7163" s="2" t="s">
        <f>=HYPERLINK("https://main.knesset.gov.il/APPS/legislation/main/bills/2195933", "הצעת חוק חינוך פיננסי, התשפ""ג-2022")</f>
        <v>13999</v>
      </c>
      <c r="E7163" t="s">
        <v>13999</v>
      </c>
      <c r="F7163" t="s">
        <v>14003</v>
      </c>
      <c r="G7163" t="s">
        <v>14</v>
      </c>
      <c r="H7163">
             </c>
      <c r="I7163" t="s">
        <v>14</v>
      </c>
      <c r="J7163" t="s">
        <v>242</v>
      </c>
      <c r="K7163" t="s">
        <v>14</v>
      </c>
      <c r="L7163" t="s">
        <v>20</v>
      </c>
      <c r="M7163" t="s">
        <v>13338</v>
      </c>
      <c r="N7163" t="s">
        <v>14</v>
      </c>
    </row>
    <row r="7164" x14ac:dyDescent="0.25">
      <c r="A7164" t="n">
        <v>25</v>
      </c>
      <c r="B7164" t="s">
        <v>14</v>
      </c>
      <c r="C7164" t="s">
        <v>51</v>
      </c>
      <c r="D7164" s="2" t="s">
        <f>=HYPERLINK("https://main.knesset.gov.il/APPS/legislation/main/bills/2197244", "הצעת חוק מיסוי מקרקעין (שבח ורכישה) (תיקון - דירה נוספת שלא נעשה בה שימוש), התשפ""ג-2022")</f>
        <v>14004</v>
      </c>
      <c r="E7164" t="s">
        <v>14004</v>
      </c>
      <c r="F7164" t="s">
        <v>14005</v>
      </c>
      <c r="G7164" t="s">
        <v>14</v>
      </c>
      <c r="H7164">
             </c>
      <c r="I7164" t="s">
        <v>14</v>
      </c>
      <c r="J7164" t="s">
        <v>242</v>
      </c>
      <c r="K7164" t="s">
        <v>14</v>
      </c>
      <c r="L7164" t="s">
        <v>20</v>
      </c>
      <c r="M7164" t="s">
        <v>13338</v>
      </c>
      <c r="N7164" t="s">
        <v>14</v>
      </c>
    </row>
    <row r="7165" x14ac:dyDescent="0.25">
      <c r="A7165" t="n">
        <v>25</v>
      </c>
      <c r="B7165" t="s">
        <v>14</v>
      </c>
      <c r="C7165" t="s">
        <v>51</v>
      </c>
      <c r="D7165" s="2" t="s">
        <f>=HYPERLINK("https://main.knesset.gov.il/APPS/legislation/main/bills/2196200", "הצעת חוק הבחירות (דרכי תעמולה) (תיקון - פרסום סקרים בימי מנוחה), התשפ""ג-2022 ")</f>
        <v>14006</v>
      </c>
      <c r="E7165" t="s">
        <v>14006</v>
      </c>
      <c r="F7165" t="s">
        <v>14007</v>
      </c>
      <c r="G7165" t="s">
        <v>14</v>
      </c>
      <c r="H7165">
             </c>
      <c r="I7165" t="s">
        <v>14</v>
      </c>
      <c r="J7165" t="s">
        <v>242</v>
      </c>
      <c r="K7165" t="s">
        <v>14</v>
      </c>
      <c r="L7165" t="s">
        <v>20</v>
      </c>
      <c r="M7165" t="s">
        <v>13338</v>
      </c>
      <c r="N7165" t="s">
        <v>14</v>
      </c>
    </row>
    <row r="7166" x14ac:dyDescent="0.25">
      <c r="A7166" t="n">
        <v>25</v>
      </c>
      <c r="B7166" t="s">
        <v>14</v>
      </c>
      <c r="C7166" t="s">
        <v>51</v>
      </c>
      <c r="D7166" s="2" t="s">
        <f>=HYPERLINK("https://main.knesset.gov.il/APPS/legislation/main/bills/2197594", "הצעת חוק העונשין (תיקון - החמרת ענישה בפשיעה חקלאית) (הוראת שעה), התשפ""ג-2022")</f>
        <v>14008</v>
      </c>
      <c r="E7166" t="s">
        <v>14008</v>
      </c>
      <c r="F7166" t="s">
        <v>14009</v>
      </c>
      <c r="G7166" t="s">
        <v>14</v>
      </c>
      <c r="H7166">
             </c>
      <c r="I7166" t="s">
        <v>14</v>
      </c>
      <c r="J7166" t="s">
        <v>242</v>
      </c>
      <c r="K7166" t="s">
        <v>14</v>
      </c>
      <c r="L7166" t="s">
        <v>20</v>
      </c>
      <c r="M7166" t="s">
        <v>13338</v>
      </c>
      <c r="N7166" t="s">
        <v>14</v>
      </c>
    </row>
    <row r="7167" x14ac:dyDescent="0.25">
      <c r="A7167" t="n">
        <v>25</v>
      </c>
      <c r="B7167" t="s">
        <v>14</v>
      </c>
      <c r="C7167" t="s">
        <v>51</v>
      </c>
      <c r="D7167" s="2" t="s">
        <f>=HYPERLINK("https://main.knesset.gov.il/APPS/legislation/main/bills/2197588", "הצעת חוק העונשין (תיקון - עונש מינימום למצית נכס ציבורי), התשפ""ג-2022")</f>
        <v>14010</v>
      </c>
      <c r="E7167" t="s">
        <v>14010</v>
      </c>
      <c r="F7167" t="s">
        <v>14011</v>
      </c>
      <c r="G7167" t="s">
        <v>14</v>
      </c>
      <c r="H7167">
             </c>
      <c r="I7167" t="s">
        <v>14</v>
      </c>
      <c r="J7167" t="s">
        <v>242</v>
      </c>
      <c r="K7167" t="s">
        <v>14</v>
      </c>
      <c r="L7167" t="s">
        <v>20</v>
      </c>
      <c r="M7167" t="s">
        <v>13338</v>
      </c>
      <c r="N7167" t="s">
        <v>14</v>
      </c>
    </row>
    <row r="7168" x14ac:dyDescent="0.25">
      <c r="A7168" t="n">
        <v>25</v>
      </c>
      <c r="B7168" t="s">
        <v>14</v>
      </c>
      <c r="C7168" t="s">
        <v>51</v>
      </c>
      <c r="D7168" s="2" t="s">
        <f>=HYPERLINK("https://main.knesset.gov.il/APPS/legislation/main/bills/2196950", "הצעת חוק העונשין (תיקון - עונש מינימום למצית נכס ציבורי), התשפ""ג-2022")</f>
        <v>14010</v>
      </c>
      <c r="E7168" t="s">
        <v>14010</v>
      </c>
      <c r="F7168" t="s">
        <v>14012</v>
      </c>
      <c r="G7168" t="s">
        <v>14</v>
      </c>
      <c r="H7168">
             </c>
      <c r="I7168" t="s">
        <v>14</v>
      </c>
      <c r="J7168" t="s">
        <v>242</v>
      </c>
      <c r="K7168" t="s">
        <v>14</v>
      </c>
      <c r="L7168" t="s">
        <v>20</v>
      </c>
      <c r="M7168" t="s">
        <v>13338</v>
      </c>
      <c r="N7168" t="s">
        <v>14</v>
      </c>
    </row>
    <row r="7169" x14ac:dyDescent="0.25">
      <c r="A7169" t="n">
        <v>25</v>
      </c>
      <c r="B7169" t="s">
        <v>14</v>
      </c>
      <c r="C7169" t="s">
        <v>51</v>
      </c>
      <c r="D7169" s="2" t="s">
        <f>=HYPERLINK("https://main.knesset.gov.il/APPS/legislation/main/bills/2197224", "הצעת חוק התכנון והבנייה (תיקון - החלטה מקדמית לפי תכנית החיזוק), התשפ""ג-2022")</f>
        <v>14013</v>
      </c>
      <c r="E7169" t="s">
        <v>14013</v>
      </c>
      <c r="F7169" t="s">
        <v>14014</v>
      </c>
      <c r="G7169" t="s">
        <v>14</v>
      </c>
      <c r="H7169">
             </c>
      <c r="I7169" t="s">
        <v>14</v>
      </c>
      <c r="J7169" t="s">
        <v>242</v>
      </c>
      <c r="K7169" t="s">
        <v>14</v>
      </c>
      <c r="L7169" t="s">
        <v>20</v>
      </c>
      <c r="M7169" t="s">
        <v>13338</v>
      </c>
      <c r="N7169" t="s">
        <v>14</v>
      </c>
    </row>
    <row r="7170" x14ac:dyDescent="0.25">
      <c r="A7170" t="n">
        <v>25</v>
      </c>
      <c r="B7170" t="s">
        <v>14</v>
      </c>
      <c r="C7170" t="s">
        <v>51</v>
      </c>
      <c r="D7170" s="2" t="s">
        <f>=HYPERLINK("https://main.knesset.gov.il/APPS/legislation/main/bills/2196713", "הצעת חוק עבודת נשים (תיקון - הארכת תקופת הלידה וההורות להורי פג), התשפ""ג-2022")</f>
        <v>14015</v>
      </c>
      <c r="E7170" t="s">
        <v>14015</v>
      </c>
      <c r="F7170" t="s">
        <v>14016</v>
      </c>
      <c r="G7170" t="s">
        <v>14</v>
      </c>
      <c r="H7170">
             </c>
      <c r="I7170" t="s">
        <v>14</v>
      </c>
      <c r="J7170" t="s">
        <v>242</v>
      </c>
      <c r="K7170" t="s">
        <v>14</v>
      </c>
      <c r="L7170" t="s">
        <v>20</v>
      </c>
      <c r="M7170" t="s">
        <v>13338</v>
      </c>
      <c r="N7170" t="s">
        <v>14</v>
      </c>
    </row>
    <row r="7171" x14ac:dyDescent="0.25">
      <c r="A7171" t="n">
        <v>25</v>
      </c>
      <c r="B7171" t="s">
        <v>14</v>
      </c>
      <c r="C7171" t="s">
        <v>51</v>
      </c>
      <c r="D7171" s="2" t="s">
        <f>=HYPERLINK("https://main.knesset.gov.il/APPS/legislation/main/bills/2196716", "הצעת חוק התכנון והבנייה (תיקון - איסור התניית היתר בהתקנת מקומות חניה ובניצול חלק קיים משטח דירה), התשפ""ג-2022")</f>
        <v>14017</v>
      </c>
      <c r="E7171" t="s">
        <v>14017</v>
      </c>
      <c r="F7171" t="s">
        <v>14018</v>
      </c>
      <c r="G7171" t="s">
        <v>14</v>
      </c>
      <c r="H7171">
             </c>
      <c r="I7171" t="s">
        <v>14</v>
      </c>
      <c r="J7171" t="s">
        <v>242</v>
      </c>
      <c r="K7171" t="s">
        <v>14</v>
      </c>
      <c r="L7171" t="s">
        <v>20</v>
      </c>
      <c r="M7171" t="s">
        <v>13338</v>
      </c>
      <c r="N7171" t="s">
        <v>14</v>
      </c>
    </row>
    <row r="7172" x14ac:dyDescent="0.25">
      <c r="A7172" t="n">
        <v>25</v>
      </c>
      <c r="B7172" t="s">
        <v>14</v>
      </c>
      <c r="C7172" t="s">
        <v>51</v>
      </c>
      <c r="D7172" s="2" t="s">
        <f>=HYPERLINK("https://main.knesset.gov.il/APPS/legislation/main/bills/2196042", "הצעת חוק דמי מחלה (היעדרות בשל מחלת ילד) (תיקון - מחלת תינוק), התשפ""ג-2022")</f>
        <v>14019</v>
      </c>
      <c r="E7172" t="s">
        <v>14019</v>
      </c>
      <c r="F7172" t="s">
        <v>14020</v>
      </c>
      <c r="G7172" t="s">
        <v>14</v>
      </c>
      <c r="H7172">
             </c>
      <c r="I7172" t="s">
        <v>14</v>
      </c>
      <c r="J7172" t="s">
        <v>242</v>
      </c>
      <c r="K7172" t="s">
        <v>14</v>
      </c>
      <c r="L7172" t="s">
        <v>20</v>
      </c>
      <c r="M7172" t="s">
        <v>13338</v>
      </c>
      <c r="N7172" t="s">
        <v>14</v>
      </c>
    </row>
    <row r="7173" x14ac:dyDescent="0.25">
      <c r="A7173" t="n">
        <v>25</v>
      </c>
      <c r="B7173" t="s">
        <v>14</v>
      </c>
      <c r="C7173" t="s">
        <v>51</v>
      </c>
      <c r="D7173" s="2" t="s">
        <f>=HYPERLINK("https://main.knesset.gov.il/APPS/legislation/main/bills/2196699", "הצעת חוק התכנון והבנייה (תיקון - ייצוג הוועדה המקומית), התשפ""ג-2022")</f>
        <v>14021</v>
      </c>
      <c r="E7173" t="s">
        <v>14021</v>
      </c>
      <c r="F7173" t="s">
        <v>14022</v>
      </c>
      <c r="G7173" t="s">
        <v>14</v>
      </c>
      <c r="H7173">
             </c>
      <c r="I7173" t="s">
        <v>14</v>
      </c>
      <c r="J7173" t="s">
        <v>242</v>
      </c>
      <c r="K7173" t="s">
        <v>14</v>
      </c>
      <c r="L7173" t="s">
        <v>20</v>
      </c>
      <c r="M7173" t="s">
        <v>13338</v>
      </c>
      <c r="N7173" t="s">
        <v>14</v>
      </c>
    </row>
    <row r="7174" x14ac:dyDescent="0.25">
      <c r="A7174" t="n">
        <v>25</v>
      </c>
      <c r="B7174" t="s">
        <v>14</v>
      </c>
      <c r="C7174" t="s">
        <v>51</v>
      </c>
      <c r="D7174" s="2" t="s">
        <f>=HYPERLINK("https://main.knesset.gov.il/APPS/legislation/main/bills/2197597", "הצעת חוק בתי המשפט (תיקון - מספר השופטים בבית המשפט העליון), התשפ""ג-2022")</f>
        <v>14023</v>
      </c>
      <c r="E7174" t="s">
        <v>14023</v>
      </c>
      <c r="F7174" t="s">
        <v>14024</v>
      </c>
      <c r="G7174" t="s">
        <v>14</v>
      </c>
      <c r="H7174">
             </c>
      <c r="I7174" t="s">
        <v>14</v>
      </c>
      <c r="J7174" t="s">
        <v>242</v>
      </c>
      <c r="K7174" t="s">
        <v>14</v>
      </c>
      <c r="L7174" t="s">
        <v>20</v>
      </c>
      <c r="M7174" t="s">
        <v>13338</v>
      </c>
      <c r="N7174" t="s">
        <v>14</v>
      </c>
    </row>
    <row r="7175" x14ac:dyDescent="0.25">
      <c r="A7175" t="n">
        <v>25</v>
      </c>
      <c r="B7175" t="s">
        <v>14</v>
      </c>
      <c r="C7175" t="s">
        <v>51</v>
      </c>
      <c r="D7175" s="2" t="s">
        <f>=HYPERLINK("https://main.knesset.gov.il/APPS/legislation/main/bills/2197579", "הצעת חוק זכאות לאבחון לקויות למידה לילדים ממשפחות מעוטות יכולת, התשפ""ג-2022 ")</f>
        <v>14025</v>
      </c>
      <c r="E7175" t="s">
        <v>14025</v>
      </c>
      <c r="F7175" t="s">
        <v>14026</v>
      </c>
      <c r="G7175" t="s">
        <v>14</v>
      </c>
      <c r="H7175">
             </c>
      <c r="I7175" t="s">
        <v>14</v>
      </c>
      <c r="J7175" t="s">
        <v>242</v>
      </c>
      <c r="K7175" t="s">
        <v>14</v>
      </c>
      <c r="L7175" t="s">
        <v>20</v>
      </c>
      <c r="M7175" t="s">
        <v>13338</v>
      </c>
      <c r="N7175" t="s">
        <v>14</v>
      </c>
    </row>
    <row r="7176" x14ac:dyDescent="0.25">
      <c r="A7176" t="n">
        <v>25</v>
      </c>
      <c r="B7176" t="s">
        <v>14</v>
      </c>
      <c r="C7176" t="s">
        <v>51</v>
      </c>
      <c r="D7176" s="2" t="s">
        <f>=HYPERLINK("https://main.knesset.gov.il/APPS/legislation/main/bills/2197254", "הצעת חוק הנגשת שירותי קבלת קהל הניתנים בגופי שלטון לשפות נוספות, התשפ""ג-2022")</f>
        <v>14027</v>
      </c>
      <c r="E7176" t="s">
        <v>14027</v>
      </c>
      <c r="F7176" t="s">
        <v>14028</v>
      </c>
      <c r="G7176" t="s">
        <v>14</v>
      </c>
      <c r="H7176">
             </c>
      <c r="I7176" t="s">
        <v>14</v>
      </c>
      <c r="J7176" t="s">
        <v>242</v>
      </c>
      <c r="K7176" t="s">
        <v>14</v>
      </c>
      <c r="L7176" t="s">
        <v>20</v>
      </c>
      <c r="M7176" t="s">
        <v>13338</v>
      </c>
      <c r="N7176" t="s">
        <v>14</v>
      </c>
    </row>
    <row r="7177" x14ac:dyDescent="0.25">
      <c r="A7177" t="n">
        <v>25</v>
      </c>
      <c r="B7177" t="s">
        <v>14</v>
      </c>
      <c r="C7177" t="s">
        <v>51</v>
      </c>
      <c r="D7177" s="2" t="s">
        <f>=HYPERLINK("https://main.knesset.gov.il/APPS/legislation/main/bills/2196311", "הצעת חוק ביטוח בריאות ממלכתי (תיקון - אשפוז בית), התשפ""ג-2022")</f>
        <v>14029</v>
      </c>
      <c r="E7177" t="s">
        <v>14029</v>
      </c>
      <c r="F7177" t="s">
        <v>14030</v>
      </c>
      <c r="G7177" t="s">
        <v>14</v>
      </c>
      <c r="H7177">
             </c>
      <c r="I7177" t="s">
        <v>14</v>
      </c>
      <c r="J7177" t="s">
        <v>242</v>
      </c>
      <c r="K7177" t="s">
        <v>14</v>
      </c>
      <c r="L7177" t="s">
        <v>20</v>
      </c>
      <c r="M7177" t="s">
        <v>13338</v>
      </c>
      <c r="N7177" t="s">
        <v>14</v>
      </c>
    </row>
    <row r="7178" x14ac:dyDescent="0.25">
      <c r="A7178" t="n">
        <v>25</v>
      </c>
      <c r="B7178" t="s">
        <v>14</v>
      </c>
      <c r="C7178" t="s">
        <v>51</v>
      </c>
      <c r="D7178" s="2" t="s">
        <f>=HYPERLINK("https://main.knesset.gov.il/APPS/legislation/main/bills/2195696", "הצעת חוק חובת פרסום מידע על תלונות הציבור ודוח ביקורת פנימית (תיקוני חקיקה), התשפ""ג-2022")</f>
        <v>14031</v>
      </c>
      <c r="E7178" t="s">
        <v>14031</v>
      </c>
      <c r="F7178" t="s">
        <v>14032</v>
      </c>
      <c r="G7178" t="s">
        <v>14</v>
      </c>
      <c r="H7178">
             </c>
      <c r="I7178" t="s">
        <v>14</v>
      </c>
      <c r="J7178" t="s">
        <v>242</v>
      </c>
      <c r="K7178" t="s">
        <v>14</v>
      </c>
      <c r="L7178" t="s">
        <v>20</v>
      </c>
      <c r="M7178" t="s">
        <v>13338</v>
      </c>
      <c r="N7178" t="s">
        <v>14</v>
      </c>
    </row>
    <row r="7179" x14ac:dyDescent="0.25">
      <c r="A7179" t="n">
        <v>25</v>
      </c>
      <c r="B7179" t="s">
        <v>14</v>
      </c>
      <c r="C7179" t="s">
        <v>51</v>
      </c>
      <c r="D7179" s="2" t="s">
        <f>=HYPERLINK("https://main.knesset.gov.il/APPS/legislation/main/bills/2195956", "הצעת חוק לתיקון פקודת המסים (גבייה) (ביטול החוק), התשפ""ג-2022")</f>
        <v>14033</v>
      </c>
      <c r="E7179" t="s">
        <v>14033</v>
      </c>
      <c r="F7179" t="s">
        <v>14034</v>
      </c>
      <c r="G7179" t="s">
        <v>14</v>
      </c>
      <c r="H7179">
             </c>
      <c r="I7179" t="s">
        <v>14</v>
      </c>
      <c r="J7179" t="s">
        <v>242</v>
      </c>
      <c r="K7179" t="s">
        <v>14</v>
      </c>
      <c r="L7179" t="s">
        <v>20</v>
      </c>
      <c r="M7179" t="s">
        <v>13338</v>
      </c>
      <c r="N7179" t="s">
        <v>14</v>
      </c>
    </row>
    <row r="7180" x14ac:dyDescent="0.25">
      <c r="A7180" t="n">
        <v>25</v>
      </c>
      <c r="B7180" t="s">
        <v>14</v>
      </c>
      <c r="C7180" t="s">
        <v>51</v>
      </c>
      <c r="D7180" s="2" t="s">
        <f>=HYPERLINK("https://main.knesset.gov.il/APPS/legislation/main/bills/2196631", "הצעת חוק העבירות המינהליות (תיקון - ביטול קנסות תכנון ובנייה), התשפ""ג-2022")</f>
        <v>13193</v>
      </c>
      <c r="E7180" t="s">
        <v>13193</v>
      </c>
      <c r="F7180" t="s">
        <v>14035</v>
      </c>
      <c r="G7180" t="s">
        <v>14</v>
      </c>
      <c r="H7180">
             </c>
      <c r="I7180" t="s">
        <v>14</v>
      </c>
      <c r="J7180" t="s">
        <v>242</v>
      </c>
      <c r="K7180" t="s">
        <v>14</v>
      </c>
      <c r="L7180" t="s">
        <v>20</v>
      </c>
      <c r="M7180" t="s">
        <v>13338</v>
      </c>
      <c r="N7180" t="s">
        <v>14</v>
      </c>
    </row>
    <row r="7181" x14ac:dyDescent="0.25">
      <c r="A7181" t="n">
        <v>25</v>
      </c>
      <c r="B7181" t="s">
        <v>14</v>
      </c>
      <c r="C7181" t="s">
        <v>51</v>
      </c>
      <c r="D7181" s="2" t="s">
        <f>=HYPERLINK("https://main.knesset.gov.il/APPS/legislation/main/bills/2195689", "הצעת חוק לתיקון פקודת המשטרה (הפגנה ליד בתי מגורים), התשפ""ג-2022")</f>
        <v>14036</v>
      </c>
      <c r="E7181" t="s">
        <v>14036</v>
      </c>
      <c r="F7181" t="s">
        <v>14037</v>
      </c>
      <c r="G7181" t="s">
        <v>14</v>
      </c>
      <c r="H7181">
             </c>
      <c r="I7181" t="s">
        <v>14</v>
      </c>
      <c r="J7181" t="s">
        <v>242</v>
      </c>
      <c r="K7181" t="s">
        <v>14</v>
      </c>
      <c r="L7181" t="s">
        <v>20</v>
      </c>
      <c r="M7181" t="s">
        <v>13338</v>
      </c>
      <c r="N7181" t="s">
        <v>14</v>
      </c>
    </row>
    <row r="7182" x14ac:dyDescent="0.25">
      <c r="A7182" t="n">
        <v>25</v>
      </c>
      <c r="B7182" t="s">
        <v>14</v>
      </c>
      <c r="C7182" t="s">
        <v>51</v>
      </c>
      <c r="D7182" s="2" t="s">
        <f>=HYPERLINK("https://main.knesset.gov.il/APPS/legislation/main/bills/2196380", "הצעת חוק הספורט (תיקון - זכויות ספורטאי קטין), התשפ""ג-2022")</f>
        <v>14038</v>
      </c>
      <c r="E7182" t="s">
        <v>14038</v>
      </c>
      <c r="F7182" t="s">
        <v>14039</v>
      </c>
      <c r="G7182" t="s">
        <v>14</v>
      </c>
      <c r="H7182">
             </c>
      <c r="I7182" t="s">
        <v>14</v>
      </c>
      <c r="J7182" t="s">
        <v>242</v>
      </c>
      <c r="K7182" t="s">
        <v>14</v>
      </c>
      <c r="L7182" t="s">
        <v>20</v>
      </c>
      <c r="M7182" t="s">
        <v>13338</v>
      </c>
      <c r="N7182" t="s">
        <v>14</v>
      </c>
    </row>
    <row r="7183" x14ac:dyDescent="0.25">
      <c r="A7183" t="n">
        <v>25</v>
      </c>
      <c r="B7183" t="s">
        <v>14</v>
      </c>
      <c r="C7183" t="s">
        <v>51</v>
      </c>
      <c r="D7183" s="2" t="s">
        <f>=HYPERLINK("https://main.knesset.gov.il/APPS/legislation/main/bills/2195974", "הצעת חוק הסדרת הטיפול בחופי הכנרת (תיקון - מועצת איגוד ערים כנרת), התשפ""ג-2022")</f>
        <v>14040</v>
      </c>
      <c r="E7183" t="s">
        <v>14040</v>
      </c>
      <c r="F7183" t="s">
        <v>14041</v>
      </c>
      <c r="G7183" t="s">
        <v>14</v>
      </c>
      <c r="H7183">
             </c>
      <c r="I7183" t="s">
        <v>14</v>
      </c>
      <c r="J7183" t="s">
        <v>242</v>
      </c>
      <c r="K7183" t="s">
        <v>14</v>
      </c>
      <c r="L7183" t="s">
        <v>20</v>
      </c>
      <c r="M7183" t="s">
        <v>13338</v>
      </c>
      <c r="N7183" t="s">
        <v>14</v>
      </c>
    </row>
    <row r="7184" x14ac:dyDescent="0.25">
      <c r="A7184" t="n">
        <v>25</v>
      </c>
      <c r="B7184" t="s">
        <v>14</v>
      </c>
      <c r="C7184" t="s">
        <v>51</v>
      </c>
      <c r="D7184" s="2" t="s">
        <f>=HYPERLINK("https://main.knesset.gov.il/APPS/legislation/main/bills/2197608", "הצעת חוק להגדלת שיעור ההשתתפות בכוח העבודה ולצמצום פערים חברתיים (מענק עבודה) (תיקון - אוטומציה בקבלת מענק העבודה), התשפ""ג-2022")</f>
        <v>14042</v>
      </c>
      <c r="E7184" t="s">
        <v>14042</v>
      </c>
      <c r="F7184" t="s">
        <v>14043</v>
      </c>
      <c r="G7184" t="s">
        <v>14</v>
      </c>
      <c r="H7184">
             </c>
      <c r="I7184" t="s">
        <v>14</v>
      </c>
      <c r="J7184" t="s">
        <v>242</v>
      </c>
      <c r="K7184" t="s">
        <v>14</v>
      </c>
      <c r="L7184" t="s">
        <v>20</v>
      </c>
      <c r="M7184" t="s">
        <v>13338</v>
      </c>
      <c r="N7184" t="s">
        <v>14</v>
      </c>
    </row>
    <row r="7185" x14ac:dyDescent="0.25">
      <c r="A7185" t="n">
        <v>25</v>
      </c>
      <c r="B7185" t="s">
        <v>14</v>
      </c>
      <c r="C7185" t="s">
        <v>51</v>
      </c>
      <c r="D7185" s="2" t="s">
        <f>=HYPERLINK("https://main.knesset.gov.il/APPS/legislation/main/bills/2197280", "הצעת חוק התקשורת (בזק ושידורים) (תיקון - חובת מסירת פרטים של שולח פרסומת בניגוד לחוק), התשפ""ג-2022")</f>
        <v>14044</v>
      </c>
      <c r="E7185" t="s">
        <v>14044</v>
      </c>
      <c r="F7185" t="s">
        <v>14045</v>
      </c>
      <c r="G7185" t="s">
        <v>14</v>
      </c>
      <c r="H7185">
             </c>
      <c r="I7185" t="s">
        <v>14</v>
      </c>
      <c r="J7185" t="s">
        <v>242</v>
      </c>
      <c r="K7185" t="s">
        <v>14</v>
      </c>
      <c r="L7185" t="s">
        <v>20</v>
      </c>
      <c r="M7185" t="s">
        <v>13338</v>
      </c>
      <c r="N7185" t="s">
        <v>14</v>
      </c>
    </row>
    <row r="7186" x14ac:dyDescent="0.25">
      <c r="A7186" t="n">
        <v>25</v>
      </c>
      <c r="B7186" t="s">
        <v>14</v>
      </c>
      <c r="C7186" t="s">
        <v>51</v>
      </c>
      <c r="D7186" s="2" t="s">
        <f>=HYPERLINK("https://main.knesset.gov.il/APPS/legislation/main/bills/2196845", "הצעת חוק הדואר (תיקון - אחריות לאיחורים וטעויות), התשפ""ג-2022")</f>
        <v>14046</v>
      </c>
      <c r="E7186" t="s">
        <v>14046</v>
      </c>
      <c r="F7186" t="s">
        <v>14047</v>
      </c>
      <c r="G7186" t="s">
        <v>14</v>
      </c>
      <c r="H7186">
             </c>
      <c r="I7186" t="s">
        <v>14</v>
      </c>
      <c r="J7186" t="s">
        <v>242</v>
      </c>
      <c r="K7186" t="s">
        <v>14</v>
      </c>
      <c r="L7186" t="s">
        <v>20</v>
      </c>
      <c r="M7186" t="s">
        <v>13338</v>
      </c>
      <c r="N7186" t="s">
        <v>14</v>
      </c>
    </row>
    <row r="7187" x14ac:dyDescent="0.25">
      <c r="A7187" t="n">
        <v>25</v>
      </c>
      <c r="B7187" t="s">
        <v>14</v>
      </c>
      <c r="C7187" t="s">
        <v>51</v>
      </c>
      <c r="D7187" s="2" t="s">
        <f>=HYPERLINK("https://main.knesset.gov.il/APPS/legislation/main/bills/2195923", "הצעת חוק לתיקון פקודת מס הכנסה (השוואת תנאים בין שכיר לעצמאי בחיסכון ארוך טווח), התשפ""ג-2022")</f>
        <v>14048</v>
      </c>
      <c r="E7187" t="s">
        <v>14048</v>
      </c>
      <c r="F7187" t="s">
        <v>14049</v>
      </c>
      <c r="G7187" t="s">
        <v>14</v>
      </c>
      <c r="H7187">
             </c>
      <c r="I7187" t="s">
        <v>14</v>
      </c>
      <c r="J7187" t="s">
        <v>242</v>
      </c>
      <c r="K7187" t="s">
        <v>14</v>
      </c>
      <c r="L7187" t="s">
        <v>20</v>
      </c>
      <c r="M7187" t="s">
        <v>13338</v>
      </c>
      <c r="N7187" t="s">
        <v>14</v>
      </c>
    </row>
    <row r="7188" x14ac:dyDescent="0.25">
      <c r="A7188" t="n">
        <v>25</v>
      </c>
      <c r="B7188" t="s">
        <v>14</v>
      </c>
      <c r="C7188" t="s">
        <v>51</v>
      </c>
      <c r="D7188" s="2" t="s">
        <f>=HYPERLINK("https://main.knesset.gov.il/APPS/legislation/main/bills/2197621", "הצעת חוק המועצה להשכלה גבוהה (תיקון - הפחתת תקצוב בשל אי-הנפת דגל המדינה), התשפ""ג-2022")</f>
        <v>14050</v>
      </c>
      <c r="E7188" t="s">
        <v>14050</v>
      </c>
      <c r="F7188" t="s">
        <v>14051</v>
      </c>
      <c r="G7188" t="s">
        <v>14</v>
      </c>
      <c r="H7188">
             </c>
      <c r="I7188" t="s">
        <v>14</v>
      </c>
      <c r="J7188" t="s">
        <v>242</v>
      </c>
      <c r="K7188" t="s">
        <v>14</v>
      </c>
      <c r="L7188" t="s">
        <v>20</v>
      </c>
      <c r="M7188" t="s">
        <v>13338</v>
      </c>
      <c r="N7188" t="s">
        <v>14</v>
      </c>
    </row>
    <row r="7189" x14ac:dyDescent="0.25">
      <c r="A7189" t="n">
        <v>25</v>
      </c>
      <c r="B7189" t="s">
        <v>14</v>
      </c>
      <c r="C7189" t="s">
        <v>51</v>
      </c>
      <c r="D7189" s="2" t="s">
        <f>=HYPERLINK("https://main.knesset.gov.il/APPS/legislation/main/bills/2196796", "הצעת חוק הבלו על דלק (תיקון - הגבלת שיעור המס על הדלק), התשפ""ג-2022")</f>
        <v>14052</v>
      </c>
      <c r="E7189" t="s">
        <v>14052</v>
      </c>
      <c r="F7189" t="s">
        <v>14053</v>
      </c>
      <c r="G7189" t="s">
        <v>14</v>
      </c>
      <c r="H7189">
             </c>
      <c r="I7189" t="s">
        <v>14</v>
      </c>
      <c r="J7189" t="s">
        <v>242</v>
      </c>
      <c r="K7189" t="s">
        <v>14</v>
      </c>
      <c r="L7189" t="s">
        <v>20</v>
      </c>
      <c r="M7189" t="s">
        <v>13338</v>
      </c>
      <c r="N7189" t="s">
        <v>14</v>
      </c>
    </row>
    <row r="7190" x14ac:dyDescent="0.25">
      <c r="A7190" t="n">
        <v>25</v>
      </c>
      <c r="B7190" t="s">
        <v>14</v>
      </c>
      <c r="C7190" t="s">
        <v>51</v>
      </c>
      <c r="D7190" s="2" t="s">
        <f>=HYPERLINK("https://main.knesset.gov.il/APPS/legislation/main/bills/2196839", "הצעת חוק לתיקון פקודת הבנקאות (הגבלת עמלת פירעון מוקדם של הלוואה לדיור), התשפ""ג-2022")</f>
        <v>14054</v>
      </c>
      <c r="E7190" t="s">
        <v>14054</v>
      </c>
      <c r="F7190" t="s">
        <v>14055</v>
      </c>
      <c r="G7190" t="s">
        <v>14</v>
      </c>
      <c r="H7190">
             </c>
      <c r="I7190" t="s">
        <v>14</v>
      </c>
      <c r="J7190" t="s">
        <v>242</v>
      </c>
      <c r="K7190" t="s">
        <v>14</v>
      </c>
      <c r="L7190" t="s">
        <v>20</v>
      </c>
      <c r="M7190" t="s">
        <v>13338</v>
      </c>
      <c r="N7190" t="s">
        <v>14</v>
      </c>
    </row>
    <row r="7191" x14ac:dyDescent="0.25">
      <c r="A7191" t="n">
        <v>25</v>
      </c>
      <c r="B7191" t="s">
        <v>14</v>
      </c>
      <c r="C7191" t="s">
        <v>51</v>
      </c>
      <c r="D7191" s="2" t="s">
        <f>=HYPERLINK("https://main.knesset.gov.il/APPS/legislation/main/bills/2197606", "הצעת חוק לתיקון פקודת מס הכנסה (מיסוי הכנסה מהשכרת דירה למגורים), התשפ""ג-2022")</f>
        <v>14056</v>
      </c>
      <c r="E7191" t="s">
        <v>14056</v>
      </c>
      <c r="F7191" t="s">
        <v>14057</v>
      </c>
      <c r="G7191" t="s">
        <v>14</v>
      </c>
      <c r="H7191">
             </c>
      <c r="I7191" t="s">
        <v>14</v>
      </c>
      <c r="J7191" t="s">
        <v>242</v>
      </c>
      <c r="K7191" t="s">
        <v>14</v>
      </c>
      <c r="L7191" t="s">
        <v>20</v>
      </c>
      <c r="M7191" t="s">
        <v>13338</v>
      </c>
      <c r="N7191" t="s">
        <v>14</v>
      </c>
    </row>
    <row r="7192" x14ac:dyDescent="0.25">
      <c r="A7192" t="n">
        <v>25</v>
      </c>
      <c r="B7192" t="s">
        <v>14</v>
      </c>
      <c r="C7192" t="s">
        <v>51</v>
      </c>
      <c r="D7192" s="2" t="s">
        <f>=HYPERLINK("https://main.knesset.gov.il/APPS/legislation/main/bills/2196832", "הצעת חוק לתיקון פקודת התעבורה (פטור מאגרת רישיון לרכב חשמלי), התשפ""ג-2022")</f>
        <v>14058</v>
      </c>
      <c r="E7192" t="s">
        <v>14058</v>
      </c>
      <c r="F7192" t="s">
        <v>14059</v>
      </c>
      <c r="G7192" t="s">
        <v>14</v>
      </c>
      <c r="H7192">
             </c>
      <c r="I7192" t="s">
        <v>14</v>
      </c>
      <c r="J7192" t="s">
        <v>242</v>
      </c>
      <c r="K7192" t="s">
        <v>14</v>
      </c>
      <c r="L7192" t="s">
        <v>20</v>
      </c>
      <c r="M7192" t="s">
        <v>13338</v>
      </c>
      <c r="N7192" t="s">
        <v>14</v>
      </c>
    </row>
    <row r="7193" x14ac:dyDescent="0.25">
      <c r="A7193" t="n">
        <v>25</v>
      </c>
      <c r="B7193" t="s">
        <v>14</v>
      </c>
      <c r="C7193" t="s">
        <v>51</v>
      </c>
      <c r="D7193" s="2" t="s">
        <f>=HYPERLINK("https://main.knesset.gov.il/APPS/legislation/main/bills/2197429", "הצעת חוק לתיקון פקודת סדרי השלטון והמשפט (חקיקה באזור באמצעות צו), התשפ""ג-2022")</f>
        <v>14060</v>
      </c>
      <c r="E7193" t="s">
        <v>14060</v>
      </c>
      <c r="F7193" t="s">
        <v>14061</v>
      </c>
      <c r="G7193" t="s">
        <v>14</v>
      </c>
      <c r="H7193">
             </c>
      <c r="I7193" t="s">
        <v>14</v>
      </c>
      <c r="J7193" t="s">
        <v>242</v>
      </c>
      <c r="K7193" t="s">
        <v>14</v>
      </c>
      <c r="L7193" t="s">
        <v>20</v>
      </c>
      <c r="M7193" t="s">
        <v>13338</v>
      </c>
      <c r="N7193" t="s">
        <v>14</v>
      </c>
    </row>
    <row r="7194" x14ac:dyDescent="0.25">
      <c r="A7194" t="n">
        <v>25</v>
      </c>
      <c r="B7194" t="s">
        <v>14</v>
      </c>
      <c r="C7194" t="s">
        <v>51</v>
      </c>
      <c r="D7194" s="2" t="s">
        <f>=HYPERLINK("https://main.knesset.gov.il/APPS/legislation/main/bills/2197541", "הצעת חוק הפיקוח על שירותים פיננסיים (ייעוץ, שיווק ומערכת סליקה פנסיוניים) (תיקון - הגבלת עמלת הפצה), התשפ""ג-2022")</f>
        <v>14062</v>
      </c>
      <c r="E7194" t="s">
        <v>14062</v>
      </c>
      <c r="F7194" t="s">
        <v>14063</v>
      </c>
      <c r="G7194" t="s">
        <v>14</v>
      </c>
      <c r="H7194">
             </c>
      <c r="I7194" t="s">
        <v>14</v>
      </c>
      <c r="J7194" t="s">
        <v>242</v>
      </c>
      <c r="K7194" t="s">
        <v>14</v>
      </c>
      <c r="L7194" t="s">
        <v>20</v>
      </c>
      <c r="M7194" t="s">
        <v>13338</v>
      </c>
      <c r="N7194" t="s">
        <v>14</v>
      </c>
    </row>
    <row r="7195" x14ac:dyDescent="0.25">
      <c r="A7195" t="n">
        <v>25</v>
      </c>
      <c r="B7195" t="s">
        <v>14</v>
      </c>
      <c r="C7195" t="s">
        <v>51</v>
      </c>
      <c r="D7195" s="2" t="s">
        <f>=HYPERLINK("https://main.knesset.gov.il/APPS/legislation/main/bills/2196603", "הצעת חוק המועצה להשכלה גבוהה (תיקון - ביטול דרישת מבחני כניסה וציון פסיכומטרי), התשפ""ג-2022")</f>
        <v>14064</v>
      </c>
      <c r="E7195" t="s">
        <v>14064</v>
      </c>
      <c r="F7195" t="s">
        <v>14065</v>
      </c>
      <c r="G7195" t="s">
        <v>14</v>
      </c>
      <c r="H7195">
             </c>
      <c r="I7195" t="s">
        <v>14</v>
      </c>
      <c r="J7195" t="s">
        <v>242</v>
      </c>
      <c r="K7195" t="s">
        <v>14</v>
      </c>
      <c r="L7195" t="s">
        <v>20</v>
      </c>
      <c r="M7195" t="s">
        <v>13338</v>
      </c>
      <c r="N7195" t="s">
        <v>14</v>
      </c>
    </row>
    <row r="7196" x14ac:dyDescent="0.25">
      <c r="A7196" t="n">
        <v>25</v>
      </c>
      <c r="B7196" t="s">
        <v>14</v>
      </c>
      <c r="C7196" t="s">
        <v>51</v>
      </c>
      <c r="D7196" s="2" t="s">
        <f>=HYPERLINK("https://main.knesset.gov.il/APPS/legislation/main/bills/2195708", "הצעת חוק מיסוי מקרקעין (שבח ורכישה) (תיקון - הרחבת פטור לדירת מגורים מזכה), התשפ""ג-2022")</f>
        <v>14066</v>
      </c>
      <c r="E7196" t="s">
        <v>14066</v>
      </c>
      <c r="F7196" t="s">
        <v>14067</v>
      </c>
      <c r="G7196" t="s">
        <v>14</v>
      </c>
      <c r="H7196">
             </c>
      <c r="I7196" t="s">
        <v>14</v>
      </c>
      <c r="J7196" t="s">
        <v>242</v>
      </c>
      <c r="K7196" t="s">
        <v>14</v>
      </c>
      <c r="L7196" t="s">
        <v>20</v>
      </c>
      <c r="M7196" t="s">
        <v>13338</v>
      </c>
      <c r="N7196" t="s">
        <v>14</v>
      </c>
    </row>
    <row r="7197" x14ac:dyDescent="0.25">
      <c r="A7197" t="n">
        <v>25</v>
      </c>
      <c r="B7197" t="s">
        <v>14</v>
      </c>
      <c r="C7197" t="s">
        <v>51</v>
      </c>
      <c r="D7197" s="2" t="s">
        <f>=HYPERLINK("https://main.knesset.gov.il/APPS/legislation/main/bills/2196774", "הצעת חוק נכסי נפקדים (תיקון - ביטול החוק), התשפ""ג-2022")</f>
        <v>14068</v>
      </c>
      <c r="E7197" t="s">
        <v>14068</v>
      </c>
      <c r="F7197" t="s">
        <v>14069</v>
      </c>
      <c r="G7197" t="s">
        <v>14</v>
      </c>
      <c r="H7197">
             </c>
      <c r="I7197" t="s">
        <v>14</v>
      </c>
      <c r="J7197" t="s">
        <v>242</v>
      </c>
      <c r="K7197" t="s">
        <v>14</v>
      </c>
      <c r="L7197" t="s">
        <v>20</v>
      </c>
      <c r="M7197" t="s">
        <v>13338</v>
      </c>
      <c r="N7197" t="s">
        <v>14</v>
      </c>
    </row>
    <row r="7198" x14ac:dyDescent="0.25">
      <c r="A7198" t="n">
        <v>25</v>
      </c>
      <c r="B7198" t="s">
        <v>14</v>
      </c>
      <c r="C7198" t="s">
        <v>51</v>
      </c>
      <c r="D7198" s="2" t="s">
        <f>=HYPERLINK("https://main.knesset.gov.il/APPS/legislation/main/bills/2197484", "הצעת חוק המועצה להשכלה גבוהה (תיקון - איסור הגבלת גיל בהרשמה למוסד להשכלה גבוהה), התשפ""ג-2022")</f>
        <v>14070</v>
      </c>
      <c r="E7198" t="s">
        <v>14070</v>
      </c>
      <c r="F7198" t="s">
        <v>14071</v>
      </c>
      <c r="G7198" t="s">
        <v>14</v>
      </c>
      <c r="H7198">
             </c>
      <c r="I7198" t="s">
        <v>14</v>
      </c>
      <c r="J7198" t="s">
        <v>242</v>
      </c>
      <c r="K7198" t="s">
        <v>14</v>
      </c>
      <c r="L7198" t="s">
        <v>20</v>
      </c>
      <c r="M7198" t="s">
        <v>13338</v>
      </c>
      <c r="N7198" t="s">
        <v>14</v>
      </c>
    </row>
    <row r="7199" x14ac:dyDescent="0.25">
      <c r="A7199" t="n">
        <v>25</v>
      </c>
      <c r="B7199" t="s">
        <v>14</v>
      </c>
      <c r="C7199" t="s">
        <v>51</v>
      </c>
      <c r="D7199" s="2" t="s">
        <f>=HYPERLINK("https://main.knesset.gov.il/APPS/legislation/main/bills/2197485", "הצעת חוק האזרחות והכניסה לישראל (הוראת שעה) (תיקון - ביטול החוק), התשפ""ג-2022")</f>
        <v>14072</v>
      </c>
      <c r="E7199" t="s">
        <v>14072</v>
      </c>
      <c r="F7199" t="s">
        <v>14073</v>
      </c>
      <c r="G7199" t="s">
        <v>14</v>
      </c>
      <c r="H7199">
             </c>
      <c r="I7199" t="s">
        <v>14</v>
      </c>
      <c r="J7199" t="s">
        <v>242</v>
      </c>
      <c r="K7199" t="s">
        <v>14</v>
      </c>
      <c r="L7199" t="s">
        <v>20</v>
      </c>
      <c r="M7199" t="s">
        <v>13338</v>
      </c>
      <c r="N7199" t="s">
        <v>14</v>
      </c>
    </row>
    <row r="7200" x14ac:dyDescent="0.25">
      <c r="A7200" t="n">
        <v>25</v>
      </c>
      <c r="B7200" t="s">
        <v>14</v>
      </c>
      <c r="C7200" t="s">
        <v>51</v>
      </c>
      <c r="D7200" s="2" t="s">
        <f>=HYPERLINK("https://main.knesset.gov.il/APPS/legislation/main/bills/2197592", "הצעת חוק המוסיקה הישראלית, התשפ""ג-2022")</f>
        <v>14074</v>
      </c>
      <c r="E7200" t="s">
        <v>14074</v>
      </c>
      <c r="F7200" t="s">
        <v>14075</v>
      </c>
      <c r="G7200" t="s">
        <v>14</v>
      </c>
      <c r="H7200">
             </c>
      <c r="I7200" t="s">
        <v>14</v>
      </c>
      <c r="J7200" t="s">
        <v>242</v>
      </c>
      <c r="K7200" t="s">
        <v>14</v>
      </c>
      <c r="L7200" t="s">
        <v>20</v>
      </c>
      <c r="M7200" t="s">
        <v>13338</v>
      </c>
      <c r="N7200" t="s">
        <v>14</v>
      </c>
    </row>
    <row r="7201" x14ac:dyDescent="0.25">
      <c r="A7201" t="n">
        <v>25</v>
      </c>
      <c r="B7201" t="s">
        <v>14</v>
      </c>
      <c r="C7201" t="s">
        <v>51</v>
      </c>
      <c r="D7201" s="2" t="s">
        <f>=HYPERLINK("https://main.knesset.gov.il/APPS/legislation/main/bills/2197277", "הצעת חוק כרטיסי חיוב (תיקון - חובת פרסום פרטי ספק), התשפ""ג-2022")</f>
        <v>14076</v>
      </c>
      <c r="E7201" t="s">
        <v>14076</v>
      </c>
      <c r="F7201" t="s">
        <v>14077</v>
      </c>
      <c r="G7201" t="s">
        <v>14</v>
      </c>
      <c r="H7201">
             </c>
      <c r="I7201" t="s">
        <v>14</v>
      </c>
      <c r="J7201" t="s">
        <v>242</v>
      </c>
      <c r="K7201" t="s">
        <v>14</v>
      </c>
      <c r="L7201" t="s">
        <v>20</v>
      </c>
      <c r="M7201" t="s">
        <v>13338</v>
      </c>
      <c r="N7201" t="s">
        <v>14</v>
      </c>
    </row>
    <row r="7202" x14ac:dyDescent="0.25">
      <c r="A7202" t="n">
        <v>25</v>
      </c>
      <c r="B7202" t="s">
        <v>14</v>
      </c>
      <c r="C7202" t="s">
        <v>51</v>
      </c>
      <c r="D7202" s="2" t="s">
        <f>=HYPERLINK("https://main.knesset.gov.il/APPS/legislation/main/bills/2197310", "הצעת חוק שירות ביטחון (תיקון - פטור מטעמי מצפון), התשפ""ג-2022")</f>
        <v>14078</v>
      </c>
      <c r="E7202" t="s">
        <v>14078</v>
      </c>
      <c r="F7202" t="s">
        <v>14079</v>
      </c>
      <c r="G7202" t="s">
        <v>14</v>
      </c>
      <c r="H7202">
             </c>
      <c r="I7202" t="s">
        <v>14</v>
      </c>
      <c r="J7202" t="s">
        <v>242</v>
      </c>
      <c r="K7202" t="s">
        <v>14</v>
      </c>
      <c r="L7202" t="s">
        <v>20</v>
      </c>
      <c r="M7202" t="s">
        <v>13338</v>
      </c>
      <c r="N7202" t="s">
        <v>14</v>
      </c>
    </row>
    <row r="7203" x14ac:dyDescent="0.25">
      <c r="A7203" t="n">
        <v>25</v>
      </c>
      <c r="B7203" t="s">
        <v>14</v>
      </c>
      <c r="C7203" t="s">
        <v>51</v>
      </c>
      <c r="D7203" s="2" t="s">
        <f>=HYPERLINK("https://main.knesset.gov.il/APPS/legislation/main/bills/2196895", "הצעת חוק הכרה ברצח העם הארמני וציון יום זיכרון, התשפ""ג-2022")</f>
        <v>14080</v>
      </c>
      <c r="E7203" t="s">
        <v>14080</v>
      </c>
      <c r="F7203" t="s">
        <v>14081</v>
      </c>
      <c r="G7203" t="s">
        <v>14</v>
      </c>
      <c r="H7203">
             </c>
      <c r="I7203" t="s">
        <v>14</v>
      </c>
      <c r="J7203" t="s">
        <v>242</v>
      </c>
      <c r="K7203" t="s">
        <v>14</v>
      </c>
      <c r="L7203" t="s">
        <v>20</v>
      </c>
      <c r="M7203" t="s">
        <v>13338</v>
      </c>
      <c r="N7203" t="s">
        <v>14</v>
      </c>
    </row>
    <row r="7204" x14ac:dyDescent="0.25">
      <c r="A7204" t="n">
        <v>25</v>
      </c>
      <c r="B7204" t="s">
        <v>14</v>
      </c>
      <c r="C7204" t="s">
        <v>51</v>
      </c>
      <c r="D7204" s="2" t="s">
        <f>=HYPERLINK("https://main.knesset.gov.il/APPS/legislation/main/bills/2197075", "הצעת חוק לתיקון פקודת הבנקאות (הסכם הלוואה לדיור ללא עמלת היוון בשל פירעון מוקדם), התשפ""ג-2022")</f>
        <v>14082</v>
      </c>
      <c r="E7204" t="s">
        <v>14082</v>
      </c>
      <c r="F7204" t="s">
        <v>14083</v>
      </c>
      <c r="G7204" t="s">
        <v>14</v>
      </c>
      <c r="H7204">
             </c>
      <c r="I7204" t="s">
        <v>14</v>
      </c>
      <c r="J7204" t="s">
        <v>242</v>
      </c>
      <c r="K7204" t="s">
        <v>14</v>
      </c>
      <c r="L7204" t="s">
        <v>20</v>
      </c>
      <c r="M7204" t="s">
        <v>13338</v>
      </c>
      <c r="N7204" t="s">
        <v>14</v>
      </c>
    </row>
    <row r="7205" x14ac:dyDescent="0.25">
      <c r="A7205" t="n">
        <v>25</v>
      </c>
      <c r="B7205" t="s">
        <v>14</v>
      </c>
      <c r="C7205" t="s">
        <v>51</v>
      </c>
      <c r="D7205" s="2" t="s">
        <f>=HYPERLINK("https://main.knesset.gov.il/APPS/legislation/main/bills/2196930", "הצעת חוק שירות ביטחון (תיקון - פטור מטעמי מצפון), התשפ""ג-2022")</f>
        <v>14078</v>
      </c>
      <c r="E7205" t="s">
        <v>14078</v>
      </c>
      <c r="F7205" t="s">
        <v>14084</v>
      </c>
      <c r="G7205" t="s">
        <v>14</v>
      </c>
      <c r="H7205">
             </c>
      <c r="I7205" t="s">
        <v>14</v>
      </c>
      <c r="J7205" t="s">
        <v>242</v>
      </c>
      <c r="K7205" t="s">
        <v>14</v>
      </c>
      <c r="L7205" t="s">
        <v>20</v>
      </c>
      <c r="M7205" t="s">
        <v>13338</v>
      </c>
      <c r="N7205" t="s">
        <v>14</v>
      </c>
    </row>
    <row r="7206" x14ac:dyDescent="0.25">
      <c r="A7206" t="n">
        <v>25</v>
      </c>
      <c r="B7206" t="s">
        <v>14</v>
      </c>
      <c r="C7206" t="s">
        <v>51</v>
      </c>
      <c r="D7206" s="2" t="s">
        <f>=HYPERLINK("https://main.knesset.gov.il/APPS/legislation/main/bills/2196726", "הצעת חוק להסדרת רעיית דבורים וייצור דבש, התשפ""ג-2022")</f>
        <v>14085</v>
      </c>
      <c r="E7206" t="s">
        <v>14085</v>
      </c>
      <c r="F7206" t="s">
        <v>14086</v>
      </c>
      <c r="G7206" t="s">
        <v>14</v>
      </c>
      <c r="H7206">
             </c>
      <c r="I7206" t="s">
        <v>14</v>
      </c>
      <c r="J7206" t="s">
        <v>242</v>
      </c>
      <c r="K7206" t="s">
        <v>14</v>
      </c>
      <c r="L7206" t="s">
        <v>20</v>
      </c>
      <c r="M7206" t="s">
        <v>13338</v>
      </c>
      <c r="N7206" t="s">
        <v>14</v>
      </c>
    </row>
    <row r="7207" x14ac:dyDescent="0.25">
      <c r="A7207" t="n">
        <v>25</v>
      </c>
      <c r="B7207" t="s">
        <v>14</v>
      </c>
      <c r="C7207" t="s">
        <v>51</v>
      </c>
      <c r="D7207" s="2" t="s">
        <f>=HYPERLINK("https://main.knesset.gov.il/APPS/legislation/main/bills/2196865", "הצעת חוק הכניסה לישראל (תיקון - רישיון מיוחד לישיבת ביקור), התשפ""ג-2022")</f>
        <v>14087</v>
      </c>
      <c r="E7207" t="s">
        <v>14087</v>
      </c>
      <c r="F7207" t="s">
        <v>14088</v>
      </c>
      <c r="G7207" t="s">
        <v>14</v>
      </c>
      <c r="H7207">
             </c>
      <c r="I7207" t="s">
        <v>14</v>
      </c>
      <c r="J7207" t="s">
        <v>242</v>
      </c>
      <c r="K7207" t="s">
        <v>14</v>
      </c>
      <c r="L7207" t="s">
        <v>20</v>
      </c>
      <c r="M7207" t="s">
        <v>13338</v>
      </c>
      <c r="N7207" t="s">
        <v>14</v>
      </c>
    </row>
    <row r="7208" x14ac:dyDescent="0.25">
      <c r="A7208" t="n">
        <v>25</v>
      </c>
      <c r="B7208" t="s">
        <v>14</v>
      </c>
      <c r="C7208" t="s">
        <v>51</v>
      </c>
      <c r="D7208" s="2" t="s">
        <f>=HYPERLINK("https://main.knesset.gov.il/APPS/legislation/main/bills/2196976", "הצעת חוק-יסוד: הממשלה (תיקון - כשירותם של שרים)")</f>
        <v>14089</v>
      </c>
      <c r="E7208" t="s">
        <v>14089</v>
      </c>
      <c r="F7208" t="s">
        <v>14090</v>
      </c>
      <c r="G7208" t="s">
        <v>14</v>
      </c>
      <c r="H7208">
             </c>
      <c r="I7208" t="s">
        <v>14</v>
      </c>
      <c r="J7208" t="s">
        <v>183</v>
      </c>
      <c r="K7208" t="s">
        <v>12771</v>
      </c>
      <c r="L7208" t="s">
        <v>20</v>
      </c>
      <c r="M7208" t="s">
        <v>14091</v>
      </c>
      <c r="N7208" t="s">
        <v>14</v>
      </c>
    </row>
    <row r="7209" x14ac:dyDescent="0.25">
      <c r="A7209" t="n">
        <v>25</v>
      </c>
      <c r="B7209" t="s">
        <v>14</v>
      </c>
      <c r="C7209" t="s">
        <v>15</v>
      </c>
      <c r="D7209" s="2" t="s">
        <f>=HYPERLINK("https://main.knesset.gov.il/APPS/legislation/main/bills/2198283", "הצעת חוק המידע הפלילי ותקנת השבים (תיקון מס' 4), התשפ""ג-2022 ")</f>
        <v>14092</v>
      </c>
      <c r="E7209" t="s">
        <v>14092</v>
      </c>
      <c r="F7209" t="s">
        <v>14</v>
      </c>
      <c r="G7209" t="s">
        <v>14093</v>
      </c>
      <c r="H7209">
             </c>
      <c r="I7209" t="s">
        <v>14</v>
      </c>
      <c r="J7209" t="s">
        <v>162</v>
      </c>
      <c r="K7209" t="s">
        <v>14</v>
      </c>
      <c r="L7209" t="s">
        <v>20</v>
      </c>
      <c r="M7209" t="s">
        <v>14094</v>
      </c>
      <c r="N7209" t="s">
        <v>14</v>
      </c>
    </row>
    <row r="7210" x14ac:dyDescent="0.25">
      <c r="A7210" t="n">
        <v>25</v>
      </c>
      <c r="B7210" t="s">
        <v>14</v>
      </c>
      <c r="C7210" t="s">
        <v>15</v>
      </c>
      <c r="D7210" s="2" t="s">
        <f>=HYPERLINK("https://main.knesset.gov.il/APPS/legislation/main/bills/2198285", "הצעת חוק איסור הלבנת הון (תיקון מס' 33) (העברת מידע מגופים ציבוריים מוסמכים), התשפ""ג-2022 ")</f>
        <v>14095</v>
      </c>
      <c r="E7210" t="s">
        <v>14095</v>
      </c>
      <c r="F7210" t="s">
        <v>14</v>
      </c>
      <c r="G7210" t="s">
        <v>14096</v>
      </c>
      <c r="H7210">
             </c>
      <c r="I7210" t="s">
        <v>14</v>
      </c>
      <c r="J7210" t="s">
        <v>162</v>
      </c>
      <c r="K7210" t="s">
        <v>14</v>
      </c>
      <c r="L7210" t="s">
        <v>20</v>
      </c>
      <c r="M7210" t="s">
        <v>14094</v>
      </c>
      <c r="N7210" t="s">
        <v>14</v>
      </c>
    </row>
    <row r="7211" x14ac:dyDescent="0.25">
      <c r="A7211" t="n">
        <v>25</v>
      </c>
      <c r="B7211" t="s">
        <v>14</v>
      </c>
      <c r="C7211" t="s">
        <v>15</v>
      </c>
      <c r="D7211" s="2" t="s">
        <f>=HYPERLINK("https://main.knesset.gov.il/APPS/legislation/main/bills/2198286", "הצעת חוק קבוצות רכישה, התשפ""ג-2022 ")</f>
        <v>14097</v>
      </c>
      <c r="E7211" t="s">
        <v>14097</v>
      </c>
      <c r="F7211" t="s">
        <v>14</v>
      </c>
      <c r="G7211" t="s">
        <v>14098</v>
      </c>
      <c r="H7211">
             </c>
      <c r="I7211" t="s">
        <v>14</v>
      </c>
      <c r="J7211" t="s">
        <v>162</v>
      </c>
      <c r="K7211" t="s">
        <v>14</v>
      </c>
      <c r="L7211" t="s">
        <v>20</v>
      </c>
      <c r="M7211" t="s">
        <v>14094</v>
      </c>
      <c r="N7211" t="s">
        <v>14</v>
      </c>
    </row>
    <row r="7212" x14ac:dyDescent="0.25">
      <c r="A7212" t="n">
        <v>25</v>
      </c>
      <c r="B7212" t="s">
        <v>14</v>
      </c>
      <c r="C7212" t="s">
        <v>15</v>
      </c>
      <c r="D7212" s="2" t="s">
        <f>=HYPERLINK("https://main.knesset.gov.il/APPS/legislation/main/bills/2198287", "הצעת חוק בתי הדין הדתיים הדרוזיים (תיקון מס' 23), התשפ""ג-2022 ")</f>
        <v>14099</v>
      </c>
      <c r="E7212" t="s">
        <v>14099</v>
      </c>
      <c r="F7212" t="s">
        <v>14</v>
      </c>
      <c r="G7212" t="s">
        <v>14100</v>
      </c>
      <c r="H7212">
             </c>
      <c r="I7212" t="s">
        <v>14</v>
      </c>
      <c r="J7212" t="s">
        <v>162</v>
      </c>
      <c r="K7212" t="s">
        <v>14</v>
      </c>
      <c r="L7212" t="s">
        <v>20</v>
      </c>
      <c r="M7212" t="s">
        <v>14094</v>
      </c>
      <c r="N7212" t="s">
        <v>14</v>
      </c>
    </row>
    <row r="7213" x14ac:dyDescent="0.25">
      <c r="A7213" t="n">
        <v>25</v>
      </c>
      <c r="B7213" t="s">
        <v>14</v>
      </c>
      <c r="C7213" t="s">
        <v>51</v>
      </c>
      <c r="D7213" s="2" t="s">
        <f>=HYPERLINK("https://main.knesset.gov.il/APPS/legislation/main/bills/2196711", "הצעת חוק הבנקאות (שירות ללקוח) (תיקון - הקלת התנאים במתן הלוואה לרכישת דירה), התשפ""ג-2022")</f>
        <v>14101</v>
      </c>
      <c r="E7213" t="s">
        <v>14101</v>
      </c>
      <c r="F7213" t="s">
        <v>14102</v>
      </c>
      <c r="G7213" t="s">
        <v>14</v>
      </c>
      <c r="H7213">
             </c>
      <c r="I7213" t="s">
        <v>14</v>
      </c>
      <c r="J7213" t="s">
        <v>242</v>
      </c>
      <c r="K7213" t="s">
        <v>14</v>
      </c>
      <c r="L7213" t="s">
        <v>20</v>
      </c>
      <c r="M7213" t="s">
        <v>14103</v>
      </c>
      <c r="N7213" t="s">
        <v>14</v>
      </c>
    </row>
    <row r="7214" x14ac:dyDescent="0.25">
      <c r="A7214" t="n">
        <v>25</v>
      </c>
      <c r="B7214" t="s">
        <v>14</v>
      </c>
      <c r="C7214" t="s">
        <v>51</v>
      </c>
      <c r="D7214" s="2" t="s">
        <f>=HYPERLINK("https://main.knesset.gov.il/APPS/legislation/main/bills/2196519", "הצעת חוק הספקת החשמל (הוראת שעה) (תיקון - הארכת תוקף), התשפ""ג-2022")</f>
        <v>14104</v>
      </c>
      <c r="E7214" t="s">
        <v>14104</v>
      </c>
      <c r="F7214" t="s">
        <v>14105</v>
      </c>
      <c r="G7214" t="s">
        <v>14</v>
      </c>
      <c r="H7214">
             </c>
      <c r="I7214" t="s">
        <v>14</v>
      </c>
      <c r="J7214" t="s">
        <v>242</v>
      </c>
      <c r="K7214" t="s">
        <v>14</v>
      </c>
      <c r="L7214" t="s">
        <v>20</v>
      </c>
      <c r="M7214" t="s">
        <v>14103</v>
      </c>
      <c r="N7214" t="s">
        <v>14</v>
      </c>
    </row>
    <row r="7215" x14ac:dyDescent="0.25">
      <c r="A7215" t="n">
        <v>25</v>
      </c>
      <c r="B7215" t="s">
        <v>14</v>
      </c>
      <c r="C7215" t="s">
        <v>51</v>
      </c>
      <c r="D7215" s="2" t="s">
        <f>=HYPERLINK("https://main.knesset.gov.il/APPS/legislation/main/bills/2196854", "הצעת חוק החלת ריבונות ישראל בשטח בקעת הירדן וצפון ים המלח, התשפ""ג-2022")</f>
        <v>14106</v>
      </c>
      <c r="E7215" t="s">
        <v>14106</v>
      </c>
      <c r="F7215" t="s">
        <v>14107</v>
      </c>
      <c r="G7215" t="s">
        <v>14</v>
      </c>
      <c r="H7215">
             </c>
      <c r="I7215" t="s">
        <v>14</v>
      </c>
      <c r="J7215" t="s">
        <v>242</v>
      </c>
      <c r="K7215" t="s">
        <v>14</v>
      </c>
      <c r="L7215" t="s">
        <v>20</v>
      </c>
      <c r="M7215" t="s">
        <v>14103</v>
      </c>
      <c r="N7215" t="s">
        <v>14</v>
      </c>
    </row>
    <row r="7216" x14ac:dyDescent="0.25">
      <c r="A7216" t="n">
        <v>25</v>
      </c>
      <c r="B7216" t="s">
        <v>14</v>
      </c>
      <c r="C7216" t="s">
        <v>51</v>
      </c>
      <c r="D7216" s="2" t="s">
        <f>=HYPERLINK("https://main.knesset.gov.il/APPS/legislation/main/bills/2197245", "הצעת חוק החומרים המסוכנים (תיקון - פרטי התקשרות למרכז רעלים), התשפ""ג-2022 ")</f>
        <v>14108</v>
      </c>
      <c r="E7216" t="s">
        <v>14108</v>
      </c>
      <c r="F7216" t="s">
        <v>14109</v>
      </c>
      <c r="G7216" t="s">
        <v>14</v>
      </c>
      <c r="H7216">
             </c>
      <c r="I7216" t="s">
        <v>14</v>
      </c>
      <c r="J7216" t="s">
        <v>242</v>
      </c>
      <c r="K7216" t="s">
        <v>14</v>
      </c>
      <c r="L7216" t="s">
        <v>20</v>
      </c>
      <c r="M7216" t="s">
        <v>14103</v>
      </c>
      <c r="N7216" t="s">
        <v>14</v>
      </c>
    </row>
    <row r="7217" x14ac:dyDescent="0.25">
      <c r="A7217" t="n">
        <v>25</v>
      </c>
      <c r="B7217" t="s">
        <v>14</v>
      </c>
      <c r="C7217" t="s">
        <v>51</v>
      </c>
      <c r="D7217" s="2" t="s">
        <f>=HYPERLINK("https://main.knesset.gov.il/APPS/legislation/main/bills/2196442", "הצעת חוק רשות שדות התעופה (תיקון - פטור מתשלום אגרה לסטודנטים הלומדים באוניברסיטאות בירדן), התשפ""ג-2022")</f>
        <v>14110</v>
      </c>
      <c r="E7217" t="s">
        <v>14110</v>
      </c>
      <c r="F7217" t="s">
        <v>14111</v>
      </c>
      <c r="G7217" t="s">
        <v>14</v>
      </c>
      <c r="H7217">
             </c>
      <c r="I7217" t="s">
        <v>14</v>
      </c>
      <c r="J7217" t="s">
        <v>242</v>
      </c>
      <c r="K7217" t="s">
        <v>14</v>
      </c>
      <c r="L7217" t="s">
        <v>20</v>
      </c>
      <c r="M7217" t="s">
        <v>14103</v>
      </c>
      <c r="N7217" t="s">
        <v>14</v>
      </c>
    </row>
    <row r="7218" x14ac:dyDescent="0.25">
      <c r="A7218" t="n">
        <v>25</v>
      </c>
      <c r="B7218" t="s">
        <v>14</v>
      </c>
      <c r="C7218" t="s">
        <v>51</v>
      </c>
      <c r="D7218" s="2" t="s">
        <f>=HYPERLINK("https://main.knesset.gov.il/APPS/legislation/main/bills/2196373", "הצעת חוק לתיקון פקודת התעבורה (רישום סוג הדם ברישיון נהיגה), התשפ""ג-2022")</f>
        <v>14112</v>
      </c>
      <c r="E7218" t="s">
        <v>14112</v>
      </c>
      <c r="F7218" t="s">
        <v>14113</v>
      </c>
      <c r="G7218" t="s">
        <v>14</v>
      </c>
      <c r="H7218">
             </c>
      <c r="I7218" t="s">
        <v>14</v>
      </c>
      <c r="J7218" t="s">
        <v>242</v>
      </c>
      <c r="K7218" t="s">
        <v>14</v>
      </c>
      <c r="L7218" t="s">
        <v>20</v>
      </c>
      <c r="M7218" t="s">
        <v>14103</v>
      </c>
      <c r="N7218" t="s">
        <v>14</v>
      </c>
    </row>
    <row r="7219" x14ac:dyDescent="0.25">
      <c r="A7219" t="n">
        <v>25</v>
      </c>
      <c r="B7219" t="s">
        <v>14</v>
      </c>
      <c r="C7219" t="s">
        <v>51</v>
      </c>
      <c r="D7219" s="2" t="s">
        <f>=HYPERLINK("https://main.knesset.gov.il/APPS/legislation/main/bills/2196142", "הצעת חוק הגנת הצרכן (תיקון - צמצום בזבוז מזון שתוקפו עומד לפוג ברשתות הקמעונאות הגדולות), התשפ""ג-2022")</f>
        <v>14114</v>
      </c>
      <c r="E7219" t="s">
        <v>14114</v>
      </c>
      <c r="F7219" t="s">
        <v>14115</v>
      </c>
      <c r="G7219" t="s">
        <v>14</v>
      </c>
      <c r="H7219">
             </c>
      <c r="I7219" t="s">
        <v>14</v>
      </c>
      <c r="J7219" t="s">
        <v>242</v>
      </c>
      <c r="K7219" t="s">
        <v>14</v>
      </c>
      <c r="L7219" t="s">
        <v>20</v>
      </c>
      <c r="M7219" t="s">
        <v>14103</v>
      </c>
      <c r="N7219" t="s">
        <v>14</v>
      </c>
    </row>
    <row r="7220" x14ac:dyDescent="0.25">
      <c r="A7220" t="n">
        <v>25</v>
      </c>
      <c r="B7220" t="s">
        <v>14</v>
      </c>
      <c r="C7220" t="s">
        <v>51</v>
      </c>
      <c r="D7220" s="2" t="s">
        <f>=HYPERLINK("https://main.knesset.gov.il/APPS/legislation/main/bills/2197045", "הצעת חוק ההכרה בענף הפוקר, התשפ""ג-2022")</f>
        <v>14116</v>
      </c>
      <c r="E7220" t="s">
        <v>14116</v>
      </c>
      <c r="F7220" t="s">
        <v>14117</v>
      </c>
      <c r="G7220" t="s">
        <v>14</v>
      </c>
      <c r="H7220">
             </c>
      <c r="I7220" t="s">
        <v>14</v>
      </c>
      <c r="J7220" t="s">
        <v>242</v>
      </c>
      <c r="K7220" t="s">
        <v>14</v>
      </c>
      <c r="L7220" t="s">
        <v>20</v>
      </c>
      <c r="M7220" t="s">
        <v>14103</v>
      </c>
      <c r="N7220" t="s">
        <v>14</v>
      </c>
    </row>
    <row r="7221" x14ac:dyDescent="0.25">
      <c r="A7221" t="n">
        <v>25</v>
      </c>
      <c r="B7221" t="s">
        <v>14</v>
      </c>
      <c r="C7221" t="s">
        <v>51</v>
      </c>
      <c r="D7221" s="2" t="s">
        <f>=HYPERLINK("https://main.knesset.gov.il/APPS/legislation/main/bills/2196595", "הצעת חוק מכר סיטונאי חקלאי, התשפ""ג-2022")</f>
        <v>14118</v>
      </c>
      <c r="E7221" t="s">
        <v>14118</v>
      </c>
      <c r="F7221" t="s">
        <v>14119</v>
      </c>
      <c r="G7221" t="s">
        <v>14</v>
      </c>
      <c r="H7221">
             </c>
      <c r="I7221" t="s">
        <v>14</v>
      </c>
      <c r="J7221" t="s">
        <v>242</v>
      </c>
      <c r="K7221" t="s">
        <v>14</v>
      </c>
      <c r="L7221" t="s">
        <v>20</v>
      </c>
      <c r="M7221" t="s">
        <v>14103</v>
      </c>
      <c r="N7221" t="s">
        <v>14</v>
      </c>
    </row>
    <row r="7222" x14ac:dyDescent="0.25">
      <c r="A7222" t="n">
        <v>25</v>
      </c>
      <c r="B7222" t="s">
        <v>14</v>
      </c>
      <c r="C7222" t="s">
        <v>51</v>
      </c>
      <c r="D7222" s="2" t="s">
        <f>=HYPERLINK("https://main.knesset.gov.il/APPS/legislation/main/bills/2196574", "הצעת חוק ההכרה בענף הפוקר, התשפ""ג-2022")</f>
        <v>14116</v>
      </c>
      <c r="E7222" t="s">
        <v>14116</v>
      </c>
      <c r="F7222" t="s">
        <v>14120</v>
      </c>
      <c r="G7222" t="s">
        <v>14</v>
      </c>
      <c r="H7222">
             </c>
      <c r="I7222" t="s">
        <v>14</v>
      </c>
      <c r="J7222" t="s">
        <v>242</v>
      </c>
      <c r="K7222" t="s">
        <v>14</v>
      </c>
      <c r="L7222" t="s">
        <v>20</v>
      </c>
      <c r="M7222" t="s">
        <v>14103</v>
      </c>
      <c r="N7222" t="s">
        <v>14</v>
      </c>
    </row>
    <row r="7223" x14ac:dyDescent="0.25">
      <c r="A7223" t="n">
        <v>25</v>
      </c>
      <c r="B7223" t="s">
        <v>14</v>
      </c>
      <c r="C7223" t="s">
        <v>51</v>
      </c>
      <c r="D7223" s="2" t="s">
        <f>=HYPERLINK("https://main.knesset.gov.il/APPS/legislation/main/bills/2196364", "הצעת חוק לתיקון פקודת התעבורה (הגבלת סכום אגרת רישיון רכב), התשפ""ג-2022")</f>
        <v>14121</v>
      </c>
      <c r="E7223" t="s">
        <v>14121</v>
      </c>
      <c r="F7223" t="s">
        <v>14122</v>
      </c>
      <c r="G7223" t="s">
        <v>14</v>
      </c>
      <c r="H7223">
             </c>
      <c r="I7223" t="s">
        <v>14</v>
      </c>
      <c r="J7223" t="s">
        <v>242</v>
      </c>
      <c r="K7223" t="s">
        <v>14</v>
      </c>
      <c r="L7223" t="s">
        <v>20</v>
      </c>
      <c r="M7223" t="s">
        <v>14103</v>
      </c>
      <c r="N7223" t="s">
        <v>14</v>
      </c>
    </row>
    <row r="7224" x14ac:dyDescent="0.25">
      <c r="A7224" t="n">
        <v>25</v>
      </c>
      <c r="B7224" t="s">
        <v>14</v>
      </c>
      <c r="C7224" t="s">
        <v>51</v>
      </c>
      <c r="D7224" s="2" t="s">
        <f>=HYPERLINK("https://main.knesset.gov.il/APPS/legislation/main/bills/2195972", "הצעת חוק הגנת הצרכן (תיקון - שובר זיכוי לנוסע ליעד באזהרת מסע חמורה), התשפ""ג-2022")</f>
        <v>14123</v>
      </c>
      <c r="E7224" t="s">
        <v>14123</v>
      </c>
      <c r="F7224" t="s">
        <v>14124</v>
      </c>
      <c r="G7224" t="s">
        <v>14</v>
      </c>
      <c r="H7224">
             </c>
      <c r="I7224" t="s">
        <v>14</v>
      </c>
      <c r="J7224" t="s">
        <v>242</v>
      </c>
      <c r="K7224" t="s">
        <v>14</v>
      </c>
      <c r="L7224" t="s">
        <v>20</v>
      </c>
      <c r="M7224" t="s">
        <v>14103</v>
      </c>
      <c r="N7224" t="s">
        <v>14</v>
      </c>
    </row>
    <row r="7225" x14ac:dyDescent="0.25">
      <c r="A7225" t="n">
        <v>25</v>
      </c>
      <c r="B7225" t="s">
        <v>14</v>
      </c>
      <c r="C7225" t="s">
        <v>51</v>
      </c>
      <c r="D7225" s="2" t="s">
        <f>=HYPERLINK("https://main.knesset.gov.il/APPS/legislation/main/bills/2196508", "הצעת חוק החלת החוק הישראלי בשטח בקעת הירדן (הליך קבלת אזרחות), התשפ""ג-2022")</f>
        <v>14125</v>
      </c>
      <c r="E7225" t="s">
        <v>14125</v>
      </c>
      <c r="F7225" t="s">
        <v>14126</v>
      </c>
      <c r="G7225" t="s">
        <v>14</v>
      </c>
      <c r="H7225">
             </c>
      <c r="I7225" t="s">
        <v>14</v>
      </c>
      <c r="J7225" t="s">
        <v>242</v>
      </c>
      <c r="K7225" t="s">
        <v>14</v>
      </c>
      <c r="L7225" t="s">
        <v>20</v>
      </c>
      <c r="M7225" t="s">
        <v>14103</v>
      </c>
      <c r="N7225" t="s">
        <v>14</v>
      </c>
    </row>
    <row r="7226" x14ac:dyDescent="0.25">
      <c r="A7226" t="n">
        <v>25</v>
      </c>
      <c r="B7226" t="s">
        <v>14</v>
      </c>
      <c r="C7226" t="s">
        <v>51</v>
      </c>
      <c r="D7226" s="2" t="s">
        <f>=HYPERLINK("https://main.knesset.gov.il/APPS/legislation/main/bills/2196327", "הצעת חוק החלת הריבונות הישראלית על בקעת הירדן, התשפ""ג-2022")</f>
        <v>14127</v>
      </c>
      <c r="E7226" t="s">
        <v>14127</v>
      </c>
      <c r="F7226" t="s">
        <v>14128</v>
      </c>
      <c r="G7226" t="s">
        <v>14</v>
      </c>
      <c r="H7226">
             </c>
      <c r="I7226" t="s">
        <v>14</v>
      </c>
      <c r="J7226" t="s">
        <v>242</v>
      </c>
      <c r="K7226" t="s">
        <v>14</v>
      </c>
      <c r="L7226" t="s">
        <v>20</v>
      </c>
      <c r="M7226" t="s">
        <v>14103</v>
      </c>
      <c r="N7226" t="s">
        <v>14</v>
      </c>
    </row>
    <row r="7227" x14ac:dyDescent="0.25">
      <c r="A7227" t="n">
        <v>25</v>
      </c>
      <c r="B7227" t="s">
        <v>14</v>
      </c>
      <c r="C7227" t="s">
        <v>51</v>
      </c>
      <c r="D7227" s="2" t="s">
        <f>=HYPERLINK("https://main.knesset.gov.il/APPS/legislation/main/bills/2195968", "הצעת חוק המים (תיקון - שקיפות פעילות הרשות הממשלתית), התשפ""ג-2022")</f>
        <v>14129</v>
      </c>
      <c r="E7227" t="s">
        <v>14129</v>
      </c>
      <c r="F7227" t="s">
        <v>14130</v>
      </c>
      <c r="G7227" t="s">
        <v>14</v>
      </c>
      <c r="H7227">
             </c>
      <c r="I7227" t="s">
        <v>14</v>
      </c>
      <c r="J7227" t="s">
        <v>242</v>
      </c>
      <c r="K7227" t="s">
        <v>14</v>
      </c>
      <c r="L7227" t="s">
        <v>20</v>
      </c>
      <c r="M7227" t="s">
        <v>14103</v>
      </c>
      <c r="N7227" t="s">
        <v>14</v>
      </c>
    </row>
    <row r="7228" x14ac:dyDescent="0.25">
      <c r="A7228" t="n">
        <v>25</v>
      </c>
      <c r="B7228" t="s">
        <v>14</v>
      </c>
      <c r="C7228" t="s">
        <v>51</v>
      </c>
      <c r="D7228" s="2" t="s">
        <f>=HYPERLINK("https://main.knesset.gov.il/APPS/legislation/main/bills/2197205", "הצעת חוק הדחת נציג ציבור התומך במאבק מזוין נגד מדינת ישראל (תיקוני חקיקה), התשפ""ג-2022")</f>
        <v>14131</v>
      </c>
      <c r="E7228" t="s">
        <v>14131</v>
      </c>
      <c r="F7228" t="s">
        <v>14132</v>
      </c>
      <c r="G7228" t="s">
        <v>14</v>
      </c>
      <c r="H7228">
             </c>
      <c r="I7228" t="s">
        <v>14</v>
      </c>
      <c r="J7228" t="s">
        <v>242</v>
      </c>
      <c r="K7228" t="s">
        <v>14</v>
      </c>
      <c r="L7228" t="s">
        <v>20</v>
      </c>
      <c r="M7228" t="s">
        <v>14103</v>
      </c>
      <c r="N7228" t="s">
        <v>14</v>
      </c>
    </row>
    <row r="7229" x14ac:dyDescent="0.25">
      <c r="A7229" t="n">
        <v>25</v>
      </c>
      <c r="B7229" t="s">
        <v>14</v>
      </c>
      <c r="C7229" t="s">
        <v>51</v>
      </c>
      <c r="D7229" s="2" t="s">
        <f>=HYPERLINK("https://main.knesset.gov.il/APPS/legislation/main/bills/2197643", "הצעת חוק הרשתות החברתיות, התשפ''ג-2022")</f>
        <v>14133</v>
      </c>
      <c r="E7229" t="s">
        <v>14133</v>
      </c>
      <c r="F7229" t="s">
        <v>14134</v>
      </c>
      <c r="G7229" t="s">
        <v>14</v>
      </c>
      <c r="H7229">
             </c>
      <c r="I7229" t="s">
        <v>14</v>
      </c>
      <c r="J7229" t="s">
        <v>242</v>
      </c>
      <c r="K7229" t="s">
        <v>14</v>
      </c>
      <c r="L7229" t="s">
        <v>20</v>
      </c>
      <c r="M7229" t="s">
        <v>14103</v>
      </c>
      <c r="N7229" t="s">
        <v>14</v>
      </c>
    </row>
    <row r="7230" x14ac:dyDescent="0.25">
      <c r="A7230" t="n">
        <v>25</v>
      </c>
      <c r="B7230" t="s">
        <v>14</v>
      </c>
      <c r="C7230" t="s">
        <v>51</v>
      </c>
      <c r="D7230" s="2" t="s">
        <f>=HYPERLINK("https://main.knesset.gov.il/APPS/legislation/main/bills/2196810", "הצעת חוק הדחת נציג ציבור התומך במאבק מזוין נגד מדינת ישראל (תיקוני חקיקה), התשפ""ג-2022")</f>
        <v>14131</v>
      </c>
      <c r="E7230" t="s">
        <v>14131</v>
      </c>
      <c r="F7230" t="s">
        <v>14135</v>
      </c>
      <c r="G7230" t="s">
        <v>14</v>
      </c>
      <c r="H7230">
             </c>
      <c r="I7230" t="s">
        <v>14</v>
      </c>
      <c r="J7230" t="s">
        <v>242</v>
      </c>
      <c r="K7230" t="s">
        <v>14</v>
      </c>
      <c r="L7230" t="s">
        <v>20</v>
      </c>
      <c r="M7230" t="s">
        <v>14103</v>
      </c>
      <c r="N7230" t="s">
        <v>14</v>
      </c>
    </row>
    <row r="7231" x14ac:dyDescent="0.25">
      <c r="A7231" t="n">
        <v>25</v>
      </c>
      <c r="B7231" t="s">
        <v>14</v>
      </c>
      <c r="C7231" t="s">
        <v>51</v>
      </c>
      <c r="D7231" s="2" t="s">
        <f>=HYPERLINK("https://main.knesset.gov.il/APPS/legislation/main/bills/2197551", "הצעת חוק הנגשת מוצרי מחזור בגופים ציבוריים, התשפ""ג-2022")</f>
        <v>14136</v>
      </c>
      <c r="E7231" t="s">
        <v>14136</v>
      </c>
      <c r="F7231" t="s">
        <v>14137</v>
      </c>
      <c r="G7231" t="s">
        <v>14</v>
      </c>
      <c r="H7231">
             </c>
      <c r="I7231" t="s">
        <v>14</v>
      </c>
      <c r="J7231" t="s">
        <v>242</v>
      </c>
      <c r="K7231" t="s">
        <v>14</v>
      </c>
      <c r="L7231" t="s">
        <v>20</v>
      </c>
      <c r="M7231" t="s">
        <v>14103</v>
      </c>
      <c r="N7231" t="s">
        <v>14</v>
      </c>
    </row>
    <row r="7232" x14ac:dyDescent="0.25">
      <c r="A7232" t="n">
        <v>25</v>
      </c>
      <c r="B7232" t="s">
        <v>14</v>
      </c>
      <c r="C7232" t="s">
        <v>51</v>
      </c>
      <c r="D7232" s="2" t="s">
        <f>=HYPERLINK("https://main.knesset.gov.il/APPS/legislation/main/bills/2197144", "הצעת חוק המאבק בטרור (תיקון - קנס חובה בעקבות הרשעה בגין עבירות טרור), התשפ""ג-2022")</f>
        <v>14138</v>
      </c>
      <c r="E7232" t="s">
        <v>14138</v>
      </c>
      <c r="F7232" t="s">
        <v>14139</v>
      </c>
      <c r="G7232" t="s">
        <v>14</v>
      </c>
      <c r="H7232">
             </c>
      <c r="I7232" t="s">
        <v>14</v>
      </c>
      <c r="J7232" t="s">
        <v>242</v>
      </c>
      <c r="K7232" t="s">
        <v>14</v>
      </c>
      <c r="L7232" t="s">
        <v>20</v>
      </c>
      <c r="M7232" t="s">
        <v>14103</v>
      </c>
      <c r="N7232" t="s">
        <v>14</v>
      </c>
    </row>
    <row r="7233" x14ac:dyDescent="0.25">
      <c r="A7233" t="n">
        <v>25</v>
      </c>
      <c r="B7233" t="s">
        <v>14</v>
      </c>
      <c r="C7233" t="s">
        <v>51</v>
      </c>
      <c r="D7233" s="2" t="s">
        <f>=HYPERLINK("https://main.knesset.gov.il/APPS/legislation/main/bills/2197548", "הצעת חוק לתיקון פקודת התעבורה (הקמת מאגר מידע לריכוז דוחות חניה), התשפ""ג-2022")</f>
        <v>14140</v>
      </c>
      <c r="E7233" t="s">
        <v>14140</v>
      </c>
      <c r="F7233" t="s">
        <v>14141</v>
      </c>
      <c r="G7233" t="s">
        <v>14</v>
      </c>
      <c r="H7233">
             </c>
      <c r="I7233" t="s">
        <v>14</v>
      </c>
      <c r="J7233" t="s">
        <v>242</v>
      </c>
      <c r="K7233" t="s">
        <v>14</v>
      </c>
      <c r="L7233" t="s">
        <v>20</v>
      </c>
      <c r="M7233" t="s">
        <v>14103</v>
      </c>
      <c r="N7233" t="s">
        <v>14</v>
      </c>
    </row>
    <row r="7234" x14ac:dyDescent="0.25">
      <c r="A7234" t="n">
        <v>25</v>
      </c>
      <c r="B7234" t="s">
        <v>14</v>
      </c>
      <c r="C7234" t="s">
        <v>51</v>
      </c>
      <c r="D7234" s="2" t="s">
        <f>=HYPERLINK("https://main.knesset.gov.il/APPS/legislation/main/bills/2197493", "הצעת חוק זכויות הדייר בדיור הציבורי (תיקון - זכאות לאם יחידנית המקבלת תשלומי מזונות מהמוסד לביטוח לאומי), ‏התשפ""ג-2022")</f>
        <v>14142</v>
      </c>
      <c r="E7234" t="s">
        <v>14142</v>
      </c>
      <c r="F7234" t="s">
        <v>14143</v>
      </c>
      <c r="G7234" t="s">
        <v>14</v>
      </c>
      <c r="H7234">
             </c>
      <c r="I7234" t="s">
        <v>14</v>
      </c>
      <c r="J7234" t="s">
        <v>242</v>
      </c>
      <c r="K7234" t="s">
        <v>14</v>
      </c>
      <c r="L7234" t="s">
        <v>20</v>
      </c>
      <c r="M7234" t="s">
        <v>14103</v>
      </c>
      <c r="N7234" t="s">
        <v>14</v>
      </c>
    </row>
    <row r="7235" x14ac:dyDescent="0.25">
      <c r="A7235" t="n">
        <v>25</v>
      </c>
      <c r="B7235" t="s">
        <v>14</v>
      </c>
      <c r="C7235" t="s">
        <v>51</v>
      </c>
      <c r="D7235" s="2" t="s">
        <f>=HYPERLINK("https://main.knesset.gov.il/APPS/legislation/main/bills/2196299", "הצעת חוק המאבק בטרור (תיקון - קנס חובה בעקבות הרשעה בגין עבירות טרור), התשפ""ג-2022")</f>
        <v>14138</v>
      </c>
      <c r="E7235" t="s">
        <v>14138</v>
      </c>
      <c r="F7235" t="s">
        <v>14144</v>
      </c>
      <c r="G7235" t="s">
        <v>14</v>
      </c>
      <c r="H7235">
             </c>
      <c r="I7235" t="s">
        <v>14</v>
      </c>
      <c r="J7235" t="s">
        <v>242</v>
      </c>
      <c r="K7235" t="s">
        <v>14</v>
      </c>
      <c r="L7235" t="s">
        <v>20</v>
      </c>
      <c r="M7235" t="s">
        <v>14103</v>
      </c>
      <c r="N7235" t="s">
        <v>14</v>
      </c>
    </row>
    <row r="7236" x14ac:dyDescent="0.25">
      <c r="A7236" t="n">
        <v>25</v>
      </c>
      <c r="B7236" t="s">
        <v>14</v>
      </c>
      <c r="C7236" t="s">
        <v>51</v>
      </c>
      <c r="D7236" s="2" t="s">
        <f>=HYPERLINK("https://main.knesset.gov.il/APPS/legislation/main/bills/2197653", "הצעת חוק האקלים, התשפ""ג-2022")</f>
        <v>14145</v>
      </c>
      <c r="E7236" t="s">
        <v>14145</v>
      </c>
      <c r="F7236" t="s">
        <v>14146</v>
      </c>
      <c r="G7236" t="s">
        <v>14</v>
      </c>
      <c r="H7236">
             </c>
      <c r="I7236" t="s">
        <v>14</v>
      </c>
      <c r="J7236" t="s">
        <v>242</v>
      </c>
      <c r="K7236" t="s">
        <v>14</v>
      </c>
      <c r="L7236" t="s">
        <v>20</v>
      </c>
      <c r="M7236" t="s">
        <v>14103</v>
      </c>
      <c r="N7236" t="s">
        <v>14</v>
      </c>
    </row>
    <row r="7237" x14ac:dyDescent="0.25">
      <c r="A7237" t="n">
        <v>25</v>
      </c>
      <c r="B7237" t="s">
        <v>14</v>
      </c>
      <c r="C7237" t="s">
        <v>51</v>
      </c>
      <c r="D7237" s="2" t="s">
        <f>=HYPERLINK("https://main.knesset.gov.il/APPS/legislation/main/bills/2197141", "הצעת חוק להגנה על חיילי צה""ל וגורמים ישראלים אחרים מתלונות שווא של הרשות הפלסטינית, התשפ""ג-2022")</f>
        <v>14147</v>
      </c>
      <c r="E7237" t="s">
        <v>14147</v>
      </c>
      <c r="F7237" t="s">
        <v>14148</v>
      </c>
      <c r="G7237" t="s">
        <v>14</v>
      </c>
      <c r="H7237">
             </c>
      <c r="I7237" t="s">
        <v>14</v>
      </c>
      <c r="J7237" t="s">
        <v>242</v>
      </c>
      <c r="K7237" t="s">
        <v>14</v>
      </c>
      <c r="L7237" t="s">
        <v>20</v>
      </c>
      <c r="M7237" t="s">
        <v>14103</v>
      </c>
      <c r="N7237" t="s">
        <v>14</v>
      </c>
    </row>
    <row r="7238" x14ac:dyDescent="0.25">
      <c r="A7238" t="n">
        <v>25</v>
      </c>
      <c r="B7238" t="s">
        <v>14</v>
      </c>
      <c r="C7238" t="s">
        <v>51</v>
      </c>
      <c r="D7238" s="2" t="s">
        <f>=HYPERLINK("https://main.knesset.gov.il/APPS/legislation/main/bills/2197435", "הצעת חוק איסור הפליה במוצרים, בשירותים ובכניסה למקומות בידור ולמקומות ציבוריים (תיקון - פגיעה באמונה דתית), התשפ""ג-2022 ")</f>
        <v>14149</v>
      </c>
      <c r="E7238" t="s">
        <v>14149</v>
      </c>
      <c r="F7238" t="s">
        <v>14150</v>
      </c>
      <c r="G7238" t="s">
        <v>14</v>
      </c>
      <c r="H7238">
             </c>
      <c r="I7238" t="s">
        <v>14</v>
      </c>
      <c r="J7238" t="s">
        <v>242</v>
      </c>
      <c r="K7238" t="s">
        <v>14</v>
      </c>
      <c r="L7238" t="s">
        <v>20</v>
      </c>
      <c r="M7238" t="s">
        <v>14103</v>
      </c>
      <c r="N7238" t="s">
        <v>14</v>
      </c>
    </row>
    <row r="7239" x14ac:dyDescent="0.25">
      <c r="A7239" t="n">
        <v>25</v>
      </c>
      <c r="B7239" t="s">
        <v>14</v>
      </c>
      <c r="C7239" t="s">
        <v>51</v>
      </c>
      <c r="D7239" s="2" t="s">
        <f>=HYPERLINK("https://main.knesset.gov.il/APPS/legislation/main/bills/2196228", "הצעת חוק להגנה על חיילי צה""ל וגורמים ישראלים אחרים מתלונות שווא של הרשות הפלסטינית, התשפ""ג-2022")</f>
        <v>14147</v>
      </c>
      <c r="E7239" t="s">
        <v>14147</v>
      </c>
      <c r="F7239" t="s">
        <v>14151</v>
      </c>
      <c r="G7239" t="s">
        <v>14</v>
      </c>
      <c r="H7239">
             </c>
      <c r="I7239" t="s">
        <v>14</v>
      </c>
      <c r="J7239" t="s">
        <v>242</v>
      </c>
      <c r="K7239" t="s">
        <v>14</v>
      </c>
      <c r="L7239" t="s">
        <v>20</v>
      </c>
      <c r="M7239" t="s">
        <v>14103</v>
      </c>
      <c r="N7239" t="s">
        <v>14</v>
      </c>
    </row>
    <row r="7240" x14ac:dyDescent="0.25">
      <c r="A7240" t="n">
        <v>25</v>
      </c>
      <c r="B7240" t="s">
        <v>14</v>
      </c>
      <c r="C7240" t="s">
        <v>51</v>
      </c>
      <c r="D7240" s="2" t="s">
        <f>=HYPERLINK("https://main.knesset.gov.il/APPS/legislation/main/bills/2197263", "הצעת חוק הגנת הצרכן (תיקון - איסור גביית עמלה בהרשאה לחיוב חשבון בהוראת קבע), התשפ""ג-2022")</f>
        <v>14152</v>
      </c>
      <c r="E7240" t="s">
        <v>14152</v>
      </c>
      <c r="F7240" t="s">
        <v>14153</v>
      </c>
      <c r="G7240" t="s">
        <v>14</v>
      </c>
      <c r="H7240">
             </c>
      <c r="I7240" t="s">
        <v>14</v>
      </c>
      <c r="J7240" t="s">
        <v>242</v>
      </c>
      <c r="K7240" t="s">
        <v>14</v>
      </c>
      <c r="L7240" t="s">
        <v>20</v>
      </c>
      <c r="M7240" t="s">
        <v>14103</v>
      </c>
      <c r="N7240" t="s">
        <v>14</v>
      </c>
    </row>
    <row r="7241" x14ac:dyDescent="0.25">
      <c r="A7241" t="n">
        <v>25</v>
      </c>
      <c r="B7241" t="s">
        <v>14</v>
      </c>
      <c r="C7241" t="s">
        <v>51</v>
      </c>
      <c r="D7241" s="2" t="s">
        <f>=HYPERLINK("https://main.knesset.gov.il/APPS/legislation/main/bills/2197083", "הצעת חוק חג הפסח בבסיסי צה""ל, התשפ""ג-2022 ")</f>
        <v>14154</v>
      </c>
      <c r="E7241" t="s">
        <v>14154</v>
      </c>
      <c r="F7241" t="s">
        <v>14155</v>
      </c>
      <c r="G7241" t="s">
        <v>14</v>
      </c>
      <c r="H7241">
             </c>
      <c r="I7241" t="s">
        <v>14</v>
      </c>
      <c r="J7241" t="s">
        <v>242</v>
      </c>
      <c r="K7241" t="s">
        <v>14</v>
      </c>
      <c r="L7241" t="s">
        <v>20</v>
      </c>
      <c r="M7241" t="s">
        <v>14103</v>
      </c>
      <c r="N7241" t="s">
        <v>14</v>
      </c>
    </row>
    <row r="7242" x14ac:dyDescent="0.25">
      <c r="A7242" t="n">
        <v>25</v>
      </c>
      <c r="B7242" t="s">
        <v>14</v>
      </c>
      <c r="C7242" t="s">
        <v>51</v>
      </c>
      <c r="D7242" s="2" t="s">
        <f>=HYPERLINK("https://main.knesset.gov.il/APPS/legislation/main/bills/2197251", "הצעת חוק איסור הפליה במוצרים, בשירותים ובכניסה למקומות בידור ולמקומות ציבוריים (תיקון - איסור הפליה בשל הובלת עגלת ילדים), התשפ""ג-2022")</f>
        <v>14156</v>
      </c>
      <c r="E7242" t="s">
        <v>14156</v>
      </c>
      <c r="F7242" t="s">
        <v>14157</v>
      </c>
      <c r="G7242" t="s">
        <v>14</v>
      </c>
      <c r="H7242">
             </c>
      <c r="I7242" t="s">
        <v>14</v>
      </c>
      <c r="J7242" t="s">
        <v>242</v>
      </c>
      <c r="K7242" t="s">
        <v>14</v>
      </c>
      <c r="L7242" t="s">
        <v>20</v>
      </c>
      <c r="M7242" t="s">
        <v>14103</v>
      </c>
      <c r="N7242" t="s">
        <v>14</v>
      </c>
    </row>
    <row r="7243" x14ac:dyDescent="0.25">
      <c r="A7243" t="n">
        <v>25</v>
      </c>
      <c r="B7243" t="s">
        <v>14</v>
      </c>
      <c r="C7243" t="s">
        <v>51</v>
      </c>
      <c r="D7243" s="2" t="s">
        <f>=HYPERLINK("https://main.knesset.gov.il/APPS/legislation/main/bills/2196855", "הצעת חוק חג הפסח בבסיסי צה""ל, התשפ""ג-2022 ")</f>
        <v>14154</v>
      </c>
      <c r="E7243" t="s">
        <v>14154</v>
      </c>
      <c r="F7243" t="s">
        <v>14158</v>
      </c>
      <c r="G7243" t="s">
        <v>14</v>
      </c>
      <c r="H7243">
             </c>
      <c r="I7243" t="s">
        <v>14</v>
      </c>
      <c r="J7243" t="s">
        <v>242</v>
      </c>
      <c r="K7243" t="s">
        <v>14</v>
      </c>
      <c r="L7243" t="s">
        <v>20</v>
      </c>
      <c r="M7243" t="s">
        <v>14103</v>
      </c>
      <c r="N7243" t="s">
        <v>14</v>
      </c>
    </row>
    <row r="7244" x14ac:dyDescent="0.25">
      <c r="A7244" t="n">
        <v>25</v>
      </c>
      <c r="B7244" t="s">
        <v>14</v>
      </c>
      <c r="C7244" t="s">
        <v>51</v>
      </c>
      <c r="D7244" s="2" t="s">
        <f>=HYPERLINK("https://main.knesset.gov.il/APPS/legislation/main/bills/2197230", "הצעת חוק להפחתת סכום הפיצוי הכספי בשל נסיעה ללא תיקוף כרטיס בתחבורה ציבורית (תיקוני חקיקה), התשפ""ג-2022")</f>
        <v>14159</v>
      </c>
      <c r="E7244" t="s">
        <v>14159</v>
      </c>
      <c r="F7244" t="s">
        <v>14160</v>
      </c>
      <c r="G7244" t="s">
        <v>14</v>
      </c>
      <c r="H7244">
             </c>
      <c r="I7244" t="s">
        <v>14</v>
      </c>
      <c r="J7244" t="s">
        <v>242</v>
      </c>
      <c r="K7244" t="s">
        <v>14</v>
      </c>
      <c r="L7244" t="s">
        <v>20</v>
      </c>
      <c r="M7244" t="s">
        <v>14103</v>
      </c>
      <c r="N7244" t="s">
        <v>14</v>
      </c>
    </row>
    <row r="7245" x14ac:dyDescent="0.25">
      <c r="A7245" t="n">
        <v>25</v>
      </c>
      <c r="B7245" t="s">
        <v>14</v>
      </c>
      <c r="C7245" t="s">
        <v>51</v>
      </c>
      <c r="D7245" s="2" t="s">
        <f>=HYPERLINK("https://main.knesset.gov.il/APPS/legislation/main/bills/2196867", "הצעת חוק רכזי ביטחון שוטף צבאיים, התשפ""ג-2022")</f>
        <v>6093</v>
      </c>
      <c r="E7245" t="s">
        <v>6093</v>
      </c>
      <c r="F7245" t="s">
        <v>14161</v>
      </c>
      <c r="G7245" t="s">
        <v>14</v>
      </c>
      <c r="H7245">
             </c>
      <c r="I7245" t="s">
        <v>14</v>
      </c>
      <c r="J7245" t="s">
        <v>242</v>
      </c>
      <c r="K7245" t="s">
        <v>14</v>
      </c>
      <c r="L7245" t="s">
        <v>20</v>
      </c>
      <c r="M7245" t="s">
        <v>14103</v>
      </c>
      <c r="N7245" t="s">
        <v>14</v>
      </c>
    </row>
    <row r="7246" x14ac:dyDescent="0.25">
      <c r="A7246" t="n">
        <v>25</v>
      </c>
      <c r="B7246" t="s">
        <v>14</v>
      </c>
      <c r="C7246" t="s">
        <v>51</v>
      </c>
      <c r="D7246" s="2" t="s">
        <f>=HYPERLINK("https://main.knesset.gov.il/APPS/legislation/main/bills/2197035", "הצעת חוק פיקוח על רווחי שיווק בתוצרת חקלאית, התשפ""ג-2022")</f>
        <v>14162</v>
      </c>
      <c r="E7246" t="s">
        <v>14162</v>
      </c>
      <c r="F7246" t="s">
        <v>14163</v>
      </c>
      <c r="G7246" t="s">
        <v>14</v>
      </c>
      <c r="H7246">
             </c>
      <c r="I7246" t="s">
        <v>14</v>
      </c>
      <c r="J7246" t="s">
        <v>242</v>
      </c>
      <c r="K7246" t="s">
        <v>14</v>
      </c>
      <c r="L7246" t="s">
        <v>20</v>
      </c>
      <c r="M7246" t="s">
        <v>14103</v>
      </c>
      <c r="N7246" t="s">
        <v>14</v>
      </c>
    </row>
    <row r="7247" x14ac:dyDescent="0.25">
      <c r="A7247" t="n">
        <v>25</v>
      </c>
      <c r="B7247" t="s">
        <v>14</v>
      </c>
      <c r="C7247" t="s">
        <v>51</v>
      </c>
      <c r="D7247" s="2" t="s">
        <f>=HYPERLINK("https://main.knesset.gov.il/APPS/legislation/main/bills/2196858", "הצעת חוק החלת הריבונות של מדינת ישראל בחבלי יהודה והשומרון, התשפ""ג-2022")</f>
        <v>14164</v>
      </c>
      <c r="E7247" t="s">
        <v>14164</v>
      </c>
      <c r="F7247" t="s">
        <v>14165</v>
      </c>
      <c r="G7247" t="s">
        <v>14</v>
      </c>
      <c r="H7247">
             </c>
      <c r="I7247" t="s">
        <v>14</v>
      </c>
      <c r="J7247" t="s">
        <v>242</v>
      </c>
      <c r="K7247" t="s">
        <v>14</v>
      </c>
      <c r="L7247" t="s">
        <v>20</v>
      </c>
      <c r="M7247" t="s">
        <v>14103</v>
      </c>
      <c r="N7247" t="s">
        <v>14</v>
      </c>
    </row>
    <row r="7248" x14ac:dyDescent="0.25">
      <c r="A7248" t="n">
        <v>25</v>
      </c>
      <c r="B7248" t="s">
        <v>14</v>
      </c>
      <c r="C7248" t="s">
        <v>51</v>
      </c>
      <c r="D7248" s="2" t="s">
        <f>=HYPERLINK("https://main.knesset.gov.il/APPS/legislation/main/bills/2196153", "הצעת חוק החלת הריבונות של מדינת ישראל בחבלי יהודה והשומרון, התשפ""ג-2022")</f>
        <v>14164</v>
      </c>
      <c r="E7248" t="s">
        <v>14164</v>
      </c>
      <c r="F7248" t="s">
        <v>14166</v>
      </c>
      <c r="G7248" t="s">
        <v>14</v>
      </c>
      <c r="H7248">
             </c>
      <c r="I7248" t="s">
        <v>14</v>
      </c>
      <c r="J7248" t="s">
        <v>242</v>
      </c>
      <c r="K7248" t="s">
        <v>14</v>
      </c>
      <c r="L7248" t="s">
        <v>20</v>
      </c>
      <c r="M7248" t="s">
        <v>14103</v>
      </c>
      <c r="N7248" t="s">
        <v>14</v>
      </c>
    </row>
    <row r="7249" x14ac:dyDescent="0.25">
      <c r="A7249" t="n">
        <v>25</v>
      </c>
      <c r="B7249" t="s">
        <v>14</v>
      </c>
      <c r="C7249" t="s">
        <v>51</v>
      </c>
      <c r="D7249" s="2" t="s">
        <f>=HYPERLINK("https://main.knesset.gov.il/APPS/legislation/main/bills/2197016", "הצעת חוק הקצאת דירות לדיור בר השגה ולדיור ציבורי, התשפ""ג-2022")</f>
        <v>14167</v>
      </c>
      <c r="E7249" t="s">
        <v>14167</v>
      </c>
      <c r="F7249" t="s">
        <v>14168</v>
      </c>
      <c r="G7249" t="s">
        <v>14</v>
      </c>
      <c r="H7249">
             </c>
      <c r="I7249" t="s">
        <v>14</v>
      </c>
      <c r="J7249" t="s">
        <v>242</v>
      </c>
      <c r="K7249" t="s">
        <v>14</v>
      </c>
      <c r="L7249" t="s">
        <v>20</v>
      </c>
      <c r="M7249" t="s">
        <v>14103</v>
      </c>
      <c r="N7249" t="s">
        <v>14</v>
      </c>
    </row>
    <row r="7250" x14ac:dyDescent="0.25">
      <c r="A7250" t="n">
        <v>25</v>
      </c>
      <c r="B7250" t="s">
        <v>14</v>
      </c>
      <c r="C7250" t="s">
        <v>51</v>
      </c>
      <c r="D7250" s="2" t="s">
        <f>=HYPERLINK("https://main.knesset.gov.il/APPS/legislation/main/bills/2196353", "הצעת חוק להקפאת קצבאות שמשולמות לפעיל טרור ומשפחתו מקופת המדינה, התשפ""ג-2022")</f>
        <v>9171</v>
      </c>
      <c r="E7250" t="s">
        <v>9171</v>
      </c>
      <c r="F7250" t="s">
        <v>14169</v>
      </c>
      <c r="G7250" t="s">
        <v>14</v>
      </c>
      <c r="H7250">
             </c>
      <c r="I7250" t="s">
        <v>14</v>
      </c>
      <c r="J7250" t="s">
        <v>242</v>
      </c>
      <c r="K7250" t="s">
        <v>14</v>
      </c>
      <c r="L7250" t="s">
        <v>20</v>
      </c>
      <c r="M7250" t="s">
        <v>14103</v>
      </c>
      <c r="N7250" t="s">
        <v>14</v>
      </c>
    </row>
    <row r="7251" x14ac:dyDescent="0.25">
      <c r="A7251" t="n">
        <v>25</v>
      </c>
      <c r="B7251" t="s">
        <v>14</v>
      </c>
      <c r="C7251" t="s">
        <v>51</v>
      </c>
      <c r="D7251" s="2" t="s">
        <f>=HYPERLINK("https://main.knesset.gov.il/APPS/legislation/main/bills/2196581", "הצעת חוק לתיקון פקודת התעבורה (החרגת בעלי רישיון שימוש בקנבוס רפואי), התשפ""ג-2022")</f>
        <v>14170</v>
      </c>
      <c r="E7251" t="s">
        <v>14170</v>
      </c>
      <c r="F7251" t="s">
        <v>14171</v>
      </c>
      <c r="G7251" t="s">
        <v>14</v>
      </c>
      <c r="H7251">
             </c>
      <c r="I7251" t="s">
        <v>14</v>
      </c>
      <c r="J7251" t="s">
        <v>242</v>
      </c>
      <c r="K7251" t="s">
        <v>14</v>
      </c>
      <c r="L7251" t="s">
        <v>20</v>
      </c>
      <c r="M7251" t="s">
        <v>14103</v>
      </c>
      <c r="N7251" t="s">
        <v>14</v>
      </c>
    </row>
    <row r="7252" x14ac:dyDescent="0.25">
      <c r="A7252" t="n">
        <v>25</v>
      </c>
      <c r="B7252" t="s">
        <v>14</v>
      </c>
      <c r="C7252" t="s">
        <v>51</v>
      </c>
      <c r="D7252" s="2" t="s">
        <f>=HYPERLINK("https://main.knesset.gov.il/APPS/legislation/main/bills/2197589", "הצעת חוק האקלים, התשפ""ג-2022")</f>
        <v>14145</v>
      </c>
      <c r="E7252" t="s">
        <v>14145</v>
      </c>
      <c r="F7252" t="s">
        <v>14172</v>
      </c>
      <c r="G7252" t="s">
        <v>14</v>
      </c>
      <c r="H7252">
             </c>
      <c r="I7252" t="s">
        <v>14</v>
      </c>
      <c r="J7252" t="s">
        <v>242</v>
      </c>
      <c r="K7252" t="s">
        <v>14</v>
      </c>
      <c r="L7252" t="s">
        <v>20</v>
      </c>
      <c r="M7252" t="s">
        <v>14103</v>
      </c>
      <c r="N7252" t="s">
        <v>14</v>
      </c>
    </row>
    <row r="7253" x14ac:dyDescent="0.25">
      <c r="A7253" t="n">
        <v>25</v>
      </c>
      <c r="B7253" t="s">
        <v>14</v>
      </c>
      <c r="C7253" t="s">
        <v>51</v>
      </c>
      <c r="D7253" s="2" t="s">
        <f>=HYPERLINK("https://main.knesset.gov.il/APPS/legislation/main/bills/2196928", "הצעת חוק לתיקון פקודת התעבורה (איסור שימוש במצלמות ניידות לאכיפת עבירות חניה), התשפ""ג-2022")</f>
        <v>14173</v>
      </c>
      <c r="E7253" t="s">
        <v>14173</v>
      </c>
      <c r="F7253" t="s">
        <v>14174</v>
      </c>
      <c r="G7253" t="s">
        <v>14</v>
      </c>
      <c r="H7253">
             </c>
      <c r="I7253" t="s">
        <v>14</v>
      </c>
      <c r="J7253" t="s">
        <v>242</v>
      </c>
      <c r="K7253" t="s">
        <v>14</v>
      </c>
      <c r="L7253" t="s">
        <v>20</v>
      </c>
      <c r="M7253" t="s">
        <v>14103</v>
      </c>
      <c r="N7253" t="s">
        <v>14</v>
      </c>
    </row>
    <row r="7254" x14ac:dyDescent="0.25">
      <c r="A7254" t="n">
        <v>25</v>
      </c>
      <c r="B7254" t="s">
        <v>14</v>
      </c>
      <c r="C7254" t="s">
        <v>51</v>
      </c>
      <c r="D7254" s="2" t="s">
        <f>=HYPERLINK("https://main.knesset.gov.il/APPS/legislation/main/bills/2196885", "הצעת חוק המועצה לענף הלול (ייצור ושיווק) (תיקון - ביטול החוק), התשפ""ג-2022")</f>
        <v>14175</v>
      </c>
      <c r="E7254" t="s">
        <v>14175</v>
      </c>
      <c r="F7254" t="s">
        <v>14176</v>
      </c>
      <c r="G7254" t="s">
        <v>14</v>
      </c>
      <c r="H7254">
             </c>
      <c r="I7254" t="s">
        <v>14</v>
      </c>
      <c r="J7254" t="s">
        <v>242</v>
      </c>
      <c r="K7254" t="s">
        <v>14</v>
      </c>
      <c r="L7254" t="s">
        <v>20</v>
      </c>
      <c r="M7254" t="s">
        <v>14103</v>
      </c>
      <c r="N7254" t="s">
        <v>14</v>
      </c>
    </row>
    <row r="7255" x14ac:dyDescent="0.25">
      <c r="A7255" t="n">
        <v>25</v>
      </c>
      <c r="B7255" t="s">
        <v>14</v>
      </c>
      <c r="C7255" t="s">
        <v>51</v>
      </c>
      <c r="D7255" s="2" t="s">
        <f>=HYPERLINK("https://main.knesset.gov.il/APPS/legislation/main/bills/2197185", "הצעת חוק לתיקון פקודת בתי הסוהר (עתירות אסיר - ערעור בזכות), התשפ""ג-2022")</f>
        <v>14177</v>
      </c>
      <c r="E7255" t="s">
        <v>14177</v>
      </c>
      <c r="F7255" t="s">
        <v>14178</v>
      </c>
      <c r="G7255" t="s">
        <v>14</v>
      </c>
      <c r="H7255">
             </c>
      <c r="I7255" t="s">
        <v>14</v>
      </c>
      <c r="J7255" t="s">
        <v>242</v>
      </c>
      <c r="K7255" t="s">
        <v>14</v>
      </c>
      <c r="L7255" t="s">
        <v>20</v>
      </c>
      <c r="M7255" t="s">
        <v>14103</v>
      </c>
      <c r="N7255" t="s">
        <v>14</v>
      </c>
    </row>
    <row r="7256" x14ac:dyDescent="0.25">
      <c r="A7256" t="n">
        <v>25</v>
      </c>
      <c r="B7256" t="s">
        <v>14</v>
      </c>
      <c r="C7256" t="s">
        <v>51</v>
      </c>
      <c r="D7256" s="2" t="s">
        <f>=HYPERLINK("https://main.knesset.gov.il/APPS/legislation/main/bills/2195650", "הצעת חוק ביטול הרפורמה בכשרות (תיקוני חקיקה), התשפ""ג-2022")</f>
        <v>14179</v>
      </c>
      <c r="E7256" t="s">
        <v>14179</v>
      </c>
      <c r="F7256" t="s">
        <v>14180</v>
      </c>
      <c r="G7256" t="s">
        <v>14</v>
      </c>
      <c r="H7256">
             </c>
      <c r="I7256" t="s">
        <v>14</v>
      </c>
      <c r="J7256" t="s">
        <v>242</v>
      </c>
      <c r="K7256" t="s">
        <v>14</v>
      </c>
      <c r="L7256" t="s">
        <v>20</v>
      </c>
      <c r="M7256" t="s">
        <v>14103</v>
      </c>
      <c r="N7256" t="s">
        <v>14</v>
      </c>
    </row>
    <row r="7257" x14ac:dyDescent="0.25">
      <c r="A7257" t="n">
        <v>25</v>
      </c>
      <c r="B7257" t="s">
        <v>14</v>
      </c>
      <c r="C7257" t="s">
        <v>51</v>
      </c>
      <c r="D7257" s="2" t="s">
        <f>=HYPERLINK("https://main.knesset.gov.il/APPS/legislation/main/bills/2196279", "הצעת חוק קרן קיימת לישראל (תיקון - ביטול החוק), התשפ""ג-2022 ")</f>
        <v>14181</v>
      </c>
      <c r="E7257" t="s">
        <v>14181</v>
      </c>
      <c r="F7257" t="s">
        <v>14182</v>
      </c>
      <c r="G7257" t="s">
        <v>14</v>
      </c>
      <c r="H7257">
             </c>
      <c r="I7257" t="s">
        <v>14</v>
      </c>
      <c r="J7257" t="s">
        <v>242</v>
      </c>
      <c r="K7257" t="s">
        <v>14</v>
      </c>
      <c r="L7257" t="s">
        <v>20</v>
      </c>
      <c r="M7257" t="s">
        <v>14103</v>
      </c>
      <c r="N7257" t="s">
        <v>14</v>
      </c>
    </row>
    <row r="7258" x14ac:dyDescent="0.25">
      <c r="A7258" t="n">
        <v>25</v>
      </c>
      <c r="B7258" t="s">
        <v>14</v>
      </c>
      <c r="C7258" t="s">
        <v>51</v>
      </c>
      <c r="D7258" s="2" t="s">
        <f>=HYPERLINK("https://main.knesset.gov.il/APPS/legislation/main/bills/2195971", "הצעת חוק לתיקון פקודת בתי הסוהר (עתירות אסיר - ערעור בזכות), התשפ""ג-2022")</f>
        <v>14177</v>
      </c>
      <c r="E7258" t="s">
        <v>14177</v>
      </c>
      <c r="F7258" t="s">
        <v>14183</v>
      </c>
      <c r="G7258" t="s">
        <v>14</v>
      </c>
      <c r="H7258">
             </c>
      <c r="I7258" t="s">
        <v>14</v>
      </c>
      <c r="J7258" t="s">
        <v>242</v>
      </c>
      <c r="K7258" t="s">
        <v>14</v>
      </c>
      <c r="L7258" t="s">
        <v>20</v>
      </c>
      <c r="M7258" t="s">
        <v>14103</v>
      </c>
      <c r="N7258" t="s">
        <v>14</v>
      </c>
    </row>
    <row r="7259" x14ac:dyDescent="0.25">
      <c r="A7259" t="n">
        <v>25</v>
      </c>
      <c r="B7259" t="s">
        <v>14</v>
      </c>
      <c r="C7259" t="s">
        <v>51</v>
      </c>
      <c r="D7259" s="2" t="s">
        <f>=HYPERLINK("https://main.knesset.gov.il/APPS/legislation/main/bills/2196209", "הצעת חוק מועצת הצמחים (ייצור ושיווק) (תיקון - ביטול מועצת הצמחים), התשפ""ג-2022")</f>
        <v>14184</v>
      </c>
      <c r="E7259" t="s">
        <v>14184</v>
      </c>
      <c r="F7259" t="s">
        <v>14185</v>
      </c>
      <c r="G7259" t="s">
        <v>14</v>
      </c>
      <c r="H7259">
             </c>
      <c r="I7259" t="s">
        <v>14</v>
      </c>
      <c r="J7259" t="s">
        <v>242</v>
      </c>
      <c r="K7259" t="s">
        <v>14</v>
      </c>
      <c r="L7259" t="s">
        <v>20</v>
      </c>
      <c r="M7259" t="s">
        <v>14103</v>
      </c>
      <c r="N7259" t="s">
        <v>14</v>
      </c>
    </row>
    <row r="7260" x14ac:dyDescent="0.25">
      <c r="A7260" t="n">
        <v>25</v>
      </c>
      <c r="B7260" t="s">
        <v>14</v>
      </c>
      <c r="C7260" t="s">
        <v>51</v>
      </c>
      <c r="D7260" s="2" t="s">
        <f>=HYPERLINK("https://main.knesset.gov.il/APPS/legislation/main/bills/2196736", "הצעת חוק בדבר סמכויות להשבת פליטים שהשבתם לא מהווה סכנה, התשפ""ג-2022")</f>
        <v>14186</v>
      </c>
      <c r="E7260" t="s">
        <v>14186</v>
      </c>
      <c r="F7260" t="s">
        <v>14187</v>
      </c>
      <c r="G7260" t="s">
        <v>14</v>
      </c>
      <c r="H7260">
             </c>
      <c r="I7260" t="s">
        <v>14</v>
      </c>
      <c r="J7260" t="s">
        <v>242</v>
      </c>
      <c r="K7260" t="s">
        <v>14</v>
      </c>
      <c r="L7260" t="s">
        <v>20</v>
      </c>
      <c r="M7260" t="s">
        <v>14103</v>
      </c>
      <c r="N7260" t="s">
        <v>14</v>
      </c>
    </row>
    <row r="7261" x14ac:dyDescent="0.25">
      <c r="A7261" t="n">
        <v>25</v>
      </c>
      <c r="B7261" t="s">
        <v>14</v>
      </c>
      <c r="C7261" t="s">
        <v>51</v>
      </c>
      <c r="D7261" s="2" t="s">
        <f>=HYPERLINK("https://main.knesset.gov.il/APPS/legislation/main/bills/2196953", "הצעת חוק חסינות כוחות הביטחון, התשפ""ג-2022")</f>
        <v>14188</v>
      </c>
      <c r="E7261" t="s">
        <v>14188</v>
      </c>
      <c r="F7261" t="s">
        <v>14189</v>
      </c>
      <c r="G7261" t="s">
        <v>14</v>
      </c>
      <c r="H7261">
             </c>
      <c r="I7261" t="s">
        <v>14</v>
      </c>
      <c r="J7261" t="s">
        <v>242</v>
      </c>
      <c r="K7261" t="s">
        <v>14</v>
      </c>
      <c r="L7261" t="s">
        <v>20</v>
      </c>
      <c r="M7261" t="s">
        <v>14103</v>
      </c>
      <c r="N7261" t="s">
        <v>14</v>
      </c>
    </row>
    <row r="7262" x14ac:dyDescent="0.25">
      <c r="A7262" t="n">
        <v>25</v>
      </c>
      <c r="B7262" t="s">
        <v>14</v>
      </c>
      <c r="C7262" t="s">
        <v>51</v>
      </c>
      <c r="D7262" s="2" t="s">
        <f>=HYPERLINK("https://main.knesset.gov.il/APPS/legislation/main/bills/2195953", "הצעת חוק המים (תיקון - הנחות לבתי תפילה), התשפ""ג-2022")</f>
        <v>14190</v>
      </c>
      <c r="E7262" t="s">
        <v>14190</v>
      </c>
      <c r="F7262" t="s">
        <v>14191</v>
      </c>
      <c r="G7262" t="s">
        <v>14</v>
      </c>
      <c r="H7262">
             </c>
      <c r="I7262" t="s">
        <v>14</v>
      </c>
      <c r="J7262" t="s">
        <v>242</v>
      </c>
      <c r="K7262" t="s">
        <v>14</v>
      </c>
      <c r="L7262" t="s">
        <v>20</v>
      </c>
      <c r="M7262" t="s">
        <v>14103</v>
      </c>
      <c r="N7262" t="s">
        <v>14</v>
      </c>
    </row>
    <row r="7263" x14ac:dyDescent="0.25">
      <c r="A7263" t="n">
        <v>25</v>
      </c>
      <c r="B7263" t="s">
        <v>14</v>
      </c>
      <c r="C7263" t="s">
        <v>51</v>
      </c>
      <c r="D7263" s="2" t="s">
        <f>=HYPERLINK("https://main.knesset.gov.il/APPS/legislation/main/bills/2195930", "הצעת חוק הבנקאות (רישוי) (תיקון - ועדה לבחינת סגירת סניפי בנק), התשפ""ג-2022")</f>
        <v>14192</v>
      </c>
      <c r="E7263" t="s">
        <v>14192</v>
      </c>
      <c r="F7263" t="s">
        <v>14193</v>
      </c>
      <c r="G7263" t="s">
        <v>14</v>
      </c>
      <c r="H7263">
             </c>
      <c r="I7263" t="s">
        <v>14</v>
      </c>
      <c r="J7263" t="s">
        <v>242</v>
      </c>
      <c r="K7263" t="s">
        <v>14</v>
      </c>
      <c r="L7263" t="s">
        <v>20</v>
      </c>
      <c r="M7263" t="s">
        <v>14103</v>
      </c>
      <c r="N7263" t="s">
        <v>14</v>
      </c>
    </row>
    <row r="7264" x14ac:dyDescent="0.25">
      <c r="A7264" t="n">
        <v>25</v>
      </c>
      <c r="B7264" t="s">
        <v>14</v>
      </c>
      <c r="C7264" t="s">
        <v>51</v>
      </c>
      <c r="D7264" s="2" t="s">
        <f>=HYPERLINK("https://main.knesset.gov.il/APPS/legislation/main/bills/2196851", "הצעת חוק חסינות חיילי צה""ל באירועים מבצעיים, התשפ""ג-2022")</f>
        <v>14194</v>
      </c>
      <c r="E7264" t="s">
        <v>14194</v>
      </c>
      <c r="F7264" t="s">
        <v>14195</v>
      </c>
      <c r="G7264" t="s">
        <v>14</v>
      </c>
      <c r="H7264">
             </c>
      <c r="I7264" t="s">
        <v>14</v>
      </c>
      <c r="J7264" t="s">
        <v>242</v>
      </c>
      <c r="K7264" t="s">
        <v>14</v>
      </c>
      <c r="L7264" t="s">
        <v>20</v>
      </c>
      <c r="M7264" t="s">
        <v>14103</v>
      </c>
      <c r="N7264" t="s">
        <v>14</v>
      </c>
    </row>
    <row r="7265" x14ac:dyDescent="0.25">
      <c r="A7265" t="n">
        <v>25</v>
      </c>
      <c r="B7265" t="s">
        <v>14</v>
      </c>
      <c r="C7265" t="s">
        <v>51</v>
      </c>
      <c r="D7265" s="2" t="s">
        <f>=HYPERLINK("https://main.knesset.gov.il/APPS/legislation/main/bills/2195902", "הצעת חוק לתיקון פקודת התעבורה (קביעת קנס בגין גביית יתר של שכר הסעה במונית), התשפ""ג-2022")</f>
        <v>14196</v>
      </c>
      <c r="E7265" t="s">
        <v>14196</v>
      </c>
      <c r="F7265" t="s">
        <v>14197</v>
      </c>
      <c r="G7265" t="s">
        <v>14</v>
      </c>
      <c r="H7265">
             </c>
      <c r="I7265" t="s">
        <v>14</v>
      </c>
      <c r="J7265" t="s">
        <v>242</v>
      </c>
      <c r="K7265" t="s">
        <v>14</v>
      </c>
      <c r="L7265" t="s">
        <v>20</v>
      </c>
      <c r="M7265" t="s">
        <v>14103</v>
      </c>
      <c r="N7265" t="s">
        <v>14</v>
      </c>
    </row>
    <row r="7266" x14ac:dyDescent="0.25">
      <c r="A7266" t="n">
        <v>25</v>
      </c>
      <c r="B7266" t="s">
        <v>14</v>
      </c>
      <c r="C7266" t="s">
        <v>51</v>
      </c>
      <c r="D7266" s="2" t="s">
        <f>=HYPERLINK("https://main.knesset.gov.il/APPS/legislation/main/bills/2195857", "הצעת חוק הגנת הצרכן (תיקון - בטלות עסקה לרכישת מוצרי מזון לאחר חג הפסח), התשפ""ג-2022")</f>
        <v>14198</v>
      </c>
      <c r="E7266" t="s">
        <v>14198</v>
      </c>
      <c r="F7266" t="s">
        <v>14199</v>
      </c>
      <c r="G7266" t="s">
        <v>14</v>
      </c>
      <c r="H7266">
             </c>
      <c r="I7266" t="s">
        <v>14</v>
      </c>
      <c r="J7266" t="s">
        <v>242</v>
      </c>
      <c r="K7266" t="s">
        <v>14</v>
      </c>
      <c r="L7266" t="s">
        <v>20</v>
      </c>
      <c r="M7266" t="s">
        <v>14103</v>
      </c>
      <c r="N7266" t="s">
        <v>14</v>
      </c>
    </row>
    <row r="7267" x14ac:dyDescent="0.25">
      <c r="A7267" t="n">
        <v>25</v>
      </c>
      <c r="B7267" t="s">
        <v>14</v>
      </c>
      <c r="C7267" t="s">
        <v>51</v>
      </c>
      <c r="D7267" s="2" t="s">
        <f>=HYPERLINK("https://main.knesset.gov.il/APPS/legislation/main/bills/2197562", "הצעת חוק ארוחה יומית לתלמיד (תיקון - הרחבת תחולת החוק), התשפ""ג-2022")</f>
        <v>14200</v>
      </c>
      <c r="E7267" t="s">
        <v>14200</v>
      </c>
      <c r="F7267" t="s">
        <v>14201</v>
      </c>
      <c r="G7267" t="s">
        <v>14</v>
      </c>
      <c r="H7267">
             </c>
      <c r="I7267" t="s">
        <v>14</v>
      </c>
      <c r="J7267" t="s">
        <v>242</v>
      </c>
      <c r="K7267" t="s">
        <v>14</v>
      </c>
      <c r="L7267" t="s">
        <v>20</v>
      </c>
      <c r="M7267" t="s">
        <v>14103</v>
      </c>
      <c r="N7267" t="s">
        <v>14</v>
      </c>
    </row>
    <row r="7268" x14ac:dyDescent="0.25">
      <c r="A7268" t="n">
        <v>25</v>
      </c>
      <c r="B7268" t="s">
        <v>14</v>
      </c>
      <c r="C7268" t="s">
        <v>51</v>
      </c>
      <c r="D7268" s="2" t="s">
        <f>=HYPERLINK("https://main.knesset.gov.il/APPS/legislation/main/bills/2197093", "הצעת חוק לתיקון פקודת התעבורה (ביטול מופע אור ירוק ברמזור פנייה ימינה בעת הופעת אור ירוק ברמזור להולכי רגל), התשפ""ג-2022")</f>
        <v>14202</v>
      </c>
      <c r="E7268" t="s">
        <v>14202</v>
      </c>
      <c r="F7268" t="s">
        <v>14203</v>
      </c>
      <c r="G7268" t="s">
        <v>14</v>
      </c>
      <c r="H7268">
             </c>
      <c r="I7268" t="s">
        <v>14</v>
      </c>
      <c r="J7268" t="s">
        <v>242</v>
      </c>
      <c r="K7268" t="s">
        <v>14</v>
      </c>
      <c r="L7268" t="s">
        <v>20</v>
      </c>
      <c r="M7268" t="s">
        <v>14103</v>
      </c>
      <c r="N7268" t="s">
        <v>14</v>
      </c>
    </row>
    <row r="7269" x14ac:dyDescent="0.25">
      <c r="A7269" t="n">
        <v>25</v>
      </c>
      <c r="B7269" t="s">
        <v>14</v>
      </c>
      <c r="C7269" t="s">
        <v>51</v>
      </c>
      <c r="D7269" s="2" t="s">
        <f>=HYPERLINK("https://main.knesset.gov.il/APPS/legislation/main/bills/2196816", "הצעת חוק לתיקון פקודת התעבורה (ביטול מופע אור ירוק ברמזור פנייה ימינה בעת הופעת אור ירוק ברמזור להולכי רגל), התשפ""ג-2022")</f>
        <v>14202</v>
      </c>
      <c r="E7269" t="s">
        <v>14202</v>
      </c>
      <c r="F7269" t="s">
        <v>14204</v>
      </c>
      <c r="G7269" t="s">
        <v>14</v>
      </c>
      <c r="H7269">
             </c>
      <c r="I7269" t="s">
        <v>14</v>
      </c>
      <c r="J7269" t="s">
        <v>242</v>
      </c>
      <c r="K7269" t="s">
        <v>14</v>
      </c>
      <c r="L7269" t="s">
        <v>20</v>
      </c>
      <c r="M7269" t="s">
        <v>14103</v>
      </c>
      <c r="N7269" t="s">
        <v>14</v>
      </c>
    </row>
    <row r="7270" x14ac:dyDescent="0.25">
      <c r="A7270" t="n">
        <v>25</v>
      </c>
      <c r="B7270" t="s">
        <v>14</v>
      </c>
      <c r="C7270" t="s">
        <v>51</v>
      </c>
      <c r="D7270" s="2" t="s">
        <f>=HYPERLINK("https://main.knesset.gov.il/APPS/legislation/main/bills/2197057", "הצעת חוק ארוחה יומית לתלמיד (תיקון - ארוחת כריך יומית בבית ספר על יסודי), התשפ""ג-2022")</f>
        <v>14205</v>
      </c>
      <c r="E7270" t="s">
        <v>14205</v>
      </c>
      <c r="F7270" t="s">
        <v>14206</v>
      </c>
      <c r="G7270" t="s">
        <v>14</v>
      </c>
      <c r="H7270">
             </c>
      <c r="I7270" t="s">
        <v>14</v>
      </c>
      <c r="J7270" t="s">
        <v>242</v>
      </c>
      <c r="K7270" t="s">
        <v>14</v>
      </c>
      <c r="L7270" t="s">
        <v>20</v>
      </c>
      <c r="M7270" t="s">
        <v>14103</v>
      </c>
      <c r="N7270" t="s">
        <v>14</v>
      </c>
    </row>
    <row r="7271" x14ac:dyDescent="0.25">
      <c r="A7271" t="n">
        <v>25</v>
      </c>
      <c r="B7271" t="s">
        <v>14</v>
      </c>
      <c r="C7271" t="s">
        <v>51</v>
      </c>
      <c r="D7271" s="2" t="s">
        <f>=HYPERLINK("https://main.knesset.gov.il/APPS/legislation/main/bills/2197709", "הצעת חוק משק החשמל (תיקון - איסור ניתוק חשמל), התשפ""ג-2022")</f>
        <v>14207</v>
      </c>
      <c r="E7271" t="s">
        <v>14207</v>
      </c>
      <c r="F7271" t="s">
        <v>14208</v>
      </c>
      <c r="G7271" t="s">
        <v>14</v>
      </c>
      <c r="H7271">
             </c>
      <c r="I7271" t="s">
        <v>14</v>
      </c>
      <c r="J7271" t="s">
        <v>242</v>
      </c>
      <c r="K7271" t="s">
        <v>14</v>
      </c>
      <c r="L7271" t="s">
        <v>20</v>
      </c>
      <c r="M7271" t="s">
        <v>14103</v>
      </c>
      <c r="N7271" t="s">
        <v>14</v>
      </c>
    </row>
    <row r="7272" x14ac:dyDescent="0.25">
      <c r="A7272" t="n">
        <v>25</v>
      </c>
      <c r="B7272" t="s">
        <v>14</v>
      </c>
      <c r="C7272" t="s">
        <v>51</v>
      </c>
      <c r="D7272" s="2" t="s">
        <f>=HYPERLINK("https://main.knesset.gov.il/APPS/legislation/main/bills/2197564", "הצעת חוק איסור אלימות בספורט (תיקון - מניעת הרחקה גורפת מאירועי ספורט), התשפ""ג-2022")</f>
        <v>14209</v>
      </c>
      <c r="E7272" t="s">
        <v>14209</v>
      </c>
      <c r="F7272" t="s">
        <v>14210</v>
      </c>
      <c r="G7272" t="s">
        <v>14</v>
      </c>
      <c r="H7272">
             </c>
      <c r="I7272" t="s">
        <v>14</v>
      </c>
      <c r="J7272" t="s">
        <v>242</v>
      </c>
      <c r="K7272" t="s">
        <v>14</v>
      </c>
      <c r="L7272" t="s">
        <v>20</v>
      </c>
      <c r="M7272" t="s">
        <v>14103</v>
      </c>
      <c r="N7272" t="s">
        <v>14</v>
      </c>
    </row>
    <row r="7273" x14ac:dyDescent="0.25">
      <c r="A7273" t="n">
        <v>25</v>
      </c>
      <c r="B7273" t="s">
        <v>14</v>
      </c>
      <c r="C7273" t="s">
        <v>51</v>
      </c>
      <c r="D7273" s="2" t="s">
        <f>=HYPERLINK("https://main.knesset.gov.il/APPS/legislation/main/bills/2195866", "הצעת חוק משק החשמל (תיקון - איסור ניתוק חשמל), התשפ""ג-2022")</f>
        <v>14207</v>
      </c>
      <c r="E7273" t="s">
        <v>14207</v>
      </c>
      <c r="F7273" t="s">
        <v>14211</v>
      </c>
      <c r="G7273" t="s">
        <v>14</v>
      </c>
      <c r="H7273">
             </c>
      <c r="I7273" t="s">
        <v>14</v>
      </c>
      <c r="J7273" t="s">
        <v>242</v>
      </c>
      <c r="K7273" t="s">
        <v>14</v>
      </c>
      <c r="L7273" t="s">
        <v>20</v>
      </c>
      <c r="M7273" t="s">
        <v>14103</v>
      </c>
      <c r="N7273" t="s">
        <v>14</v>
      </c>
    </row>
    <row r="7274" x14ac:dyDescent="0.25">
      <c r="A7274" t="n">
        <v>25</v>
      </c>
      <c r="B7274" t="s">
        <v>14</v>
      </c>
      <c r="C7274" t="s">
        <v>51</v>
      </c>
      <c r="D7274" s="2" t="s">
        <f>=HYPERLINK("https://main.knesset.gov.il/APPS/legislation/main/bills/2197044", "הצעת חוק הפרטת תאגיד השידור הציבורי הישראלי, התשפ""ג-2022")</f>
        <v>4605</v>
      </c>
      <c r="E7274" t="s">
        <v>4605</v>
      </c>
      <c r="F7274" t="s">
        <v>14212</v>
      </c>
      <c r="G7274" t="s">
        <v>14</v>
      </c>
      <c r="H7274">
             </c>
      <c r="I7274" t="s">
        <v>14</v>
      </c>
      <c r="J7274" t="s">
        <v>242</v>
      </c>
      <c r="K7274" t="s">
        <v>14</v>
      </c>
      <c r="L7274" t="s">
        <v>20</v>
      </c>
      <c r="M7274" t="s">
        <v>14103</v>
      </c>
      <c r="N7274" t="s">
        <v>14</v>
      </c>
    </row>
    <row r="7275" x14ac:dyDescent="0.25">
      <c r="A7275" t="n">
        <v>25</v>
      </c>
      <c r="B7275" t="s">
        <v>14</v>
      </c>
      <c r="C7275" t="s">
        <v>51</v>
      </c>
      <c r="D7275" s="2" t="s">
        <f>=HYPERLINK("https://main.knesset.gov.il/APPS/legislation/main/bills/2196679", "הצעת חוק לימוד חובה (תיקון - חינוך חינם לפעוטות ולילדים), התשפ""ג-2022")</f>
        <v>13228</v>
      </c>
      <c r="E7275" t="s">
        <v>13228</v>
      </c>
      <c r="F7275" t="s">
        <v>14213</v>
      </c>
      <c r="G7275" t="s">
        <v>14</v>
      </c>
      <c r="H7275">
             </c>
      <c r="I7275" t="s">
        <v>14</v>
      </c>
      <c r="J7275" t="s">
        <v>242</v>
      </c>
      <c r="K7275" t="s">
        <v>14</v>
      </c>
      <c r="L7275" t="s">
        <v>20</v>
      </c>
      <c r="M7275" t="s">
        <v>14103</v>
      </c>
      <c r="N7275" t="s">
        <v>14</v>
      </c>
    </row>
    <row r="7276" x14ac:dyDescent="0.25">
      <c r="A7276" t="n">
        <v>25</v>
      </c>
      <c r="B7276" t="s">
        <v>14</v>
      </c>
      <c r="C7276" t="s">
        <v>51</v>
      </c>
      <c r="D7276" s="2" t="s">
        <f>=HYPERLINK("https://main.knesset.gov.il/APPS/legislation/main/bills/2197417", "הצעת חוק הפרטת גלי צה""ל, התשפ""ג-2022")</f>
        <v>14214</v>
      </c>
      <c r="E7276" t="s">
        <v>14214</v>
      </c>
      <c r="F7276" t="s">
        <v>14215</v>
      </c>
      <c r="G7276" t="s">
        <v>14</v>
      </c>
      <c r="H7276">
             </c>
      <c r="I7276" t="s">
        <v>14</v>
      </c>
      <c r="J7276" t="s">
        <v>242</v>
      </c>
      <c r="K7276" t="s">
        <v>14</v>
      </c>
      <c r="L7276" t="s">
        <v>20</v>
      </c>
      <c r="M7276" t="s">
        <v>14103</v>
      </c>
      <c r="N7276" t="s">
        <v>14</v>
      </c>
    </row>
    <row r="7277" x14ac:dyDescent="0.25">
      <c r="A7277" t="n">
        <v>25</v>
      </c>
      <c r="B7277" t="s">
        <v>14</v>
      </c>
      <c r="C7277" t="s">
        <v>51</v>
      </c>
      <c r="D7277" s="2" t="s">
        <f>=HYPERLINK("https://main.knesset.gov.il/APPS/legislation/main/bills/2196970", "הצעת חוק הפרטת גלי צה""ל, התשפ""ג-2022")</f>
        <v>14214</v>
      </c>
      <c r="E7277" t="s">
        <v>14214</v>
      </c>
      <c r="F7277" t="s">
        <v>14216</v>
      </c>
      <c r="G7277" t="s">
        <v>14</v>
      </c>
      <c r="H7277">
             </c>
      <c r="I7277" t="s">
        <v>14</v>
      </c>
      <c r="J7277" t="s">
        <v>242</v>
      </c>
      <c r="K7277" t="s">
        <v>14</v>
      </c>
      <c r="L7277" t="s">
        <v>20</v>
      </c>
      <c r="M7277" t="s">
        <v>14103</v>
      </c>
      <c r="N7277" t="s">
        <v>14</v>
      </c>
    </row>
    <row r="7278" x14ac:dyDescent="0.25">
      <c r="A7278" t="n">
        <v>25</v>
      </c>
      <c r="B7278" t="s">
        <v>14</v>
      </c>
      <c r="C7278" t="s">
        <v>51</v>
      </c>
      <c r="D7278" s="2" t="s">
        <f>=HYPERLINK("https://main.knesset.gov.il/APPS/legislation/main/bills/2197487", "הצעת חוק הכנסת (תיקון - כינוס הכנסת בתקופת הפגרה), התשפ""ג-2022")</f>
        <v>14217</v>
      </c>
      <c r="E7278" t="s">
        <v>14217</v>
      </c>
      <c r="F7278" t="s">
        <v>14218</v>
      </c>
      <c r="G7278" t="s">
        <v>14</v>
      </c>
      <c r="H7278">
             </c>
      <c r="I7278" t="s">
        <v>14</v>
      </c>
      <c r="J7278" t="s">
        <v>242</v>
      </c>
      <c r="K7278" t="s">
        <v>14</v>
      </c>
      <c r="L7278" t="s">
        <v>20</v>
      </c>
      <c r="M7278" t="s">
        <v>14103</v>
      </c>
      <c r="N7278" t="s">
        <v>14</v>
      </c>
    </row>
    <row r="7279" x14ac:dyDescent="0.25">
      <c r="A7279" t="n">
        <v>25</v>
      </c>
      <c r="B7279" t="s">
        <v>14</v>
      </c>
      <c r="C7279" t="s">
        <v>51</v>
      </c>
      <c r="D7279" s="2" t="s">
        <f>=HYPERLINK("https://main.knesset.gov.il/APPS/legislation/main/bills/2196802", "הצעת חוק הפרטת גלי צה""ל, התשפ""ג-2022")</f>
        <v>14214</v>
      </c>
      <c r="E7279" t="s">
        <v>14214</v>
      </c>
      <c r="F7279" t="s">
        <v>14219</v>
      </c>
      <c r="G7279" t="s">
        <v>14</v>
      </c>
      <c r="H7279">
             </c>
      <c r="I7279" t="s">
        <v>14</v>
      </c>
      <c r="J7279" t="s">
        <v>242</v>
      </c>
      <c r="K7279" t="s">
        <v>14</v>
      </c>
      <c r="L7279" t="s">
        <v>20</v>
      </c>
      <c r="M7279" t="s">
        <v>14103</v>
      </c>
      <c r="N7279" t="s">
        <v>14</v>
      </c>
    </row>
    <row r="7280" x14ac:dyDescent="0.25">
      <c r="A7280" t="n">
        <v>25</v>
      </c>
      <c r="B7280" t="s">
        <v>14</v>
      </c>
      <c r="C7280" t="s">
        <v>51</v>
      </c>
      <c r="D7280" s="2" t="s">
        <f>=HYPERLINK("https://main.knesset.gov.il/APPS/legislation/main/bills/2197032", "הצעת חוק המועצה לייצור ולשיווק של אגוזי אדמה (תיקון - ביטול החוק), התשפ""ג-2022")</f>
        <v>14220</v>
      </c>
      <c r="E7280" t="s">
        <v>14220</v>
      </c>
      <c r="F7280" t="s">
        <v>14221</v>
      </c>
      <c r="G7280" t="s">
        <v>14</v>
      </c>
      <c r="H7280">
             </c>
      <c r="I7280" t="s">
        <v>14</v>
      </c>
      <c r="J7280" t="s">
        <v>242</v>
      </c>
      <c r="K7280" t="s">
        <v>14</v>
      </c>
      <c r="L7280" t="s">
        <v>20</v>
      </c>
      <c r="M7280" t="s">
        <v>14103</v>
      </c>
      <c r="N7280" t="s">
        <v>14</v>
      </c>
    </row>
    <row r="7281" x14ac:dyDescent="0.25">
      <c r="A7281" t="n">
        <v>25</v>
      </c>
      <c r="B7281" t="s">
        <v>14</v>
      </c>
      <c r="C7281" t="s">
        <v>51</v>
      </c>
      <c r="D7281" s="2" t="s">
        <f>=HYPERLINK("https://main.knesset.gov.il/APPS/legislation/main/bills/2196829", "הצעת חוק למניעת אלימות במשפחה (פיקוח טכנולוגי להבטחת קיומו של צו הגנה, והערכת מסוכנות - הוראת שעה), התשפ""ג-2022")</f>
        <v>10165</v>
      </c>
      <c r="E7281" t="s">
        <v>10165</v>
      </c>
      <c r="F7281" t="s">
        <v>14222</v>
      </c>
      <c r="G7281" t="s">
        <v>14</v>
      </c>
      <c r="H7281">
             </c>
      <c r="I7281" t="s">
        <v>14</v>
      </c>
      <c r="J7281" t="s">
        <v>242</v>
      </c>
      <c r="K7281" t="s">
        <v>14</v>
      </c>
      <c r="L7281" t="s">
        <v>20</v>
      </c>
      <c r="M7281" t="s">
        <v>14103</v>
      </c>
      <c r="N7281" t="s">
        <v>14</v>
      </c>
    </row>
    <row r="7282" x14ac:dyDescent="0.25">
      <c r="A7282" t="n">
        <v>25</v>
      </c>
      <c r="B7282" t="s">
        <v>14</v>
      </c>
      <c r="C7282" t="s">
        <v>51</v>
      </c>
      <c r="D7282" s="2" t="s">
        <f>=HYPERLINK("https://main.knesset.gov.il/APPS/legislation/main/bills/2196869", "הצעת חוק המועצה לייצור ולשיווק של אגוזי אדמה (תיקון - ביטול החוק), התשפ""ג-2022")</f>
        <v>14220</v>
      </c>
      <c r="E7282" t="s">
        <v>14220</v>
      </c>
      <c r="F7282" t="s">
        <v>14223</v>
      </c>
      <c r="G7282" t="s">
        <v>14</v>
      </c>
      <c r="H7282">
             </c>
      <c r="I7282" t="s">
        <v>14</v>
      </c>
      <c r="J7282" t="s">
        <v>242</v>
      </c>
      <c r="K7282" t="s">
        <v>14</v>
      </c>
      <c r="L7282" t="s">
        <v>20</v>
      </c>
      <c r="M7282" t="s">
        <v>14103</v>
      </c>
      <c r="N7282" t="s">
        <v>14</v>
      </c>
    </row>
    <row r="7283" x14ac:dyDescent="0.25">
      <c r="A7283" t="n">
        <v>25</v>
      </c>
      <c r="B7283" t="s">
        <v>14</v>
      </c>
      <c r="C7283" t="s">
        <v>51</v>
      </c>
      <c r="D7283" s="2" t="s">
        <f>=HYPERLINK("https://main.knesset.gov.il/APPS/legislation/main/bills/2197397", "הצעת חוק תכנון משק החלב (תיקון - ביטול החוק), התשפ""ג-2022")</f>
        <v>14224</v>
      </c>
      <c r="E7283" t="s">
        <v>14224</v>
      </c>
      <c r="F7283" t="s">
        <v>14225</v>
      </c>
      <c r="G7283" t="s">
        <v>14</v>
      </c>
      <c r="H7283">
             </c>
      <c r="I7283" t="s">
        <v>14</v>
      </c>
      <c r="J7283" t="s">
        <v>242</v>
      </c>
      <c r="K7283" t="s">
        <v>14</v>
      </c>
      <c r="L7283" t="s">
        <v>20</v>
      </c>
      <c r="M7283" t="s">
        <v>14103</v>
      </c>
      <c r="N7283" t="s">
        <v>14</v>
      </c>
    </row>
    <row r="7284" x14ac:dyDescent="0.25">
      <c r="A7284" t="n">
        <v>25</v>
      </c>
      <c r="B7284" t="s">
        <v>14</v>
      </c>
      <c r="C7284" t="s">
        <v>51</v>
      </c>
      <c r="D7284" s="2" t="s">
        <f>=HYPERLINK("https://main.knesset.gov.il/APPS/legislation/main/bills/2196969", "הצעת חוק הכנסת (תיקון - קביעת שכר חברי הכנסת בידי ועדה ציבורית), התשפ""ג-2022")</f>
        <v>14226</v>
      </c>
      <c r="E7284" t="s">
        <v>14226</v>
      </c>
      <c r="F7284" t="s">
        <v>14227</v>
      </c>
      <c r="G7284" t="s">
        <v>14</v>
      </c>
      <c r="H7284">
             </c>
      <c r="I7284" t="s">
        <v>14</v>
      </c>
      <c r="J7284" t="s">
        <v>242</v>
      </c>
      <c r="K7284" t="s">
        <v>14</v>
      </c>
      <c r="L7284" t="s">
        <v>20</v>
      </c>
      <c r="M7284" t="s">
        <v>14103</v>
      </c>
      <c r="N7284" t="s">
        <v>14</v>
      </c>
    </row>
    <row r="7285" x14ac:dyDescent="0.25">
      <c r="A7285" t="n">
        <v>25</v>
      </c>
      <c r="B7285" t="s">
        <v>14</v>
      </c>
      <c r="C7285" t="s">
        <v>51</v>
      </c>
      <c r="D7285" s="2" t="s">
        <f>=HYPERLINK("https://main.knesset.gov.il/APPS/legislation/main/bills/2196848", "הצעת חוק תכנון משק החלב (תיקון - ביטול החוק), התשפ""ג-2022")</f>
        <v>14224</v>
      </c>
      <c r="E7285" t="s">
        <v>14224</v>
      </c>
      <c r="F7285" t="s">
        <v>14228</v>
      </c>
      <c r="G7285" t="s">
        <v>14</v>
      </c>
      <c r="H7285">
             </c>
      <c r="I7285" t="s">
        <v>14</v>
      </c>
      <c r="J7285" t="s">
        <v>242</v>
      </c>
      <c r="K7285" t="s">
        <v>14</v>
      </c>
      <c r="L7285" t="s">
        <v>20</v>
      </c>
      <c r="M7285" t="s">
        <v>14103</v>
      </c>
      <c r="N7285" t="s">
        <v>14</v>
      </c>
    </row>
    <row r="7286" x14ac:dyDescent="0.25">
      <c r="A7286" t="n">
        <v>25</v>
      </c>
      <c r="B7286" t="s">
        <v>14</v>
      </c>
      <c r="C7286" t="s">
        <v>51</v>
      </c>
      <c r="D7286" s="2" t="s">
        <f>=HYPERLINK("https://main.knesset.gov.il/APPS/legislation/main/bills/2196964", "הצעת חוק המרכז להנצחת מורשתו של הנשיא יצחק נבון, התשפ""ג-2022")</f>
        <v>14229</v>
      </c>
      <c r="E7286" t="s">
        <v>14229</v>
      </c>
      <c r="F7286" t="s">
        <v>14230</v>
      </c>
      <c r="G7286" t="s">
        <v>14</v>
      </c>
      <c r="H7286">
             </c>
      <c r="I7286" t="s">
        <v>14</v>
      </c>
      <c r="J7286" t="s">
        <v>242</v>
      </c>
      <c r="K7286" t="s">
        <v>14</v>
      </c>
      <c r="L7286" t="s">
        <v>20</v>
      </c>
      <c r="M7286" t="s">
        <v>14103</v>
      </c>
      <c r="N7286" t="s">
        <v>14</v>
      </c>
    </row>
    <row r="7287" x14ac:dyDescent="0.25">
      <c r="A7287" t="n">
        <v>25</v>
      </c>
      <c r="B7287" t="s">
        <v>14</v>
      </c>
      <c r="C7287" t="s">
        <v>51</v>
      </c>
      <c r="D7287" s="2" t="s">
        <f>=HYPERLINK("https://main.knesset.gov.il/APPS/legislation/main/bills/2196101", "הצעת חוק החקלאות, התשפ""ג-2022 ")</f>
        <v>14231</v>
      </c>
      <c r="E7287" t="s">
        <v>14231</v>
      </c>
      <c r="F7287" t="s">
        <v>14232</v>
      </c>
      <c r="G7287" t="s">
        <v>14</v>
      </c>
      <c r="H7287">
             </c>
      <c r="I7287" t="s">
        <v>14</v>
      </c>
      <c r="J7287" t="s">
        <v>202</v>
      </c>
      <c r="K7287" t="s">
        <v>14</v>
      </c>
      <c r="L7287" t="s">
        <v>20</v>
      </c>
      <c r="M7287" t="s">
        <v>14103</v>
      </c>
      <c r="N7287" t="s">
        <v>14</v>
      </c>
    </row>
    <row r="7288" x14ac:dyDescent="0.25">
      <c r="A7288" t="n">
        <v>25</v>
      </c>
      <c r="B7288" t="s">
        <v>14</v>
      </c>
      <c r="C7288" t="s">
        <v>51</v>
      </c>
      <c r="D7288" s="2" t="s">
        <f>=HYPERLINK("https://main.knesset.gov.il/APPS/legislation/main/bills/2196891", "הצעת חוק-יסוד: הכנסת (תיקון - הצהרת אמונים בפני מליאת הכנסת ועיצומים נגד מי שלא הצהיר)")</f>
        <v>1174</v>
      </c>
      <c r="E7288" t="s">
        <v>1174</v>
      </c>
      <c r="F7288" t="s">
        <v>14233</v>
      </c>
      <c r="G7288" t="s">
        <v>14</v>
      </c>
      <c r="H7288">
             </c>
      <c r="I7288" t="s">
        <v>14</v>
      </c>
      <c r="J7288" t="s">
        <v>242</v>
      </c>
      <c r="K7288" t="s">
        <v>14</v>
      </c>
      <c r="L7288" t="s">
        <v>20</v>
      </c>
      <c r="M7288" t="s">
        <v>14103</v>
      </c>
      <c r="N7288" t="s">
        <v>14</v>
      </c>
    </row>
    <row r="7289" x14ac:dyDescent="0.25">
      <c r="A7289" t="n">
        <v>25</v>
      </c>
      <c r="B7289" t="s">
        <v>14</v>
      </c>
      <c r="C7289" t="s">
        <v>51</v>
      </c>
      <c r="D7289" s="2" t="s">
        <f>=HYPERLINK("https://main.knesset.gov.il/APPS/legislation/main/bills/2196805", "הצעת חוק-יסוד: הכנסת (תיקון - סמכויות ועדת חקירה פרלמנטרית)")</f>
        <v>5068</v>
      </c>
      <c r="E7289" t="s">
        <v>5068</v>
      </c>
      <c r="F7289" t="s">
        <v>14234</v>
      </c>
      <c r="G7289" t="s">
        <v>14</v>
      </c>
      <c r="H7289">
             </c>
      <c r="I7289" t="s">
        <v>14</v>
      </c>
      <c r="J7289" t="s">
        <v>242</v>
      </c>
      <c r="K7289" t="s">
        <v>14</v>
      </c>
      <c r="L7289" t="s">
        <v>20</v>
      </c>
      <c r="M7289" t="s">
        <v>14103</v>
      </c>
      <c r="N7289" t="s">
        <v>14</v>
      </c>
    </row>
    <row r="7290" x14ac:dyDescent="0.25">
      <c r="A7290" t="n">
        <v>25</v>
      </c>
      <c r="B7290" t="s">
        <v>14</v>
      </c>
      <c r="C7290" t="s">
        <v>51</v>
      </c>
      <c r="D7290" s="2" t="s">
        <f>=HYPERLINK("https://main.knesset.gov.il/APPS/legislation/main/bills/2197304", "הצעת חוק הסדרת הטיפול בחולי נפש (תיקוני חקיקה), התשפ""ג-2022")</f>
        <v>14235</v>
      </c>
      <c r="E7290" t="s">
        <v>14235</v>
      </c>
      <c r="F7290" t="s">
        <v>14236</v>
      </c>
      <c r="G7290" t="s">
        <v>14</v>
      </c>
      <c r="H7290">
             </c>
      <c r="I7290" t="s">
        <v>14</v>
      </c>
      <c r="J7290" t="s">
        <v>242</v>
      </c>
      <c r="K7290" t="s">
        <v>14</v>
      </c>
      <c r="L7290" t="s">
        <v>20</v>
      </c>
      <c r="M7290" t="s">
        <v>14103</v>
      </c>
      <c r="N7290" t="s">
        <v>14</v>
      </c>
    </row>
    <row r="7291" x14ac:dyDescent="0.25">
      <c r="A7291" t="n">
        <v>25</v>
      </c>
      <c r="B7291" t="s">
        <v>14</v>
      </c>
      <c r="C7291" t="s">
        <v>51</v>
      </c>
      <c r="D7291" s="2" t="s">
        <f>=HYPERLINK("https://main.knesset.gov.il/APPS/legislation/main/bills/2197309", "הצעת חוק כביש אגרה (כביש ארצי לישראל) (תיקון - פטור מאגרה בשל האטה ממהירות הנסיעה המותרת), התשפ""ג-2022")</f>
        <v>14237</v>
      </c>
      <c r="E7291" t="s">
        <v>14237</v>
      </c>
      <c r="F7291" t="s">
        <v>14238</v>
      </c>
      <c r="G7291" t="s">
        <v>14</v>
      </c>
      <c r="H7291">
             </c>
      <c r="I7291" t="s">
        <v>14</v>
      </c>
      <c r="J7291" t="s">
        <v>242</v>
      </c>
      <c r="K7291" t="s">
        <v>14</v>
      </c>
      <c r="L7291" t="s">
        <v>20</v>
      </c>
      <c r="M7291" t="s">
        <v>14103</v>
      </c>
      <c r="N7291" t="s">
        <v>14</v>
      </c>
    </row>
    <row r="7292" x14ac:dyDescent="0.25">
      <c r="A7292" t="n">
        <v>25</v>
      </c>
      <c r="B7292" t="s">
        <v>14</v>
      </c>
      <c r="C7292" t="s">
        <v>51</v>
      </c>
      <c r="D7292" s="2" t="s">
        <f>=HYPERLINK("https://main.knesset.gov.il/APPS/legislation/main/bills/2196626", "הצעת חוק-יסוד: הכנסת (תיקון - מניין חברי הכנסת במליאה)")</f>
        <v>3545</v>
      </c>
      <c r="E7292" t="s">
        <v>3545</v>
      </c>
      <c r="F7292" t="s">
        <v>14239</v>
      </c>
      <c r="G7292" t="s">
        <v>14</v>
      </c>
      <c r="H7292">
             </c>
      <c r="I7292" t="s">
        <v>14</v>
      </c>
      <c r="J7292" t="s">
        <v>242</v>
      </c>
      <c r="K7292" t="s">
        <v>14</v>
      </c>
      <c r="L7292" t="s">
        <v>20</v>
      </c>
      <c r="M7292" t="s">
        <v>14103</v>
      </c>
      <c r="N7292" t="s">
        <v>14</v>
      </c>
    </row>
    <row r="7293" x14ac:dyDescent="0.25">
      <c r="A7293" t="n">
        <v>25</v>
      </c>
      <c r="B7293" t="s">
        <v>14</v>
      </c>
      <c r="C7293" t="s">
        <v>51</v>
      </c>
      <c r="D7293" s="2" t="s">
        <f>=HYPERLINK("https://main.knesset.gov.il/APPS/legislation/main/bills/2195829", "הצעת חוק מוקד חירום רפואי טלפוני, התשפ""ג-2022")</f>
        <v>14240</v>
      </c>
      <c r="E7293" t="s">
        <v>14240</v>
      </c>
      <c r="F7293" t="s">
        <v>14241</v>
      </c>
      <c r="G7293" t="s">
        <v>14</v>
      </c>
      <c r="H7293">
             </c>
      <c r="I7293" t="s">
        <v>14</v>
      </c>
      <c r="J7293" t="s">
        <v>242</v>
      </c>
      <c r="K7293" t="s">
        <v>14</v>
      </c>
      <c r="L7293" t="s">
        <v>20</v>
      </c>
      <c r="M7293" t="s">
        <v>14103</v>
      </c>
      <c r="N7293" t="s">
        <v>14</v>
      </c>
    </row>
    <row r="7294" x14ac:dyDescent="0.25">
      <c r="A7294" t="n">
        <v>25</v>
      </c>
      <c r="B7294" t="s">
        <v>14</v>
      </c>
      <c r="C7294" t="s">
        <v>51</v>
      </c>
      <c r="D7294" s="2" t="s">
        <f>=HYPERLINK("https://main.knesset.gov.il/APPS/legislation/main/bills/2197394", "הצעת חוק הכנסת (תיקון - חובת התייצבות בפני ועדות הכנסת), התשפ""ג-2022")</f>
        <v>14242</v>
      </c>
      <c r="E7294" t="s">
        <v>14242</v>
      </c>
      <c r="F7294" t="s">
        <v>14243</v>
      </c>
      <c r="G7294" t="s">
        <v>14</v>
      </c>
      <c r="H7294">
             </c>
      <c r="I7294" t="s">
        <v>14</v>
      </c>
      <c r="J7294" t="s">
        <v>242</v>
      </c>
      <c r="K7294" t="s">
        <v>14</v>
      </c>
      <c r="L7294" t="s">
        <v>20</v>
      </c>
      <c r="M7294" t="s">
        <v>14103</v>
      </c>
      <c r="N7294" t="s">
        <v>14</v>
      </c>
    </row>
    <row r="7295" x14ac:dyDescent="0.25">
      <c r="A7295" t="n">
        <v>25</v>
      </c>
      <c r="B7295" t="s">
        <v>14</v>
      </c>
      <c r="C7295" t="s">
        <v>51</v>
      </c>
      <c r="D7295" s="2" t="s">
        <f>=HYPERLINK("https://main.knesset.gov.il/APPS/legislation/main/bills/2196905", "הצעת חוק הכנסת (תיקון - חובת התייצבות בפני ועדות הכנסת), התשפ""ג-2022 ")</f>
        <v>14244</v>
      </c>
      <c r="E7295" t="s">
        <v>14244</v>
      </c>
      <c r="F7295" t="s">
        <v>14245</v>
      </c>
      <c r="G7295" t="s">
        <v>14</v>
      </c>
      <c r="H7295">
             </c>
      <c r="I7295" t="s">
        <v>14</v>
      </c>
      <c r="J7295" t="s">
        <v>242</v>
      </c>
      <c r="K7295" t="s">
        <v>14</v>
      </c>
      <c r="L7295" t="s">
        <v>20</v>
      </c>
      <c r="M7295" t="s">
        <v>14103</v>
      </c>
      <c r="N7295" t="s">
        <v>14</v>
      </c>
    </row>
    <row r="7296" x14ac:dyDescent="0.25">
      <c r="A7296" t="n">
        <v>25</v>
      </c>
      <c r="B7296" t="s">
        <v>14</v>
      </c>
      <c r="C7296" t="s">
        <v>51</v>
      </c>
      <c r="D7296" s="2" t="s">
        <f>=HYPERLINK("https://main.knesset.gov.il/APPS/legislation/main/bills/2196137", "הצעת חוק שכר נושאי משרה ברשויות השלטון, התשפ""ג-2022")</f>
        <v>14246</v>
      </c>
      <c r="E7296" t="s">
        <v>14246</v>
      </c>
      <c r="F7296" t="s">
        <v>14247</v>
      </c>
      <c r="G7296" t="s">
        <v>14</v>
      </c>
      <c r="H7296">
             </c>
      <c r="I7296" t="s">
        <v>14</v>
      </c>
      <c r="J7296" t="s">
        <v>242</v>
      </c>
      <c r="K7296" t="s">
        <v>14</v>
      </c>
      <c r="L7296" t="s">
        <v>20</v>
      </c>
      <c r="M7296" t="s">
        <v>14103</v>
      </c>
      <c r="N7296" t="s">
        <v>14</v>
      </c>
    </row>
    <row r="7297" x14ac:dyDescent="0.25">
      <c r="A7297" t="n">
        <v>25</v>
      </c>
      <c r="B7297" t="s">
        <v>14</v>
      </c>
      <c r="C7297" t="s">
        <v>51</v>
      </c>
      <c r="D7297" s="2" t="s">
        <f>=HYPERLINK("https://main.knesset.gov.il/APPS/legislation/main/bills/2196146", "הצעת חוק-יסוד: שכר נושאי משרה ברשויות השלטון (תיקוני חקיקה)")</f>
        <v>10356</v>
      </c>
      <c r="E7297" t="s">
        <v>10356</v>
      </c>
      <c r="F7297" t="s">
        <v>14248</v>
      </c>
      <c r="G7297" t="s">
        <v>14</v>
      </c>
      <c r="H7297">
             </c>
      <c r="I7297" t="s">
        <v>14</v>
      </c>
      <c r="J7297" t="s">
        <v>242</v>
      </c>
      <c r="K7297" t="s">
        <v>14</v>
      </c>
      <c r="L7297" t="s">
        <v>20</v>
      </c>
      <c r="M7297" t="s">
        <v>14103</v>
      </c>
      <c r="N7297" t="s">
        <v>14</v>
      </c>
    </row>
    <row r="7298" x14ac:dyDescent="0.25">
      <c r="A7298" t="n">
        <v>25</v>
      </c>
      <c r="B7298" t="s">
        <v>14</v>
      </c>
      <c r="C7298" t="s">
        <v>51</v>
      </c>
      <c r="D7298" s="2" t="s">
        <f>=HYPERLINK("https://main.knesset.gov.il/APPS/legislation/main/bills/2195794", "הצעת חוק הסדרת הטיפול בחולי נפש (תיקוני חקיקה), התשפ""ג-2022")</f>
        <v>14235</v>
      </c>
      <c r="E7298" t="s">
        <v>14235</v>
      </c>
      <c r="F7298" t="s">
        <v>14249</v>
      </c>
      <c r="G7298" t="s">
        <v>14</v>
      </c>
      <c r="H7298">
             </c>
      <c r="I7298" t="s">
        <v>14</v>
      </c>
      <c r="J7298" t="s">
        <v>242</v>
      </c>
      <c r="K7298" t="s">
        <v>14</v>
      </c>
      <c r="L7298" t="s">
        <v>20</v>
      </c>
      <c r="M7298" t="s">
        <v>14103</v>
      </c>
      <c r="N7298" t="s">
        <v>14</v>
      </c>
    </row>
    <row r="7299" x14ac:dyDescent="0.25">
      <c r="A7299" t="n">
        <v>25</v>
      </c>
      <c r="B7299" t="s">
        <v>14</v>
      </c>
      <c r="C7299" t="s">
        <v>51</v>
      </c>
      <c r="D7299" s="2" t="s">
        <f>=HYPERLINK("https://main.knesset.gov.il/APPS/legislation/main/bills/2196984", "הצעת חוק הביטוח הלאומי (תיקון - דמי אבטלה לעצמאים), התשפ""ג-2022")</f>
        <v>14250</v>
      </c>
      <c r="E7299" t="s">
        <v>14250</v>
      </c>
      <c r="F7299" t="s">
        <v>14251</v>
      </c>
      <c r="G7299" t="s">
        <v>14</v>
      </c>
      <c r="H7299">
             </c>
      <c r="I7299" t="s">
        <v>14</v>
      </c>
      <c r="J7299" t="s">
        <v>242</v>
      </c>
      <c r="K7299" t="s">
        <v>14</v>
      </c>
      <c r="L7299" t="s">
        <v>20</v>
      </c>
      <c r="M7299" t="s">
        <v>14103</v>
      </c>
      <c r="N7299" t="s">
        <v>14</v>
      </c>
    </row>
    <row r="7300" x14ac:dyDescent="0.25">
      <c r="A7300" t="n">
        <v>25</v>
      </c>
      <c r="B7300" t="s">
        <v>14</v>
      </c>
      <c r="C7300" t="s">
        <v>51</v>
      </c>
      <c r="D7300" s="2" t="s">
        <f>=HYPERLINK("https://main.knesset.gov.il/APPS/legislation/main/bills/2196670", "הצעת חוק הביטוח הלאומי (תיקון - דמי אבטלה לעצמאים), התשפ""ג-2022")</f>
        <v>14250</v>
      </c>
      <c r="E7300" t="s">
        <v>14250</v>
      </c>
      <c r="F7300" t="s">
        <v>14252</v>
      </c>
      <c r="G7300" t="s">
        <v>14</v>
      </c>
      <c r="H7300">
             </c>
      <c r="I7300" t="s">
        <v>14</v>
      </c>
      <c r="J7300" t="s">
        <v>242</v>
      </c>
      <c r="K7300" t="s">
        <v>14</v>
      </c>
      <c r="L7300" t="s">
        <v>20</v>
      </c>
      <c r="M7300" t="s">
        <v>14103</v>
      </c>
      <c r="N7300" t="s">
        <v>14</v>
      </c>
    </row>
    <row r="7301" x14ac:dyDescent="0.25">
      <c r="A7301" t="n">
        <v>25</v>
      </c>
      <c r="B7301" t="s">
        <v>14</v>
      </c>
      <c r="C7301" t="s">
        <v>51</v>
      </c>
      <c r="D7301" s="2" t="s">
        <f>=HYPERLINK("https://main.knesset.gov.il/APPS/legislation/main/bills/2196161", "הצעת חוק שירות המדינה (מינויים) (תיקון - הכרה בלימודים תורניים גבוהים לעניין תנאי סף), התשפ""ג-2022")</f>
        <v>14253</v>
      </c>
      <c r="E7301" t="s">
        <v>14253</v>
      </c>
      <c r="F7301" t="s">
        <v>14254</v>
      </c>
      <c r="G7301" t="s">
        <v>14</v>
      </c>
      <c r="H7301">
             </c>
      <c r="I7301" t="s">
        <v>14</v>
      </c>
      <c r="J7301" t="s">
        <v>242</v>
      </c>
      <c r="K7301" t="s">
        <v>14</v>
      </c>
      <c r="L7301" t="s">
        <v>20</v>
      </c>
      <c r="M7301" t="s">
        <v>14103</v>
      </c>
      <c r="N7301" t="s">
        <v>14</v>
      </c>
    </row>
    <row r="7302" x14ac:dyDescent="0.25">
      <c r="A7302" t="n">
        <v>25</v>
      </c>
      <c r="B7302" t="s">
        <v>14</v>
      </c>
      <c r="C7302" t="s">
        <v>51</v>
      </c>
      <c r="D7302" s="2" t="s">
        <f>=HYPERLINK("https://main.knesset.gov.il/APPS/legislation/main/bills/2196722", "הצעת חוק התכנון והבנייה (תיקון - סייגים להתניית היתר), התשפ""ג-2022")</f>
        <v>14255</v>
      </c>
      <c r="E7302" t="s">
        <v>14255</v>
      </c>
      <c r="F7302" t="s">
        <v>14256</v>
      </c>
      <c r="G7302" t="s">
        <v>14</v>
      </c>
      <c r="H7302">
             </c>
      <c r="I7302" t="s">
        <v>14</v>
      </c>
      <c r="J7302" t="s">
        <v>242</v>
      </c>
      <c r="K7302" t="s">
        <v>14</v>
      </c>
      <c r="L7302" t="s">
        <v>20</v>
      </c>
      <c r="M7302" t="s">
        <v>14103</v>
      </c>
      <c r="N7302" t="s">
        <v>14</v>
      </c>
    </row>
    <row r="7303" x14ac:dyDescent="0.25">
      <c r="A7303" t="n">
        <v>25</v>
      </c>
      <c r="B7303" t="s">
        <v>14</v>
      </c>
      <c r="C7303" t="s">
        <v>51</v>
      </c>
      <c r="D7303" s="2" t="s">
        <f>=HYPERLINK("https://main.knesset.gov.il/APPS/legislation/main/bills/2196720", "הצעת חוק התכנון והבנייה (תיקון - הרחבת הפטור מהיטל השבחה), התשפ""ג-2022")</f>
        <v>14257</v>
      </c>
      <c r="E7303" t="s">
        <v>14257</v>
      </c>
      <c r="F7303" t="s">
        <v>14258</v>
      </c>
      <c r="G7303" t="s">
        <v>14</v>
      </c>
      <c r="H7303">
             </c>
      <c r="I7303" t="s">
        <v>14</v>
      </c>
      <c r="J7303" t="s">
        <v>242</v>
      </c>
      <c r="K7303" t="s">
        <v>14</v>
      </c>
      <c r="L7303" t="s">
        <v>20</v>
      </c>
      <c r="M7303" t="s">
        <v>14103</v>
      </c>
      <c r="N7303" t="s">
        <v>14</v>
      </c>
    </row>
    <row r="7304" x14ac:dyDescent="0.25">
      <c r="A7304" t="n">
        <v>25</v>
      </c>
      <c r="B7304" t="s">
        <v>14</v>
      </c>
      <c r="C7304" t="s">
        <v>51</v>
      </c>
      <c r="D7304" s="2" t="s">
        <f>=HYPERLINK("https://main.knesset.gov.il/APPS/legislation/main/bills/2195993", "הצעת חוק מידע גנטי (תיקון - איסור שימוש בתוצאות בדיקה גנטית לקביעת השתייכות לעדה דתית), התשפ""ג-2022")</f>
        <v>14259</v>
      </c>
      <c r="E7304" t="s">
        <v>14259</v>
      </c>
      <c r="F7304" t="s">
        <v>14260</v>
      </c>
      <c r="G7304" t="s">
        <v>14</v>
      </c>
      <c r="H7304">
             </c>
      <c r="I7304" t="s">
        <v>14</v>
      </c>
      <c r="J7304" t="s">
        <v>242</v>
      </c>
      <c r="K7304" t="s">
        <v>14</v>
      </c>
      <c r="L7304" t="s">
        <v>20</v>
      </c>
      <c r="M7304" t="s">
        <v>14103</v>
      </c>
      <c r="N7304" t="s">
        <v>14</v>
      </c>
    </row>
    <row r="7305" x14ac:dyDescent="0.25">
      <c r="A7305" t="n">
        <v>25</v>
      </c>
      <c r="B7305" t="s">
        <v>14</v>
      </c>
      <c r="C7305" t="s">
        <v>51</v>
      </c>
      <c r="D7305" s="2" t="s">
        <f>=HYPERLINK("https://main.knesset.gov.il/APPS/legislation/main/bills/2196669", "הצעת חוק המועצות האזוריות (בחירת ראש המועצה) (תיקון - הגשת רשימה על ידי סיעה או מפלגה), התשפ""ג-2022")</f>
        <v>14261</v>
      </c>
      <c r="E7305" t="s">
        <v>14261</v>
      </c>
      <c r="F7305" t="s">
        <v>14262</v>
      </c>
      <c r="G7305" t="s">
        <v>14</v>
      </c>
      <c r="H7305">
             </c>
      <c r="I7305" t="s">
        <v>14</v>
      </c>
      <c r="J7305" t="s">
        <v>242</v>
      </c>
      <c r="K7305" t="s">
        <v>14</v>
      </c>
      <c r="L7305" t="s">
        <v>20</v>
      </c>
      <c r="M7305" t="s">
        <v>14103</v>
      </c>
      <c r="N7305" t="s">
        <v>14</v>
      </c>
    </row>
    <row r="7306" x14ac:dyDescent="0.25">
      <c r="A7306" t="n">
        <v>25</v>
      </c>
      <c r="B7306" t="s">
        <v>14</v>
      </c>
      <c r="C7306" t="s">
        <v>51</v>
      </c>
      <c r="D7306" s="2" t="s">
        <f>=HYPERLINK("https://main.knesset.gov.il/APPS/legislation/main/bills/2196148", "הצעת חוק הביטוח הלאומי (תיקון - קצבת נכות וקצבת שאירים), התשפ""ג-2022")</f>
        <v>14263</v>
      </c>
      <c r="E7306" t="s">
        <v>14263</v>
      </c>
      <c r="F7306" t="s">
        <v>14264</v>
      </c>
      <c r="G7306" t="s">
        <v>14</v>
      </c>
      <c r="H7306">
             </c>
      <c r="I7306" t="s">
        <v>14</v>
      </c>
      <c r="J7306" t="s">
        <v>242</v>
      </c>
      <c r="K7306" t="s">
        <v>14</v>
      </c>
      <c r="L7306" t="s">
        <v>20</v>
      </c>
      <c r="M7306" t="s">
        <v>14103</v>
      </c>
      <c r="N7306" t="s">
        <v>14</v>
      </c>
    </row>
    <row r="7307" x14ac:dyDescent="0.25">
      <c r="A7307" t="n">
        <v>25</v>
      </c>
      <c r="B7307" t="s">
        <v>14</v>
      </c>
      <c r="C7307" t="s">
        <v>51</v>
      </c>
      <c r="D7307" s="2" t="s">
        <f>=HYPERLINK("https://main.knesset.gov.il/APPS/legislation/main/bills/2196040", "הצעת חוק העונשין (תיקון - פיצויים לזכאי במשפט חוזר ובערעור בבית המשפט העליון), התשפ""ג-2022")</f>
        <v>14265</v>
      </c>
      <c r="E7307" t="s">
        <v>14265</v>
      </c>
      <c r="F7307" t="s">
        <v>14266</v>
      </c>
      <c r="G7307" t="s">
        <v>14</v>
      </c>
      <c r="H7307">
             </c>
      <c r="I7307" t="s">
        <v>14</v>
      </c>
      <c r="J7307" t="s">
        <v>242</v>
      </c>
      <c r="K7307" t="s">
        <v>14</v>
      </c>
      <c r="L7307" t="s">
        <v>20</v>
      </c>
      <c r="M7307" t="s">
        <v>14103</v>
      </c>
      <c r="N7307" t="s">
        <v>14</v>
      </c>
    </row>
    <row r="7308" x14ac:dyDescent="0.25">
      <c r="A7308" t="n">
        <v>25</v>
      </c>
      <c r="B7308" t="s">
        <v>14</v>
      </c>
      <c r="C7308" t="s">
        <v>51</v>
      </c>
      <c r="D7308" s="2" t="s">
        <f>=HYPERLINK("https://main.knesset.gov.il/APPS/legislation/main/bills/2196533", "הצעת חוק יישוב סכסוכי עבודה (תיקון - סכסוך עבודה פוליטי), התשפ""ג-2022")</f>
        <v>14267</v>
      </c>
      <c r="E7308" t="s">
        <v>14267</v>
      </c>
      <c r="F7308" t="s">
        <v>14268</v>
      </c>
      <c r="G7308" t="s">
        <v>14</v>
      </c>
      <c r="H7308">
             </c>
      <c r="I7308" t="s">
        <v>14</v>
      </c>
      <c r="J7308" t="s">
        <v>242</v>
      </c>
      <c r="K7308" t="s">
        <v>14</v>
      </c>
      <c r="L7308" t="s">
        <v>20</v>
      </c>
      <c r="M7308" t="s">
        <v>14103</v>
      </c>
      <c r="N7308" t="s">
        <v>14</v>
      </c>
    </row>
    <row r="7309" x14ac:dyDescent="0.25">
      <c r="A7309" t="n">
        <v>25</v>
      </c>
      <c r="B7309" t="s">
        <v>14</v>
      </c>
      <c r="C7309" t="s">
        <v>51</v>
      </c>
      <c r="D7309" s="2" t="s">
        <f>=HYPERLINK("https://main.knesset.gov.il/APPS/legislation/main/bills/2196086", "הצעת חוק העברת היחידות הארציות של משרדי הממשלה לירושלים, התשפ""ג-2022")</f>
        <v>14269</v>
      </c>
      <c r="E7309" t="s">
        <v>14269</v>
      </c>
      <c r="F7309" t="s">
        <v>14270</v>
      </c>
      <c r="G7309" t="s">
        <v>14</v>
      </c>
      <c r="H7309">
             </c>
      <c r="I7309" t="s">
        <v>14</v>
      </c>
      <c r="J7309" t="s">
        <v>202</v>
      </c>
      <c r="K7309" t="s">
        <v>14</v>
      </c>
      <c r="L7309" t="s">
        <v>20</v>
      </c>
      <c r="M7309" t="s">
        <v>14103</v>
      </c>
      <c r="N7309" t="s">
        <v>14</v>
      </c>
    </row>
    <row r="7310" x14ac:dyDescent="0.25">
      <c r="A7310" t="n">
        <v>25</v>
      </c>
      <c r="B7310" t="s">
        <v>14</v>
      </c>
      <c r="C7310" t="s">
        <v>51</v>
      </c>
      <c r="D7310" s="2" t="s">
        <f>=HYPERLINK("https://main.knesset.gov.il/APPS/legislation/main/bills/2196495", "הצעת חוק לתיקון פקודת הראיות (חיסיון רואה חשבון), התשפ""ג-2022")</f>
        <v>14271</v>
      </c>
      <c r="E7310" t="s">
        <v>14271</v>
      </c>
      <c r="F7310" t="s">
        <v>14272</v>
      </c>
      <c r="G7310" t="s">
        <v>14</v>
      </c>
      <c r="H7310">
             </c>
      <c r="I7310" t="s">
        <v>14</v>
      </c>
      <c r="J7310" t="s">
        <v>242</v>
      </c>
      <c r="K7310" t="s">
        <v>14</v>
      </c>
      <c r="L7310" t="s">
        <v>20</v>
      </c>
      <c r="M7310" t="s">
        <v>14103</v>
      </c>
      <c r="N7310" t="s">
        <v>14</v>
      </c>
    </row>
    <row r="7311" x14ac:dyDescent="0.25">
      <c r="A7311" t="n">
        <v>25</v>
      </c>
      <c r="B7311" t="s">
        <v>14</v>
      </c>
      <c r="C7311" t="s">
        <v>51</v>
      </c>
      <c r="D7311" s="2" t="s">
        <f>=HYPERLINK("https://main.knesset.gov.il/APPS/legislation/main/bills/2196511", "הצעת חוק המים (תיקון - מתן הנחות בתעריפי מים לאוכלוסיות נזקקות), התשפ""ג-2022")</f>
        <v>14273</v>
      </c>
      <c r="E7311" t="s">
        <v>14273</v>
      </c>
      <c r="F7311" t="s">
        <v>14274</v>
      </c>
      <c r="G7311" t="s">
        <v>14</v>
      </c>
      <c r="H7311">
             </c>
      <c r="I7311" t="s">
        <v>14</v>
      </c>
      <c r="J7311" t="s">
        <v>242</v>
      </c>
      <c r="K7311" t="s">
        <v>14</v>
      </c>
      <c r="L7311" t="s">
        <v>20</v>
      </c>
      <c r="M7311" t="s">
        <v>14103</v>
      </c>
      <c r="N7311" t="s">
        <v>14</v>
      </c>
    </row>
    <row r="7312" x14ac:dyDescent="0.25">
      <c r="A7312" t="n">
        <v>25</v>
      </c>
      <c r="B7312" t="s">
        <v>14</v>
      </c>
      <c r="C7312" t="s">
        <v>51</v>
      </c>
      <c r="D7312" s="2" t="s">
        <f>=HYPERLINK("https://main.knesset.gov.il/APPS/legislation/main/bills/2196510", "הצעת חוק משק החשמל (תיקון - איסור ניתוק חשמל), התשפ""ג-2022")</f>
        <v>14207</v>
      </c>
      <c r="E7312" t="s">
        <v>14207</v>
      </c>
      <c r="F7312" t="s">
        <v>14275</v>
      </c>
      <c r="G7312" t="s">
        <v>14</v>
      </c>
      <c r="H7312">
             </c>
      <c r="I7312" t="s">
        <v>14</v>
      </c>
      <c r="J7312" t="s">
        <v>242</v>
      </c>
      <c r="K7312" t="s">
        <v>14</v>
      </c>
      <c r="L7312" t="s">
        <v>20</v>
      </c>
      <c r="M7312" t="s">
        <v>14103</v>
      </c>
      <c r="N7312" t="s">
        <v>14</v>
      </c>
    </row>
    <row r="7313" x14ac:dyDescent="0.25">
      <c r="A7313" t="n">
        <v>25</v>
      </c>
      <c r="B7313" t="s">
        <v>14</v>
      </c>
      <c r="C7313" t="s">
        <v>51</v>
      </c>
      <c r="D7313" s="2" t="s">
        <f>=HYPERLINK("https://main.knesset.gov.il/APPS/legislation/main/bills/2196491", "הצעת חוק בית המשפט לענייני משפחה (תיקון - בני זוג מאותו המין), התשפ""ג-2022")</f>
        <v>14276</v>
      </c>
      <c r="E7313" t="s">
        <v>14276</v>
      </c>
      <c r="F7313" t="s">
        <v>14277</v>
      </c>
      <c r="G7313" t="s">
        <v>14</v>
      </c>
      <c r="H7313">
             </c>
      <c r="I7313" t="s">
        <v>14</v>
      </c>
      <c r="J7313" t="s">
        <v>242</v>
      </c>
      <c r="K7313" t="s">
        <v>14</v>
      </c>
      <c r="L7313" t="s">
        <v>20</v>
      </c>
      <c r="M7313" t="s">
        <v>14103</v>
      </c>
      <c r="N7313" t="s">
        <v>14</v>
      </c>
    </row>
    <row r="7314" x14ac:dyDescent="0.25">
      <c r="A7314" t="n">
        <v>25</v>
      </c>
      <c r="B7314" t="s">
        <v>14</v>
      </c>
      <c r="C7314" t="s">
        <v>51</v>
      </c>
      <c r="D7314" s="2" t="s">
        <f>=HYPERLINK("https://main.knesset.gov.il/APPS/legislation/main/bills/2196053", "הצעת חוק צער בעלי חיים (הגנה על בעלי חיים) (תיקון - קביעת עונש מינימום בגין התעללות בבעלי חיים), התשפ""ג-2022")</f>
        <v>14278</v>
      </c>
      <c r="E7314" t="s">
        <v>14278</v>
      </c>
      <c r="F7314" t="s">
        <v>14279</v>
      </c>
      <c r="G7314" t="s">
        <v>14</v>
      </c>
      <c r="H7314">
             </c>
      <c r="I7314" t="s">
        <v>14</v>
      </c>
      <c r="J7314" t="s">
        <v>242</v>
      </c>
      <c r="K7314" t="s">
        <v>14</v>
      </c>
      <c r="L7314" t="s">
        <v>20</v>
      </c>
      <c r="M7314" t="s">
        <v>14103</v>
      </c>
      <c r="N7314" t="s">
        <v>14</v>
      </c>
    </row>
    <row r="7315" x14ac:dyDescent="0.25">
      <c r="A7315" t="n">
        <v>25</v>
      </c>
      <c r="B7315" t="s">
        <v>14</v>
      </c>
      <c r="C7315" t="s">
        <v>51</v>
      </c>
      <c r="D7315" s="2" t="s">
        <f>=HYPERLINK("https://main.knesset.gov.il/APPS/legislation/main/bills/2196403", "הצעת חוק צער בעלי חיים (הגנה על בעלי חיים) (תיקון - איסור משלוחים חיים לשחיטה), התשפ""ג-2022")</f>
        <v>13230</v>
      </c>
      <c r="E7315" t="s">
        <v>13230</v>
      </c>
      <c r="F7315" t="s">
        <v>14280</v>
      </c>
      <c r="G7315" t="s">
        <v>14</v>
      </c>
      <c r="H7315">
             </c>
      <c r="I7315" t="s">
        <v>14</v>
      </c>
      <c r="J7315" t="s">
        <v>242</v>
      </c>
      <c r="K7315" t="s">
        <v>14</v>
      </c>
      <c r="L7315" t="s">
        <v>20</v>
      </c>
      <c r="M7315" t="s">
        <v>14103</v>
      </c>
      <c r="N7315" t="s">
        <v>14</v>
      </c>
    </row>
    <row r="7316" x14ac:dyDescent="0.25">
      <c r="A7316" t="n">
        <v>25</v>
      </c>
      <c r="B7316" t="s">
        <v>14</v>
      </c>
      <c r="C7316" t="s">
        <v>51</v>
      </c>
      <c r="D7316" s="2" t="s">
        <f>=HYPERLINK("https://main.knesset.gov.il/APPS/legislation/main/bills/2196383", "הצעת חוק לתיקון פקודת ביטוח רכב מנועי (חיוב שיווק פוליסה), התשפ""ג-2022")</f>
        <v>14281</v>
      </c>
      <c r="E7316" t="s">
        <v>14281</v>
      </c>
      <c r="F7316" t="s">
        <v>14282</v>
      </c>
      <c r="G7316" t="s">
        <v>14</v>
      </c>
      <c r="H7316">
             </c>
      <c r="I7316" t="s">
        <v>14</v>
      </c>
      <c r="J7316" t="s">
        <v>242</v>
      </c>
      <c r="K7316" t="s">
        <v>14</v>
      </c>
      <c r="L7316" t="s">
        <v>20</v>
      </c>
      <c r="M7316" t="s">
        <v>14103</v>
      </c>
      <c r="N7316" t="s">
        <v>14</v>
      </c>
    </row>
    <row r="7317" x14ac:dyDescent="0.25">
      <c r="A7317" t="n">
        <v>25</v>
      </c>
      <c r="B7317" t="s">
        <v>14</v>
      </c>
      <c r="C7317" t="s">
        <v>51</v>
      </c>
      <c r="D7317" s="2" t="s">
        <f>=HYPERLINK("https://main.knesset.gov.il/APPS/legislation/main/bills/2196479", "הצעת חוק מס ערך מוסף (תיקון - פטור ממס ממכירת תרופות מאריכות חיים שאינן כלולות בסל הבריאות), התשפ""ג-2022")</f>
        <v>14283</v>
      </c>
      <c r="E7317" t="s">
        <v>14283</v>
      </c>
      <c r="F7317" t="s">
        <v>14284</v>
      </c>
      <c r="G7317" t="s">
        <v>14</v>
      </c>
      <c r="H7317">
             </c>
      <c r="I7317" t="s">
        <v>14</v>
      </c>
      <c r="J7317" t="s">
        <v>242</v>
      </c>
      <c r="K7317" t="s">
        <v>14</v>
      </c>
      <c r="L7317" t="s">
        <v>20</v>
      </c>
      <c r="M7317" t="s">
        <v>14103</v>
      </c>
      <c r="N7317" t="s">
        <v>14</v>
      </c>
    </row>
    <row r="7318" x14ac:dyDescent="0.25">
      <c r="A7318" t="n">
        <v>25</v>
      </c>
      <c r="B7318" t="s">
        <v>14</v>
      </c>
      <c r="C7318" t="s">
        <v>51</v>
      </c>
      <c r="D7318" s="2" t="s">
        <f>=HYPERLINK("https://main.knesset.gov.il/APPS/legislation/main/bills/2196357", "הצעת חוק התאמת טפסים ממשלתיים (פרטי הורים), התשפ""ג-2022")</f>
        <v>14285</v>
      </c>
      <c r="E7318" t="s">
        <v>14285</v>
      </c>
      <c r="F7318" t="s">
        <v>14286</v>
      </c>
      <c r="G7318" t="s">
        <v>14</v>
      </c>
      <c r="H7318">
             </c>
      <c r="I7318" t="s">
        <v>14</v>
      </c>
      <c r="J7318" t="s">
        <v>242</v>
      </c>
      <c r="K7318" t="s">
        <v>14</v>
      </c>
      <c r="L7318" t="s">
        <v>20</v>
      </c>
      <c r="M7318" t="s">
        <v>14103</v>
      </c>
      <c r="N7318" t="s">
        <v>14</v>
      </c>
    </row>
    <row r="7319" x14ac:dyDescent="0.25">
      <c r="A7319" t="n">
        <v>25</v>
      </c>
      <c r="B7319" t="s">
        <v>14</v>
      </c>
      <c r="C7319" t="s">
        <v>51</v>
      </c>
      <c r="D7319" s="2" t="s">
        <f>=HYPERLINK("https://main.knesset.gov.il/APPS/legislation/main/bills/2196355", "הצעת חוק בתי המשפט (תיקון - בעל דין טרדן), התשפ""ג-2022")</f>
        <v>14287</v>
      </c>
      <c r="E7319" t="s">
        <v>14287</v>
      </c>
      <c r="F7319" t="s">
        <v>14288</v>
      </c>
      <c r="G7319" t="s">
        <v>14</v>
      </c>
      <c r="H7319">
             </c>
      <c r="I7319" t="s">
        <v>14</v>
      </c>
      <c r="J7319" t="s">
        <v>242</v>
      </c>
      <c r="K7319" t="s">
        <v>14</v>
      </c>
      <c r="L7319" t="s">
        <v>20</v>
      </c>
      <c r="M7319" t="s">
        <v>14103</v>
      </c>
      <c r="N7319" t="s">
        <v>14</v>
      </c>
    </row>
    <row r="7320" x14ac:dyDescent="0.25">
      <c r="A7320" t="n">
        <v>25</v>
      </c>
      <c r="B7320" t="s">
        <v>14</v>
      </c>
      <c r="C7320" t="s">
        <v>51</v>
      </c>
      <c r="D7320" s="2" t="s">
        <f>=HYPERLINK("https://main.knesset.gov.il/APPS/legislation/main/bills/2195998", "הצעת חוק בחירות לגופים ציבוריים (תיקון - הגבלת כהונת יושב ראש ועד עובדים), התשפ""ג-2022")</f>
        <v>14289</v>
      </c>
      <c r="E7320" t="s">
        <v>14289</v>
      </c>
      <c r="F7320" t="s">
        <v>14290</v>
      </c>
      <c r="G7320" t="s">
        <v>14</v>
      </c>
      <c r="H7320">
             </c>
      <c r="I7320" t="s">
        <v>14</v>
      </c>
      <c r="J7320" t="s">
        <v>242</v>
      </c>
      <c r="K7320" t="s">
        <v>14</v>
      </c>
      <c r="L7320" t="s">
        <v>20</v>
      </c>
      <c r="M7320" t="s">
        <v>14103</v>
      </c>
      <c r="N7320" t="s">
        <v>14</v>
      </c>
    </row>
    <row r="7321" x14ac:dyDescent="0.25">
      <c r="A7321" t="n">
        <v>25</v>
      </c>
      <c r="B7321" t="s">
        <v>14</v>
      </c>
      <c r="C7321" t="s">
        <v>51</v>
      </c>
      <c r="D7321" s="2" t="s">
        <f>=HYPERLINK("https://main.knesset.gov.il/APPS/legislation/main/bills/2196962", "הצעת חוק הסכמים קיבוציים (תיקון - יציגות ארגון עובדים והגנה על הפרט), התשפ""ג-2022")</f>
        <v>14291</v>
      </c>
      <c r="E7321" t="s">
        <v>14291</v>
      </c>
      <c r="F7321" t="s">
        <v>14292</v>
      </c>
      <c r="G7321" t="s">
        <v>14</v>
      </c>
      <c r="H7321">
             </c>
      <c r="I7321" t="s">
        <v>14</v>
      </c>
      <c r="J7321" t="s">
        <v>242</v>
      </c>
      <c r="K7321" t="s">
        <v>14</v>
      </c>
      <c r="L7321" t="s">
        <v>20</v>
      </c>
      <c r="M7321" t="s">
        <v>14103</v>
      </c>
      <c r="N7321" t="s">
        <v>14</v>
      </c>
    </row>
    <row r="7322" x14ac:dyDescent="0.25">
      <c r="A7322" t="n">
        <v>25</v>
      </c>
      <c r="B7322" t="s">
        <v>14</v>
      </c>
      <c r="C7322" t="s">
        <v>51</v>
      </c>
      <c r="D7322" s="2" t="s">
        <f>=HYPERLINK("https://main.knesset.gov.il/APPS/legislation/main/bills/2196151", "הצעת חוק עובדים זרים (תיקון - הפחתת אגרות בענף החקלאות) (הוראת שעה), התשפ""ג-2022")</f>
        <v>14293</v>
      </c>
      <c r="E7322" t="s">
        <v>14293</v>
      </c>
      <c r="F7322" t="s">
        <v>14294</v>
      </c>
      <c r="G7322" t="s">
        <v>14</v>
      </c>
      <c r="H7322">
             </c>
      <c r="I7322" t="s">
        <v>14</v>
      </c>
      <c r="J7322" t="s">
        <v>242</v>
      </c>
      <c r="K7322" t="s">
        <v>14</v>
      </c>
      <c r="L7322" t="s">
        <v>20</v>
      </c>
      <c r="M7322" t="s">
        <v>14103</v>
      </c>
      <c r="N7322" t="s">
        <v>14</v>
      </c>
    </row>
    <row r="7323" x14ac:dyDescent="0.25">
      <c r="A7323" t="n">
        <v>25</v>
      </c>
      <c r="B7323" t="s">
        <v>14</v>
      </c>
      <c r="C7323" t="s">
        <v>51</v>
      </c>
      <c r="D7323" s="2" t="s">
        <f>=HYPERLINK("https://main.knesset.gov.il/APPS/legislation/main/bills/2195813", "הצעת חוק התניית יום שבתון בהצבעה בבחירות (תיקוני חקיקה), התשפ""ג-2022")</f>
        <v>14295</v>
      </c>
      <c r="E7323" t="s">
        <v>14295</v>
      </c>
      <c r="F7323" t="s">
        <v>14296</v>
      </c>
      <c r="G7323" t="s">
        <v>14</v>
      </c>
      <c r="H7323">
             </c>
      <c r="I7323" t="s">
        <v>14</v>
      </c>
      <c r="J7323" t="s">
        <v>242</v>
      </c>
      <c r="K7323" t="s">
        <v>14</v>
      </c>
      <c r="L7323" t="s">
        <v>20</v>
      </c>
      <c r="M7323" t="s">
        <v>14103</v>
      </c>
      <c r="N7323" t="s">
        <v>14</v>
      </c>
    </row>
    <row r="7324" x14ac:dyDescent="0.25">
      <c r="A7324" t="n">
        <v>25</v>
      </c>
      <c r="B7324" t="s">
        <v>14</v>
      </c>
      <c r="C7324" t="s">
        <v>51</v>
      </c>
      <c r="D7324" s="2" t="s">
        <f>=HYPERLINK("https://main.knesset.gov.il/APPS/legislation/main/bills/2195803", "הצעת חוק הביטוח הלאומי (תיקון - הטבות למי שמקבל גמלה לפי חוק הביטוח הלאומי וקיבל גמלת הבטחת הכנסה), התשפ""ג-2022")</f>
        <v>14297</v>
      </c>
      <c r="E7324" t="s">
        <v>14297</v>
      </c>
      <c r="F7324" t="s">
        <v>14298</v>
      </c>
      <c r="G7324" t="s">
        <v>14</v>
      </c>
      <c r="H7324">
             </c>
      <c r="I7324" t="s">
        <v>14</v>
      </c>
      <c r="J7324" t="s">
        <v>242</v>
      </c>
      <c r="K7324" t="s">
        <v>14</v>
      </c>
      <c r="L7324" t="s">
        <v>20</v>
      </c>
      <c r="M7324" t="s">
        <v>14103</v>
      </c>
      <c r="N7324" t="s">
        <v>14</v>
      </c>
    </row>
    <row r="7325" x14ac:dyDescent="0.25">
      <c r="A7325" t="n">
        <v>25</v>
      </c>
      <c r="B7325" t="s">
        <v>14</v>
      </c>
      <c r="C7325" t="s">
        <v>51</v>
      </c>
      <c r="D7325" s="2" t="s">
        <f>=HYPERLINK("https://main.knesset.gov.il/APPS/legislation/main/bills/2196128", "הצעת חוק הסכמים לנשיאת עוברים (אישור הסכם ומעמד היילוד) (תיקון - הורים מיועדים), התשפ""ג-2022")</f>
        <v>14299</v>
      </c>
      <c r="E7325" t="s">
        <v>14299</v>
      </c>
      <c r="F7325" t="s">
        <v>14300</v>
      </c>
      <c r="G7325" t="s">
        <v>14</v>
      </c>
      <c r="H7325">
             </c>
      <c r="I7325" t="s">
        <v>14</v>
      </c>
      <c r="J7325" t="s">
        <v>242</v>
      </c>
      <c r="K7325" t="s">
        <v>14</v>
      </c>
      <c r="L7325" t="s">
        <v>20</v>
      </c>
      <c r="M7325" t="s">
        <v>14103</v>
      </c>
      <c r="N7325" t="s">
        <v>14</v>
      </c>
    </row>
    <row r="7326" x14ac:dyDescent="0.25">
      <c r="A7326" t="n">
        <v>25</v>
      </c>
      <c r="B7326" t="s">
        <v>14</v>
      </c>
      <c r="C7326" t="s">
        <v>51</v>
      </c>
      <c r="D7326" s="2" t="s">
        <f>=HYPERLINK("https://main.knesset.gov.il/APPS/legislation/main/bills/2197448", "הצעת חוק זכויות ושירותים לילדים ולבני נוער עם קשיים נפשיים, התשפ""ג-2022")</f>
        <v>14301</v>
      </c>
      <c r="E7326" t="s">
        <v>14301</v>
      </c>
      <c r="F7326" t="s">
        <v>14302</v>
      </c>
      <c r="G7326" t="s">
        <v>14</v>
      </c>
      <c r="H7326">
             </c>
      <c r="I7326" t="s">
        <v>14</v>
      </c>
      <c r="J7326" t="s">
        <v>242</v>
      </c>
      <c r="K7326" t="s">
        <v>14</v>
      </c>
      <c r="L7326" t="s">
        <v>20</v>
      </c>
      <c r="M7326" t="s">
        <v>14103</v>
      </c>
      <c r="N7326" t="s">
        <v>14</v>
      </c>
    </row>
    <row r="7327" x14ac:dyDescent="0.25">
      <c r="A7327" t="n">
        <v>25</v>
      </c>
      <c r="B7327" t="s">
        <v>14</v>
      </c>
      <c r="C7327" t="s">
        <v>51</v>
      </c>
      <c r="D7327" s="2" t="s">
        <f>=HYPERLINK("https://main.knesset.gov.il/APPS/legislation/main/bills/2197437", "הצעת חוק הנוער (טיפול והשגחה) (תיקון - ביטול הגנת קטין מפני פרסומים מזיקים במקרה של טיפול ואשפוז פסיכיאטריים), התשפ""ג-2022")</f>
        <v>14303</v>
      </c>
      <c r="E7327" t="s">
        <v>14303</v>
      </c>
      <c r="F7327" t="s">
        <v>14304</v>
      </c>
      <c r="G7327" t="s">
        <v>14</v>
      </c>
      <c r="H7327">
             </c>
      <c r="I7327" t="s">
        <v>14</v>
      </c>
      <c r="J7327" t="s">
        <v>242</v>
      </c>
      <c r="K7327" t="s">
        <v>14</v>
      </c>
      <c r="L7327" t="s">
        <v>20</v>
      </c>
      <c r="M7327" t="s">
        <v>14103</v>
      </c>
      <c r="N7327" t="s">
        <v>14</v>
      </c>
    </row>
    <row r="7328" x14ac:dyDescent="0.25">
      <c r="A7328" t="n">
        <v>25</v>
      </c>
      <c r="B7328" t="s">
        <v>14</v>
      </c>
      <c r="C7328" t="s">
        <v>51</v>
      </c>
      <c r="D7328" s="2" t="s">
        <f>=HYPERLINK("https://main.knesset.gov.il/APPS/legislation/main/bills/2196102", "הצעת חוק הסכמים לנשיאת עוברים (אישור הסכם ומעמד היילוד) (תיקון - הרחבת הזכאות להליכי נשיאת עוברים), התשפ""ג-2022")</f>
        <v>14305</v>
      </c>
      <c r="E7328" t="s">
        <v>14305</v>
      </c>
      <c r="F7328" t="s">
        <v>14306</v>
      </c>
      <c r="G7328" t="s">
        <v>14</v>
      </c>
      <c r="H7328">
             </c>
      <c r="I7328" t="s">
        <v>14</v>
      </c>
      <c r="J7328" t="s">
        <v>242</v>
      </c>
      <c r="K7328" t="s">
        <v>14</v>
      </c>
      <c r="L7328" t="s">
        <v>20</v>
      </c>
      <c r="M7328" t="s">
        <v>14103</v>
      </c>
      <c r="N7328" t="s">
        <v>14</v>
      </c>
    </row>
    <row r="7329" x14ac:dyDescent="0.25">
      <c r="A7329" t="n">
        <v>25</v>
      </c>
      <c r="B7329" t="s">
        <v>14</v>
      </c>
      <c r="C7329" t="s">
        <v>51</v>
      </c>
      <c r="D7329" s="2" t="s">
        <f>=HYPERLINK("https://main.knesset.gov.il/APPS/legislation/main/bills/2196085", "הצעת חוק סיוע לקטינים נפגעי עבירות מין או אלימות (תיקון - טיפול נפשי לילדים נפגעי אלימות במשפחה), התשפ""ג-2022")</f>
        <v>14307</v>
      </c>
      <c r="E7329" t="s">
        <v>14307</v>
      </c>
      <c r="F7329" t="s">
        <v>14308</v>
      </c>
      <c r="G7329" t="s">
        <v>14</v>
      </c>
      <c r="H7329">
             </c>
      <c r="I7329" t="s">
        <v>14</v>
      </c>
      <c r="J7329" t="s">
        <v>242</v>
      </c>
      <c r="K7329" t="s">
        <v>14</v>
      </c>
      <c r="L7329" t="s">
        <v>20</v>
      </c>
      <c r="M7329" t="s">
        <v>14103</v>
      </c>
      <c r="N7329" t="s">
        <v>14</v>
      </c>
    </row>
    <row r="7330" x14ac:dyDescent="0.25">
      <c r="A7330" t="n">
        <v>25</v>
      </c>
      <c r="B7330" t="s">
        <v>14</v>
      </c>
      <c r="C7330" t="s">
        <v>51</v>
      </c>
      <c r="D7330" s="2" t="s">
        <f>=HYPERLINK("https://main.knesset.gov.il/APPS/legislation/main/bills/2197294", "הצעת חוק שעות עבודה ומנוחה (תיקון - קיצור שבוע העבודה), התשפ""ג-2022")</f>
        <v>14309</v>
      </c>
      <c r="E7330" t="s">
        <v>14309</v>
      </c>
      <c r="F7330" t="s">
        <v>14310</v>
      </c>
      <c r="G7330" t="s">
        <v>14</v>
      </c>
      <c r="H7330">
             </c>
      <c r="I7330" t="s">
        <v>14</v>
      </c>
      <c r="J7330" t="s">
        <v>242</v>
      </c>
      <c r="K7330" t="s">
        <v>14</v>
      </c>
      <c r="L7330" t="s">
        <v>20</v>
      </c>
      <c r="M7330" t="s">
        <v>14103</v>
      </c>
      <c r="N7330" t="s">
        <v>14</v>
      </c>
    </row>
    <row r="7331" x14ac:dyDescent="0.25">
      <c r="A7331" t="n">
        <v>25</v>
      </c>
      <c r="B7331" t="s">
        <v>14</v>
      </c>
      <c r="C7331" t="s">
        <v>51</v>
      </c>
      <c r="D7331" s="2" t="s">
        <f>=HYPERLINK("https://main.knesset.gov.il/APPS/legislation/main/bills/2197039", "הצעת חוק שעות עבודה ומנוחה (תיקון - קיצור שבוע העבודה), התשפ""ג-2022")</f>
        <v>14309</v>
      </c>
      <c r="E7331" t="s">
        <v>14309</v>
      </c>
      <c r="F7331" t="s">
        <v>14311</v>
      </c>
      <c r="G7331" t="s">
        <v>14</v>
      </c>
      <c r="H7331">
             </c>
      <c r="I7331" t="s">
        <v>14</v>
      </c>
      <c r="J7331" t="s">
        <v>242</v>
      </c>
      <c r="K7331" t="s">
        <v>14</v>
      </c>
      <c r="L7331" t="s">
        <v>20</v>
      </c>
      <c r="M7331" t="s">
        <v>14103</v>
      </c>
      <c r="N7331" t="s">
        <v>14</v>
      </c>
    </row>
    <row r="7332" x14ac:dyDescent="0.25">
      <c r="A7332" t="n">
        <v>25</v>
      </c>
      <c r="B7332" t="s">
        <v>14</v>
      </c>
      <c r="C7332" t="s">
        <v>51</v>
      </c>
      <c r="D7332" s="2" t="s">
        <f>=HYPERLINK("https://main.knesset.gov.il/APPS/legislation/main/bills/2196530", "הצעת חוק ביטוח בריאות ממלכתי (תיקון - העברת שירותי הגמילה לתוספת השנייה), התשפ""ג-2022")</f>
        <v>14312</v>
      </c>
      <c r="E7332" t="s">
        <v>14312</v>
      </c>
      <c r="F7332" t="s">
        <v>14313</v>
      </c>
      <c r="G7332" t="s">
        <v>14</v>
      </c>
      <c r="H7332">
             </c>
      <c r="I7332" t="s">
        <v>14</v>
      </c>
      <c r="J7332" t="s">
        <v>242</v>
      </c>
      <c r="K7332" t="s">
        <v>14</v>
      </c>
      <c r="L7332" t="s">
        <v>20</v>
      </c>
      <c r="M7332" t="s">
        <v>14103</v>
      </c>
      <c r="N7332" t="s">
        <v>14</v>
      </c>
    </row>
    <row r="7333" x14ac:dyDescent="0.25">
      <c r="A7333" t="n">
        <v>25</v>
      </c>
      <c r="B7333" t="s">
        <v>14</v>
      </c>
      <c r="C7333" t="s">
        <v>51</v>
      </c>
      <c r="D7333" s="2" t="s">
        <f>=HYPERLINK("https://main.knesset.gov.il/APPS/legislation/main/bills/2196187", "הצעת חוק ביטוח בריאות ממלכתי (תיקון - הוספת טיפול בקנבוס למטרות רפואיות לסל שירותי הבריאות), התשפ""ג-2022")</f>
        <v>14314</v>
      </c>
      <c r="E7333" t="s">
        <v>14314</v>
      </c>
      <c r="F7333" t="s">
        <v>14315</v>
      </c>
      <c r="G7333" t="s">
        <v>14</v>
      </c>
      <c r="H7333">
             </c>
      <c r="I7333" t="s">
        <v>14</v>
      </c>
      <c r="J7333" t="s">
        <v>242</v>
      </c>
      <c r="K7333" t="s">
        <v>14</v>
      </c>
      <c r="L7333" t="s">
        <v>20</v>
      </c>
      <c r="M7333" t="s">
        <v>14103</v>
      </c>
      <c r="N7333" t="s">
        <v>14</v>
      </c>
    </row>
    <row r="7334" x14ac:dyDescent="0.25">
      <c r="A7334" t="n">
        <v>25</v>
      </c>
      <c r="B7334" t="s">
        <v>14</v>
      </c>
      <c r="C7334" t="s">
        <v>51</v>
      </c>
      <c r="D7334" s="2" t="s">
        <f>=HYPERLINK("https://main.knesset.gov.il/APPS/legislation/main/bills/2196350", "הצעת חוק המים (תיקון - איסור הפסקת אספקת מים בשל חובות של רשויות מקומיות), התשפ""ג-2022")</f>
        <v>14316</v>
      </c>
      <c r="E7334" t="s">
        <v>14316</v>
      </c>
      <c r="F7334" t="s">
        <v>14317</v>
      </c>
      <c r="G7334" t="s">
        <v>14</v>
      </c>
      <c r="H7334">
             </c>
      <c r="I7334" t="s">
        <v>14</v>
      </c>
      <c r="J7334" t="s">
        <v>242</v>
      </c>
      <c r="K7334" t="s">
        <v>14</v>
      </c>
      <c r="L7334" t="s">
        <v>20</v>
      </c>
      <c r="M7334" t="s">
        <v>14103</v>
      </c>
      <c r="N7334" t="s">
        <v>14</v>
      </c>
    </row>
    <row r="7335" x14ac:dyDescent="0.25">
      <c r="A7335" t="n">
        <v>25</v>
      </c>
      <c r="B7335" t="s">
        <v>14</v>
      </c>
      <c r="C7335" t="s">
        <v>51</v>
      </c>
      <c r="D7335" s="2" t="s">
        <f>=HYPERLINK("https://main.knesset.gov.il/APPS/legislation/main/bills/2195798", "הצעת חוק הרבנות הראשית לישראל (תיקון - הרחבת האסיפה הבוחרת), התשפ""ג-2022")</f>
        <v>14318</v>
      </c>
      <c r="E7335" t="s">
        <v>14318</v>
      </c>
      <c r="F7335" t="s">
        <v>14319</v>
      </c>
      <c r="G7335" t="s">
        <v>14</v>
      </c>
      <c r="H7335">
             </c>
      <c r="I7335" t="s">
        <v>14</v>
      </c>
      <c r="J7335" t="s">
        <v>242</v>
      </c>
      <c r="K7335" t="s">
        <v>14</v>
      </c>
      <c r="L7335" t="s">
        <v>20</v>
      </c>
      <c r="M7335" t="s">
        <v>14103</v>
      </c>
      <c r="N7335" t="s">
        <v>14</v>
      </c>
    </row>
    <row r="7336" x14ac:dyDescent="0.25">
      <c r="A7336" t="n">
        <v>25</v>
      </c>
      <c r="B7336" t="s">
        <v>14</v>
      </c>
      <c r="C7336" t="s">
        <v>51</v>
      </c>
      <c r="D7336" s="2" t="s">
        <f>=HYPERLINK("https://main.knesset.gov.il/APPS/legislation/main/bills/2196709", "הצעת חוק הבחירות לכנסת (תיקון - עדכון כתובת לצורכי בחירות), התשפ""ג-2022")</f>
        <v>14320</v>
      </c>
      <c r="E7336" t="s">
        <v>14320</v>
      </c>
      <c r="F7336" t="s">
        <v>14321</v>
      </c>
      <c r="G7336" t="s">
        <v>14</v>
      </c>
      <c r="H7336">
             </c>
      <c r="I7336" t="s">
        <v>14</v>
      </c>
      <c r="J7336" t="s">
        <v>242</v>
      </c>
      <c r="K7336" t="s">
        <v>14</v>
      </c>
      <c r="L7336" t="s">
        <v>20</v>
      </c>
      <c r="M7336" t="s">
        <v>14103</v>
      </c>
      <c r="N7336" t="s">
        <v>14</v>
      </c>
    </row>
    <row r="7337" x14ac:dyDescent="0.25">
      <c r="A7337" t="n">
        <v>25</v>
      </c>
      <c r="B7337" t="s">
        <v>14</v>
      </c>
      <c r="C7337" t="s">
        <v>51</v>
      </c>
      <c r="D7337" s="2" t="s">
        <f>=HYPERLINK("https://main.knesset.gov.il/APPS/legislation/main/bills/2196138", "הצעת חוק נאמני שואה במשרדי ממשלה, התשפ""ג-2022 ")</f>
        <v>14322</v>
      </c>
      <c r="E7337" t="s">
        <v>14322</v>
      </c>
      <c r="F7337" t="s">
        <v>14323</v>
      </c>
      <c r="G7337" t="s">
        <v>14</v>
      </c>
      <c r="H7337">
             </c>
      <c r="I7337" t="s">
        <v>14</v>
      </c>
      <c r="J7337" t="s">
        <v>242</v>
      </c>
      <c r="K7337" t="s">
        <v>14</v>
      </c>
      <c r="L7337" t="s">
        <v>20</v>
      </c>
      <c r="M7337" t="s">
        <v>14103</v>
      </c>
      <c r="N7337" t="s">
        <v>14</v>
      </c>
    </row>
    <row r="7338" x14ac:dyDescent="0.25">
      <c r="A7338" t="n">
        <v>25</v>
      </c>
      <c r="B7338" t="s">
        <v>14</v>
      </c>
      <c r="C7338" t="s">
        <v>51</v>
      </c>
      <c r="D7338" s="2" t="s">
        <f>=HYPERLINK("https://main.knesset.gov.il/APPS/legislation/main/bills/2196343", "הצעת חוק התובע הכללי, התשפ""ג-2022")</f>
        <v>13136</v>
      </c>
      <c r="E7338" t="s">
        <v>13136</v>
      </c>
      <c r="F7338" t="s">
        <v>14324</v>
      </c>
      <c r="G7338" t="s">
        <v>14</v>
      </c>
      <c r="H7338">
             </c>
      <c r="I7338" t="s">
        <v>14</v>
      </c>
      <c r="J7338" t="s">
        <v>242</v>
      </c>
      <c r="K7338" t="s">
        <v>14</v>
      </c>
      <c r="L7338" t="s">
        <v>20</v>
      </c>
      <c r="M7338" t="s">
        <v>14103</v>
      </c>
      <c r="N7338" t="s">
        <v>14</v>
      </c>
    </row>
    <row r="7339" x14ac:dyDescent="0.25">
      <c r="A7339" t="n">
        <v>25</v>
      </c>
      <c r="B7339" t="s">
        <v>14</v>
      </c>
      <c r="C7339" t="s">
        <v>51</v>
      </c>
      <c r="D7339" s="2" t="s">
        <f>=HYPERLINK("https://main.knesset.gov.il/APPS/legislation/main/bills/2195795", "הצעת חוק החזר הוצאות כספיות בגין עריכת נישואין אזרחיים בחוץ לארץ למי שאינם רשאים להינשא בישראל על פי דיני המדינה, התשפ""ג-2022")</f>
        <v>14325</v>
      </c>
      <c r="E7339" t="s">
        <v>14325</v>
      </c>
      <c r="F7339" t="s">
        <v>14326</v>
      </c>
      <c r="G7339" t="s">
        <v>14</v>
      </c>
      <c r="H7339">
             </c>
      <c r="I7339" t="s">
        <v>14</v>
      </c>
      <c r="J7339" t="s">
        <v>242</v>
      </c>
      <c r="K7339" t="s">
        <v>14</v>
      </c>
      <c r="L7339" t="s">
        <v>20</v>
      </c>
      <c r="M7339" t="s">
        <v>14103</v>
      </c>
      <c r="N7339" t="s">
        <v>14</v>
      </c>
    </row>
    <row r="7340" x14ac:dyDescent="0.25">
      <c r="A7340" t="n">
        <v>25</v>
      </c>
      <c r="B7340" t="s">
        <v>14</v>
      </c>
      <c r="C7340" t="s">
        <v>51</v>
      </c>
      <c r="D7340" s="2" t="s">
        <f>=HYPERLINK("https://main.knesset.gov.il/APPS/legislation/main/bills/2195765", "הצעת חוק לתיקון פקודת מס הכנסה (החזר בתשלום למעונות יום לאמהות), התשפ""ג-2022")</f>
        <v>14327</v>
      </c>
      <c r="E7340" t="s">
        <v>14327</v>
      </c>
      <c r="F7340" t="s">
        <v>14328</v>
      </c>
      <c r="G7340" t="s">
        <v>14</v>
      </c>
      <c r="H7340">
             </c>
      <c r="I7340" t="s">
        <v>14</v>
      </c>
      <c r="J7340" t="s">
        <v>242</v>
      </c>
      <c r="K7340" t="s">
        <v>14</v>
      </c>
      <c r="L7340" t="s">
        <v>20</v>
      </c>
      <c r="M7340" t="s">
        <v>14103</v>
      </c>
      <c r="N7340" t="s">
        <v>14</v>
      </c>
    </row>
    <row r="7341" x14ac:dyDescent="0.25">
      <c r="A7341" t="n">
        <v>25</v>
      </c>
      <c r="B7341" t="s">
        <v>14</v>
      </c>
      <c r="C7341" t="s">
        <v>51</v>
      </c>
      <c r="D7341" s="2" t="s">
        <f>=HYPERLINK("https://main.knesset.gov.il/APPS/legislation/main/bills/2196189", "הצעת חוק מס הכנסה (פטור ממס על הכנסה מהשכרת דירת מגורים) (תיקון - ניכוי דמי שכירות ששולמו בעד דירת מגורים), התשפ""ג-2022")</f>
        <v>14329</v>
      </c>
      <c r="E7341" t="s">
        <v>14329</v>
      </c>
      <c r="F7341" t="s">
        <v>14330</v>
      </c>
      <c r="G7341" t="s">
        <v>14</v>
      </c>
      <c r="H7341">
             </c>
      <c r="I7341" t="s">
        <v>14</v>
      </c>
      <c r="J7341" t="s">
        <v>242</v>
      </c>
      <c r="K7341" t="s">
        <v>14</v>
      </c>
      <c r="L7341" t="s">
        <v>20</v>
      </c>
      <c r="M7341" t="s">
        <v>14103</v>
      </c>
      <c r="N7341" t="s">
        <v>14</v>
      </c>
    </row>
    <row r="7342" x14ac:dyDescent="0.25">
      <c r="A7342" t="n">
        <v>25</v>
      </c>
      <c r="B7342" t="s">
        <v>14</v>
      </c>
      <c r="C7342" t="s">
        <v>51</v>
      </c>
      <c r="D7342" s="2" t="s">
        <f>=HYPERLINK("https://main.knesset.gov.il/APPS/legislation/main/bills/2195726", "הצעת חוק בשר ומוצריו (תיקון - הרחבת הסמכות ליתן תעודת הכשר לבשר מיובא), התשפ""ג-2022")</f>
        <v>14331</v>
      </c>
      <c r="E7342" t="s">
        <v>14331</v>
      </c>
      <c r="F7342" t="s">
        <v>14332</v>
      </c>
      <c r="G7342" t="s">
        <v>14</v>
      </c>
      <c r="H7342">
             </c>
      <c r="I7342" t="s">
        <v>14</v>
      </c>
      <c r="J7342" t="s">
        <v>242</v>
      </c>
      <c r="K7342" t="s">
        <v>14</v>
      </c>
      <c r="L7342" t="s">
        <v>20</v>
      </c>
      <c r="M7342" t="s">
        <v>14103</v>
      </c>
      <c r="N7342" t="s">
        <v>14</v>
      </c>
    </row>
    <row r="7343" x14ac:dyDescent="0.25">
      <c r="A7343" t="n">
        <v>25</v>
      </c>
      <c r="B7343" t="s">
        <v>14</v>
      </c>
      <c r="C7343" t="s">
        <v>51</v>
      </c>
      <c r="D7343" s="2" t="s">
        <f>=HYPERLINK("https://main.knesset.gov.il/APPS/legislation/main/bills/2196168", "הצעת חוק להסדרת הפיקוח על כלבים (תיקון - כלבי הפקר), התשפ""ג-2022")</f>
        <v>14333</v>
      </c>
      <c r="E7343" t="s">
        <v>14333</v>
      </c>
      <c r="F7343" t="s">
        <v>14334</v>
      </c>
      <c r="G7343" t="s">
        <v>14</v>
      </c>
      <c r="H7343">
             </c>
      <c r="I7343" t="s">
        <v>14</v>
      </c>
      <c r="J7343" t="s">
        <v>242</v>
      </c>
      <c r="K7343" t="s">
        <v>14</v>
      </c>
      <c r="L7343" t="s">
        <v>20</v>
      </c>
      <c r="M7343" t="s">
        <v>14103</v>
      </c>
      <c r="N7343" t="s">
        <v>14</v>
      </c>
    </row>
    <row r="7344" x14ac:dyDescent="0.25">
      <c r="A7344" t="n">
        <v>25</v>
      </c>
      <c r="B7344" t="s">
        <v>14</v>
      </c>
      <c r="C7344" t="s">
        <v>51</v>
      </c>
      <c r="D7344" s="2" t="s">
        <f>=HYPERLINK("https://main.knesset.gov.il/APPS/legislation/main/bills/2196334", "הצעת חוק האזרחות והכניסה לישראל (הוראת שעה) (תיקון - ביטול החוק), התשפ""ג-2022")</f>
        <v>14072</v>
      </c>
      <c r="E7344" t="s">
        <v>14072</v>
      </c>
      <c r="F7344" t="s">
        <v>14335</v>
      </c>
      <c r="G7344" t="s">
        <v>14</v>
      </c>
      <c r="H7344">
             </c>
      <c r="I7344" t="s">
        <v>14</v>
      </c>
      <c r="J7344" t="s">
        <v>242</v>
      </c>
      <c r="K7344" t="s">
        <v>14</v>
      </c>
      <c r="L7344" t="s">
        <v>20</v>
      </c>
      <c r="M7344" t="s">
        <v>14103</v>
      </c>
      <c r="N7344" t="s">
        <v>14</v>
      </c>
    </row>
    <row r="7345" x14ac:dyDescent="0.25">
      <c r="A7345" t="n">
        <v>25</v>
      </c>
      <c r="B7345" t="s">
        <v>14</v>
      </c>
      <c r="C7345" t="s">
        <v>51</v>
      </c>
      <c r="D7345" s="2" t="s">
        <f>=HYPERLINK("https://main.knesset.gov.il/APPS/legislation/main/bills/2195858", "הצעת חוק סיוע לקטינים נפגעי עבירות מין או אלימות (תיקון - טיפול נפשי לילדים), התשפ""ג-2022")</f>
        <v>14336</v>
      </c>
      <c r="E7345" t="s">
        <v>14336</v>
      </c>
      <c r="F7345" t="s">
        <v>14337</v>
      </c>
      <c r="G7345" t="s">
        <v>14</v>
      </c>
      <c r="H7345">
             </c>
      <c r="I7345" t="s">
        <v>14</v>
      </c>
      <c r="J7345" t="s">
        <v>242</v>
      </c>
      <c r="K7345" t="s">
        <v>14</v>
      </c>
      <c r="L7345" t="s">
        <v>20</v>
      </c>
      <c r="M7345" t="s">
        <v>14103</v>
      </c>
      <c r="N7345" t="s">
        <v>14</v>
      </c>
    </row>
    <row r="7346" x14ac:dyDescent="0.25">
      <c r="A7346" t="n">
        <v>25</v>
      </c>
      <c r="B7346" t="s">
        <v>14</v>
      </c>
      <c r="C7346" t="s">
        <v>51</v>
      </c>
      <c r="D7346" s="2" t="s">
        <f>=HYPERLINK("https://main.knesset.gov.il/APPS/legislation/main/bills/2196173", "הצעת חוק להסדרת הטיפול באריזות (תיקון - החלת החוק על מכלי משקה גדולים), התשפ""ג-2022")</f>
        <v>14338</v>
      </c>
      <c r="E7346" t="s">
        <v>14338</v>
      </c>
      <c r="F7346" t="s">
        <v>14339</v>
      </c>
      <c r="G7346" t="s">
        <v>14</v>
      </c>
      <c r="H7346">
             </c>
      <c r="I7346" t="s">
        <v>14</v>
      </c>
      <c r="J7346" t="s">
        <v>242</v>
      </c>
      <c r="K7346" t="s">
        <v>14</v>
      </c>
      <c r="L7346" t="s">
        <v>20</v>
      </c>
      <c r="M7346" t="s">
        <v>14103</v>
      </c>
      <c r="N7346" t="s">
        <v>14</v>
      </c>
    </row>
    <row r="7347" x14ac:dyDescent="0.25">
      <c r="A7347" t="n">
        <v>25</v>
      </c>
      <c r="B7347" t="s">
        <v>14</v>
      </c>
      <c r="C7347" t="s">
        <v>51</v>
      </c>
      <c r="D7347" s="2" t="s">
        <f>=HYPERLINK("https://main.knesset.gov.il/APPS/legislation/main/bills/2196077", "הצעת חוק החברות הממשלתיות (תיקון - קווי פעולה של חברה ממשלתית), התשפ""ג-2022")</f>
        <v>14340</v>
      </c>
      <c r="E7347" t="s">
        <v>14340</v>
      </c>
      <c r="F7347" t="s">
        <v>14341</v>
      </c>
      <c r="G7347" t="s">
        <v>14</v>
      </c>
      <c r="H7347">
             </c>
      <c r="I7347" t="s">
        <v>14</v>
      </c>
      <c r="J7347" t="s">
        <v>242</v>
      </c>
      <c r="K7347" t="s">
        <v>14</v>
      </c>
      <c r="L7347" t="s">
        <v>20</v>
      </c>
      <c r="M7347" t="s">
        <v>14103</v>
      </c>
      <c r="N7347" t="s">
        <v>14</v>
      </c>
    </row>
    <row r="7348" x14ac:dyDescent="0.25">
      <c r="A7348" t="n">
        <v>25</v>
      </c>
      <c r="B7348" t="s">
        <v>14</v>
      </c>
      <c r="C7348" t="s">
        <v>51</v>
      </c>
      <c r="D7348" s="2" t="s">
        <f>=HYPERLINK("https://main.knesset.gov.il/APPS/legislation/main/bills/2196303", "הצעת חוק הגנת הצרכן (תיקון - סימון תוצרת חקלאית שאינה ארוזה מראש), התשפ""ג-2022")</f>
        <v>14342</v>
      </c>
      <c r="E7348" t="s">
        <v>14342</v>
      </c>
      <c r="F7348" t="s">
        <v>14343</v>
      </c>
      <c r="G7348" t="s">
        <v>14</v>
      </c>
      <c r="H7348">
             </c>
      <c r="I7348" t="s">
        <v>14</v>
      </c>
      <c r="J7348" t="s">
        <v>242</v>
      </c>
      <c r="K7348" t="s">
        <v>14</v>
      </c>
      <c r="L7348" t="s">
        <v>20</v>
      </c>
      <c r="M7348" t="s">
        <v>14103</v>
      </c>
      <c r="N7348" t="s">
        <v>14</v>
      </c>
    </row>
    <row r="7349" x14ac:dyDescent="0.25">
      <c r="A7349" t="n">
        <v>25</v>
      </c>
      <c r="B7349" t="s">
        <v>14</v>
      </c>
      <c r="C7349" t="s">
        <v>51</v>
      </c>
      <c r="D7349" s="2" t="s">
        <f>=HYPERLINK("https://main.knesset.gov.il/APPS/legislation/main/bills/2195863", "הצעת חוק לתיקון פקודת מס הכנסה (זיכוי בעד לימודי תואר ראשון), התשפ""ג-2022")</f>
        <v>14344</v>
      </c>
      <c r="E7349" t="s">
        <v>14344</v>
      </c>
      <c r="F7349" t="s">
        <v>14345</v>
      </c>
      <c r="G7349" t="s">
        <v>14</v>
      </c>
      <c r="H7349">
             </c>
      <c r="I7349" t="s">
        <v>14</v>
      </c>
      <c r="J7349" t="s">
        <v>242</v>
      </c>
      <c r="K7349" t="s">
        <v>14</v>
      </c>
      <c r="L7349" t="s">
        <v>20</v>
      </c>
      <c r="M7349" t="s">
        <v>14103</v>
      </c>
      <c r="N7349" t="s">
        <v>14</v>
      </c>
    </row>
    <row r="7350" x14ac:dyDescent="0.25">
      <c r="A7350" t="n">
        <v>25</v>
      </c>
      <c r="B7350" t="s">
        <v>14</v>
      </c>
      <c r="C7350" t="s">
        <v>51</v>
      </c>
      <c r="D7350" s="2" t="s">
        <f>=HYPERLINK("https://main.knesset.gov.il/APPS/legislation/main/bills/2196307", "הצעת חוק השמירה על המקומות הקדושים (תיקון - ייעוץ הרבנות הראשית), התשפ""ג-2022")</f>
        <v>14346</v>
      </c>
      <c r="E7350" t="s">
        <v>14346</v>
      </c>
      <c r="F7350" t="s">
        <v>14347</v>
      </c>
      <c r="G7350" t="s">
        <v>14</v>
      </c>
      <c r="H7350">
             </c>
      <c r="I7350" t="s">
        <v>14</v>
      </c>
      <c r="J7350" t="s">
        <v>242</v>
      </c>
      <c r="K7350" t="s">
        <v>14</v>
      </c>
      <c r="L7350" t="s">
        <v>20</v>
      </c>
      <c r="M7350" t="s">
        <v>14103</v>
      </c>
      <c r="N7350" t="s">
        <v>14</v>
      </c>
    </row>
    <row r="7351" x14ac:dyDescent="0.25">
      <c r="A7351" t="n">
        <v>25</v>
      </c>
      <c r="B7351" t="s">
        <v>14</v>
      </c>
      <c r="C7351" t="s">
        <v>51</v>
      </c>
      <c r="D7351" s="2" t="s">
        <f>=HYPERLINK("https://main.knesset.gov.il/APPS/legislation/main/bills/2196955", "הצעת חוק לתיקון דיני הרשויות המקומיות (ביטול סמכות שר הפנים לעניין חוקי עזר בדבר פתיחתם וסגירתם של עסקים בימי מנוחה), התשפ""ג-2022")</f>
        <v>14348</v>
      </c>
      <c r="E7351" t="s">
        <v>14348</v>
      </c>
      <c r="F7351" t="s">
        <v>14349</v>
      </c>
      <c r="G7351" t="s">
        <v>14</v>
      </c>
      <c r="H7351">
             </c>
      <c r="I7351" t="s">
        <v>14</v>
      </c>
      <c r="J7351" t="s">
        <v>242</v>
      </c>
      <c r="K7351" t="s">
        <v>14</v>
      </c>
      <c r="L7351" t="s">
        <v>20</v>
      </c>
      <c r="M7351" t="s">
        <v>14103</v>
      </c>
      <c r="N7351" t="s">
        <v>14</v>
      </c>
    </row>
    <row r="7352" x14ac:dyDescent="0.25">
      <c r="A7352" t="n">
        <v>25</v>
      </c>
      <c r="B7352" t="s">
        <v>14</v>
      </c>
      <c r="C7352" t="s">
        <v>51</v>
      </c>
      <c r="D7352" s="2" t="s">
        <f>=HYPERLINK("https://main.knesset.gov.il/APPS/legislation/main/bills/2195847", "הצעת חוק משפחות חיילים שנספו במערכה (תגמולים ושיקום) (תיקון - הגדרת אלמן ושכול), התשפ""ג-2022")</f>
        <v>14350</v>
      </c>
      <c r="E7352" t="s">
        <v>14350</v>
      </c>
      <c r="F7352" t="s">
        <v>14351</v>
      </c>
      <c r="G7352" t="s">
        <v>14</v>
      </c>
      <c r="H7352">
             </c>
      <c r="I7352" t="s">
        <v>14</v>
      </c>
      <c r="J7352" t="s">
        <v>242</v>
      </c>
      <c r="K7352" t="s">
        <v>14</v>
      </c>
      <c r="L7352" t="s">
        <v>20</v>
      </c>
      <c r="M7352" t="s">
        <v>14103</v>
      </c>
      <c r="N7352" t="s">
        <v>14</v>
      </c>
    </row>
    <row r="7353" x14ac:dyDescent="0.25">
      <c r="A7353" t="n">
        <v>25</v>
      </c>
      <c r="B7353" t="s">
        <v>14</v>
      </c>
      <c r="C7353" t="s">
        <v>51</v>
      </c>
      <c r="D7353" s="2" t="s">
        <f>=HYPERLINK("https://main.knesset.gov.il/APPS/legislation/main/bills/2196012", "הצעת חוק לתיקון דיני הרשויות המקומיות (ביטול סמכות שר הפנים לעניין חוקי עזר בדבר פתיחתם וסגירתם של עסקים בימי מנוחה), התשפ""ג-2022")</f>
        <v>14348</v>
      </c>
      <c r="E7353" t="s">
        <v>14348</v>
      </c>
      <c r="F7353" t="s">
        <v>14352</v>
      </c>
      <c r="G7353" t="s">
        <v>14</v>
      </c>
      <c r="H7353">
             </c>
      <c r="I7353" t="s">
        <v>14</v>
      </c>
      <c r="J7353" t="s">
        <v>242</v>
      </c>
      <c r="K7353" t="s">
        <v>14</v>
      </c>
      <c r="L7353" t="s">
        <v>20</v>
      </c>
      <c r="M7353" t="s">
        <v>14103</v>
      </c>
      <c r="N7353" t="s">
        <v>14</v>
      </c>
    </row>
    <row r="7354" x14ac:dyDescent="0.25">
      <c r="A7354" t="n">
        <v>25</v>
      </c>
      <c r="B7354" t="s">
        <v>14</v>
      </c>
      <c r="C7354" t="s">
        <v>51</v>
      </c>
      <c r="D7354" s="2" t="s">
        <f>=HYPERLINK("https://main.knesset.gov.il/APPS/legislation/main/bills/2196252", "הצעת חוק ההוצאה לפועל (תיקון - הגבלת עיקול מיטלטליו של קשיש), התשפ""ג-2022")</f>
        <v>14353</v>
      </c>
      <c r="E7354" t="s">
        <v>14353</v>
      </c>
      <c r="F7354" t="s">
        <v>14354</v>
      </c>
      <c r="G7354" t="s">
        <v>14</v>
      </c>
      <c r="H7354">
             </c>
      <c r="I7354" t="s">
        <v>14</v>
      </c>
      <c r="J7354" t="s">
        <v>242</v>
      </c>
      <c r="K7354" t="s">
        <v>14</v>
      </c>
      <c r="L7354" t="s">
        <v>20</v>
      </c>
      <c r="M7354" t="s">
        <v>14103</v>
      </c>
      <c r="N7354" t="s">
        <v>14</v>
      </c>
    </row>
    <row r="7355" x14ac:dyDescent="0.25">
      <c r="A7355" t="n">
        <v>25</v>
      </c>
      <c r="B7355" t="s">
        <v>14</v>
      </c>
      <c r="C7355" t="s">
        <v>51</v>
      </c>
      <c r="D7355" s="2" t="s">
        <f>=HYPERLINK("https://main.knesset.gov.il/APPS/legislation/main/bills/2197557", "הצעת חוק השכירות והשאילה (תיקון - הגבלה על העלאת דמי השכירות), התשפ""ג-2022")</f>
        <v>10562</v>
      </c>
      <c r="E7355" t="s">
        <v>10562</v>
      </c>
      <c r="F7355" t="s">
        <v>14355</v>
      </c>
      <c r="G7355" t="s">
        <v>14</v>
      </c>
      <c r="H7355">
             </c>
      <c r="I7355" t="s">
        <v>14</v>
      </c>
      <c r="J7355" t="s">
        <v>242</v>
      </c>
      <c r="K7355" t="s">
        <v>14</v>
      </c>
      <c r="L7355" t="s">
        <v>20</v>
      </c>
      <c r="M7355" t="s">
        <v>14103</v>
      </c>
      <c r="N7355" t="s">
        <v>14</v>
      </c>
    </row>
    <row r="7356" x14ac:dyDescent="0.25">
      <c r="A7356" t="n">
        <v>25</v>
      </c>
      <c r="B7356" t="s">
        <v>14</v>
      </c>
      <c r="C7356" t="s">
        <v>51</v>
      </c>
      <c r="D7356" s="2" t="s">
        <f>=HYPERLINK("https://main.knesset.gov.il/APPS/legislation/main/bills/2197040", "הצעת חוק העונשין (תיקון - תקיפת נהגי אוטובוס בקווי תחבורה ציבורית), התשפ""ג-2022")</f>
        <v>14356</v>
      </c>
      <c r="E7356" t="s">
        <v>14356</v>
      </c>
      <c r="F7356" t="s">
        <v>14357</v>
      </c>
      <c r="G7356" t="s">
        <v>14</v>
      </c>
      <c r="H7356">
             </c>
      <c r="I7356" t="s">
        <v>14</v>
      </c>
      <c r="J7356" t="s">
        <v>242</v>
      </c>
      <c r="K7356" t="s">
        <v>14</v>
      </c>
      <c r="L7356" t="s">
        <v>20</v>
      </c>
      <c r="M7356" t="s">
        <v>14103</v>
      </c>
      <c r="N7356" t="s">
        <v>14</v>
      </c>
    </row>
    <row r="7357" x14ac:dyDescent="0.25">
      <c r="A7357" t="n">
        <v>25</v>
      </c>
      <c r="B7357" t="s">
        <v>14</v>
      </c>
      <c r="C7357" t="s">
        <v>51</v>
      </c>
      <c r="D7357" s="2" t="s">
        <f>=HYPERLINK("https://main.knesset.gov.il/APPS/legislation/main/bills/2195925", "הצעת חוק-יסוד: הממשלה (תיקון - בחירה ישירה לראש הממשלה וחלוקת מנדטים לסיעות הקואליציה)")</f>
        <v>14358</v>
      </c>
      <c r="E7357" t="s">
        <v>14358</v>
      </c>
      <c r="F7357" t="s">
        <v>14359</v>
      </c>
      <c r="G7357" t="s">
        <v>14</v>
      </c>
      <c r="H7357">
             </c>
      <c r="I7357" t="s">
        <v>14</v>
      </c>
      <c r="J7357" t="s">
        <v>1372</v>
      </c>
      <c r="K7357" t="s">
        <v>14</v>
      </c>
      <c r="L7357" t="s">
        <v>20</v>
      </c>
      <c r="M7357" t="s">
        <v>14103</v>
      </c>
      <c r="N7357" t="s">
        <v>14</v>
      </c>
    </row>
    <row r="7358" x14ac:dyDescent="0.25">
      <c r="A7358" t="n">
        <v>25</v>
      </c>
      <c r="B7358" t="s">
        <v>14</v>
      </c>
      <c r="C7358" t="s">
        <v>51</v>
      </c>
      <c r="D7358" s="2" t="s">
        <f>=HYPERLINK("https://main.knesset.gov.il/APPS/legislation/main/bills/2196296", "הצעת חוק העונשין (תיקון - תקיפת נהגי אוטובוס בקווי תחבורה ציבורית), התשפ""ג-2022")</f>
        <v>14356</v>
      </c>
      <c r="E7358" t="s">
        <v>14356</v>
      </c>
      <c r="F7358" t="s">
        <v>14360</v>
      </c>
      <c r="G7358" t="s">
        <v>14</v>
      </c>
      <c r="H7358">
             </c>
      <c r="I7358" t="s">
        <v>14</v>
      </c>
      <c r="J7358" t="s">
        <v>202</v>
      </c>
      <c r="K7358" t="s">
        <v>14</v>
      </c>
      <c r="L7358" t="s">
        <v>20</v>
      </c>
      <c r="M7358" t="s">
        <v>14103</v>
      </c>
      <c r="N7358" t="s">
        <v>14</v>
      </c>
    </row>
    <row r="7359" x14ac:dyDescent="0.25">
      <c r="A7359" t="n">
        <v>25</v>
      </c>
      <c r="B7359" t="s">
        <v>14</v>
      </c>
      <c r="C7359" t="s">
        <v>51</v>
      </c>
      <c r="D7359" s="2" t="s">
        <f>=HYPERLINK("https://main.knesset.gov.il/APPS/legislation/main/bills/2195888", "הצעת חוק העונשין (תיקון - תקיפת נהג אוטובוס ציבורי), התשפ""ג-2022")</f>
        <v>14361</v>
      </c>
      <c r="E7359" t="s">
        <v>14361</v>
      </c>
      <c r="F7359" t="s">
        <v>14362</v>
      </c>
      <c r="G7359" t="s">
        <v>14</v>
      </c>
      <c r="H7359">
             </c>
      <c r="I7359" t="s">
        <v>14</v>
      </c>
      <c r="J7359" t="s">
        <v>242</v>
      </c>
      <c r="K7359" t="s">
        <v>14</v>
      </c>
      <c r="L7359" t="s">
        <v>20</v>
      </c>
      <c r="M7359" t="s">
        <v>14103</v>
      </c>
      <c r="N7359" t="s">
        <v>14</v>
      </c>
    </row>
    <row r="7360" x14ac:dyDescent="0.25">
      <c r="A7360" t="n">
        <v>25</v>
      </c>
      <c r="B7360" t="s">
        <v>14</v>
      </c>
      <c r="C7360" t="s">
        <v>51</v>
      </c>
      <c r="D7360" s="2" t="s">
        <f>=HYPERLINK("https://main.knesset.gov.il/APPS/legislation/main/bills/2197101", "הצעת חוק לתיקון פקודת הסמים המסוכנים (הגדרת צמח הקנבוס, מדרוג עבירות ועונשים בסם קנבוס), התשפ""ג-2022")</f>
        <v>14363</v>
      </c>
      <c r="E7360" t="s">
        <v>14363</v>
      </c>
      <c r="F7360" t="s">
        <v>14364</v>
      </c>
      <c r="G7360" t="s">
        <v>14</v>
      </c>
      <c r="H7360">
             </c>
      <c r="I7360" t="s">
        <v>14</v>
      </c>
      <c r="J7360" t="s">
        <v>242</v>
      </c>
      <c r="K7360" t="s">
        <v>14</v>
      </c>
      <c r="L7360" t="s">
        <v>20</v>
      </c>
      <c r="M7360" t="s">
        <v>14103</v>
      </c>
      <c r="N7360" t="s">
        <v>14</v>
      </c>
    </row>
    <row r="7361" x14ac:dyDescent="0.25">
      <c r="A7361" t="n">
        <v>25</v>
      </c>
      <c r="B7361" t="s">
        <v>14</v>
      </c>
      <c r="C7361" t="s">
        <v>51</v>
      </c>
      <c r="D7361" s="2" t="s">
        <f>=HYPERLINK("https://main.knesset.gov.il/APPS/legislation/main/bills/2196313", "הצעת חוק חינוך ממלכתי (תיקון - הוספת שיעורי חינוך גופני), התשפ""ג-2022")</f>
        <v>14365</v>
      </c>
      <c r="E7361" t="s">
        <v>14365</v>
      </c>
      <c r="F7361" t="s">
        <v>14366</v>
      </c>
      <c r="G7361" t="s">
        <v>14</v>
      </c>
      <c r="H7361">
             </c>
      <c r="I7361" t="s">
        <v>14</v>
      </c>
      <c r="J7361" t="s">
        <v>242</v>
      </c>
      <c r="K7361" t="s">
        <v>14</v>
      </c>
      <c r="L7361" t="s">
        <v>20</v>
      </c>
      <c r="M7361" t="s">
        <v>14103</v>
      </c>
      <c r="N7361" t="s">
        <v>14</v>
      </c>
    </row>
    <row r="7362" x14ac:dyDescent="0.25">
      <c r="A7362" t="n">
        <v>25</v>
      </c>
      <c r="B7362" t="s">
        <v>14</v>
      </c>
      <c r="C7362" t="s">
        <v>51</v>
      </c>
      <c r="D7362" s="2" t="s">
        <f>=HYPERLINK("https://main.knesset.gov.il/APPS/legislation/main/bills/2196112", "הצעת חוק לתיקון פקודת העיריות (תשלום עבור המצאת מסמכי מכרז), התשפ""ג-2022")</f>
        <v>14367</v>
      </c>
      <c r="E7362" t="s">
        <v>14367</v>
      </c>
      <c r="F7362" t="s">
        <v>14368</v>
      </c>
      <c r="G7362" t="s">
        <v>14</v>
      </c>
      <c r="H7362">
             </c>
      <c r="I7362" t="s">
        <v>14</v>
      </c>
      <c r="J7362" t="s">
        <v>242</v>
      </c>
      <c r="K7362" t="s">
        <v>14</v>
      </c>
      <c r="L7362" t="s">
        <v>20</v>
      </c>
      <c r="M7362" t="s">
        <v>14103</v>
      </c>
      <c r="N7362" t="s">
        <v>14</v>
      </c>
    </row>
    <row r="7363" x14ac:dyDescent="0.25">
      <c r="A7363" t="n">
        <v>25</v>
      </c>
      <c r="B7363" t="s">
        <v>14</v>
      </c>
      <c r="C7363" t="s">
        <v>51</v>
      </c>
      <c r="D7363" s="2" t="s">
        <f>=HYPERLINK("https://main.knesset.gov.il/APPS/legislation/main/bills/2196122", "הצעת חוק לתיקון פקודת בתי הסוהר (קביעת משך הביקור), התשפ""ג-2022")</f>
        <v>14369</v>
      </c>
      <c r="E7363" t="s">
        <v>14369</v>
      </c>
      <c r="F7363" t="s">
        <v>14370</v>
      </c>
      <c r="G7363" t="s">
        <v>14</v>
      </c>
      <c r="H7363">
             </c>
      <c r="I7363" t="s">
        <v>14</v>
      </c>
      <c r="J7363" t="s">
        <v>242</v>
      </c>
      <c r="K7363" t="s">
        <v>14</v>
      </c>
      <c r="L7363" t="s">
        <v>20</v>
      </c>
      <c r="M7363" t="s">
        <v>14103</v>
      </c>
      <c r="N7363" t="s">
        <v>14</v>
      </c>
    </row>
    <row r="7364" x14ac:dyDescent="0.25">
      <c r="A7364" t="n">
        <v>25</v>
      </c>
      <c r="B7364" t="s">
        <v>14</v>
      </c>
      <c r="C7364" t="s">
        <v>51</v>
      </c>
      <c r="D7364" s="2" t="s">
        <f>=HYPERLINK("https://main.knesset.gov.il/APPS/legislation/main/bills/2197179", "הצעת חוק להגבלת שכר טרחת כונסי נכסים (תיקוני חקיקה), התשפ""ג-2022")</f>
        <v>14371</v>
      </c>
      <c r="E7364" t="s">
        <v>14371</v>
      </c>
      <c r="F7364" t="s">
        <v>14372</v>
      </c>
      <c r="G7364" t="s">
        <v>14</v>
      </c>
      <c r="H7364">
             </c>
      <c r="I7364" t="s">
        <v>14</v>
      </c>
      <c r="J7364" t="s">
        <v>242</v>
      </c>
      <c r="K7364" t="s">
        <v>14</v>
      </c>
      <c r="L7364" t="s">
        <v>20</v>
      </c>
      <c r="M7364" t="s">
        <v>14103</v>
      </c>
      <c r="N7364" t="s">
        <v>14</v>
      </c>
    </row>
    <row r="7365" x14ac:dyDescent="0.25">
      <c r="A7365" t="n">
        <v>25</v>
      </c>
      <c r="B7365" t="s">
        <v>14</v>
      </c>
      <c r="C7365" t="s">
        <v>51</v>
      </c>
      <c r="D7365" s="2" t="s">
        <f>=HYPERLINK("https://main.knesset.gov.il/APPS/legislation/main/bills/2196119", "הצעת חוק יישוב סכסוכי עבודה (תיקון - בוררות חובה בשירותים חיוניים), התשפ""ג-2022")</f>
        <v>14373</v>
      </c>
      <c r="E7365" t="s">
        <v>14373</v>
      </c>
      <c r="F7365" t="s">
        <v>14374</v>
      </c>
      <c r="G7365" t="s">
        <v>14</v>
      </c>
      <c r="H7365">
             </c>
      <c r="I7365" t="s">
        <v>14</v>
      </c>
      <c r="J7365" t="s">
        <v>242</v>
      </c>
      <c r="K7365" t="s">
        <v>14</v>
      </c>
      <c r="L7365" t="s">
        <v>20</v>
      </c>
      <c r="M7365" t="s">
        <v>14103</v>
      </c>
      <c r="N7365" t="s">
        <v>14</v>
      </c>
    </row>
    <row r="7366" x14ac:dyDescent="0.25">
      <c r="A7366" t="n">
        <v>25</v>
      </c>
      <c r="B7366" t="s">
        <v>14</v>
      </c>
      <c r="C7366" t="s">
        <v>51</v>
      </c>
      <c r="D7366" s="2" t="s">
        <f>=HYPERLINK("https://main.knesset.gov.il/APPS/legislation/main/bills/2195869", "הצעת חוק-יסוד: הממשלה (תיקון - אי-כשירות של נאשם להרכיב את הממשלה)")</f>
        <v>14375</v>
      </c>
      <c r="E7366" t="s">
        <v>14375</v>
      </c>
      <c r="F7366" t="s">
        <v>14376</v>
      </c>
      <c r="G7366" t="s">
        <v>14</v>
      </c>
      <c r="H7366">
             </c>
      <c r="I7366" t="s">
        <v>14</v>
      </c>
      <c r="J7366" t="s">
        <v>242</v>
      </c>
      <c r="K7366" t="s">
        <v>14</v>
      </c>
      <c r="L7366" t="s">
        <v>20</v>
      </c>
      <c r="M7366" t="s">
        <v>14103</v>
      </c>
      <c r="N7366" t="s">
        <v>14</v>
      </c>
    </row>
    <row r="7367" x14ac:dyDescent="0.25">
      <c r="A7367" t="n">
        <v>25</v>
      </c>
      <c r="B7367" t="s">
        <v>14</v>
      </c>
      <c r="C7367" t="s">
        <v>51</v>
      </c>
      <c r="D7367" s="2" t="s">
        <f>=HYPERLINK("https://main.knesset.gov.il/APPS/legislation/main/bills/2195942", "הצעת חוק להגבלת שכר טרחת כונסי נכסים (תיקוני חקיקה), התשפ""ג-2022")</f>
        <v>14371</v>
      </c>
      <c r="E7367" t="s">
        <v>14371</v>
      </c>
      <c r="F7367" t="s">
        <v>14377</v>
      </c>
      <c r="G7367" t="s">
        <v>14</v>
      </c>
      <c r="H7367">
             </c>
      <c r="I7367" t="s">
        <v>14</v>
      </c>
      <c r="J7367" t="s">
        <v>242</v>
      </c>
      <c r="K7367" t="s">
        <v>14</v>
      </c>
      <c r="L7367" t="s">
        <v>20</v>
      </c>
      <c r="M7367" t="s">
        <v>14103</v>
      </c>
      <c r="N7367" t="s">
        <v>14</v>
      </c>
    </row>
    <row r="7368" x14ac:dyDescent="0.25">
      <c r="A7368" t="n">
        <v>25</v>
      </c>
      <c r="B7368" t="s">
        <v>14</v>
      </c>
      <c r="C7368" t="s">
        <v>51</v>
      </c>
      <c r="D7368" s="2" t="s">
        <f>=HYPERLINK("https://main.knesset.gov.il/APPS/legislation/main/bills/2196115", "הצעת חוק זכאות לאבחון לקויות למידה לילדים ממשפחות מעוטות יכולת, התשפ""ג-2022 ")</f>
        <v>14025</v>
      </c>
      <c r="E7368" t="s">
        <v>14025</v>
      </c>
      <c r="F7368" t="s">
        <v>14378</v>
      </c>
      <c r="G7368" t="s">
        <v>14</v>
      </c>
      <c r="H7368">
             </c>
      <c r="I7368" t="s">
        <v>14</v>
      </c>
      <c r="J7368" t="s">
        <v>242</v>
      </c>
      <c r="K7368" t="s">
        <v>14</v>
      </c>
      <c r="L7368" t="s">
        <v>20</v>
      </c>
      <c r="M7368" t="s">
        <v>14103</v>
      </c>
      <c r="N7368" t="s">
        <v>14</v>
      </c>
    </row>
    <row r="7369" x14ac:dyDescent="0.25">
      <c r="A7369" t="n">
        <v>25</v>
      </c>
      <c r="B7369" t="s">
        <v>14</v>
      </c>
      <c r="C7369" t="s">
        <v>51</v>
      </c>
      <c r="D7369" s="2" t="s">
        <f>=HYPERLINK("https://main.knesset.gov.il/APPS/legislation/main/bills/2197053", "הצעת חוק יישום תכנית ההתנתקות (תיקון - ביטול סעיפי הפינוי ושינוי שם החוק), התשפ""ג-2022")</f>
        <v>14379</v>
      </c>
      <c r="E7369" t="s">
        <v>14379</v>
      </c>
      <c r="F7369" t="s">
        <v>14380</v>
      </c>
      <c r="G7369" t="s">
        <v>14</v>
      </c>
      <c r="H7369">
             </c>
      <c r="I7369" t="s">
        <v>14</v>
      </c>
      <c r="J7369" t="s">
        <v>242</v>
      </c>
      <c r="K7369" t="s">
        <v>14</v>
      </c>
      <c r="L7369" t="s">
        <v>20</v>
      </c>
      <c r="M7369" t="s">
        <v>14103</v>
      </c>
      <c r="N7369" t="s">
        <v>14</v>
      </c>
    </row>
    <row r="7370" x14ac:dyDescent="0.25">
      <c r="A7370" t="n">
        <v>25</v>
      </c>
      <c r="B7370" t="s">
        <v>14</v>
      </c>
      <c r="C7370" t="s">
        <v>51</v>
      </c>
      <c r="D7370" s="2" t="s">
        <f>=HYPERLINK("https://main.knesset.gov.il/APPS/legislation/main/bills/2196094", "הצעת חוק בית הדין לעבודה (תיקון - ערעור לפני בית המשפט העליון), התשפ""ג-2022")</f>
        <v>14381</v>
      </c>
      <c r="E7370" t="s">
        <v>14381</v>
      </c>
      <c r="F7370" t="s">
        <v>14382</v>
      </c>
      <c r="G7370" t="s">
        <v>14</v>
      </c>
      <c r="H7370">
             </c>
      <c r="I7370" t="s">
        <v>14</v>
      </c>
      <c r="J7370" t="s">
        <v>242</v>
      </c>
      <c r="K7370" t="s">
        <v>14</v>
      </c>
      <c r="L7370" t="s">
        <v>20</v>
      </c>
      <c r="M7370" t="s">
        <v>14103</v>
      </c>
      <c r="N7370" t="s">
        <v>14</v>
      </c>
    </row>
    <row r="7371" x14ac:dyDescent="0.25">
      <c r="A7371" t="n">
        <v>25</v>
      </c>
      <c r="B7371" t="s">
        <v>14</v>
      </c>
      <c r="C7371" t="s">
        <v>51</v>
      </c>
      <c r="D7371" s="2" t="s">
        <f>=HYPERLINK("https://main.knesset.gov.il/APPS/legislation/main/bills/2196787", "הצעת חוק יישום תכנית ההתנתקות (תיקון - ביטול סעיפי הפינוי ושינוי שם החוק), התשפ""ג-2022")</f>
        <v>14379</v>
      </c>
      <c r="E7371" t="s">
        <v>14379</v>
      </c>
      <c r="F7371" t="s">
        <v>14383</v>
      </c>
      <c r="G7371" t="s">
        <v>14</v>
      </c>
      <c r="H7371">
             </c>
      <c r="I7371" t="s">
        <v>14</v>
      </c>
      <c r="J7371" t="s">
        <v>242</v>
      </c>
      <c r="K7371" t="s">
        <v>14</v>
      </c>
      <c r="L7371" t="s">
        <v>20</v>
      </c>
      <c r="M7371" t="s">
        <v>14103</v>
      </c>
      <c r="N7371" t="s">
        <v>14</v>
      </c>
    </row>
    <row r="7372" x14ac:dyDescent="0.25">
      <c r="A7372" t="n">
        <v>25</v>
      </c>
      <c r="B7372" t="s">
        <v>14</v>
      </c>
      <c r="C7372" t="s">
        <v>51</v>
      </c>
      <c r="D7372" s="2" t="s">
        <f>=HYPERLINK("https://main.knesset.gov.il/APPS/legislation/main/bills/2196047", "הצעת חוק יישום תכנית ההתנתקות (תיקון - ביטול סעיפי הפינוי ושינוי שם החוק), התשפ""ג-2022")</f>
        <v>14379</v>
      </c>
      <c r="E7372" t="s">
        <v>14379</v>
      </c>
      <c r="F7372" t="s">
        <v>14384</v>
      </c>
      <c r="G7372" t="s">
        <v>14</v>
      </c>
      <c r="H7372">
             </c>
      <c r="I7372" t="s">
        <v>14</v>
      </c>
      <c r="J7372" t="s">
        <v>242</v>
      </c>
      <c r="K7372" t="s">
        <v>14</v>
      </c>
      <c r="L7372" t="s">
        <v>20</v>
      </c>
      <c r="M7372" t="s">
        <v>14103</v>
      </c>
      <c r="N7372" t="s">
        <v>14</v>
      </c>
    </row>
    <row r="7373" x14ac:dyDescent="0.25">
      <c r="A7373" t="n">
        <v>25</v>
      </c>
      <c r="B7373" t="s">
        <v>14</v>
      </c>
      <c r="C7373" t="s">
        <v>51</v>
      </c>
      <c r="D7373" s="2" t="s">
        <f>=HYPERLINK("https://main.knesset.gov.il/APPS/legislation/main/bills/2196105", "הצעת חוק סייעות במוסדות חינוך, התשפ""ג-2022")</f>
        <v>14385</v>
      </c>
      <c r="E7373" t="s">
        <v>14385</v>
      </c>
      <c r="F7373" t="s">
        <v>14386</v>
      </c>
      <c r="G7373" t="s">
        <v>14</v>
      </c>
      <c r="H7373">
             </c>
      <c r="I7373" t="s">
        <v>14</v>
      </c>
      <c r="J7373" t="s">
        <v>242</v>
      </c>
      <c r="K7373" t="s">
        <v>14</v>
      </c>
      <c r="L7373" t="s">
        <v>20</v>
      </c>
      <c r="M7373" t="s">
        <v>14103</v>
      </c>
      <c r="N7373" t="s">
        <v>14</v>
      </c>
    </row>
    <row r="7374" x14ac:dyDescent="0.25">
      <c r="A7374" t="n">
        <v>25</v>
      </c>
      <c r="B7374" t="s">
        <v>14</v>
      </c>
      <c r="C7374" t="s">
        <v>51</v>
      </c>
      <c r="D7374" s="2" t="s">
        <f>=HYPERLINK("https://main.knesset.gov.il/APPS/legislation/main/bills/2196098", "הצעת חוק טיפול בחולי נפש (תיקון - תנאי אשפוז הולמים), התשפ""ג-2022")</f>
        <v>13454</v>
      </c>
      <c r="E7374" t="s">
        <v>13454</v>
      </c>
      <c r="F7374" t="s">
        <v>14387</v>
      </c>
      <c r="G7374" t="s">
        <v>14</v>
      </c>
      <c r="H7374">
             </c>
      <c r="I7374" t="s">
        <v>14</v>
      </c>
      <c r="J7374" t="s">
        <v>242</v>
      </c>
      <c r="K7374" t="s">
        <v>14</v>
      </c>
      <c r="L7374" t="s">
        <v>20</v>
      </c>
      <c r="M7374" t="s">
        <v>14103</v>
      </c>
      <c r="N7374" t="s">
        <v>14</v>
      </c>
    </row>
    <row r="7375" x14ac:dyDescent="0.25">
      <c r="A7375" t="n">
        <v>25</v>
      </c>
      <c r="B7375" t="s">
        <v>14</v>
      </c>
      <c r="C7375" t="s">
        <v>51</v>
      </c>
      <c r="D7375" s="2" t="s">
        <f>=HYPERLINK("https://main.knesset.gov.il/APPS/legislation/main/bills/2196104", "הצעת חוק מס ערך מוסף (תיקון - מס בשיעור אפס על תרכובת מזון לתינוקות), התשפ""ג-2022")</f>
        <v>14388</v>
      </c>
      <c r="E7375" t="s">
        <v>14388</v>
      </c>
      <c r="F7375" t="s">
        <v>14389</v>
      </c>
      <c r="G7375" t="s">
        <v>14</v>
      </c>
      <c r="H7375">
             </c>
      <c r="I7375" t="s">
        <v>14</v>
      </c>
      <c r="J7375" t="s">
        <v>242</v>
      </c>
      <c r="K7375" t="s">
        <v>14</v>
      </c>
      <c r="L7375" t="s">
        <v>20</v>
      </c>
      <c r="M7375" t="s">
        <v>14103</v>
      </c>
      <c r="N7375" t="s">
        <v>14</v>
      </c>
    </row>
    <row r="7376" x14ac:dyDescent="0.25">
      <c r="A7376" t="n">
        <v>25</v>
      </c>
      <c r="B7376" t="s">
        <v>14</v>
      </c>
      <c r="C7376" t="s">
        <v>51</v>
      </c>
      <c r="D7376" s="2" t="s">
        <f>=HYPERLINK("https://main.knesset.gov.il/APPS/legislation/main/bills/2196091", "הצעת חוק לתיקון פקודת התעבורה (מאגר מידע של ניקוד מסוכנות לעניין נהגים מקצועיים), התשפ""ג-2022")</f>
        <v>14390</v>
      </c>
      <c r="E7376" t="s">
        <v>14390</v>
      </c>
      <c r="F7376" t="s">
        <v>14391</v>
      </c>
      <c r="G7376" t="s">
        <v>14</v>
      </c>
      <c r="H7376">
             </c>
      <c r="I7376" t="s">
        <v>14</v>
      </c>
      <c r="J7376" t="s">
        <v>242</v>
      </c>
      <c r="K7376" t="s">
        <v>14</v>
      </c>
      <c r="L7376" t="s">
        <v>20</v>
      </c>
      <c r="M7376" t="s">
        <v>14103</v>
      </c>
      <c r="N7376" t="s">
        <v>14</v>
      </c>
    </row>
    <row r="7377" x14ac:dyDescent="0.25">
      <c r="A7377" t="n">
        <v>25</v>
      </c>
      <c r="B7377" t="s">
        <v>14</v>
      </c>
      <c r="C7377" t="s">
        <v>51</v>
      </c>
      <c r="D7377" s="2" t="s">
        <f>=HYPERLINK("https://main.knesset.gov.il/APPS/legislation/main/bills/2196089", "הצעת חוק לתיקון פקודת העיריות (מענק הבירה), התשפ""ג-2022")</f>
        <v>14392</v>
      </c>
      <c r="E7377" t="s">
        <v>14392</v>
      </c>
      <c r="F7377" t="s">
        <v>14393</v>
      </c>
      <c r="G7377" t="s">
        <v>14</v>
      </c>
      <c r="H7377">
             </c>
      <c r="I7377" t="s">
        <v>14</v>
      </c>
      <c r="J7377" t="s">
        <v>242</v>
      </c>
      <c r="K7377" t="s">
        <v>14</v>
      </c>
      <c r="L7377" t="s">
        <v>20</v>
      </c>
      <c r="M7377" t="s">
        <v>14103</v>
      </c>
      <c r="N7377" t="s">
        <v>14</v>
      </c>
    </row>
    <row r="7378" x14ac:dyDescent="0.25">
      <c r="A7378" t="n">
        <v>25</v>
      </c>
      <c r="B7378" t="s">
        <v>14</v>
      </c>
      <c r="C7378" t="s">
        <v>51</v>
      </c>
      <c r="D7378" s="2" t="s">
        <f>=HYPERLINK("https://main.knesset.gov.il/APPS/legislation/main/bills/2196095", "הצעת חוק החזקת תכשיר אפינפרין במוסדות חינוך ובמקומות ציבוריים (תיקון - החזקת תכשיר אפינפרין בבית אוכל), התשפ""ג-2022")</f>
        <v>13579</v>
      </c>
      <c r="E7378" t="s">
        <v>13579</v>
      </c>
      <c r="F7378" t="s">
        <v>14394</v>
      </c>
      <c r="G7378" t="s">
        <v>14</v>
      </c>
      <c r="H7378">
             </c>
      <c r="I7378" t="s">
        <v>14</v>
      </c>
      <c r="J7378" t="s">
        <v>242</v>
      </c>
      <c r="K7378" t="s">
        <v>14</v>
      </c>
      <c r="L7378" t="s">
        <v>20</v>
      </c>
      <c r="M7378" t="s">
        <v>14103</v>
      </c>
      <c r="N7378" t="s">
        <v>14</v>
      </c>
    </row>
    <row r="7379" x14ac:dyDescent="0.25">
      <c r="A7379" t="n">
        <v>25</v>
      </c>
      <c r="B7379" t="s">
        <v>14</v>
      </c>
      <c r="C7379" t="s">
        <v>51</v>
      </c>
      <c r="D7379" s="2" t="s">
        <f>=HYPERLINK("https://main.knesset.gov.il/APPS/legislation/main/bills/2195980", "הצעת חוק חובת המכרזים (תיקון - העדפת טובין ממוחזרים), התשפ""ג-2022")</f>
        <v>14395</v>
      </c>
      <c r="E7379" t="s">
        <v>14395</v>
      </c>
      <c r="F7379" t="s">
        <v>14396</v>
      </c>
      <c r="G7379" t="s">
        <v>14</v>
      </c>
      <c r="H7379">
             </c>
      <c r="I7379" t="s">
        <v>14</v>
      </c>
      <c r="J7379" t="s">
        <v>242</v>
      </c>
      <c r="K7379" t="s">
        <v>14</v>
      </c>
      <c r="L7379" t="s">
        <v>20</v>
      </c>
      <c r="M7379" t="s">
        <v>14103</v>
      </c>
      <c r="N7379" t="s">
        <v>14</v>
      </c>
    </row>
    <row r="7380" x14ac:dyDescent="0.25">
      <c r="A7380" t="n">
        <v>25</v>
      </c>
      <c r="B7380" t="s">
        <v>14</v>
      </c>
      <c r="C7380" t="s">
        <v>51</v>
      </c>
      <c r="D7380" s="2" t="s">
        <f>=HYPERLINK("https://main.knesset.gov.il/APPS/legislation/main/bills/2196087", "הצעת חוק החברות (תיקון - פרסום דוחות כספיים של מונופול), התשפ""ג-2022")</f>
        <v>9382</v>
      </c>
      <c r="E7380" t="s">
        <v>9382</v>
      </c>
      <c r="F7380" t="s">
        <v>14397</v>
      </c>
      <c r="G7380" t="s">
        <v>14</v>
      </c>
      <c r="H7380">
             </c>
      <c r="I7380" t="s">
        <v>14</v>
      </c>
      <c r="J7380" t="s">
        <v>242</v>
      </c>
      <c r="K7380" t="s">
        <v>14</v>
      </c>
      <c r="L7380" t="s">
        <v>20</v>
      </c>
      <c r="M7380" t="s">
        <v>14103</v>
      </c>
      <c r="N7380" t="s">
        <v>14</v>
      </c>
    </row>
    <row r="7381" x14ac:dyDescent="0.25">
      <c r="A7381" t="n">
        <v>25</v>
      </c>
      <c r="B7381" t="s">
        <v>14</v>
      </c>
      <c r="C7381" t="s">
        <v>51</v>
      </c>
      <c r="D7381" s="2" t="s">
        <f>=HYPERLINK("https://main.knesset.gov.il/APPS/legislation/main/bills/2195975", "הצעת חוק חדלות פירעון ושיקום כלכלי (תיקון - הסמכת בית המשפט לעכב הליכי גבייה), התשפ""ג-2022")</f>
        <v>14398</v>
      </c>
      <c r="E7381" t="s">
        <v>14398</v>
      </c>
      <c r="F7381" t="s">
        <v>14399</v>
      </c>
      <c r="G7381" t="s">
        <v>14</v>
      </c>
      <c r="H7381">
             </c>
      <c r="I7381" t="s">
        <v>14</v>
      </c>
      <c r="J7381" t="s">
        <v>202</v>
      </c>
      <c r="K7381" t="s">
        <v>14</v>
      </c>
      <c r="L7381" t="s">
        <v>20</v>
      </c>
      <c r="M7381" t="s">
        <v>14103</v>
      </c>
      <c r="N7381" t="s">
        <v>14</v>
      </c>
    </row>
    <row r="7382" x14ac:dyDescent="0.25">
      <c r="A7382" t="n">
        <v>25</v>
      </c>
      <c r="B7382" t="s">
        <v>14</v>
      </c>
      <c r="C7382" t="s">
        <v>51</v>
      </c>
      <c r="D7382" s="2" t="s">
        <f>=HYPERLINK("https://main.knesset.gov.il/APPS/legislation/main/bills/2195969", "הצעת חוק מגן דוד אדום (תיקון - הענקת שירותי רפואה מרחוק), התשפ""ג-2022")</f>
        <v>14400</v>
      </c>
      <c r="E7382" t="s">
        <v>14400</v>
      </c>
      <c r="F7382" t="s">
        <v>14401</v>
      </c>
      <c r="G7382" t="s">
        <v>14</v>
      </c>
      <c r="H7382">
             </c>
      <c r="I7382" t="s">
        <v>14</v>
      </c>
      <c r="J7382" t="s">
        <v>242</v>
      </c>
      <c r="K7382" t="s">
        <v>14</v>
      </c>
      <c r="L7382" t="s">
        <v>20</v>
      </c>
      <c r="M7382" t="s">
        <v>14103</v>
      </c>
      <c r="N7382" t="s">
        <v>14</v>
      </c>
    </row>
    <row r="7383" x14ac:dyDescent="0.25">
      <c r="A7383" t="n">
        <v>25</v>
      </c>
      <c r="B7383" t="s">
        <v>14</v>
      </c>
      <c r="C7383" t="s">
        <v>51</v>
      </c>
      <c r="D7383" s="2" t="s">
        <f>=HYPERLINK("https://main.knesset.gov.il/APPS/legislation/main/bills/2195987", "הצעת חוק האגודות העותומניות (רישום ופיקוח), התשפ""ג-2022")</f>
        <v>14402</v>
      </c>
      <c r="E7383" t="s">
        <v>14402</v>
      </c>
      <c r="F7383" t="s">
        <v>14403</v>
      </c>
      <c r="G7383" t="s">
        <v>14</v>
      </c>
      <c r="H7383">
             </c>
      <c r="I7383" t="s">
        <v>14</v>
      </c>
      <c r="J7383" t="s">
        <v>242</v>
      </c>
      <c r="K7383" t="s">
        <v>14</v>
      </c>
      <c r="L7383" t="s">
        <v>20</v>
      </c>
      <c r="M7383" t="s">
        <v>14103</v>
      </c>
      <c r="N7383" t="s">
        <v>14</v>
      </c>
    </row>
    <row r="7384" x14ac:dyDescent="0.25">
      <c r="A7384" t="n">
        <v>25</v>
      </c>
      <c r="B7384" t="s">
        <v>14</v>
      </c>
      <c r="C7384" t="s">
        <v>51</v>
      </c>
      <c r="D7384" s="2" t="s">
        <f>=HYPERLINK("https://main.knesset.gov.il/APPS/legislation/main/bills/2195958", "הצעת חוק זכויות נפגעי עבירה (תיקון - הרחבת זכויות נפגעי עבירה), התשפ""ג-2022")</f>
        <v>14404</v>
      </c>
      <c r="E7384" t="s">
        <v>14404</v>
      </c>
      <c r="F7384" t="s">
        <v>14405</v>
      </c>
      <c r="G7384" t="s">
        <v>14</v>
      </c>
      <c r="H7384">
             </c>
      <c r="I7384" t="s">
        <v>14</v>
      </c>
      <c r="J7384" t="s">
        <v>202</v>
      </c>
      <c r="K7384" t="s">
        <v>14</v>
      </c>
      <c r="L7384" t="s">
        <v>20</v>
      </c>
      <c r="M7384" t="s">
        <v>14103</v>
      </c>
      <c r="N7384" t="s">
        <v>14</v>
      </c>
    </row>
    <row r="7385" x14ac:dyDescent="0.25">
      <c r="A7385" t="n">
        <v>25</v>
      </c>
      <c r="B7385" t="s">
        <v>14</v>
      </c>
      <c r="C7385" t="s">
        <v>51</v>
      </c>
      <c r="D7385" s="2" t="s">
        <f>=HYPERLINK("https://main.knesset.gov.il/APPS/legislation/main/bills/2195940", "הצעת חוק טיפול בחולי נפש (תיקון - בחירת מקום אשפוז), התשפ""ג-2022")</f>
        <v>14406</v>
      </c>
      <c r="E7385" t="s">
        <v>14406</v>
      </c>
      <c r="F7385" t="s">
        <v>14407</v>
      </c>
      <c r="G7385" t="s">
        <v>14</v>
      </c>
      <c r="H7385">
             </c>
      <c r="I7385" t="s">
        <v>14</v>
      </c>
      <c r="J7385" t="s">
        <v>242</v>
      </c>
      <c r="K7385" t="s">
        <v>14</v>
      </c>
      <c r="L7385" t="s">
        <v>20</v>
      </c>
      <c r="M7385" t="s">
        <v>14103</v>
      </c>
      <c r="N7385" t="s">
        <v>14</v>
      </c>
    </row>
    <row r="7386" x14ac:dyDescent="0.25">
      <c r="A7386" t="n">
        <v>25</v>
      </c>
      <c r="B7386" t="s">
        <v>14</v>
      </c>
      <c r="C7386" t="s">
        <v>51</v>
      </c>
      <c r="D7386" s="2" t="s">
        <f>=HYPERLINK("https://main.knesset.gov.il/APPS/legislation/main/bills/2196070", "הצעת חוק מתן סמכויות פיקוח והסמכת מפקחים ופקחים (תיקוני חקיקה), התשפ""ג-2022")</f>
        <v>14408</v>
      </c>
      <c r="E7386" t="s">
        <v>14408</v>
      </c>
      <c r="F7386" t="s">
        <v>14409</v>
      </c>
      <c r="G7386" t="s">
        <v>14</v>
      </c>
      <c r="H7386">
             </c>
      <c r="I7386" t="s">
        <v>14</v>
      </c>
      <c r="J7386" t="s">
        <v>242</v>
      </c>
      <c r="K7386" t="s">
        <v>14</v>
      </c>
      <c r="L7386" t="s">
        <v>20</v>
      </c>
      <c r="M7386" t="s">
        <v>14103</v>
      </c>
      <c r="N7386" t="s">
        <v>14</v>
      </c>
    </row>
    <row r="7387" x14ac:dyDescent="0.25">
      <c r="A7387" t="n">
        <v>25</v>
      </c>
      <c r="B7387" t="s">
        <v>14</v>
      </c>
      <c r="C7387" t="s">
        <v>51</v>
      </c>
      <c r="D7387" s="2" t="s">
        <f>=HYPERLINK("https://main.knesset.gov.il/APPS/legislation/main/bills/2195938", "הצעת חוק העונשין (תיקון - אלימות במשפחה בנוכחות קטין או חסר ישע), התשפ""ג-2022")</f>
        <v>13568</v>
      </c>
      <c r="E7387" t="s">
        <v>13568</v>
      </c>
      <c r="F7387" t="s">
        <v>14410</v>
      </c>
      <c r="G7387" t="s">
        <v>14</v>
      </c>
      <c r="H7387">
             </c>
      <c r="I7387" t="s">
        <v>14</v>
      </c>
      <c r="J7387" t="s">
        <v>202</v>
      </c>
      <c r="K7387" t="s">
        <v>14</v>
      </c>
      <c r="L7387" t="s">
        <v>20</v>
      </c>
      <c r="M7387" t="s">
        <v>14103</v>
      </c>
      <c r="N7387" t="s">
        <v>14</v>
      </c>
    </row>
    <row r="7388" x14ac:dyDescent="0.25">
      <c r="A7388" t="n">
        <v>25</v>
      </c>
      <c r="B7388" t="s">
        <v>14</v>
      </c>
      <c r="C7388" t="s">
        <v>51</v>
      </c>
      <c r="D7388" s="2" t="s">
        <f>=HYPERLINK("https://main.knesset.gov.il/APPS/legislation/main/bills/2196069", "הצעת חוק מיסוי מקרקעין (שבח ורכישה) (תיקון - ייצוג נישום על ידי רואה חשבון), התשפ""ג-2022")</f>
        <v>14411</v>
      </c>
      <c r="E7388" t="s">
        <v>14411</v>
      </c>
      <c r="F7388" t="s">
        <v>14412</v>
      </c>
      <c r="G7388" t="s">
        <v>14</v>
      </c>
      <c r="H7388">
             </c>
      <c r="I7388" t="s">
        <v>14</v>
      </c>
      <c r="J7388" t="s">
        <v>242</v>
      </c>
      <c r="K7388" t="s">
        <v>14</v>
      </c>
      <c r="L7388" t="s">
        <v>20</v>
      </c>
      <c r="M7388" t="s">
        <v>14103</v>
      </c>
      <c r="N7388" t="s">
        <v>14</v>
      </c>
    </row>
    <row r="7389" x14ac:dyDescent="0.25">
      <c r="A7389" t="n">
        <v>25</v>
      </c>
      <c r="B7389" t="s">
        <v>14</v>
      </c>
      <c r="C7389" t="s">
        <v>51</v>
      </c>
      <c r="D7389" s="2" t="s">
        <f>=HYPERLINK("https://main.knesset.gov.il/APPS/legislation/main/bills/2195924", "הצעת חוק המידע הפלילי ותקנת השבים (תיקון - סעיף העונשין), התשפ""ג-2022")</f>
        <v>14413</v>
      </c>
      <c r="E7389" t="s">
        <v>14413</v>
      </c>
      <c r="F7389" t="s">
        <v>14414</v>
      </c>
      <c r="G7389" t="s">
        <v>14</v>
      </c>
      <c r="H7389">
             </c>
      <c r="I7389" t="s">
        <v>14</v>
      </c>
      <c r="J7389" t="s">
        <v>242</v>
      </c>
      <c r="K7389" t="s">
        <v>14</v>
      </c>
      <c r="L7389" t="s">
        <v>20</v>
      </c>
      <c r="M7389" t="s">
        <v>14103</v>
      </c>
      <c r="N7389" t="s">
        <v>14</v>
      </c>
    </row>
    <row r="7390" x14ac:dyDescent="0.25">
      <c r="A7390" t="n">
        <v>25</v>
      </c>
      <c r="B7390" t="s">
        <v>14</v>
      </c>
      <c r="C7390" t="s">
        <v>51</v>
      </c>
      <c r="D7390" s="2" t="s">
        <f>=HYPERLINK("https://main.knesset.gov.il/APPS/legislation/main/bills/2195880", "הצעת חוק זכויות ושירותים לילדים ובני נוער עם קשיים נפשיים, התשפ""ג-2022")</f>
        <v>14415</v>
      </c>
      <c r="E7390" t="s">
        <v>14415</v>
      </c>
      <c r="F7390" t="s">
        <v>14416</v>
      </c>
      <c r="G7390" t="s">
        <v>14</v>
      </c>
      <c r="H7390">
             </c>
      <c r="I7390" t="s">
        <v>14</v>
      </c>
      <c r="J7390" t="s">
        <v>242</v>
      </c>
      <c r="K7390" t="s">
        <v>14</v>
      </c>
      <c r="L7390" t="s">
        <v>20</v>
      </c>
      <c r="M7390" t="s">
        <v>14103</v>
      </c>
      <c r="N7390" t="s">
        <v>14</v>
      </c>
    </row>
    <row r="7391" x14ac:dyDescent="0.25">
      <c r="A7391" t="n">
        <v>25</v>
      </c>
      <c r="B7391" t="s">
        <v>14</v>
      </c>
      <c r="C7391" t="s">
        <v>51</v>
      </c>
      <c r="D7391" s="2" t="s">
        <f>=HYPERLINK("https://main.knesset.gov.il/APPS/legislation/main/bills/2195947", "הצעת חוק זכויות הדייר בדיור הציבורי (תיקון - זכות למגורים בדירה ציבורית לנשים ששהו במקלט לנשים מוכות), התשפ""ג-2022")</f>
        <v>14417</v>
      </c>
      <c r="E7391" t="s">
        <v>14417</v>
      </c>
      <c r="F7391" t="s">
        <v>14418</v>
      </c>
      <c r="G7391" t="s">
        <v>14</v>
      </c>
      <c r="H7391">
             </c>
      <c r="I7391" t="s">
        <v>14</v>
      </c>
      <c r="J7391" t="s">
        <v>202</v>
      </c>
      <c r="K7391" t="s">
        <v>14</v>
      </c>
      <c r="L7391" t="s">
        <v>20</v>
      </c>
      <c r="M7391" t="s">
        <v>14103</v>
      </c>
      <c r="N7391" t="s">
        <v>14</v>
      </c>
    </row>
    <row r="7392" x14ac:dyDescent="0.25">
      <c r="A7392" t="n">
        <v>25</v>
      </c>
      <c r="B7392" t="s">
        <v>14</v>
      </c>
      <c r="C7392" t="s">
        <v>51</v>
      </c>
      <c r="D7392" s="2" t="s">
        <f>=HYPERLINK("https://main.knesset.gov.il/APPS/legislation/main/bills/2195948", "הצעת חוק חדלות פירעון ושיקום כלכלי (תיקון - מתן דין קדימה לבעלי עסקים קטנים כנושים), התשפ""ג-2022")</f>
        <v>14419</v>
      </c>
      <c r="E7392" t="s">
        <v>14419</v>
      </c>
      <c r="F7392" t="s">
        <v>14420</v>
      </c>
      <c r="G7392" t="s">
        <v>14</v>
      </c>
      <c r="H7392">
             </c>
      <c r="I7392" t="s">
        <v>14</v>
      </c>
      <c r="J7392" t="s">
        <v>242</v>
      </c>
      <c r="K7392" t="s">
        <v>14</v>
      </c>
      <c r="L7392" t="s">
        <v>20</v>
      </c>
      <c r="M7392" t="s">
        <v>14103</v>
      </c>
      <c r="N7392" t="s">
        <v>14</v>
      </c>
    </row>
    <row r="7393" x14ac:dyDescent="0.25">
      <c r="A7393" t="n">
        <v>25</v>
      </c>
      <c r="B7393" t="s">
        <v>14</v>
      </c>
      <c r="C7393" t="s">
        <v>51</v>
      </c>
      <c r="D7393" s="2" t="s">
        <f>=HYPERLINK("https://main.knesset.gov.il/APPS/legislation/main/bills/2195945", "הצעת חוק לתיקון דיני הרשויות המקומיות (ביטול סמכות שר הפנים לעניין חוקי עזר בדבר פתיחתם וסגירתם של עסקים בימי מנוחה), התשפ""ג-2022")</f>
        <v>14348</v>
      </c>
      <c r="E7393" t="s">
        <v>14348</v>
      </c>
      <c r="F7393" t="s">
        <v>14421</v>
      </c>
      <c r="G7393" t="s">
        <v>14</v>
      </c>
      <c r="H7393">
             </c>
      <c r="I7393" t="s">
        <v>14</v>
      </c>
      <c r="J7393" t="s">
        <v>242</v>
      </c>
      <c r="K7393" t="s">
        <v>14</v>
      </c>
      <c r="L7393" t="s">
        <v>20</v>
      </c>
      <c r="M7393" t="s">
        <v>14103</v>
      </c>
      <c r="N7393" t="s">
        <v>14</v>
      </c>
    </row>
    <row r="7394" x14ac:dyDescent="0.25">
      <c r="A7394" t="n">
        <v>25</v>
      </c>
      <c r="B7394" t="s">
        <v>14</v>
      </c>
      <c r="C7394" t="s">
        <v>51</v>
      </c>
      <c r="D7394" s="2" t="s">
        <f>=HYPERLINK("https://main.knesset.gov.il/APPS/legislation/main/bills/2195988", "הצעת חוק לתיקון פקודת מס הכנסה (דחיית הגשת דיווח שנתי לעסק שהוקם ברבעון האחרון של השנה), התשפ""ג-2022")</f>
        <v>14422</v>
      </c>
      <c r="E7394" t="s">
        <v>14422</v>
      </c>
      <c r="F7394" t="s">
        <v>14423</v>
      </c>
      <c r="G7394" t="s">
        <v>14</v>
      </c>
      <c r="H7394">
             </c>
      <c r="I7394" t="s">
        <v>14</v>
      </c>
      <c r="J7394" t="s">
        <v>242</v>
      </c>
      <c r="K7394" t="s">
        <v>14</v>
      </c>
      <c r="L7394" t="s">
        <v>20</v>
      </c>
      <c r="M7394" t="s">
        <v>14103</v>
      </c>
      <c r="N7394" t="s">
        <v>14</v>
      </c>
    </row>
    <row r="7395" x14ac:dyDescent="0.25">
      <c r="A7395" t="n">
        <v>25</v>
      </c>
      <c r="B7395" t="s">
        <v>14</v>
      </c>
      <c r="C7395" t="s">
        <v>51</v>
      </c>
      <c r="D7395" s="2" t="s">
        <f>=HYPERLINK("https://main.knesset.gov.il/APPS/legislation/main/bills/2196038", "הצעת חוק העונשין (תיקון - החמרת ענישה על תקיפת קטין או חסר ישע), התשפ""ג-2022")</f>
        <v>14424</v>
      </c>
      <c r="E7395" t="s">
        <v>14424</v>
      </c>
      <c r="F7395" t="s">
        <v>14425</v>
      </c>
      <c r="G7395" t="s">
        <v>14</v>
      </c>
      <c r="H7395">
             </c>
      <c r="I7395" t="s">
        <v>14</v>
      </c>
      <c r="J7395" t="s">
        <v>242</v>
      </c>
      <c r="K7395" t="s">
        <v>14</v>
      </c>
      <c r="L7395" t="s">
        <v>20</v>
      </c>
      <c r="M7395" t="s">
        <v>14103</v>
      </c>
      <c r="N7395" t="s">
        <v>14</v>
      </c>
    </row>
    <row r="7396" x14ac:dyDescent="0.25">
      <c r="A7396" t="n">
        <v>25</v>
      </c>
      <c r="B7396" t="s">
        <v>14</v>
      </c>
      <c r="C7396" t="s">
        <v>51</v>
      </c>
      <c r="D7396" s="2" t="s">
        <f>=HYPERLINK("https://main.knesset.gov.il/APPS/legislation/main/bills/2196062", "הצעת חוק מס ערך מוסף (תיקון - פטור בעת קניית דירה ראשונה לזוגות צעירים בכל הארץ), התשפ""ג-2022")</f>
        <v>12920</v>
      </c>
      <c r="E7396" t="s">
        <v>12920</v>
      </c>
      <c r="F7396" t="s">
        <v>14426</v>
      </c>
      <c r="G7396" t="s">
        <v>14</v>
      </c>
      <c r="H7396">
             </c>
      <c r="I7396" t="s">
        <v>14</v>
      </c>
      <c r="J7396" t="s">
        <v>242</v>
      </c>
      <c r="K7396" t="s">
        <v>14</v>
      </c>
      <c r="L7396" t="s">
        <v>20</v>
      </c>
      <c r="M7396" t="s">
        <v>14103</v>
      </c>
      <c r="N7396" t="s">
        <v>14</v>
      </c>
    </row>
    <row r="7397" x14ac:dyDescent="0.25">
      <c r="A7397" t="n">
        <v>25</v>
      </c>
      <c r="B7397" t="s">
        <v>14</v>
      </c>
      <c r="C7397" t="s">
        <v>51</v>
      </c>
      <c r="D7397" s="2" t="s">
        <f>=HYPERLINK("https://main.knesset.gov.il/APPS/legislation/main/bills/2196036", "הצעת חוק מס ערך מוסף (תיקון - עידוד פתיחת עסקים חדשים), התשפ""ג-2022")</f>
        <v>14427</v>
      </c>
      <c r="E7397" t="s">
        <v>14427</v>
      </c>
      <c r="F7397" t="s">
        <v>14428</v>
      </c>
      <c r="G7397" t="s">
        <v>14</v>
      </c>
      <c r="H7397">
             </c>
      <c r="I7397" t="s">
        <v>14</v>
      </c>
      <c r="J7397" t="s">
        <v>242</v>
      </c>
      <c r="K7397" t="s">
        <v>14</v>
      </c>
      <c r="L7397" t="s">
        <v>20</v>
      </c>
      <c r="M7397" t="s">
        <v>14103</v>
      </c>
      <c r="N7397" t="s">
        <v>14</v>
      </c>
    </row>
    <row r="7398" x14ac:dyDescent="0.25">
      <c r="A7398" t="n">
        <v>25</v>
      </c>
      <c r="B7398" t="s">
        <v>14</v>
      </c>
      <c r="C7398" t="s">
        <v>51</v>
      </c>
      <c r="D7398" s="2" t="s">
        <f>=HYPERLINK("https://main.knesset.gov.il/APPS/legislation/main/bills/2195986", "הצעת חוק צירוף משפחות נפגעי טרור כצד להליך המשפטי (תיקוני חקיקה), התשפ""ג-2022")</f>
        <v>9597</v>
      </c>
      <c r="E7398" t="s">
        <v>9597</v>
      </c>
      <c r="F7398" t="s">
        <v>14429</v>
      </c>
      <c r="G7398" t="s">
        <v>14</v>
      </c>
      <c r="H7398">
             </c>
      <c r="I7398" t="s">
        <v>14</v>
      </c>
      <c r="J7398" t="s">
        <v>242</v>
      </c>
      <c r="K7398" t="s">
        <v>14</v>
      </c>
      <c r="L7398" t="s">
        <v>20</v>
      </c>
      <c r="M7398" t="s">
        <v>14103</v>
      </c>
      <c r="N7398" t="s">
        <v>14</v>
      </c>
    </row>
    <row r="7399" x14ac:dyDescent="0.25">
      <c r="A7399" t="n">
        <v>25</v>
      </c>
      <c r="B7399" t="s">
        <v>14</v>
      </c>
      <c r="C7399" t="s">
        <v>51</v>
      </c>
      <c r="D7399" s="2" t="s">
        <f>=HYPERLINK("https://main.knesset.gov.il/APPS/legislation/main/bills/2196035", "הצעת חוק תובענות ייצוגיות (תיקון - תובענה ייצוגית בשל פגיעה בפרטיות), התשפ""ג-2022")</f>
        <v>14430</v>
      </c>
      <c r="E7399" t="s">
        <v>14430</v>
      </c>
      <c r="F7399" t="s">
        <v>14431</v>
      </c>
      <c r="G7399" t="s">
        <v>14</v>
      </c>
      <c r="H7399">
             </c>
      <c r="I7399" t="s">
        <v>14</v>
      </c>
      <c r="J7399" t="s">
        <v>242</v>
      </c>
      <c r="K7399" t="s">
        <v>14</v>
      </c>
      <c r="L7399" t="s">
        <v>20</v>
      </c>
      <c r="M7399" t="s">
        <v>14103</v>
      </c>
      <c r="N7399" t="s">
        <v>14</v>
      </c>
    </row>
    <row r="7400" x14ac:dyDescent="0.25">
      <c r="A7400" t="n">
        <v>25</v>
      </c>
      <c r="B7400" t="s">
        <v>14</v>
      </c>
      <c r="C7400" t="s">
        <v>51</v>
      </c>
      <c r="D7400" s="2" t="s">
        <f>=HYPERLINK("https://main.knesset.gov.il/APPS/legislation/main/bills/2196061", "הצעת חוק תאגידי מים וביוב (תיקון - הקמת ועדת הנחות), התשפ""ג-2022")</f>
        <v>14432</v>
      </c>
      <c r="E7400" t="s">
        <v>14432</v>
      </c>
      <c r="F7400" t="s">
        <v>14433</v>
      </c>
      <c r="G7400" t="s">
        <v>14</v>
      </c>
      <c r="H7400">
             </c>
      <c r="I7400" t="s">
        <v>14</v>
      </c>
      <c r="J7400" t="s">
        <v>242</v>
      </c>
      <c r="K7400" t="s">
        <v>14</v>
      </c>
      <c r="L7400" t="s">
        <v>20</v>
      </c>
      <c r="M7400" t="s">
        <v>14103</v>
      </c>
      <c r="N7400" t="s">
        <v>14</v>
      </c>
    </row>
    <row r="7401" x14ac:dyDescent="0.25">
      <c r="A7401" t="n">
        <v>25</v>
      </c>
      <c r="B7401" t="s">
        <v>14</v>
      </c>
      <c r="C7401" t="s">
        <v>51</v>
      </c>
      <c r="D7401" s="2" t="s">
        <f>=HYPERLINK("https://main.knesset.gov.il/APPS/legislation/main/bills/2196026", "הצעת חוק סל הקליטה (תיקון - זכאות יוצאים לשאלה), התשפ""ג-2022")</f>
        <v>14434</v>
      </c>
      <c r="E7401" t="s">
        <v>14434</v>
      </c>
      <c r="F7401" t="s">
        <v>14435</v>
      </c>
      <c r="G7401" t="s">
        <v>14</v>
      </c>
      <c r="H7401">
             </c>
      <c r="I7401" t="s">
        <v>14</v>
      </c>
      <c r="J7401" t="s">
        <v>242</v>
      </c>
      <c r="K7401" t="s">
        <v>14</v>
      </c>
      <c r="L7401" t="s">
        <v>20</v>
      </c>
      <c r="M7401" t="s">
        <v>14103</v>
      </c>
      <c r="N7401" t="s">
        <v>14</v>
      </c>
    </row>
    <row r="7402" x14ac:dyDescent="0.25">
      <c r="A7402" t="n">
        <v>25</v>
      </c>
      <c r="B7402" t="s">
        <v>14</v>
      </c>
      <c r="C7402" t="s">
        <v>51</v>
      </c>
      <c r="D7402" s="2" t="s">
        <f>=HYPERLINK("https://main.knesset.gov.il/APPS/legislation/main/bills/2196013", "הצעת חוק צער בעלי חיים (הגנה על בעלי חיים) (תיקון - איחוד סמכויות), התשפ""ג-2022")</f>
        <v>14436</v>
      </c>
      <c r="E7402" t="s">
        <v>14436</v>
      </c>
      <c r="F7402" t="s">
        <v>14437</v>
      </c>
      <c r="G7402" t="s">
        <v>14</v>
      </c>
      <c r="H7402">
             </c>
      <c r="I7402" t="s">
        <v>14</v>
      </c>
      <c r="J7402" t="s">
        <v>242</v>
      </c>
      <c r="K7402" t="s">
        <v>14</v>
      </c>
      <c r="L7402" t="s">
        <v>20</v>
      </c>
      <c r="M7402" t="s">
        <v>14103</v>
      </c>
      <c r="N7402" t="s">
        <v>14</v>
      </c>
    </row>
    <row r="7403" x14ac:dyDescent="0.25">
      <c r="A7403" t="n">
        <v>25</v>
      </c>
      <c r="B7403" t="s">
        <v>14</v>
      </c>
      <c r="C7403" t="s">
        <v>51</v>
      </c>
      <c r="D7403" s="2" t="s">
        <f>=HYPERLINK("https://main.knesset.gov.il/APPS/legislation/main/bills/2196033", "הצעת חוק חניה לנכים (תיקון - החלטה בבקשה לתג נכה), התשפ""ג-2022")</f>
        <v>14438</v>
      </c>
      <c r="E7403" t="s">
        <v>14438</v>
      </c>
      <c r="F7403" t="s">
        <v>14439</v>
      </c>
      <c r="G7403" t="s">
        <v>14</v>
      </c>
      <c r="H7403">
             </c>
      <c r="I7403" t="s">
        <v>14</v>
      </c>
      <c r="J7403" t="s">
        <v>242</v>
      </c>
      <c r="K7403" t="s">
        <v>14</v>
      </c>
      <c r="L7403" t="s">
        <v>20</v>
      </c>
      <c r="M7403" t="s">
        <v>14103</v>
      </c>
      <c r="N7403" t="s">
        <v>14</v>
      </c>
    </row>
    <row r="7404" x14ac:dyDescent="0.25">
      <c r="A7404" t="n">
        <v>25</v>
      </c>
      <c r="B7404" t="s">
        <v>14</v>
      </c>
      <c r="C7404" t="s">
        <v>51</v>
      </c>
      <c r="D7404" s="2" t="s">
        <f>=HYPERLINK("https://main.knesset.gov.il/APPS/legislation/main/bills/2195985", "הצעת חוק להגדלת שיעור ההשתתפות בכוח העבודה ולצמצום פערים חברתיים (מענק עבודה) (תיקון - גיל העובד), התשפ""ג-2022")</f>
        <v>13841</v>
      </c>
      <c r="E7404" t="s">
        <v>13841</v>
      </c>
      <c r="F7404" t="s">
        <v>14440</v>
      </c>
      <c r="G7404" t="s">
        <v>14</v>
      </c>
      <c r="H7404">
             </c>
      <c r="I7404" t="s">
        <v>14</v>
      </c>
      <c r="J7404" t="s">
        <v>242</v>
      </c>
      <c r="K7404" t="s">
        <v>14</v>
      </c>
      <c r="L7404" t="s">
        <v>20</v>
      </c>
      <c r="M7404" t="s">
        <v>14103</v>
      </c>
      <c r="N7404" t="s">
        <v>14</v>
      </c>
    </row>
    <row r="7405" x14ac:dyDescent="0.25">
      <c r="A7405" t="n">
        <v>25</v>
      </c>
      <c r="B7405" t="s">
        <v>14</v>
      </c>
      <c r="C7405" t="s">
        <v>51</v>
      </c>
      <c r="D7405" s="2" t="s">
        <f>=HYPERLINK("https://main.knesset.gov.il/APPS/legislation/main/bills/2196019", "הצעת חוק טיפול בחולי נפש (תיקון - התמכרות פסיכוטית לחומרים פסיכו-אקטיביים), התשפ""ג-2022")</f>
        <v>14441</v>
      </c>
      <c r="E7405" t="s">
        <v>14441</v>
      </c>
      <c r="F7405" t="s">
        <v>14442</v>
      </c>
      <c r="G7405" t="s">
        <v>14</v>
      </c>
      <c r="H7405">
             </c>
      <c r="I7405" t="s">
        <v>14</v>
      </c>
      <c r="J7405" t="s">
        <v>242</v>
      </c>
      <c r="K7405" t="s">
        <v>14</v>
      </c>
      <c r="L7405" t="s">
        <v>20</v>
      </c>
      <c r="M7405" t="s">
        <v>14103</v>
      </c>
      <c r="N7405" t="s">
        <v>14</v>
      </c>
    </row>
    <row r="7406" x14ac:dyDescent="0.25">
      <c r="A7406" t="n">
        <v>25</v>
      </c>
      <c r="B7406" t="s">
        <v>14</v>
      </c>
      <c r="C7406" t="s">
        <v>51</v>
      </c>
      <c r="D7406" s="2" t="s">
        <f>=HYPERLINK("https://main.knesset.gov.il/APPS/legislation/main/bills/2196023", "הצעת חוק לתיקון פקודת בתי הסוהר (תוכניות שיקום בערבית ומידע בשפה הערבית), התשפ""ג-2023")</f>
        <v>11855</v>
      </c>
      <c r="E7406" t="s">
        <v>11855</v>
      </c>
      <c r="F7406" t="s">
        <v>14443</v>
      </c>
      <c r="G7406" t="s">
        <v>14</v>
      </c>
      <c r="H7406">
             </c>
      <c r="I7406" t="s">
        <v>14</v>
      </c>
      <c r="J7406" t="s">
        <v>242</v>
      </c>
      <c r="K7406" t="s">
        <v>14</v>
      </c>
      <c r="L7406" t="s">
        <v>20</v>
      </c>
      <c r="M7406" t="s">
        <v>14103</v>
      </c>
      <c r="N7406" t="s">
        <v>14</v>
      </c>
    </row>
    <row r="7407" x14ac:dyDescent="0.25">
      <c r="A7407" t="n">
        <v>25</v>
      </c>
      <c r="B7407" t="s">
        <v>14</v>
      </c>
      <c r="C7407" t="s">
        <v>51</v>
      </c>
      <c r="D7407" s="2" t="s">
        <f>=HYPERLINK("https://main.knesset.gov.il/APPS/legislation/main/bills/2196027", "הצעת חוק לתיקון פקודת בתי הסוהר (מתן הודעה בכתב לאסיר ולנפגעי עבירה בדבר מועד שחרור מנהלי והכנת תכנית שיקום), התשפ""ג-2022")</f>
        <v>14444</v>
      </c>
      <c r="E7407" t="s">
        <v>14444</v>
      </c>
      <c r="F7407" t="s">
        <v>14445</v>
      </c>
      <c r="G7407" t="s">
        <v>14</v>
      </c>
      <c r="H7407">
             </c>
      <c r="I7407" t="s">
        <v>14</v>
      </c>
      <c r="J7407" t="s">
        <v>242</v>
      </c>
      <c r="K7407" t="s">
        <v>14</v>
      </c>
      <c r="L7407" t="s">
        <v>20</v>
      </c>
      <c r="M7407" t="s">
        <v>14103</v>
      </c>
      <c r="N7407" t="s">
        <v>14</v>
      </c>
    </row>
    <row r="7408" x14ac:dyDescent="0.25">
      <c r="A7408" t="n">
        <v>25</v>
      </c>
      <c r="B7408" t="s">
        <v>14</v>
      </c>
      <c r="C7408" t="s">
        <v>51</v>
      </c>
      <c r="D7408" s="2" t="s">
        <f>=HYPERLINK("https://main.knesset.gov.il/APPS/legislation/main/bills/2195983", "הצעת חוק המזונות (הבטחת תשלום) (תיקון - סכום שלא יובא בחשבון במבחן ההכנסה), התשפ""ג-2022")</f>
        <v>14446</v>
      </c>
      <c r="E7408" t="s">
        <v>14446</v>
      </c>
      <c r="F7408" t="s">
        <v>14447</v>
      </c>
      <c r="G7408" t="s">
        <v>14</v>
      </c>
      <c r="H7408">
             </c>
      <c r="I7408" t="s">
        <v>14</v>
      </c>
      <c r="J7408" t="s">
        <v>242</v>
      </c>
      <c r="K7408" t="s">
        <v>14</v>
      </c>
      <c r="L7408" t="s">
        <v>20</v>
      </c>
      <c r="M7408" t="s">
        <v>14103</v>
      </c>
      <c r="N7408" t="s">
        <v>14</v>
      </c>
    </row>
    <row r="7409" x14ac:dyDescent="0.25">
      <c r="A7409" t="n">
        <v>25</v>
      </c>
      <c r="B7409" t="s">
        <v>14</v>
      </c>
      <c r="C7409" t="s">
        <v>51</v>
      </c>
      <c r="D7409" s="2" t="s">
        <f>=HYPERLINK("https://main.knesset.gov.il/APPS/legislation/main/bills/2196017", "הצעת חוק פיקוח על בתי ספר (תיקון - איסור התחזות לגננת), התשפ""ג-2022")</f>
        <v>14448</v>
      </c>
      <c r="E7409" t="s">
        <v>14448</v>
      </c>
      <c r="F7409" t="s">
        <v>14449</v>
      </c>
      <c r="G7409" t="s">
        <v>14</v>
      </c>
      <c r="H7409">
             </c>
      <c r="I7409" t="s">
        <v>14</v>
      </c>
      <c r="J7409" t="s">
        <v>242</v>
      </c>
      <c r="K7409" t="s">
        <v>14</v>
      </c>
      <c r="L7409" t="s">
        <v>20</v>
      </c>
      <c r="M7409" t="s">
        <v>14103</v>
      </c>
      <c r="N7409" t="s">
        <v>14</v>
      </c>
    </row>
    <row r="7410" x14ac:dyDescent="0.25">
      <c r="A7410" t="n">
        <v>25</v>
      </c>
      <c r="B7410" t="s">
        <v>14</v>
      </c>
      <c r="C7410" t="s">
        <v>51</v>
      </c>
      <c r="D7410" s="2" t="s">
        <f>=HYPERLINK("https://main.knesset.gov.il/APPS/legislation/main/bills/2196016", "הצעת חוק הפיקוח על מעונות יום לפעוטות (תיקון - החמרת ענישה), התשפ""ג-2022")</f>
        <v>13869</v>
      </c>
      <c r="E7410" t="s">
        <v>13869</v>
      </c>
      <c r="F7410" t="s">
        <v>14450</v>
      </c>
      <c r="G7410" t="s">
        <v>14</v>
      </c>
      <c r="H7410">
             </c>
      <c r="I7410" t="s">
        <v>14</v>
      </c>
      <c r="J7410" t="s">
        <v>242</v>
      </c>
      <c r="K7410" t="s">
        <v>14</v>
      </c>
      <c r="L7410" t="s">
        <v>20</v>
      </c>
      <c r="M7410" t="s">
        <v>14103</v>
      </c>
      <c r="N7410" t="s">
        <v>14</v>
      </c>
    </row>
    <row r="7411" x14ac:dyDescent="0.25">
      <c r="A7411" t="n">
        <v>25</v>
      </c>
      <c r="B7411" t="s">
        <v>14</v>
      </c>
      <c r="C7411" t="s">
        <v>51</v>
      </c>
      <c r="D7411" s="2" t="s">
        <f>=HYPERLINK("https://main.knesset.gov.il/APPS/legislation/main/bills/2195950", "הצעת חוק זכויות החולה (תיקון - זכות מטופל לקבל רשומות רפואיות), התשפ""ג-2022")</f>
        <v>14451</v>
      </c>
      <c r="E7411" t="s">
        <v>14451</v>
      </c>
      <c r="F7411" t="s">
        <v>14452</v>
      </c>
      <c r="G7411" t="s">
        <v>14</v>
      </c>
      <c r="H7411">
             </c>
      <c r="I7411" t="s">
        <v>14</v>
      </c>
      <c r="J7411" t="s">
        <v>242</v>
      </c>
      <c r="K7411" t="s">
        <v>14</v>
      </c>
      <c r="L7411" t="s">
        <v>20</v>
      </c>
      <c r="M7411" t="s">
        <v>14103</v>
      </c>
      <c r="N7411" t="s">
        <v>14</v>
      </c>
    </row>
    <row r="7412" x14ac:dyDescent="0.25">
      <c r="A7412" t="n">
        <v>25</v>
      </c>
      <c r="B7412" t="s">
        <v>14</v>
      </c>
      <c r="C7412" t="s">
        <v>51</v>
      </c>
      <c r="D7412" s="2" t="s">
        <f>=HYPERLINK("https://main.knesset.gov.il/APPS/legislation/main/bills/2196008", "הצעת חוק שירות לאומי-אזרחי (תיקוני חקיקה), התשפ""ג-2022")</f>
        <v>14453</v>
      </c>
      <c r="E7412" t="s">
        <v>14453</v>
      </c>
      <c r="F7412" t="s">
        <v>14454</v>
      </c>
      <c r="G7412" t="s">
        <v>14</v>
      </c>
      <c r="H7412">
             </c>
      <c r="I7412" t="s">
        <v>14</v>
      </c>
      <c r="J7412" t="s">
        <v>242</v>
      </c>
      <c r="K7412" t="s">
        <v>14</v>
      </c>
      <c r="L7412" t="s">
        <v>20</v>
      </c>
      <c r="M7412" t="s">
        <v>14103</v>
      </c>
      <c r="N7412" t="s">
        <v>14</v>
      </c>
    </row>
    <row r="7413" x14ac:dyDescent="0.25">
      <c r="A7413" t="n">
        <v>25</v>
      </c>
      <c r="B7413" t="s">
        <v>14</v>
      </c>
      <c r="C7413" t="s">
        <v>51</v>
      </c>
      <c r="D7413" s="2" t="s">
        <f>=HYPERLINK("https://main.knesset.gov.il/APPS/legislation/main/bills/2195932", "הצעת חוק הביטוח הלאומי (תיקון - התפטרות הורה על מנת לטפל בילדו), התשפ""ג-2022")</f>
        <v>14455</v>
      </c>
      <c r="E7413" t="s">
        <v>14455</v>
      </c>
      <c r="F7413" t="s">
        <v>14456</v>
      </c>
      <c r="G7413" t="s">
        <v>14</v>
      </c>
      <c r="H7413">
             </c>
      <c r="I7413" t="s">
        <v>14</v>
      </c>
      <c r="J7413" t="s">
        <v>242</v>
      </c>
      <c r="K7413" t="s">
        <v>14</v>
      </c>
      <c r="L7413" t="s">
        <v>20</v>
      </c>
      <c r="M7413" t="s">
        <v>14103</v>
      </c>
      <c r="N7413" t="s">
        <v>14</v>
      </c>
    </row>
    <row r="7414" x14ac:dyDescent="0.25">
      <c r="A7414" t="n">
        <v>25</v>
      </c>
      <c r="B7414" t="s">
        <v>14</v>
      </c>
      <c r="C7414" t="s">
        <v>51</v>
      </c>
      <c r="D7414" s="2" t="s">
        <f>=HYPERLINK("https://main.knesset.gov.il/APPS/legislation/main/bills/2195772", "הצעת חוק הנוער (טיפול והשגחה) (תיקון - ביטול עבירה פלילית על פרסום תחלואה נפשית של קטין), התשפ""ג-2022")</f>
        <v>14457</v>
      </c>
      <c r="E7414" t="s">
        <v>14457</v>
      </c>
      <c r="F7414" t="s">
        <v>14458</v>
      </c>
      <c r="G7414" t="s">
        <v>14</v>
      </c>
      <c r="H7414">
             </c>
      <c r="I7414" t="s">
        <v>14</v>
      </c>
      <c r="J7414" t="s">
        <v>242</v>
      </c>
      <c r="K7414" t="s">
        <v>14</v>
      </c>
      <c r="L7414" t="s">
        <v>20</v>
      </c>
      <c r="M7414" t="s">
        <v>14103</v>
      </c>
      <c r="N7414" t="s">
        <v>14</v>
      </c>
    </row>
    <row r="7415" x14ac:dyDescent="0.25">
      <c r="A7415" t="n">
        <v>25</v>
      </c>
      <c r="B7415" t="s">
        <v>14</v>
      </c>
      <c r="C7415" t="s">
        <v>51</v>
      </c>
      <c r="D7415" s="2" t="s">
        <f>=HYPERLINK("https://main.knesset.gov.il/APPS/legislation/main/bills/2195842", "הצעת חוק הסכמים קיבוציים (תיקון - יציגות ארגון עובדים והגנה על הפרט), התשפ""ג-2022")</f>
        <v>14291</v>
      </c>
      <c r="E7415" t="s">
        <v>14291</v>
      </c>
      <c r="F7415" t="s">
        <v>14459</v>
      </c>
      <c r="G7415" t="s">
        <v>14</v>
      </c>
      <c r="H7415">
             </c>
      <c r="I7415" t="s">
        <v>14</v>
      </c>
      <c r="J7415" t="s">
        <v>242</v>
      </c>
      <c r="K7415" t="s">
        <v>14</v>
      </c>
      <c r="L7415" t="s">
        <v>20</v>
      </c>
      <c r="M7415" t="s">
        <v>14103</v>
      </c>
      <c r="N7415" t="s">
        <v>14</v>
      </c>
    </row>
    <row r="7416" x14ac:dyDescent="0.25">
      <c r="A7416" t="n">
        <v>25</v>
      </c>
      <c r="B7416" t="s">
        <v>14</v>
      </c>
      <c r="C7416" t="s">
        <v>51</v>
      </c>
      <c r="D7416" s="2" t="s">
        <f>=HYPERLINK("https://main.knesset.gov.il/APPS/legislation/main/bills/2195810", "הצעת חוק הקמת מאגר מידע דיגיטלי בנושא הכשרות מקצועיות, התשפ""ג-2022")</f>
        <v>14460</v>
      </c>
      <c r="E7416" t="s">
        <v>14460</v>
      </c>
      <c r="F7416" t="s">
        <v>14461</v>
      </c>
      <c r="G7416" t="s">
        <v>14</v>
      </c>
      <c r="H7416">
             </c>
      <c r="I7416" t="s">
        <v>14</v>
      </c>
      <c r="J7416" t="s">
        <v>242</v>
      </c>
      <c r="K7416" t="s">
        <v>14</v>
      </c>
      <c r="L7416" t="s">
        <v>20</v>
      </c>
      <c r="M7416" t="s">
        <v>14103</v>
      </c>
      <c r="N7416" t="s">
        <v>14</v>
      </c>
    </row>
    <row r="7417" x14ac:dyDescent="0.25">
      <c r="A7417" t="n">
        <v>25</v>
      </c>
      <c r="B7417" t="s">
        <v>14</v>
      </c>
      <c r="C7417" t="s">
        <v>51</v>
      </c>
      <c r="D7417" s="2" t="s">
        <f>=HYPERLINK("https://main.knesset.gov.il/APPS/legislation/main/bills/2195789", "הצעת חוק כביש אגרה (כביש ארצי לישראל) (תיקון - פטור מאגרה בשל האטה ממהירות הנסיעה המותרת), התשפ""ג-2022")</f>
        <v>14237</v>
      </c>
      <c r="E7417" t="s">
        <v>14237</v>
      </c>
      <c r="F7417" t="s">
        <v>14462</v>
      </c>
      <c r="G7417" t="s">
        <v>14</v>
      </c>
      <c r="H7417">
             </c>
      <c r="I7417" t="s">
        <v>14</v>
      </c>
      <c r="J7417" t="s">
        <v>242</v>
      </c>
      <c r="K7417" t="s">
        <v>14</v>
      </c>
      <c r="L7417" t="s">
        <v>20</v>
      </c>
      <c r="M7417" t="s">
        <v>14103</v>
      </c>
      <c r="N7417" t="s">
        <v>14</v>
      </c>
    </row>
    <row r="7418" x14ac:dyDescent="0.25">
      <c r="A7418" t="n">
        <v>25</v>
      </c>
      <c r="B7418" t="s">
        <v>14</v>
      </c>
      <c r="C7418" t="s">
        <v>51</v>
      </c>
      <c r="D7418" s="2" t="s">
        <f>=HYPERLINK("https://main.knesset.gov.il/APPS/legislation/main/bills/2195694", "הצעת חוק לתיקון פקודת הסמים המסוכנים (הגדרת צמח הקנבוס, מדרוג עבירות ועונשים בסם קנבוס), התשפ""ג-2022")</f>
        <v>14363</v>
      </c>
      <c r="E7418" t="s">
        <v>14363</v>
      </c>
      <c r="F7418" t="s">
        <v>14463</v>
      </c>
      <c r="G7418" t="s">
        <v>14</v>
      </c>
      <c r="H7418">
             </c>
      <c r="I7418" t="s">
        <v>14</v>
      </c>
      <c r="J7418" t="s">
        <v>242</v>
      </c>
      <c r="K7418" t="s">
        <v>14</v>
      </c>
      <c r="L7418" t="s">
        <v>20</v>
      </c>
      <c r="M7418" t="s">
        <v>14103</v>
      </c>
      <c r="N7418" t="s">
        <v>14</v>
      </c>
    </row>
    <row r="7419" x14ac:dyDescent="0.25">
      <c r="A7419" t="n">
        <v>25</v>
      </c>
      <c r="B7419" t="s">
        <v>14</v>
      </c>
      <c r="C7419" t="s">
        <v>51</v>
      </c>
      <c r="D7419" s="2" t="s">
        <f>=HYPERLINK("https://main.knesset.gov.il/APPS/legislation/main/bills/2195835", "הצעת חוק הגנת הפרטיות (תיקון - חיזוק הזכות לפרטיות וההגנה עליה), התשפ""ג-2022")</f>
        <v>14464</v>
      </c>
      <c r="E7419" t="s">
        <v>14464</v>
      </c>
      <c r="F7419" t="s">
        <v>14465</v>
      </c>
      <c r="G7419" t="s">
        <v>14</v>
      </c>
      <c r="H7419">
             </c>
      <c r="I7419" t="s">
        <v>14</v>
      </c>
      <c r="J7419" t="s">
        <v>242</v>
      </c>
      <c r="K7419" t="s">
        <v>14</v>
      </c>
      <c r="L7419" t="s">
        <v>20</v>
      </c>
      <c r="M7419" t="s">
        <v>14103</v>
      </c>
      <c r="N7419" t="s">
        <v>14</v>
      </c>
    </row>
    <row r="7420" x14ac:dyDescent="0.25">
      <c r="A7420" t="n">
        <v>25</v>
      </c>
      <c r="B7420" t="s">
        <v>14</v>
      </c>
      <c r="C7420" t="s">
        <v>51</v>
      </c>
      <c r="D7420" s="2" t="s">
        <f>=HYPERLINK("https://main.knesset.gov.il/APPS/legislation/main/bills/2195773", "הצעת חוק-יסוד: הממשלה (תיקון - אצילת סמכויות לסגן שר)")</f>
        <v>14466</v>
      </c>
      <c r="E7420" t="s">
        <v>14466</v>
      </c>
      <c r="F7420" t="s">
        <v>14467</v>
      </c>
      <c r="G7420" t="s">
        <v>14</v>
      </c>
      <c r="H7420">
             </c>
      <c r="I7420" t="s">
        <v>14</v>
      </c>
      <c r="J7420" t="s">
        <v>242</v>
      </c>
      <c r="K7420" t="s">
        <v>14</v>
      </c>
      <c r="L7420" t="s">
        <v>20</v>
      </c>
      <c r="M7420" t="s">
        <v>14103</v>
      </c>
      <c r="N7420" t="s">
        <v>14</v>
      </c>
    </row>
    <row r="7421" x14ac:dyDescent="0.25">
      <c r="A7421" t="n">
        <v>25</v>
      </c>
      <c r="B7421" t="s">
        <v>14</v>
      </c>
      <c r="C7421" t="s">
        <v>51</v>
      </c>
      <c r="D7421" s="2" t="s">
        <f>=HYPERLINK("https://main.knesset.gov.il/APPS/legislation/main/bills/2195751", "הצעת חוק בית המשפט לענייני משפחה (תיקון - בני זוג מאותו מין), התשפ""ג-2022")</f>
        <v>14468</v>
      </c>
      <c r="E7421" t="s">
        <v>14468</v>
      </c>
      <c r="F7421" t="s">
        <v>14469</v>
      </c>
      <c r="G7421" t="s">
        <v>14</v>
      </c>
      <c r="H7421">
             </c>
      <c r="I7421" t="s">
        <v>14</v>
      </c>
      <c r="J7421" t="s">
        <v>242</v>
      </c>
      <c r="K7421" t="s">
        <v>14</v>
      </c>
      <c r="L7421" t="s">
        <v>20</v>
      </c>
      <c r="M7421" t="s">
        <v>14103</v>
      </c>
      <c r="N7421" t="s">
        <v>14</v>
      </c>
    </row>
    <row r="7422" x14ac:dyDescent="0.25">
      <c r="A7422" t="n">
        <v>25</v>
      </c>
      <c r="B7422" t="s">
        <v>14</v>
      </c>
      <c r="C7422" t="s">
        <v>51</v>
      </c>
      <c r="D7422" s="2" t="s">
        <f>=HYPERLINK("https://main.knesset.gov.il/APPS/legislation/main/bills/2195647", "הצעת חוק ביטוח בריאות ממלכתי (תיקון - העברת שירותי הגמילה לאחריות קופות החולים), התשפ""ג-2022")</f>
        <v>14470</v>
      </c>
      <c r="E7422" t="s">
        <v>14470</v>
      </c>
      <c r="F7422" t="s">
        <v>14471</v>
      </c>
      <c r="G7422" t="s">
        <v>14</v>
      </c>
      <c r="H7422">
             </c>
      <c r="I7422" t="s">
        <v>14</v>
      </c>
      <c r="J7422" t="s">
        <v>242</v>
      </c>
      <c r="K7422" t="s">
        <v>14</v>
      </c>
      <c r="L7422" t="s">
        <v>20</v>
      </c>
      <c r="M7422" t="s">
        <v>14103</v>
      </c>
      <c r="N7422" t="s">
        <v>14</v>
      </c>
    </row>
    <row r="7423" x14ac:dyDescent="0.25">
      <c r="A7423" t="n">
        <v>25</v>
      </c>
      <c r="B7423" t="s">
        <v>14</v>
      </c>
      <c r="C7423" t="s">
        <v>51</v>
      </c>
      <c r="D7423" s="2" t="s">
        <f>=HYPERLINK("https://main.knesset.gov.il/APPS/legislation/main/bills/2195685", "הצעת חוק שלילת זכויות לראש ממשלה לשעבר שכיהן תקופה קצרה, התשפ""ג-2022")</f>
        <v>14472</v>
      </c>
      <c r="E7423" t="s">
        <v>14472</v>
      </c>
      <c r="F7423" t="s">
        <v>14473</v>
      </c>
      <c r="G7423" t="s">
        <v>14</v>
      </c>
      <c r="H7423">
             </c>
      <c r="I7423" t="s">
        <v>14</v>
      </c>
      <c r="J7423" t="s">
        <v>242</v>
      </c>
      <c r="K7423" t="s">
        <v>14</v>
      </c>
      <c r="L7423" t="s">
        <v>20</v>
      </c>
      <c r="M7423" t="s">
        <v>14103</v>
      </c>
      <c r="N7423" t="s">
        <v>14</v>
      </c>
    </row>
    <row r="7424" x14ac:dyDescent="0.25">
      <c r="A7424" t="n">
        <v>25</v>
      </c>
      <c r="B7424" t="s">
        <v>14</v>
      </c>
      <c r="C7424" t="s">
        <v>51</v>
      </c>
      <c r="D7424" s="2" t="s">
        <f>=HYPERLINK("https://main.knesset.gov.il/APPS/legislation/main/bills/2195651", "הצעת חוק שעות עבודה ומנוחה (תיקון - קיצור שבוע העבודה), התשפ""ג-2022")</f>
        <v>14309</v>
      </c>
      <c r="E7424" t="s">
        <v>14309</v>
      </c>
      <c r="F7424" t="s">
        <v>14474</v>
      </c>
      <c r="G7424" t="s">
        <v>14</v>
      </c>
      <c r="H7424">
             </c>
      <c r="I7424" t="s">
        <v>14</v>
      </c>
      <c r="J7424" t="s">
        <v>242</v>
      </c>
      <c r="K7424" t="s">
        <v>14</v>
      </c>
      <c r="L7424" t="s">
        <v>20</v>
      </c>
      <c r="M7424" t="s">
        <v>14103</v>
      </c>
      <c r="N7424" t="s">
        <v>14</v>
      </c>
    </row>
    <row r="7425" x14ac:dyDescent="0.25">
      <c r="A7425" t="n">
        <v>24</v>
      </c>
      <c r="B7425" t="s">
        <v>14</v>
      </c>
      <c r="C7425" t="s">
        <v>51</v>
      </c>
      <c r="D7425" s="2" t="s">
        <f>=HYPERLINK("https://main.knesset.gov.il/APPS/legislation/main/bills/2190113", "הצעת חוק הספורט (תיקון מס' 17) (זכויות ספורטאי קטין), התשפ""ב–2022")</f>
        <v>14475</v>
      </c>
      <c r="E7425" t="s">
        <v>14475</v>
      </c>
      <c r="F7425" t="s">
        <v>14476</v>
      </c>
      <c r="G7425" t="s">
        <v>14477</v>
      </c>
      <c r="H7425">
             </c>
      <c r="I7425" t="s">
        <v>14</v>
      </c>
      <c r="J7425" t="s">
        <v>14478</v>
      </c>
      <c r="K7425" t="s">
        <v>14</v>
      </c>
      <c r="L7425" t="s">
        <v>20</v>
      </c>
      <c r="M7425" t="s">
        <v>14479</v>
      </c>
      <c r="N7425" t="s">
        <v>14</v>
      </c>
    </row>
    <row r="7426" x14ac:dyDescent="0.25">
      <c r="A7426" t="n">
        <v>25</v>
      </c>
      <c r="B7426" t="s">
        <v>14</v>
      </c>
      <c r="C7426" t="s">
        <v>51</v>
      </c>
      <c r="D7426" s="2" t="s">
        <f>=HYPERLINK("https://main.knesset.gov.il/APPS/legislation/main/bills/2229133", "הצעת חוק זכויות הסטודנט (תיקון - הרחקת סטודנטים תומכי טרור ממוסד לימוד ופירוק תאים תומכי טרור), התשפ""ג-2023 - החלק שנותר")</f>
        <v>14480</v>
      </c>
      <c r="E7426" t="s">
        <v>14480</v>
      </c>
      <c r="F7426" t="s">
        <v>2991</v>
      </c>
      <c r="G7426" t="s">
        <v>14</v>
      </c>
      <c r="H7426">
             </c>
      <c r="I7426" t="s">
        <v>14</v>
      </c>
      <c r="J7426" t="s">
        <v>152</v>
      </c>
      <c r="K7426" t="s">
        <v>79</v>
      </c>
      <c r="L7426" t="s">
        <v>20</v>
      </c>
      <c r="M7426" t="s">
        <v>14</v>
      </c>
      <c r="N7426" t="s">
        <v>14</v>
      </c>
    </row>
    <row r="7427" x14ac:dyDescent="0.25">
      <c r="A7427" t="n">
        <v>25</v>
      </c>
      <c r="B7427" t="s">
        <v>14</v>
      </c>
      <c r="C7427" t="s">
        <v>51</v>
      </c>
      <c r="D7427" s="2" t="s">
        <f>=HYPERLINK("https://main.knesset.gov.il/APPS/legislation/main/bills/2230676", "החלק שפוצל- הצעת חוק הרשויות המקומיות (בחירות) (תיקון - הגבלת הזכות להיבחר), התשפ""ג-2022")</f>
        <v>14481</v>
      </c>
      <c r="E7427" t="s">
        <v>14481</v>
      </c>
      <c r="F7427" t="s">
        <v>1573</v>
      </c>
      <c r="G7427" t="s">
        <v>14</v>
      </c>
      <c r="H7427">
             </c>
      <c r="I7427" t="s">
        <v>14</v>
      </c>
      <c r="J7427" t="s">
        <v>152</v>
      </c>
      <c r="K7427" t="s">
        <v>30</v>
      </c>
      <c r="L7427" t="s">
        <v>20</v>
      </c>
      <c r="M7427" t="s">
        <v>14</v>
      </c>
      <c r="N7427" t="s">
        <v>14</v>
      </c>
    </row>
    <row r="7428" x14ac:dyDescent="0.25">
      <c r="A7428" t="n">
        <v>25</v>
      </c>
      <c r="B7428" t="s">
        <v>14</v>
      </c>
      <c r="C7428" t="s">
        <v>51</v>
      </c>
      <c r="D7428" s="2" t="s">
        <f>=HYPERLINK("https://main.knesset.gov.il/APPS/legislation/main/bills/2226786", "הצעת חוק שימוש בזרע של נפטר לשם הולדה, התשפ""ג-2022 - החלק שנותר")</f>
        <v>14482</v>
      </c>
      <c r="E7428" t="s">
        <v>14482</v>
      </c>
      <c r="F7428" t="s">
        <v>4726</v>
      </c>
      <c r="G7428" t="s">
        <v>14</v>
      </c>
      <c r="H7428">
             </c>
      <c r="I7428" t="s">
        <v>14</v>
      </c>
      <c r="J7428" t="s">
        <v>152</v>
      </c>
      <c r="K7428" t="s">
        <v>42</v>
      </c>
      <c r="L7428" t="s">
        <v>20</v>
      </c>
      <c r="M7428" t="s">
        <v>14</v>
      </c>
      <c r="N7428" t="s">
        <v>14</v>
      </c>
    </row>
    <row r="7429" x14ac:dyDescent="0.25">
      <c r="A7429" t="n">
        <v>25</v>
      </c>
      <c r="B7429" t="s">
        <v>14</v>
      </c>
      <c r="C7429" t="s">
        <v>51</v>
      </c>
      <c r="D7429" s="2" t="s">
        <f>=HYPERLINK("https://main.knesset.gov.il/APPS/legislation/main/bills/2209512", "הצעת חוק ביטוח בריאות ממלכתי (תיקון מס' ...) (הגדרת אמבולנס לעניין החזר דמי נסיעה), התשפ""ב–2023")</f>
        <v>14483</v>
      </c>
      <c r="E7429" t="s">
        <v>14483</v>
      </c>
      <c r="F7429" t="s">
        <v>8173</v>
      </c>
      <c r="G7429" t="s">
        <v>8174</v>
      </c>
      <c r="H7429">
             </c>
      <c r="I7429" t="s">
        <v>14</v>
      </c>
      <c r="J7429" t="s">
        <v>38</v>
      </c>
      <c r="K7429" t="s">
        <v>361</v>
      </c>
      <c r="L7429" t="s">
        <v>20</v>
      </c>
      <c r="M7429" t="s">
        <v>14</v>
      </c>
      <c r="N7429" t="s">
        <v>14</v>
      </c>
    </row>
    <row r="7430" x14ac:dyDescent="0.25">
      <c r="A7430" t="n">
        <v>25</v>
      </c>
      <c r="B7430" t="s">
        <v>14</v>
      </c>
      <c r="C7430" t="s">
        <v>51</v>
      </c>
      <c r="D7430" s="2" t="s">
        <f>=HYPERLINK("https://main.knesset.gov.il/APPS/legislation/main/bills/2225737", "הגדרת זכאות והנפקת תעודת משרת מתוך הצעת חוק למתן הטבות למשרתים במילואים, התשפ""ה-2024")</f>
        <v>14484</v>
      </c>
      <c r="E7430" t="s">
        <v>14484</v>
      </c>
      <c r="F7430" t="s">
        <v>1787</v>
      </c>
      <c r="G7430" t="s">
        <v>14</v>
      </c>
      <c r="H7430">
             </c>
      <c r="I7430" t="s">
        <v>14</v>
      </c>
      <c r="J7430" t="s">
        <v>152</v>
      </c>
      <c r="K7430" t="s">
        <v>39</v>
      </c>
      <c r="L7430" t="s">
        <v>20</v>
      </c>
      <c r="M7430" t="s">
        <v>14</v>
      </c>
      <c r="N7430" t="s">
        <v>14</v>
      </c>
    </row>
    <row r="7431" x14ac:dyDescent="0.25">
      <c r="A7431" t="n">
        <v>25</v>
      </c>
      <c r="B7431" t="s">
        <v>14</v>
      </c>
      <c r="C7431" t="s">
        <v>51</v>
      </c>
      <c r="D7431" s="2" t="s">
        <f>=HYPERLINK("https://main.knesset.gov.il/APPS/legislation/main/bills/2225738", "משכורת ראשונה מוגדלת מתוך הצעת חוק למתן הטבות למשרתים במילואים, התשפ""ה-2024")</f>
        <v>14485</v>
      </c>
      <c r="E7431" t="s">
        <v>14485</v>
      </c>
      <c r="F7431" t="s">
        <v>1787</v>
      </c>
      <c r="G7431" t="s">
        <v>14</v>
      </c>
      <c r="H7431">
             </c>
      <c r="I7431" t="s">
        <v>14</v>
      </c>
      <c r="J7431" t="s">
        <v>152</v>
      </c>
      <c r="K7431" t="s">
        <v>39</v>
      </c>
      <c r="L7431" t="s">
        <v>20</v>
      </c>
      <c r="M7431" t="s">
        <v>14</v>
      </c>
      <c r="N7431" t="s">
        <v>14</v>
      </c>
    </row>
    <row r="7432" x14ac:dyDescent="0.25">
      <c r="A7432" t="n">
        <v>25</v>
      </c>
      <c r="B7432" t="s">
        <v>14</v>
      </c>
      <c r="C7432" t="s">
        <v>51</v>
      </c>
      <c r="D7432" s="2" t="s">
        <f>=HYPERLINK("https://main.knesset.gov.il/APPS/legislation/main/bills/2225739", "תשלום בעד ילד מתוך הצעת חוק למתן הטבות למשרתים במילואים, התשפ""ה-2024")</f>
        <v>14486</v>
      </c>
      <c r="E7432" t="s">
        <v>14486</v>
      </c>
      <c r="F7432" t="s">
        <v>1787</v>
      </c>
      <c r="G7432" t="s">
        <v>14</v>
      </c>
      <c r="H7432">
             </c>
      <c r="I7432" t="s">
        <v>14</v>
      </c>
      <c r="J7432" t="s">
        <v>152</v>
      </c>
      <c r="K7432" t="s">
        <v>39</v>
      </c>
      <c r="L7432" t="s">
        <v>20</v>
      </c>
      <c r="M7432" t="s">
        <v>14</v>
      </c>
      <c r="N7432" t="s">
        <v>14</v>
      </c>
    </row>
    <row r="7433" x14ac:dyDescent="0.25">
      <c r="A7433" t="n">
        <v>25</v>
      </c>
      <c r="B7433" t="s">
        <v>14</v>
      </c>
      <c r="C7433" t="s">
        <v>51</v>
      </c>
      <c r="D7433" s="2" t="s">
        <f>=HYPERLINK("https://main.knesset.gov.il/APPS/legislation/main/bills/2225751", "הקפאת תשלום משכנתה מתוך הצעת חוק למתן הטבות למשרתים במילואים, התשפ""ה-2024")</f>
        <v>14487</v>
      </c>
      <c r="E7433" t="s">
        <v>14487</v>
      </c>
      <c r="F7433" t="s">
        <v>1787</v>
      </c>
      <c r="G7433" t="s">
        <v>14</v>
      </c>
      <c r="H7433">
             </c>
      <c r="I7433" t="s">
        <v>14</v>
      </c>
      <c r="J7433" t="s">
        <v>152</v>
      </c>
      <c r="K7433" t="s">
        <v>39</v>
      </c>
      <c r="L7433" t="s">
        <v>20</v>
      </c>
      <c r="M7433" t="s">
        <v>14</v>
      </c>
      <c r="N7433" t="s">
        <v>14</v>
      </c>
    </row>
    <row r="7434" x14ac:dyDescent="0.25">
      <c r="A7434" t="n">
        <v>25</v>
      </c>
      <c r="B7434" t="s">
        <v>14</v>
      </c>
      <c r="C7434" t="s">
        <v>51</v>
      </c>
      <c r="D7434" s="2" t="s">
        <f>=HYPERLINK("https://main.knesset.gov.il/APPS/legislation/main/bills/2225744", "העדפה במתן שירותים ציבוריים מתוך הצעת חוק למתן הטבות למשרתים במילואים, התשפ""ה-2024")</f>
        <v>14488</v>
      </c>
      <c r="E7434" t="s">
        <v>14488</v>
      </c>
      <c r="F7434" t="s">
        <v>1787</v>
      </c>
      <c r="G7434" t="s">
        <v>14</v>
      </c>
      <c r="H7434">
             </c>
      <c r="I7434" t="s">
        <v>14</v>
      </c>
      <c r="J7434" t="s">
        <v>152</v>
      </c>
      <c r="K7434" t="s">
        <v>39</v>
      </c>
      <c r="L7434" t="s">
        <v>20</v>
      </c>
      <c r="M7434" t="s">
        <v>14</v>
      </c>
      <c r="N7434" t="s">
        <v>14</v>
      </c>
    </row>
    <row r="7435" x14ac:dyDescent="0.25">
      <c r="A7435" t="n">
        <v>25</v>
      </c>
      <c r="B7435" t="s">
        <v>14</v>
      </c>
      <c r="C7435" t="s">
        <v>51</v>
      </c>
      <c r="D7435" s="2" t="s">
        <f>=HYPERLINK("https://main.knesset.gov.il/APPS/legislation/main/bills/2225745", "קדימות בתור לחיילים ומשפחותיהם מתוך הצעת חוק למתן הטבות למשרתים במילואים, התשפ""ה-2024")</f>
        <v>14489</v>
      </c>
      <c r="E7435" t="s">
        <v>14489</v>
      </c>
      <c r="F7435" t="s">
        <v>1787</v>
      </c>
      <c r="G7435" t="s">
        <v>14</v>
      </c>
      <c r="H7435">
             </c>
      <c r="I7435" t="s">
        <v>14</v>
      </c>
      <c r="J7435" t="s">
        <v>152</v>
      </c>
      <c r="K7435" t="s">
        <v>46</v>
      </c>
      <c r="L7435" t="s">
        <v>20</v>
      </c>
      <c r="M7435" t="s">
        <v>14</v>
      </c>
      <c r="N7435" t="s">
        <v>14</v>
      </c>
    </row>
    <row r="7436" x14ac:dyDescent="0.25">
      <c r="A7436" t="n">
        <v>25</v>
      </c>
      <c r="B7436" t="s">
        <v>14</v>
      </c>
      <c r="C7436" t="s">
        <v>51</v>
      </c>
      <c r="D7436" s="2" t="s">
        <f>=HYPERLINK("https://main.knesset.gov.il/APPS/legislation/main/bills/2225747", "סבסוד מוסדות לימוד על-תיכוניים מתוך הצעת חוק למתן הטבות למשרתים במילואים, התשפ""ה-2024")</f>
        <v>14490</v>
      </c>
      <c r="E7436" t="s">
        <v>14490</v>
      </c>
      <c r="F7436" t="s">
        <v>1787</v>
      </c>
      <c r="G7436" t="s">
        <v>14</v>
      </c>
      <c r="H7436">
             </c>
      <c r="I7436" t="s">
        <v>14</v>
      </c>
      <c r="J7436" t="s">
        <v>152</v>
      </c>
      <c r="K7436" t="s">
        <v>42</v>
      </c>
      <c r="L7436" t="s">
        <v>20</v>
      </c>
      <c r="M7436" t="s">
        <v>14</v>
      </c>
      <c r="N7436" t="s">
        <v>14</v>
      </c>
    </row>
    <row r="7437" x14ac:dyDescent="0.25">
      <c r="A7437" t="n">
        <v>25</v>
      </c>
      <c r="B7437" t="s">
        <v>14</v>
      </c>
      <c r="C7437" t="s">
        <v>15</v>
      </c>
      <c r="D7437" s="2" t="s">
        <f>=HYPERLINK("https://main.knesset.gov.il/APPS/legislation/main/bills/2214563", "הצעת חוק לתיקון ולהארכת תוקפן של תקנות שעת חירום (חרבות ברזל) (הארכת מעצר לחשוד בעבירת ביטחון), התשפ""ד-2024 - החלק הנותר")</f>
        <v>14491</v>
      </c>
      <c r="E7437" t="s">
        <v>14491</v>
      </c>
      <c r="F7437" t="s">
        <v>14</v>
      </c>
      <c r="G7437" t="s">
        <v>7402</v>
      </c>
      <c r="H7437">
             </c>
      <c r="I7437" t="s">
        <v>14</v>
      </c>
      <c r="J7437" t="s">
        <v>38</v>
      </c>
      <c r="K7437" t="s">
        <v>27</v>
      </c>
      <c r="L7437" t="s">
        <v>20</v>
      </c>
      <c r="M7437" t="s">
        <v>14</v>
      </c>
      <c r="N7437" t="s">
        <v>14</v>
      </c>
    </row>
    <row r="7438" x14ac:dyDescent="0.25">
      <c r="A7438" t="n">
        <v>25</v>
      </c>
      <c r="B7438" t="s">
        <v>14</v>
      </c>
      <c r="C7438" t="s">
        <v>15</v>
      </c>
      <c r="D7438" s="2" t="s">
        <f>=HYPERLINK("https://main.knesset.gov.il/APPS/legislation/main/bills/2217192", "החלק שפוצל - הצעת חוק הגנת הסביבה (ייעול הליכי רישוי סביבתי) (תיקוני חקיקה), התשפ""ד-2024")</f>
        <v>14492</v>
      </c>
      <c r="E7438" t="s">
        <v>14492</v>
      </c>
      <c r="F7438" t="s">
        <v>14</v>
      </c>
      <c r="G7438" t="s">
        <v>81</v>
      </c>
      <c r="H7438">
             </c>
      <c r="I7438" t="s">
        <v>14</v>
      </c>
      <c r="J7438" t="s">
        <v>38</v>
      </c>
      <c r="K7438" t="s">
        <v>30</v>
      </c>
      <c r="L7438" t="s">
        <v>20</v>
      </c>
      <c r="M7438" t="s">
        <v>14</v>
      </c>
      <c r="N7438" t="s">
        <v>14</v>
      </c>
    </row>
    <row r="7439" x14ac:dyDescent="0.25">
      <c r="A7439" t="n">
        <v>25</v>
      </c>
      <c r="B7439" t="s">
        <v>14</v>
      </c>
      <c r="C7439" t="s">
        <v>20</v>
      </c>
      <c r="D7439" s="2" t="s">
        <f>=HYPERLINK("https://main.knesset.gov.il/APPS/legislation/main/bills/2222215", "הצעת חוק חסינות חברי הכנסת, זכויותיהם וחובותיהם (אבטחת חברי הכנסת), התשפ""ד-2023")</f>
        <v>14493</v>
      </c>
      <c r="E7439" t="s">
        <v>14493</v>
      </c>
      <c r="F7439" t="s">
        <v>14</v>
      </c>
      <c r="G7439" t="s">
        <v>14</v>
      </c>
      <c r="H7439">
             </c>
      <c r="I7439" t="s">
        <v>14</v>
      </c>
      <c r="J7439" t="s">
        <v>152</v>
      </c>
      <c r="K7439" t="s">
        <v>42</v>
      </c>
      <c r="L7439" t="s">
        <v>20</v>
      </c>
      <c r="M7439" t="s">
        <v>14</v>
      </c>
      <c r="N7439" t="s">
        <v>14</v>
      </c>
    </row>
    <row r="7440" x14ac:dyDescent="0.25">
      <c r="A7440" t="n">
        <v>25</v>
      </c>
      <c r="B7440" t="s">
        <v>14</v>
      </c>
      <c r="C7440" t="s">
        <v>20</v>
      </c>
      <c r="D7440" s="2" t="s">
        <f>=HYPERLINK("https://main.knesset.gov.il/APPS/legislation/main/bills/2222221", "הצעת חוק משכן הכנסת, רחבתו ומשמר הכנסת (תיקון - סמכות קצין הכנסת לאבטח משלחת זרה), התשפ""ד-2024")</f>
        <v>14494</v>
      </c>
      <c r="E7440" t="s">
        <v>14494</v>
      </c>
      <c r="F7440" t="s">
        <v>14</v>
      </c>
      <c r="G7440" t="s">
        <v>14</v>
      </c>
      <c r="H7440">
             </c>
      <c r="I7440" t="s">
        <v>14</v>
      </c>
      <c r="J7440" t="s">
        <v>152</v>
      </c>
      <c r="K7440" t="s">
        <v>42</v>
      </c>
      <c r="L7440" t="s">
        <v>20</v>
      </c>
      <c r="M7440" t="s">
        <v>14</v>
      </c>
      <c r="N7440" t="s">
        <v>14</v>
      </c>
    </row>
    <row r="7441" x14ac:dyDescent="0.25">
      <c r="A7441" t="n">
        <v>25</v>
      </c>
      <c r="B7441" t="s">
        <v>14</v>
      </c>
      <c r="C7441" t="s">
        <v>15</v>
      </c>
      <c r="D7441" s="2" t="s">
        <f>=HYPERLINK("https://main.knesset.gov.il/APPS/legislation/main/bills/2243907", "הצעת חוק התקשורת (שידורים), התשפ""ו-2025 - החלק שנותר")</f>
        <v>14495</v>
      </c>
      <c r="E7441" t="s">
        <v>14495</v>
      </c>
      <c r="F7441" t="s">
        <v>14</v>
      </c>
      <c r="G7441" t="s">
        <v>56</v>
      </c>
      <c r="H7441">
             </c>
      <c r="I7441" t="s">
        <v>14</v>
      </c>
      <c r="J7441" t="s">
        <v>38</v>
      </c>
      <c r="K7441" t="s">
        <v>57</v>
      </c>
      <c r="L7441" t="s">
        <v>20</v>
      </c>
      <c r="M7441" t="s">
        <v>14</v>
      </c>
      <c r="N7441" t="s">
        <v>14</v>
      </c>
    </row>
    <row r="7442" x14ac:dyDescent="0.25">
      <c r="A7442" t="n">
        <v>25</v>
      </c>
      <c r="B7442" t="s">
        <v>14</v>
      </c>
      <c r="C7442" t="s">
        <v>15</v>
      </c>
      <c r="D7442" s="2" t="s">
        <f>=HYPERLINK("https://main.knesset.gov.il/APPS/legislation/main/bills/2244895", "סעיפים 85, 87, 89 עד 91 (חוק תכנון משק החלב) מתוך הצעת חוק התוכנית הכלכלית (תיקוני חקיקה ליישום המדיניות הכלכלית לשנת התקציב 2026), התשפ""ו-2026 - החלק שנוצר מהפיצול")</f>
        <v>14496</v>
      </c>
      <c r="E7442" t="s">
        <v>14496</v>
      </c>
      <c r="F7442" t="s">
        <v>14</v>
      </c>
      <c r="G7442" t="s">
        <v>29</v>
      </c>
      <c r="H7442">
             </c>
      <c r="I7442" t="s">
        <v>14</v>
      </c>
      <c r="J7442" t="s">
        <v>38</v>
      </c>
      <c r="K7442" t="s">
        <v>75</v>
      </c>
      <c r="L7442" t="s">
        <v>20</v>
      </c>
      <c r="M7442" t="s">
        <v>14</v>
      </c>
      <c r="N7442" t="s">
        <v>14</v>
      </c>
    </row>
    <row r="7443" x14ac:dyDescent="0.25">
      <c r="A7443" t="n">
        <v>25</v>
      </c>
      <c r="B7443" t="s">
        <v>14</v>
      </c>
      <c r="C7443" t="s">
        <v>15</v>
      </c>
      <c r="D7443" s="2" t="s">
        <f>=HYPERLINK("https://main.knesset.gov.il/APPS/legislation/main/bills/2244896", "סעיפים 86, 88 (חוק התחרות הכלכלית) מתוך הצעת חוק התוכנית הכלכלית (תיקוני חקיקה ליישום המדיניות הכלכלית לשנת התקציב 2026), התשפ""ו-2026 - החלק שנוצר מהפיצול")</f>
        <v>14497</v>
      </c>
      <c r="E7443" t="s">
        <v>14497</v>
      </c>
      <c r="F7443" t="s">
        <v>14</v>
      </c>
      <c r="G7443" t="s">
        <v>29</v>
      </c>
      <c r="H7443">
             </c>
      <c r="I7443" t="s">
        <v>14</v>
      </c>
      <c r="J7443" t="s">
        <v>38</v>
      </c>
      <c r="K7443" t="s">
        <v>75</v>
      </c>
      <c r="L7443" t="s">
        <v>20</v>
      </c>
      <c r="M7443" t="s">
        <v>14</v>
      </c>
      <c r="N7443" t="s">
        <v>14</v>
      </c>
    </row>
    <row r="7444" x14ac:dyDescent="0.25">
      <c r="A7444" t="n">
        <v>25</v>
      </c>
      <c r="B7444" t="s">
        <v>14</v>
      </c>
      <c r="C7444" t="s">
        <v>20</v>
      </c>
      <c r="D7444" s="2" t="s">
        <f>=HYPERLINK("https://main.knesset.gov.il/APPS/legislation/main/bills/2244963", "הצעת חוק המפלגות (תיקון מס' ...) (תיקון – תשלום דמי חברות במפלגה עבור קרוב משפחה), התשפ""ו–2026")</f>
        <v>14498</v>
      </c>
      <c r="E7444" t="s">
        <v>14498</v>
      </c>
      <c r="F7444" t="s">
        <v>14</v>
      </c>
      <c r="G7444" t="s">
        <v>14</v>
      </c>
      <c r="H7444">
             </c>
      <c r="I7444" t="s">
        <v>14</v>
      </c>
      <c r="J7444" t="s">
        <v>152</v>
      </c>
      <c r="K7444" t="s">
        <v>27</v>
      </c>
      <c r="L7444" t="s">
        <v>20</v>
      </c>
      <c r="M7444" t="s">
        <v>14</v>
      </c>
      <c r="N7444" t="s">
        <v>14</v>
      </c>
    </row>
    <row r="7445" x14ac:dyDescent="0.25">
      <c r="A7445" t="n">
        <v>25</v>
      </c>
      <c r="B7445" t="s">
        <v>14</v>
      </c>
      <c r="C7445" t="s">
        <v>15</v>
      </c>
      <c r="D7445" s="2" t="s">
        <f>=HYPERLINK("https://main.knesset.gov.il/APPS/legislation/main/bills/2245297", "סעיפים 1(3) ו-(4) מתוך הצעת חוק לעידוד פעילות בשוק ההון (תיקוני חקיקה), התשפ""ד-2024")</f>
        <v>14499</v>
      </c>
      <c r="E7445" t="s">
        <v>14499</v>
      </c>
      <c r="F7445" t="s">
        <v>14</v>
      </c>
      <c r="G7445" t="s">
        <v>23</v>
      </c>
      <c r="H7445">
             </c>
      <c r="I7445" t="s">
        <v>14</v>
      </c>
      <c r="J7445" t="s">
        <v>38</v>
      </c>
      <c r="K7445" t="s">
        <v>24</v>
      </c>
      <c r="L7445" t="s">
        <v>20</v>
      </c>
      <c r="M7445" t="s">
        <v>14</v>
      </c>
      <c r="N7445" t="s">
        <v>14</v>
      </c>
    </row>
    <row r="7446" x14ac:dyDescent="0.25">
      <c r="A7446" t="n">
        <v>25</v>
      </c>
      <c r="B7446" t="s">
        <v>14</v>
      </c>
      <c r="C7446" t="s">
        <v>15</v>
      </c>
      <c r="D7446" s="2" t="s">
        <f>=HYPERLINK("https://main.knesset.gov.il/APPS/legislation/main/bills/2245298", "סעיף 3 מתוך הצעת חוק לעידוד פעילות בשוק ההון (תיקוני חקיקה), התשפ""ד-2024")</f>
        <v>14500</v>
      </c>
      <c r="E7446" t="s">
        <v>14500</v>
      </c>
      <c r="F7446" t="s">
        <v>14</v>
      </c>
      <c r="G7446" t="s">
        <v>23</v>
      </c>
      <c r="H7446">
             </c>
      <c r="I7446" t="s">
        <v>14</v>
      </c>
      <c r="J7446" t="s">
        <v>38</v>
      </c>
      <c r="K7446" t="s">
        <v>24</v>
      </c>
      <c r="L7446" t="s">
        <v>20</v>
      </c>
      <c r="M7446" t="s">
        <v>14</v>
      </c>
      <c r="N7446" t="s">
        <v>14</v>
      </c>
    </row>
    <row r="7447" x14ac:dyDescent="0.25">
      <c r="A7447" t="n">
        <v>25</v>
      </c>
      <c r="B7447" t="s">
        <v>14</v>
      </c>
      <c r="C7447" t="s">
        <v>15</v>
      </c>
      <c r="D7447" s="2" t="s">
        <f>=HYPERLINK("https://main.knesset.gov.il/APPS/legislation/main/bills/2236181", "הצעת חוק שיפוט בתי דין רבניים (נישואין וגירושין) (תיקון מס' 6) (סמכות כריכת מזונות ילדים), התשפ""ה-2025 (החלק שנותר מהפיצול)")</f>
        <v>14501</v>
      </c>
      <c r="E7447" t="s">
        <v>14501</v>
      </c>
      <c r="F7447" t="s">
        <v>14</v>
      </c>
      <c r="G7447" t="s">
        <v>2211</v>
      </c>
      <c r="H7447">
             </c>
      <c r="I7447" t="s">
        <v>14</v>
      </c>
      <c r="J7447" t="s">
        <v>38</v>
      </c>
      <c r="K7447" t="s">
        <v>27</v>
      </c>
      <c r="L7447" t="s">
        <v>20</v>
      </c>
      <c r="M7447" t="s">
        <v>14</v>
      </c>
      <c r="N7447" t="s">
        <v>14</v>
      </c>
    </row>
    <row r="7448" x14ac:dyDescent="0.25">
      <c r="A7448" t="n">
        <v>25</v>
      </c>
      <c r="B7448" t="s">
        <v>14</v>
      </c>
      <c r="C7448" t="s">
        <v>15</v>
      </c>
      <c r="D7448" s="2" t="s">
        <f>=HYPERLINK("https://main.knesset.gov.il/APPS/legislation/main/bills/2205649", "פרק כ""ג (השכרה ארוכת טווח) מתוך הצעת חוק התכנית הכלכלית (תיקוני חקיקה ליישום המדיניות הכלכלית לשנות התקציב 2023 ו-2024), התשפ""ג-2023")</f>
        <v>14502</v>
      </c>
      <c r="E7448" t="s">
        <v>14502</v>
      </c>
      <c r="F7448" t="s">
        <v>14</v>
      </c>
      <c r="G7448" t="s">
        <v>81</v>
      </c>
      <c r="H7448">
             </c>
      <c r="I7448" t="s">
        <v>14</v>
      </c>
      <c r="J7448" t="s">
        <v>38</v>
      </c>
      <c r="K7448" t="s">
        <v>30</v>
      </c>
      <c r="L7448" t="s">
        <v>20</v>
      </c>
      <c r="M7448" t="s">
        <v>14</v>
      </c>
      <c r="N7448" t="s">
        <v>14</v>
      </c>
    </row>
    <row r="7449" x14ac:dyDescent="0.25">
      <c r="A7449" t="n">
        <v>25</v>
      </c>
      <c r="B7449" t="s">
        <v>14</v>
      </c>
      <c r="C7449" t="s">
        <v>15</v>
      </c>
      <c r="D7449" s="2" t="s">
        <f>=HYPERLINK("https://main.knesset.gov.il/APPS/legislation/main/bills/2205651", "פרק כ""ד (קידום תשתיות לאומיות), רק סעיפים 62(2), (5), (6), (8), (15) ו-(20) שבתוך סעיף 94, מתוך הצעת חוק התכנית הכלכלית (תיקוני חקיקה ליישום המדיניות הכלכלית לשנות התקציב 2023 ו-2024), התשפ""ג-2023 [פוצלה לפי סעיף 84(ב) לתקנון הכנסת]")</f>
        <v>14503</v>
      </c>
      <c r="E7449" t="s">
        <v>14503</v>
      </c>
      <c r="F7449" t="s">
        <v>14</v>
      </c>
      <c r="G7449" t="s">
        <v>81</v>
      </c>
      <c r="H7449">
             </c>
      <c r="I7449" t="s">
        <v>14</v>
      </c>
      <c r="J7449" t="s">
        <v>38</v>
      </c>
      <c r="K7449" t="s">
        <v>30</v>
      </c>
      <c r="L7449" t="s">
        <v>20</v>
      </c>
      <c r="M7449" t="s">
        <v>14</v>
      </c>
      <c r="N7449" t="s">
        <v>14</v>
      </c>
    </row>
    <row r="7450" x14ac:dyDescent="0.25">
      <c r="A7450" t="n">
        <v>25</v>
      </c>
      <c r="B7450" t="s">
        <v>14</v>
      </c>
      <c r="C7450" t="s">
        <v>15</v>
      </c>
      <c r="D7450" s="2" t="s">
        <f>=HYPERLINK("https://main.knesset.gov.il/APPS/legislation/main/bills/2205653", "פרק כ""ד (קידום תשתיות לאומיות), רק סעיף 62(21) שבתוך סעיף 94, מתוך הצעת חוק התכנית הכלכלית לשנות התקציב 2023 ו-2024 [פוצלה לפי סעיף 84(ב) לתקנון הכנסת]")</f>
        <v>14504</v>
      </c>
      <c r="E7450" t="s">
        <v>14504</v>
      </c>
      <c r="F7450" t="s">
        <v>14</v>
      </c>
      <c r="G7450" t="s">
        <v>81</v>
      </c>
      <c r="H7450">
             </c>
      <c r="I7450" t="s">
        <v>14</v>
      </c>
      <c r="J7450" t="s">
        <v>38</v>
      </c>
      <c r="K7450" t="s">
        <v>30</v>
      </c>
      <c r="L7450" t="s">
        <v>20</v>
      </c>
      <c r="M7450" t="s">
        <v>14</v>
      </c>
      <c r="N7450" t="s">
        <v>14</v>
      </c>
    </row>
    <row r="7451" x14ac:dyDescent="0.25">
      <c r="A7451" t="n">
        <v>25</v>
      </c>
      <c r="B7451" t="s">
        <v>14</v>
      </c>
      <c r="C7451" t="s">
        <v>15</v>
      </c>
      <c r="D7451" s="2" t="s">
        <f>=HYPERLINK("https://main.knesset.gov.il/APPS/legislation/main/bills/2205752", "פרק י""ט (בריאות), רק סעיף 76(3) (בעניין גודל חדר תרופות) מתוך הצעת חוק התכנית הכלכלית (תיקוני חקיקה ליישום המדיניות הכלכלית לשנות התקציב 2023 ו-2024), התשפ""ג-2023")</f>
        <v>14505</v>
      </c>
      <c r="E7451" t="s">
        <v>14505</v>
      </c>
      <c r="F7451" t="s">
        <v>14</v>
      </c>
      <c r="G7451" t="s">
        <v>81</v>
      </c>
      <c r="H7451">
             </c>
      <c r="I7451" t="s">
        <v>14</v>
      </c>
      <c r="J7451" t="s">
        <v>38</v>
      </c>
      <c r="K7451" t="s">
        <v>361</v>
      </c>
      <c r="L7451" t="s">
        <v>20</v>
      </c>
      <c r="M7451" t="s">
        <v>14</v>
      </c>
      <c r="N7451" t="s">
        <v>14</v>
      </c>
    </row>
    <row r="7452" x14ac:dyDescent="0.25">
      <c r="A7452" t="n">
        <v>25</v>
      </c>
      <c r="B7452" t="s">
        <v>14</v>
      </c>
      <c r="C7452" t="s">
        <v>15</v>
      </c>
      <c r="D7452" s="2" t="s">
        <f>=HYPERLINK("https://main.knesset.gov.il/APPS/legislation/main/bills/2205753", "פרק ה' (ביטוח לאומי), סעיף 17 (בעניין מס הכנסה שלילי להורה עצמאי) מתוך הצעת חוק ההתייעלות הכלכלית (תיקוני חקיקה להשגת יעדי התקציב לשנות התקציב 2023 ו-2024), התשפ""ג-2023")</f>
        <v>14506</v>
      </c>
      <c r="E7452" t="s">
        <v>14506</v>
      </c>
      <c r="F7452" t="s">
        <v>14</v>
      </c>
      <c r="G7452" t="s">
        <v>81</v>
      </c>
      <c r="H7452">
             </c>
      <c r="I7452" t="s">
        <v>14</v>
      </c>
      <c r="J7452" t="s">
        <v>38</v>
      </c>
      <c r="K7452" t="s">
        <v>46</v>
      </c>
      <c r="L7452" t="s">
        <v>20</v>
      </c>
      <c r="M7452" t="s">
        <v>14</v>
      </c>
      <c r="N7452" t="s">
        <v>14</v>
      </c>
    </row>
    <row r="7453" x14ac:dyDescent="0.25">
      <c r="A7453" t="n">
        <v>25</v>
      </c>
      <c r="B7453" t="s">
        <v>14</v>
      </c>
      <c r="C7453" t="s">
        <v>15</v>
      </c>
      <c r="D7453" s="2" t="s">
        <f>=HYPERLINK("https://main.knesset.gov.il/APPS/legislation/main/bills/2205754", "פרק כ' (רשויות מקומיות), סעיף 80 (שינוי שיטת המדידה) מתוך הצעת חוק התכנית הכלכלית (תיקוני חקיקה ליישום המדיניות הכלכלית לשנות התקציב 2023 ו-2024), התשפ""ג-2023")</f>
        <v>14507</v>
      </c>
      <c r="E7453" t="s">
        <v>14507</v>
      </c>
      <c r="F7453" t="s">
        <v>14</v>
      </c>
      <c r="G7453" t="s">
        <v>81</v>
      </c>
      <c r="H7453">
             </c>
      <c r="I7453" t="s">
        <v>14</v>
      </c>
      <c r="J7453" t="s">
        <v>38</v>
      </c>
      <c r="K7453" t="s">
        <v>24</v>
      </c>
      <c r="L7453" t="s">
        <v>20</v>
      </c>
      <c r="M7453" t="s">
        <v>14</v>
      </c>
      <c r="N7453" t="s">
        <v>14</v>
      </c>
    </row>
    <row r="7454" x14ac:dyDescent="0.25">
      <c r="A7454" t="n">
        <v>25</v>
      </c>
      <c r="B7454" t="s">
        <v>14</v>
      </c>
      <c r="C7454" t="s">
        <v>15</v>
      </c>
      <c r="D7454" s="2" t="s">
        <f>=HYPERLINK("https://main.knesset.gov.il/APPS/legislation/main/bills/2205755", "פרק כ' (רשויות מקומיות), סעיפים 81-84 (נכס הרוס) מתוך הצעת חוק התכנית הכלכלית (תיקוני חקיקה ליישום המדיניות הכלכלית לשנות התקציב 2023 ו-2024), התשפ""ג-2023")</f>
        <v>14508</v>
      </c>
      <c r="E7454" t="s">
        <v>14508</v>
      </c>
      <c r="F7454" t="s">
        <v>14</v>
      </c>
      <c r="G7454" t="s">
        <v>81</v>
      </c>
      <c r="H7454">
             </c>
      <c r="I7454" t="s">
        <v>14</v>
      </c>
      <c r="J7454" t="s">
        <v>38</v>
      </c>
      <c r="K7454" t="s">
        <v>24</v>
      </c>
      <c r="L7454" t="s">
        <v>20</v>
      </c>
      <c r="M7454" t="s">
        <v>14</v>
      </c>
      <c r="N7454" t="s">
        <v>14</v>
      </c>
    </row>
    <row r="7455" x14ac:dyDescent="0.25">
      <c r="A7455" t="n">
        <v>25</v>
      </c>
      <c r="B7455" t="s">
        <v>14</v>
      </c>
      <c r="C7455" t="s">
        <v>15</v>
      </c>
      <c r="D7455" s="2" t="s">
        <f>=HYPERLINK("https://main.knesset.gov.il/APPS/legislation/main/bills/2205756", "פרק ד' (מיסוי בשוק הדיור), סעיפים 11(3), 12(ב), 12(ג) ו-13 (התחדשות עירונית) מתוך הצעת חוק ההתייעלות הכלכלית (תיקוני חקיקה להשגת יעדי התקציב לשנות התקציב 2023 ו-2024), התשפ""ג-2023")</f>
        <v>14509</v>
      </c>
      <c r="E7455" t="s">
        <v>14509</v>
      </c>
      <c r="F7455" t="s">
        <v>14</v>
      </c>
      <c r="G7455" t="s">
        <v>81</v>
      </c>
      <c r="H7455">
             </c>
      <c r="I7455" t="s">
        <v>14</v>
      </c>
      <c r="J7455" t="s">
        <v>38</v>
      </c>
      <c r="K7455" t="s">
        <v>24</v>
      </c>
      <c r="L7455" t="s">
        <v>20</v>
      </c>
      <c r="M7455" t="s">
        <v>14</v>
      </c>
      <c r="N7455" t="s">
        <v>14</v>
      </c>
    </row>
    <row r="7456" x14ac:dyDescent="0.25">
      <c r="A7456" t="n">
        <v>25</v>
      </c>
      <c r="B7456" t="s">
        <v>14</v>
      </c>
      <c r="C7456" t="s">
        <v>15</v>
      </c>
      <c r="D7456" s="2" t="s">
        <f>=HYPERLINK("https://main.knesset.gov.il/APPS/legislation/main/bills/2204271", "פרק י""ט (בריאות), סעיף 77 (חוק ביטוח בריאות ממלכתי) מתוך הצעת חוק התכנית הכלכלית (תיקוני חקיקה ליישום המדיניות הכלכלית לשנות התקציב 2023 ו-2024), התשפ""ג-2023 [פוצלה לפי סעיף 84(ב) לתקנון]")</f>
        <v>14510</v>
      </c>
      <c r="E7456" t="s">
        <v>14510</v>
      </c>
      <c r="F7456" t="s">
        <v>14</v>
      </c>
      <c r="G7456" t="s">
        <v>81</v>
      </c>
      <c r="H7456">
             </c>
      <c r="I7456" t="s">
        <v>14</v>
      </c>
      <c r="J7456" t="s">
        <v>38</v>
      </c>
      <c r="K7456" t="s">
        <v>42</v>
      </c>
      <c r="L7456" t="s">
        <v>20</v>
      </c>
      <c r="M7456" t="s">
        <v>14</v>
      </c>
      <c r="N7456" t="s">
        <v>14</v>
      </c>
    </row>
    <row r="7457" x14ac:dyDescent="0.25">
      <c r="A7457" t="n">
        <v>25</v>
      </c>
      <c r="B7457" t="s">
        <v>14</v>
      </c>
      <c r="C7457" t="s">
        <v>15</v>
      </c>
      <c r="D7457" s="2" t="s">
        <f>=HYPERLINK("https://main.knesset.gov.il/APPS/legislation/main/bills/2204272", "פרק ט' (מסים), רק סעיפים 41-40 מתוך הצעת חוק ההתייעלות הכלכלית (תיקוני חקיקה להשגת יעדי התקציב לשנות התקציב 2023 ו-2024), התשפ""ג-2023 [פוצלה לפי סעיף 84(ב) לתקנון]")</f>
        <v>14511</v>
      </c>
      <c r="E7457" t="s">
        <v>14511</v>
      </c>
      <c r="F7457" t="s">
        <v>14</v>
      </c>
      <c r="G7457" t="s">
        <v>81</v>
      </c>
      <c r="H7457">
             </c>
      <c r="I7457" t="s">
        <v>14</v>
      </c>
      <c r="J7457" t="s">
        <v>38</v>
      </c>
      <c r="K7457" t="s">
        <v>42</v>
      </c>
      <c r="L7457" t="s">
        <v>20</v>
      </c>
      <c r="M7457" t="s">
        <v>14</v>
      </c>
      <c r="N7457" t="s">
        <v>14</v>
      </c>
    </row>
    <row r="7458" x14ac:dyDescent="0.25">
      <c r="A7458" t="n">
        <v>25</v>
      </c>
      <c r="B7458" t="s">
        <v>14</v>
      </c>
      <c r="C7458" t="s">
        <v>15</v>
      </c>
      <c r="D7458" s="2" t="s">
        <f>=HYPERLINK("https://main.knesset.gov.il/APPS/legislation/main/bills/2204255", "פרק כ""א (חקלאות), רק סעיף 85 (חוק מועצת הצמחים) מתוך הצעת חוק התכנית הכלכלית (תיקוני חקיקה ליישום המדיניות הכלכלית לשנות התקציב 2023 ו-2024), התשפ""ג-2023 [פוצלה לפי סעיף 84(ב) לתקנון]")</f>
        <v>14512</v>
      </c>
      <c r="E7458" t="s">
        <v>14512</v>
      </c>
      <c r="F7458" t="s">
        <v>14</v>
      </c>
      <c r="G7458" t="s">
        <v>81</v>
      </c>
      <c r="H7458">
             </c>
      <c r="I7458" t="s">
        <v>14</v>
      </c>
      <c r="J7458" t="s">
        <v>38</v>
      </c>
      <c r="K7458" t="s">
        <v>84</v>
      </c>
      <c r="L7458" t="s">
        <v>20</v>
      </c>
      <c r="M7458" t="s">
        <v>14</v>
      </c>
      <c r="N7458" t="s">
        <v>14</v>
      </c>
    </row>
    <row r="7459" x14ac:dyDescent="0.25">
      <c r="A7459" t="n">
        <v>25</v>
      </c>
      <c r="B7459" t="s">
        <v>14</v>
      </c>
      <c r="C7459" t="s">
        <v>15</v>
      </c>
      <c r="D7459" s="2" t="s">
        <f>=HYPERLINK("https://main.knesset.gov.il/APPS/legislation/main/bills/2204253", "פרק י' (תדרי רדיו) מתוך הצעת חוק התכנית הכלכלית (תיקוני חקיקה ליישום המדיניות הכלכלית לשנות התקציב 2023 ו-2024), התשפ""ג-2023 [פוצלה לפי סעיף 84(ב) לתקנון]")</f>
        <v>14513</v>
      </c>
      <c r="E7459" t="s">
        <v>14513</v>
      </c>
      <c r="F7459" t="s">
        <v>14</v>
      </c>
      <c r="G7459" t="s">
        <v>81</v>
      </c>
      <c r="H7459">
             </c>
      <c r="I7459" t="s">
        <v>14</v>
      </c>
      <c r="J7459" t="s">
        <v>38</v>
      </c>
      <c r="K7459" t="s">
        <v>84</v>
      </c>
      <c r="L7459" t="s">
        <v>20</v>
      </c>
      <c r="M7459" t="s">
        <v>14</v>
      </c>
      <c r="N7459" t="s">
        <v>14</v>
      </c>
    </row>
    <row r="7460" x14ac:dyDescent="0.25">
      <c r="A7460" t="n">
        <v>25</v>
      </c>
      <c r="B7460" t="s">
        <v>14</v>
      </c>
      <c r="C7460" t="s">
        <v>15</v>
      </c>
      <c r="D7460" s="2" t="s">
        <f>=HYPERLINK("https://main.knesset.gov.il/APPS/legislation/main/bills/2240487", "סעיף 2(2) (מותב ועדת ערר לפיצויים) מתוך הצעת חוק התוכנית הכלכלית (תיקוני חקיקה ליישום המדיניות הכלכלית לשנת התקציב 2026), התשפ""ו-2026 [פוצלה לפי סעיף 84(ב) לתקנון]")</f>
        <v>14514</v>
      </c>
      <c r="E7460" t="s">
        <v>14514</v>
      </c>
      <c r="F7460" t="s">
        <v>14</v>
      </c>
      <c r="G7460" t="s">
        <v>29</v>
      </c>
      <c r="H7460">
             </c>
      <c r="I7460" t="s">
        <v>14</v>
      </c>
      <c r="J7460" t="s">
        <v>38</v>
      </c>
      <c r="K7460" t="s">
        <v>30</v>
      </c>
      <c r="L7460" t="s">
        <v>20</v>
      </c>
      <c r="M7460" t="s">
        <v>14</v>
      </c>
      <c r="N7460" t="s">
        <v>14</v>
      </c>
    </row>
    <row r="7461" x14ac:dyDescent="0.25">
      <c r="A7461" t="n">
        <v>25</v>
      </c>
      <c r="B7461" t="s">
        <v>14</v>
      </c>
      <c r="C7461" t="s">
        <v>15</v>
      </c>
      <c r="D7461" s="2" t="s">
        <f>=HYPERLINK("https://main.knesset.gov.il/APPS/legislation/main/bills/2240488", "סעיף 2(3), (4), (5) (הסמכת המועצה הארצית להגביל היתרים) מתוך הצעת חוק התוכנית הכלכלית (תיקוני חקיקה ליישום המדיניות הכלכלית לשנת התקציב 2026), התשפ""ו-2026 [פוצלה לפי סעיף 84(ב) לתקנון] ")</f>
        <v>14515</v>
      </c>
      <c r="E7461" t="s">
        <v>14515</v>
      </c>
      <c r="F7461" t="s">
        <v>14</v>
      </c>
      <c r="G7461" t="s">
        <v>29</v>
      </c>
      <c r="H7461">
             </c>
      <c r="I7461" t="s">
        <v>14</v>
      </c>
      <c r="J7461" t="s">
        <v>38</v>
      </c>
      <c r="K7461" t="s">
        <v>30</v>
      </c>
      <c r="L7461" t="s">
        <v>20</v>
      </c>
      <c r="M7461" t="s">
        <v>14</v>
      </c>
      <c r="N7461" t="s">
        <v>14</v>
      </c>
    </row>
    <row r="7462" x14ac:dyDescent="0.25">
      <c r="A7462" t="n">
        <v>25</v>
      </c>
      <c r="B7462" t="s">
        <v>14</v>
      </c>
      <c r="C7462" t="s">
        <v>15</v>
      </c>
      <c r="D7462" s="2" t="s">
        <f>=HYPERLINK("https://main.knesset.gov.il/APPS/legislation/main/bills/2240489", "סעיפים 2(6), (7), (8), (9), 3 (איחוד וחלוקה בהסכמה בסמכות רשות הרישוי) מתוך הצעת חוק התוכנית הכלכלית (תיקוני חקיקה ליישום המדיניות הכלכלית לשנת התקציב 2026), התשפ""ו-2026 [פוצלה לפי סעיף 84(ב) לתקנון]")</f>
        <v>14516</v>
      </c>
      <c r="E7462" t="s">
        <v>14516</v>
      </c>
      <c r="F7462" t="s">
        <v>14</v>
      </c>
      <c r="G7462" t="s">
        <v>29</v>
      </c>
      <c r="H7462">
             </c>
      <c r="I7462" t="s">
        <v>14</v>
      </c>
      <c r="J7462" t="s">
        <v>38</v>
      </c>
      <c r="K7462" t="s">
        <v>30</v>
      </c>
      <c r="L7462" t="s">
        <v>20</v>
      </c>
      <c r="M7462" t="s">
        <v>14</v>
      </c>
      <c r="N7462" t="s">
        <v>14</v>
      </c>
    </row>
    <row r="7463" x14ac:dyDescent="0.25">
      <c r="A7463" t="n">
        <v>25</v>
      </c>
      <c r="B7463" t="s">
        <v>14</v>
      </c>
      <c r="C7463" t="s">
        <v>15</v>
      </c>
      <c r="D7463" s="2" t="s">
        <f>=HYPERLINK("https://main.knesset.gov.il/APPS/legislation/main/bills/2240490", "סעיף 2(10) (הרחבת מסלול רישוי מהיר) מתוך הצעת חוק התוכנית הכלכלית (תיקוני חקיקה ליישום המדיניות הכלכלית לשנת התקציב 2026), התשפ""ו-2026 [פוצלה לפי סעיף 84(ב) לתקנון]")</f>
        <v>14517</v>
      </c>
      <c r="E7463" t="s">
        <v>14517</v>
      </c>
      <c r="F7463" t="s">
        <v>14</v>
      </c>
      <c r="G7463" t="s">
        <v>29</v>
      </c>
      <c r="H7463">
             </c>
      <c r="I7463" t="s">
        <v>14</v>
      </c>
      <c r="J7463" t="s">
        <v>38</v>
      </c>
      <c r="K7463" t="s">
        <v>30</v>
      </c>
      <c r="L7463" t="s">
        <v>20</v>
      </c>
      <c r="M7463" t="s">
        <v>14</v>
      </c>
      <c r="N7463" t="s">
        <v>14</v>
      </c>
    </row>
    <row r="7464" x14ac:dyDescent="0.25">
      <c r="A7464" t="n">
        <v>25</v>
      </c>
      <c r="B7464" t="s">
        <v>14</v>
      </c>
      <c r="C7464" t="s">
        <v>15</v>
      </c>
      <c r="D7464" s="2" t="s">
        <f>=HYPERLINK("https://main.knesset.gov.il/APPS/legislation/main/bills/2240491", "סעיף 2(14) (הרחבת הפרטת הליך הרישוי) מתוך הצעת חוק התוכנית הכלכלית (תיקוני חקיקה ליישום המדיניות הכלכלית לשנת התקציב 2026), התשפ""ו-2026 [פוצלה לפי סעיף 84(ב) לתקנון]")</f>
        <v>14518</v>
      </c>
      <c r="E7464" t="s">
        <v>14518</v>
      </c>
      <c r="F7464" t="s">
        <v>14</v>
      </c>
      <c r="G7464" t="s">
        <v>29</v>
      </c>
      <c r="H7464">
             </c>
      <c r="I7464" t="s">
        <v>14</v>
      </c>
      <c r="J7464" t="s">
        <v>38</v>
      </c>
      <c r="K7464" t="s">
        <v>30</v>
      </c>
      <c r="L7464" t="s">
        <v>20</v>
      </c>
      <c r="M7464" t="s">
        <v>14</v>
      </c>
      <c r="N7464" t="s">
        <v>14</v>
      </c>
    </row>
    <row r="7465" x14ac:dyDescent="0.25">
      <c r="A7465" t="n">
        <v>25</v>
      </c>
      <c r="B7465" t="s">
        <v>14</v>
      </c>
      <c r="C7465" t="s">
        <v>15</v>
      </c>
      <c r="D7465" s="2" t="s">
        <f>=HYPERLINK("https://main.knesset.gov.il/APPS/legislation/main/bills/2240493", "סעיף 2(16)(ב) (סעיף 13 לתוספת השנייה לחוק התכנון והבנייה) מתוך הצעת חוק התוכנית הכלכלית (תיקוני חקיקה ליישום המדיניות הכלכלית לשנת התקציב 2026), התשפ""ו-2026 [פוצלה לפי סעיף 84(ב) לתקנון]")</f>
        <v>14519</v>
      </c>
      <c r="E7465" t="s">
        <v>14519</v>
      </c>
      <c r="F7465" t="s">
        <v>14</v>
      </c>
      <c r="G7465" t="s">
        <v>29</v>
      </c>
      <c r="H7465">
             </c>
      <c r="I7465" t="s">
        <v>14</v>
      </c>
      <c r="J7465" t="s">
        <v>38</v>
      </c>
      <c r="K7465" t="s">
        <v>30</v>
      </c>
      <c r="L7465" t="s">
        <v>20</v>
      </c>
      <c r="M7465" t="s">
        <v>14</v>
      </c>
      <c r="N7465" t="s">
        <v>14</v>
      </c>
    </row>
    <row r="7466" x14ac:dyDescent="0.25">
      <c r="A7466" t="n">
        <v>25</v>
      </c>
      <c r="B7466" t="s">
        <v>14</v>
      </c>
      <c r="C7466" t="s">
        <v>15</v>
      </c>
      <c r="D7466" s="2" t="s">
        <f>=HYPERLINK("https://main.knesset.gov.il/APPS/legislation/main/bills/2240515", "סעיף 6(2) (ועדת תמרור למיזמי תשתית) מתוך הצעת חוק התוכנית הכלכלית (תיקוני חקיקה ליישום המדיניות הכלכלית לשנת התקציב 2026), התשפ""ו-2026[פוצלה לפי סעיף 84(ב) לתקנון]")</f>
        <v>14520</v>
      </c>
      <c r="E7466" t="s">
        <v>14520</v>
      </c>
      <c r="F7466" t="s">
        <v>14</v>
      </c>
      <c r="G7466" t="s">
        <v>29</v>
      </c>
      <c r="H7466">
             </c>
      <c r="I7466" t="s">
        <v>14</v>
      </c>
      <c r="J7466" t="s">
        <v>38</v>
      </c>
      <c r="K7466" t="s">
        <v>42</v>
      </c>
      <c r="L7466" t="s">
        <v>20</v>
      </c>
      <c r="M7466" t="s">
        <v>14</v>
      </c>
      <c r="N7466" t="s">
        <v>14</v>
      </c>
    </row>
    <row r="7467" x14ac:dyDescent="0.25">
      <c r="A7467" t="n">
        <v>25</v>
      </c>
      <c r="B7467" t="s">
        <v>14</v>
      </c>
      <c r="C7467" t="s">
        <v>15</v>
      </c>
      <c r="D7467" s="2" t="s">
        <f>=HYPERLINK("https://main.knesset.gov.il/APPS/legislation/main/bills/2240516", "סעיף 8 (שימוש ארעי במגרשים ריקים) מתוך הצעת חוק התוכנית הכלכלית (תיקוני חקיקה ליישום המדיניות הכלכלית לשנת התקציב 2026), התשפ""ו-2026 [פוצלה לפי סעיף 84(ב) לתקנון]")</f>
        <v>14521</v>
      </c>
      <c r="E7467" t="s">
        <v>14521</v>
      </c>
      <c r="F7467" t="s">
        <v>14</v>
      </c>
      <c r="G7467" t="s">
        <v>29</v>
      </c>
      <c r="H7467">
             </c>
      <c r="I7467" t="s">
        <v>14</v>
      </c>
      <c r="J7467" t="s">
        <v>38</v>
      </c>
      <c r="K7467" t="s">
        <v>42</v>
      </c>
      <c r="L7467" t="s">
        <v>20</v>
      </c>
      <c r="M7467" t="s">
        <v>14</v>
      </c>
      <c r="N7467" t="s">
        <v>14</v>
      </c>
    </row>
    <row r="7468" x14ac:dyDescent="0.25">
      <c r="A7468" t="n">
        <v>25</v>
      </c>
      <c r="B7468" t="s">
        <v>14</v>
      </c>
      <c r="C7468" t="s">
        <v>15</v>
      </c>
      <c r="D7468" s="2" t="s">
        <f>=HYPERLINK("https://main.knesset.gov.il/APPS/legislation/main/bills/2240510", "פרק י""ט (שונות), סעיף 100 (חוק משק החשמל) מתוך הצעת חוק התוכנית הכלכלית (תיקוני חקיקה ליישום המדיניות הכלכלית לשנת התקציב 2026), התשפ""ו-2026[פוצלה לפי סעיף 84(ב) לתקנון]")</f>
        <v>14522</v>
      </c>
      <c r="E7468" t="s">
        <v>14522</v>
      </c>
      <c r="F7468" t="s">
        <v>14</v>
      </c>
      <c r="G7468" t="s">
        <v>29</v>
      </c>
      <c r="H7468">
             </c>
      <c r="I7468" t="s">
        <v>14</v>
      </c>
      <c r="J7468" t="s">
        <v>38</v>
      </c>
      <c r="K7468" t="s">
        <v>84</v>
      </c>
      <c r="L7468" t="s">
        <v>20</v>
      </c>
      <c r="M7468" t="s">
        <v>14</v>
      </c>
      <c r="N7468" t="s">
        <v>14</v>
      </c>
    </row>
    <row r="7469" x14ac:dyDescent="0.25">
      <c r="A7469" t="n">
        <v>25</v>
      </c>
      <c r="B7469" t="s">
        <v>14</v>
      </c>
      <c r="C7469" t="s">
        <v>15</v>
      </c>
      <c r="D7469" s="2" t="s">
        <f>=HYPERLINK("https://main.knesset.gov.il/APPS/legislation/main/bills/2240511", "פרק ט""ו (שיפור השירות לאזרח באמצעים דיגיטליים), סימן א' (תקשורת דיגיטלית עם גופים ציבוריים) מתוך הצעת חוק התוכנית הכלכלית (תיקוני חקיקה ליישום המדיניות הכלכלית לשנת התקציב 2026), התשפ""ו-2026 [פוצלה לפי סעיף 84(ב) לתקנון]")</f>
        <v>14523</v>
      </c>
      <c r="E7469" t="s">
        <v>14523</v>
      </c>
      <c r="F7469" t="s">
        <v>14</v>
      </c>
      <c r="G7469" t="s">
        <v>29</v>
      </c>
      <c r="H7469">
             </c>
      <c r="I7469" t="s">
        <v>14</v>
      </c>
      <c r="J7469" t="s">
        <v>38</v>
      </c>
      <c r="K7469" t="s">
        <v>27</v>
      </c>
      <c r="L7469" t="s">
        <v>20</v>
      </c>
      <c r="M7469" t="s">
        <v>14</v>
      </c>
      <c r="N7469" t="s">
        <v>14</v>
      </c>
    </row>
    <row r="7470" x14ac:dyDescent="0.25">
      <c r="A7470" t="n">
        <v>25</v>
      </c>
      <c r="B7470" t="s">
        <v>14</v>
      </c>
      <c r="C7470" t="s">
        <v>15</v>
      </c>
      <c r="D7470" s="2" t="s">
        <f>=HYPERLINK("https://main.knesset.gov.il/APPS/legislation/main/bills/2240512", "פרק ט""ו (שיפור השירות לאזרח באמצעים דיגיטליים),סימן ב' (דרכים חלופיות לנטילת אמצעי זיהוי ביומטריים והפקת נתוני זיהוי ביומטריים) מתוך הצ""ח התוכנית הכלכלית (תיקוני חקיקה ליישום המדיניות הכלכלית לשנת התקציב 2026),התשפ""ו-2026[פוצלה לפי סעיף 84(ב) לתקנון]")</f>
        <v>14524</v>
      </c>
      <c r="E7470" t="s">
        <v>14524</v>
      </c>
      <c r="F7470" t="s">
        <v>14</v>
      </c>
      <c r="G7470" t="s">
        <v>29</v>
      </c>
      <c r="H7470">
             </c>
      <c r="I7470" t="s">
        <v>14</v>
      </c>
      <c r="J7470" t="s">
        <v>38</v>
      </c>
      <c r="K7470" t="s">
        <v>14</v>
      </c>
      <c r="L7470" t="s">
        <v>20</v>
      </c>
      <c r="M7470" t="s">
        <v>14</v>
      </c>
      <c r="N7470" t="s">
        <v>14</v>
      </c>
    </row>
    <row r="7471" x14ac:dyDescent="0.25">
      <c r="A7471" t="n">
        <v>25</v>
      </c>
      <c r="B7471" t="s">
        <v>14</v>
      </c>
      <c r="C7471" t="s">
        <v>15</v>
      </c>
      <c r="D7471" s="2" t="s">
        <f>=HYPERLINK("https://main.knesset.gov.il/APPS/legislation/main/bills/2240528", "פרק ג' (צמצום ההון השחור), סימן א' (חובת דיווח של זירות מקוונות) מתוך הצעת חוק ההתייעלות הכלכלית (תיקוני חקיקה להשגת יעדי התקציב לשנת התקציב 2026), התשפ""ו-2026 [פוצלה לפי סעיף 84(ב) לתקנון]")</f>
        <v>14525</v>
      </c>
      <c r="E7471" t="s">
        <v>14525</v>
      </c>
      <c r="F7471" t="s">
        <v>14</v>
      </c>
      <c r="G7471" t="s">
        <v>29</v>
      </c>
      <c r="H7471">
             </c>
      <c r="I7471" t="s">
        <v>14</v>
      </c>
      <c r="J7471" t="s">
        <v>38</v>
      </c>
      <c r="K7471" t="s">
        <v>24</v>
      </c>
      <c r="L7471" t="s">
        <v>20</v>
      </c>
      <c r="M7471" t="s">
        <v>14</v>
      </c>
      <c r="N7471" t="s">
        <v>14</v>
      </c>
    </row>
    <row r="7472" x14ac:dyDescent="0.25">
      <c r="A7472" t="n">
        <v>25</v>
      </c>
      <c r="B7472" t="s">
        <v>14</v>
      </c>
      <c r="C7472" t="s">
        <v>15</v>
      </c>
      <c r="D7472" s="2" t="s">
        <f>=HYPERLINK("https://main.knesset.gov.il/APPS/legislation/main/bills/2240496", "סעיפים 12, 13(1) (חוק גנים לאומיים) מתוך הצעת חוק התוכנית הכלכלית (תיקוני חקיקה ליישום המדיניות הכלכלית לשנת התקציב 2026), התשפ""ו-2026 [פוצלה לפי סעיף 84(ב) לתקנון]")</f>
        <v>14526</v>
      </c>
      <c r="E7472" t="s">
        <v>14526</v>
      </c>
      <c r="F7472" t="s">
        <v>14</v>
      </c>
      <c r="G7472" t="s">
        <v>29</v>
      </c>
      <c r="H7472">
             </c>
      <c r="I7472" t="s">
        <v>14</v>
      </c>
      <c r="J7472" t="s">
        <v>38</v>
      </c>
      <c r="K7472" t="s">
        <v>30</v>
      </c>
      <c r="L7472" t="s">
        <v>20</v>
      </c>
      <c r="M7472" t="s">
        <v>14</v>
      </c>
      <c r="N7472" t="s">
        <v>14</v>
      </c>
    </row>
    <row r="7473" x14ac:dyDescent="0.25">
      <c r="A7473" t="n">
        <v>25</v>
      </c>
      <c r="B7473" t="s">
        <v>14</v>
      </c>
      <c r="C7473" t="s">
        <v>15</v>
      </c>
      <c r="D7473" s="2" t="s">
        <f>=HYPERLINK("https://main.knesset.gov.il/APPS/legislation/main/bills/2240497", "סעיפים 14, 17(4), (5) (חוק אויר נקי) מתוך הצעת חוק התוכנית הכלכלית (תיקוני חקיקה ליישום המדיניות הכלכלית לשנת התקציב 2026), התשפ""ו-2026 [פוצלה לפי סעיף 84(ב) לתקנון]")</f>
        <v>14527</v>
      </c>
      <c r="E7473" t="s">
        <v>14527</v>
      </c>
      <c r="F7473" t="s">
        <v>14</v>
      </c>
      <c r="G7473" t="s">
        <v>29</v>
      </c>
      <c r="H7473">
             </c>
      <c r="I7473" t="s">
        <v>14</v>
      </c>
      <c r="J7473" t="s">
        <v>38</v>
      </c>
      <c r="K7473" t="s">
        <v>30</v>
      </c>
      <c r="L7473" t="s">
        <v>20</v>
      </c>
      <c r="M7473" t="s">
        <v>14</v>
      </c>
      <c r="N7473" t="s">
        <v>14</v>
      </c>
    </row>
    <row r="7474" x14ac:dyDescent="0.25">
      <c r="A7474" t="n">
        <v>25</v>
      </c>
      <c r="B7474" t="s">
        <v>14</v>
      </c>
      <c r="C7474" t="s">
        <v>15</v>
      </c>
      <c r="D7474" s="2" t="s">
        <f>=HYPERLINK("https://main.knesset.gov.il/APPS/legislation/main/bills/2240499", "סעיף 17(1) (סמכות רישוי תשתיות לאומיות) מתוך הצעת חוק התוכנית הכלכלית (תיקוני חקיקה ליישום המדיניות הכלכלית לשנת התקציב 2026), התשפ""ו-2026 [פוצלה לפי סעיף 84(ב) לתקנון]")</f>
        <v>14528</v>
      </c>
      <c r="E7474" t="s">
        <v>14528</v>
      </c>
      <c r="F7474" t="s">
        <v>14</v>
      </c>
      <c r="G7474" t="s">
        <v>29</v>
      </c>
      <c r="H7474">
             </c>
      <c r="I7474" t="s">
        <v>14</v>
      </c>
      <c r="J7474" t="s">
        <v>38</v>
      </c>
      <c r="K7474" t="s">
        <v>30</v>
      </c>
      <c r="L7474" t="s">
        <v>20</v>
      </c>
      <c r="M7474" t="s">
        <v>14</v>
      </c>
      <c r="N7474" t="s">
        <v>14</v>
      </c>
    </row>
    <row r="7475" x14ac:dyDescent="0.25">
      <c r="A7475" t="n">
        <v>25</v>
      </c>
      <c r="B7475" t="s">
        <v>14</v>
      </c>
      <c r="C7475" t="s">
        <v>15</v>
      </c>
      <c r="D7475" s="2" t="s">
        <f>=HYPERLINK("https://main.knesset.gov.il/APPS/legislation/main/bills/2240500", "סעיפים 18, 19, 20 (אזור חלוקת ארנונה כללית – תשתיות לאומיות מיוחדות) מתוך הצעת חוק התוכנית הכלכלית (תיקוני חקיקה ליישום המדיניות הכלכלית לשנת התקציב 2026), התשפ""ו-2026 [פוצלה לפי סעיף 84(ב) לתקנון]")</f>
        <v>14529</v>
      </c>
      <c r="E7475" t="s">
        <v>14529</v>
      </c>
      <c r="F7475" t="s">
        <v>14</v>
      </c>
      <c r="G7475" t="s">
        <v>29</v>
      </c>
      <c r="H7475">
             </c>
      <c r="I7475" t="s">
        <v>14</v>
      </c>
      <c r="J7475" t="s">
        <v>38</v>
      </c>
      <c r="K7475" t="s">
        <v>30</v>
      </c>
      <c r="L7475" t="s">
        <v>20</v>
      </c>
      <c r="M7475" t="s">
        <v>14</v>
      </c>
      <c r="N7475" t="s">
        <v>14</v>
      </c>
    </row>
    <row r="7476" x14ac:dyDescent="0.25">
      <c r="A7476" t="n">
        <v>25</v>
      </c>
      <c r="B7476" t="s">
        <v>14</v>
      </c>
      <c r="C7476" t="s">
        <v>15</v>
      </c>
      <c r="D7476" s="2" t="s">
        <f>=HYPERLINK("https://main.knesset.gov.il/APPS/legislation/main/bills/2240502", "סעיף 21 (חוק לקידום תשתיות לאומיות) מתוך הצעת חוק התוכנית הכלכלית (תיקוני חקיקה ליישום המדיניות הכלכלית לשנת התקציב 2026), התשפ""ו-2026 [פוצלה לפי סעיף 84(ב) לתקנון]")</f>
        <v>14530</v>
      </c>
      <c r="E7476" t="s">
        <v>14530</v>
      </c>
      <c r="F7476" t="s">
        <v>14</v>
      </c>
      <c r="G7476" t="s">
        <v>29</v>
      </c>
      <c r="H7476">
             </c>
      <c r="I7476" t="s">
        <v>14</v>
      </c>
      <c r="J7476" t="s">
        <v>38</v>
      </c>
      <c r="K7476" t="s">
        <v>30</v>
      </c>
      <c r="L7476" t="s">
        <v>20</v>
      </c>
      <c r="M7476" t="s">
        <v>14</v>
      </c>
      <c r="N7476" t="s">
        <v>14</v>
      </c>
    </row>
    <row r="7477" x14ac:dyDescent="0.25">
      <c r="A7477" t="n">
        <v>25</v>
      </c>
      <c r="B7477" t="s">
        <v>14</v>
      </c>
      <c r="C7477" t="s">
        <v>15</v>
      </c>
      <c r="D7477" s="2" t="s">
        <f>=HYPERLINK("https://main.knesset.gov.il/APPS/legislation/main/bills/2241635", "פרק ח' (מס רכוש) מתוך הצעת חוק ההתייעלות הכלכלית (תיקוני חקיקה להשגת יעדי התקציב לשנת התקציב 2026), התשפ""ו-2026")</f>
        <v>1069</v>
      </c>
      <c r="E7477" t="s">
        <v>1069</v>
      </c>
      <c r="F7477" t="s">
        <v>14</v>
      </c>
      <c r="G7477" t="s">
        <v>29</v>
      </c>
      <c r="H7477">
             </c>
      <c r="I7477" t="s">
        <v>14</v>
      </c>
      <c r="J7477" t="s">
        <v>38</v>
      </c>
      <c r="K7477" t="s">
        <v>24</v>
      </c>
      <c r="L7477" t="s">
        <v>20</v>
      </c>
      <c r="M7477" t="s">
        <v>14</v>
      </c>
      <c r="N7477" t="s">
        <v>14</v>
      </c>
    </row>
    <row r="7478" x14ac:dyDescent="0.25">
      <c r="A7478" t="n">
        <v>25</v>
      </c>
      <c r="B7478" t="s">
        <v>14</v>
      </c>
      <c r="C7478" t="s">
        <v>15</v>
      </c>
      <c r="D7478" s="2" t="s">
        <f>=HYPERLINK("https://main.knesset.gov.il/APPS/legislation/main/bills/2241636", "פרק י""ב (פיקוח על מוצרי עישון לצורכי מס) מתוך הצעת חוק התוכנית הכלכלית (תיקוני חקיקה ליישום המדיניות הכלכלית לשנת התקציב 2026), התשפ""ו-2026")</f>
        <v>775</v>
      </c>
      <c r="E7478" t="s">
        <v>775</v>
      </c>
      <c r="F7478" t="s">
        <v>14</v>
      </c>
      <c r="G7478" t="s">
        <v>29</v>
      </c>
      <c r="H7478">
             </c>
      <c r="I7478" t="s">
        <v>14</v>
      </c>
      <c r="J7478" t="s">
        <v>38</v>
      </c>
      <c r="K7478" t="s">
        <v>24</v>
      </c>
      <c r="L7478" t="s">
        <v>20</v>
      </c>
      <c r="M7478" t="s">
        <v>14</v>
      </c>
      <c r="N7478" t="s">
        <v>14</v>
      </c>
    </row>
    <row r="7479" x14ac:dyDescent="0.25">
      <c r="A7479" t="n">
        <v>25</v>
      </c>
      <c r="B7479" t="s">
        <v>14</v>
      </c>
      <c r="C7479" t="s">
        <v>15</v>
      </c>
      <c r="D7479" s="2" t="s">
        <f>=HYPERLINK("https://main.knesset.gov.il/APPS/legislation/main/bills/2242212", "הצעת חוק שיקום נזקי מלחמה בדרך של התחדשות עירונית, התשפ""ו-2025 - החלק שנותר מהפיצול")</f>
        <v>14531</v>
      </c>
      <c r="E7479" t="s">
        <v>14531</v>
      </c>
      <c r="F7479" t="s">
        <v>14</v>
      </c>
      <c r="G7479" t="s">
        <v>903</v>
      </c>
      <c r="H7479">
             </c>
      <c r="I7479" t="s">
        <v>14</v>
      </c>
      <c r="J7479" t="s">
        <v>38</v>
      </c>
      <c r="K7479" t="s">
        <v>30</v>
      </c>
      <c r="L7479" t="s">
        <v>20</v>
      </c>
      <c r="M7479" t="s">
        <v>14</v>
      </c>
      <c r="N7479" t="s">
        <v>14</v>
      </c>
    </row>
    <row r="7480" x14ac:dyDescent="0.25">
      <c r="A7480" t="n">
        <v>25</v>
      </c>
      <c r="B7480" t="s">
        <v>14</v>
      </c>
      <c r="C7480" t="s">
        <v>15</v>
      </c>
      <c r="D7480" s="2" t="s">
        <f>=HYPERLINK("https://main.knesset.gov.il/APPS/legislation/main/bills/2204186", "פרק י""ז (שמירה על מקרקעי ישראל), למעט סעיפים 66(1), 66(2) ו-67(ב) (בעניין שמירה על מקרקעי ישראל) וסעיף 69 (בעניין טיפול בפלישה למקרקעי ישראל) מתוך הצעת חוק התכנית הכלכלית (תיקוני חקיקה ליישום המדיניות הכלכלית לשנות התקציב 2023 ו-2024), התשפ""ג-2023")</f>
        <v>14532</v>
      </c>
      <c r="E7480" t="s">
        <v>14532</v>
      </c>
      <c r="F7480" t="s">
        <v>14</v>
      </c>
      <c r="G7480" t="s">
        <v>81</v>
      </c>
      <c r="H7480">
             </c>
      <c r="I7480" t="s">
        <v>14</v>
      </c>
      <c r="J7480" t="s">
        <v>38</v>
      </c>
      <c r="K7480" t="s">
        <v>30</v>
      </c>
      <c r="L7480" t="s">
        <v>20</v>
      </c>
      <c r="M7480" t="s">
        <v>14</v>
      </c>
      <c r="N7480" t="s">
        <v>14</v>
      </c>
    </row>
    <row r="7481" x14ac:dyDescent="0.25">
      <c r="A7481" t="n">
        <v>25</v>
      </c>
      <c r="B7481" t="s">
        <v>14</v>
      </c>
      <c r="C7481" t="s">
        <v>15</v>
      </c>
      <c r="D7481" s="2" t="s">
        <f>=HYPERLINK("https://main.knesset.gov.il/APPS/legislation/main/bills/2204195", "פרק ב' (מקרקעי הקרן הקיימת לישראל – היטל מימון פיתוח) מתוך הצעת חוק ההתייעלות הכלכלית (תיקוני חקיקה להשגת יעדי התקציב לשנות התקציב 2023 ו-2024), התשפ""ג-2023")</f>
        <v>14533</v>
      </c>
      <c r="E7481" t="s">
        <v>14533</v>
      </c>
      <c r="F7481" t="s">
        <v>14</v>
      </c>
      <c r="G7481" t="s">
        <v>81</v>
      </c>
      <c r="H7481">
             </c>
      <c r="I7481" t="s">
        <v>14</v>
      </c>
      <c r="J7481" t="s">
        <v>38</v>
      </c>
      <c r="K7481" t="s">
        <v>24</v>
      </c>
      <c r="L7481" t="s">
        <v>20</v>
      </c>
      <c r="M7481" t="s">
        <v>14</v>
      </c>
      <c r="N7481" t="s">
        <v>14</v>
      </c>
    </row>
    <row r="7482" x14ac:dyDescent="0.25">
      <c r="A7482" t="n">
        <v>25</v>
      </c>
      <c r="B7482" t="s">
        <v>14</v>
      </c>
      <c r="C7482" t="s">
        <v>15</v>
      </c>
      <c r="D7482" s="2" t="s">
        <f>=HYPERLINK("https://main.knesset.gov.il/APPS/legislation/main/bills/2204245", "פרק י""ב (אנרגיה), רק סעיף 51 (חוק אוויר נקי) מתוך הצעת חוק התכנית הכלכלית (תיקוני חקיקה ליישום המדיניות הכלכלית לשנות התקציב 2023 ו-2024), התשפ""ג-2023 [פוצלה לפי סעיף 84(ב) לתקנון]")</f>
        <v>14534</v>
      </c>
      <c r="E7482" t="s">
        <v>14534</v>
      </c>
      <c r="F7482" t="s">
        <v>14</v>
      </c>
      <c r="G7482" t="s">
        <v>81</v>
      </c>
      <c r="H7482">
             </c>
      <c r="I7482" t="s">
        <v>14</v>
      </c>
      <c r="J7482" t="s">
        <v>38</v>
      </c>
      <c r="K7482" t="s">
        <v>30</v>
      </c>
      <c r="L7482" t="s">
        <v>20</v>
      </c>
      <c r="M7482" t="s">
        <v>14</v>
      </c>
      <c r="N7482" t="s">
        <v>14</v>
      </c>
    </row>
    <row r="7483" x14ac:dyDescent="0.25">
      <c r="A7483" t="n">
        <v>25</v>
      </c>
      <c r="B7483" t="s">
        <v>14</v>
      </c>
      <c r="C7483" t="s">
        <v>15</v>
      </c>
      <c r="D7483" s="2" t="s">
        <f>=HYPERLINK("https://main.knesset.gov.il/APPS/legislation/main/bills/2211260", "הצעת חוק המאבק בטרור (תיקון מס' 9 והוראת שעה) (צריכת פרסומי טרור), התשפ""ד-2023 (פיצול תיקים בין פרקליטות לתביעה משטרתית)")</f>
        <v>14535</v>
      </c>
      <c r="E7483" t="s">
        <v>14535</v>
      </c>
      <c r="F7483" t="s">
        <v>14</v>
      </c>
      <c r="G7483" t="s">
        <v>7862</v>
      </c>
      <c r="H7483">
             </c>
      <c r="I7483" t="s">
        <v>14</v>
      </c>
      <c r="J7483" t="s">
        <v>38</v>
      </c>
      <c r="K7483" t="s">
        <v>27</v>
      </c>
      <c r="L7483" t="s">
        <v>20</v>
      </c>
      <c r="M7483" t="s">
        <v>14</v>
      </c>
      <c r="N7483" t="s">
        <v>14</v>
      </c>
    </row>
    <row r="7484" x14ac:dyDescent="0.25">
      <c r="A7484" t="n">
        <v>25</v>
      </c>
      <c r="B7484" t="s">
        <v>14</v>
      </c>
      <c r="C7484" t="s">
        <v>15</v>
      </c>
      <c r="D7484" s="2" t="s">
        <f>=HYPERLINK("https://main.knesset.gov.il/APPS/legislation/main/bills/2215126", "פרק ז' (תחילה) מתוך הצעת חוק התוכנית המאזנת (תיקוני חקיקה להשגת יעדי התקציב לשנת התקציב 2024), התשפ""ד-2024 [פוצלה לפי סעיף 84(ב) לתקנון]")</f>
        <v>14536</v>
      </c>
      <c r="E7484" t="s">
        <v>14536</v>
      </c>
      <c r="F7484" t="s">
        <v>14</v>
      </c>
      <c r="G7484" t="s">
        <v>7042</v>
      </c>
      <c r="H7484">
             </c>
      <c r="I7484" t="s">
        <v>14</v>
      </c>
      <c r="J7484" t="s">
        <v>38</v>
      </c>
      <c r="K7484" t="s">
        <v>42</v>
      </c>
      <c r="L7484" t="s">
        <v>20</v>
      </c>
      <c r="M7484" t="s">
        <v>14</v>
      </c>
      <c r="N7484" t="s">
        <v>14</v>
      </c>
    </row>
    <row r="7485" x14ac:dyDescent="0.25">
      <c r="A7485" t="n">
        <v>25</v>
      </c>
      <c r="B7485" t="s">
        <v>14</v>
      </c>
      <c r="C7485" t="s">
        <v>15</v>
      </c>
      <c r="D7485" s="2" t="s">
        <f>=HYPERLINK("https://main.knesset.gov.il/APPS/legislation/main/bills/2227195", "סעיף 3 (חוק חתימה אלקטרונית) מתוך הצעת חוק התוכנית הכלכלית (תיקוני חקיקה ליישום המדיניות הכלכלית לשנת התקציב 2025), התשפ""ה-2024 [פוצל לפי סעיף 84(ב) לתקנון]")</f>
        <v>14537</v>
      </c>
      <c r="E7485" t="s">
        <v>14537</v>
      </c>
      <c r="F7485" t="s">
        <v>14</v>
      </c>
      <c r="G7485" t="s">
        <v>237</v>
      </c>
      <c r="H7485">
             </c>
      <c r="I7485" t="s">
        <v>14</v>
      </c>
      <c r="J7485" t="s">
        <v>38</v>
      </c>
      <c r="K7485" t="s">
        <v>27</v>
      </c>
      <c r="L7485" t="s">
        <v>20</v>
      </c>
      <c r="M7485" t="s">
        <v>14</v>
      </c>
      <c r="N7485" t="s">
        <v>14</v>
      </c>
    </row>
    <row r="7486" x14ac:dyDescent="0.25">
      <c r="A7486" t="n">
        <v>25</v>
      </c>
      <c r="B7486" t="s">
        <v>14</v>
      </c>
      <c r="C7486" t="s">
        <v>15</v>
      </c>
      <c r="D7486" s="2" t="s">
        <f>=HYPERLINK("https://main.knesset.gov.il/APPS/legislation/main/bills/2227187", "סעיפים 5-4 (קרנות השקעה) מתוך הצעת חוק ההתייעלות הכלכלית (תיקוני חקיקה להשגת יעדי התקציב לשנת התקציב 2025), התשפ""ה-2024 [פוצל לפי סעיף 84(ב) לתקנון]")</f>
        <v>14538</v>
      </c>
      <c r="E7486" t="s">
        <v>14538</v>
      </c>
      <c r="F7486" t="s">
        <v>14</v>
      </c>
      <c r="G7486" t="s">
        <v>237</v>
      </c>
      <c r="H7486">
             </c>
      <c r="I7486" t="s">
        <v>14</v>
      </c>
      <c r="J7486" t="s">
        <v>38</v>
      </c>
      <c r="K7486" t="s">
        <v>24</v>
      </c>
      <c r="L7486" t="s">
        <v>20</v>
      </c>
      <c r="M7486" t="s">
        <v>14</v>
      </c>
      <c r="N7486" t="s">
        <v>14</v>
      </c>
    </row>
    <row r="7487" x14ac:dyDescent="0.25">
      <c r="A7487" t="n">
        <v>25</v>
      </c>
      <c r="B7487" t="s">
        <v>14</v>
      </c>
      <c r="C7487" t="s">
        <v>15</v>
      </c>
      <c r="D7487" s="2" t="s">
        <f>=HYPERLINK("https://main.knesset.gov.il/APPS/legislation/main/bills/2227188", "פרק ו' (שירות התעסוקה) מתוך הצעת חוק התוכנית הכלכלית (תיקוני חקיקה ליישום המדיניות הכלכלית לשנת התקציב 2025), התשפ""ה-2024 [פוצל לפי סעיף 84(ב) לתקנון]")</f>
        <v>14539</v>
      </c>
      <c r="E7487" t="s">
        <v>14539</v>
      </c>
      <c r="F7487" t="s">
        <v>14</v>
      </c>
      <c r="G7487" t="s">
        <v>237</v>
      </c>
      <c r="H7487">
             </c>
      <c r="I7487" t="s">
        <v>14</v>
      </c>
      <c r="J7487" t="s">
        <v>38</v>
      </c>
      <c r="K7487" t="s">
        <v>46</v>
      </c>
      <c r="L7487" t="s">
        <v>20</v>
      </c>
      <c r="M7487" t="s">
        <v>14</v>
      </c>
      <c r="N7487" t="s">
        <v>14</v>
      </c>
    </row>
    <row r="7488" x14ac:dyDescent="0.25">
      <c r="A7488" t="n">
        <v>25</v>
      </c>
      <c r="B7488" t="s">
        <v>14</v>
      </c>
      <c r="C7488" t="s">
        <v>15</v>
      </c>
      <c r="D7488" s="2" t="s">
        <f>=HYPERLINK("https://main.knesset.gov.il/APPS/legislation/main/bills/2227192", "פרק א' (מטרת החוק) מתוך הצעת חוק התוכנית הכלכלית (תיקוני חקיקה ליישום המדיניות הכלכלית לשנת התקציב 2025), התשפ""ה-2024 ")</f>
        <v>14540</v>
      </c>
      <c r="E7488" t="s">
        <v>14540</v>
      </c>
      <c r="F7488" t="s">
        <v>14</v>
      </c>
      <c r="G7488" t="s">
        <v>237</v>
      </c>
      <c r="H7488">
             </c>
      <c r="I7488" t="s">
        <v>14</v>
      </c>
      <c r="J7488" t="s">
        <v>183</v>
      </c>
      <c r="K7488" t="s">
        <v>42</v>
      </c>
      <c r="L7488" t="s">
        <v>20</v>
      </c>
      <c r="M7488" t="s">
        <v>14</v>
      </c>
      <c r="N7488" t="s">
        <v>14</v>
      </c>
    </row>
    <row r="7489" x14ac:dyDescent="0.25">
      <c r="A7489" t="n">
        <v>25</v>
      </c>
      <c r="B7489" t="s">
        <v>14</v>
      </c>
      <c r="C7489" t="s">
        <v>15</v>
      </c>
      <c r="D7489" s="2" t="s">
        <f>=HYPERLINK("https://main.knesset.gov.il/APPS/legislation/main/bills/2227193", "פרק י' (תחילה) מתוך הצעת חוק התוכנית הכלכלית (תיקוני חקיקה ליישום המדיניות הכלכלית לשנת התקציב 2025), התשפ""ה-2024 ")</f>
        <v>14541</v>
      </c>
      <c r="E7489" t="s">
        <v>14541</v>
      </c>
      <c r="F7489" t="s">
        <v>14</v>
      </c>
      <c r="G7489" t="s">
        <v>237</v>
      </c>
      <c r="H7489">
             </c>
      <c r="I7489" t="s">
        <v>14</v>
      </c>
      <c r="J7489" t="s">
        <v>183</v>
      </c>
      <c r="K7489" t="s">
        <v>42</v>
      </c>
      <c r="L7489" t="s">
        <v>20</v>
      </c>
      <c r="M7489" t="s">
        <v>14</v>
      </c>
      <c r="N7489" t="s">
        <v>14</v>
      </c>
    </row>
    <row r="7490" x14ac:dyDescent="0.25">
      <c r="A7490" t="n">
        <v>25</v>
      </c>
      <c r="B7490" t="s">
        <v>14</v>
      </c>
      <c r="C7490" t="s">
        <v>15</v>
      </c>
      <c r="D7490" s="2" t="s">
        <f>=HYPERLINK("https://main.knesset.gov.il/APPS/legislation/main/bills/2227233", "סעיף 20 - סעיף 15 המוצע בו (אגרת מיון פסיכיאטרי) מתוך הצעת חוק ההתייעלות הכלכלית (תיקוני חקיקה להשגת יעדי התקציב לשנת התקציב 2025), התשפ""ה-2024 [פוצל לפי סעיף 84(ב) לתקנון] ")</f>
        <v>14542</v>
      </c>
      <c r="E7490" t="s">
        <v>14542</v>
      </c>
      <c r="F7490" t="s">
        <v>14</v>
      </c>
      <c r="G7490" t="s">
        <v>237</v>
      </c>
      <c r="H7490">
             </c>
      <c r="I7490" t="s">
        <v>14</v>
      </c>
      <c r="J7490" t="s">
        <v>38</v>
      </c>
      <c r="K7490" t="s">
        <v>361</v>
      </c>
      <c r="L7490" t="s">
        <v>20</v>
      </c>
      <c r="M7490" t="s">
        <v>14</v>
      </c>
      <c r="N7490" t="s">
        <v>14</v>
      </c>
    </row>
    <row r="7491" x14ac:dyDescent="0.25">
      <c r="A7491" t="n">
        <v>25</v>
      </c>
      <c r="B7491" t="s">
        <v>14</v>
      </c>
      <c r="C7491" t="s">
        <v>15</v>
      </c>
      <c r="D7491" s="2" t="s">
        <f>=HYPERLINK("https://main.knesset.gov.il/APPS/legislation/main/bills/2227229", "פרק א' (מטרת החוק) מתוך הצעת חוק ההתייעלות הכלכלית (תיקוני חקיקה להשגת יעדי התקציב לשנת התקציב 2025), התשפ""ה-2024 ")</f>
        <v>14543</v>
      </c>
      <c r="E7491" t="s">
        <v>14543</v>
      </c>
      <c r="F7491" t="s">
        <v>14</v>
      </c>
      <c r="G7491" t="s">
        <v>237</v>
      </c>
      <c r="H7491">
             </c>
      <c r="I7491" t="s">
        <v>14</v>
      </c>
      <c r="J7491" t="s">
        <v>183</v>
      </c>
      <c r="K7491" t="s">
        <v>42</v>
      </c>
      <c r="L7491" t="s">
        <v>20</v>
      </c>
      <c r="M7491" t="s">
        <v>14</v>
      </c>
      <c r="N7491" t="s">
        <v>14</v>
      </c>
    </row>
    <row r="7492" x14ac:dyDescent="0.25">
      <c r="A7492" t="n">
        <v>25</v>
      </c>
      <c r="B7492" t="s">
        <v>14</v>
      </c>
      <c r="C7492" t="s">
        <v>15</v>
      </c>
      <c r="D7492" s="2" t="s">
        <f>=HYPERLINK("https://main.knesset.gov.il/APPS/legislation/main/bills/2227230", "פרק ט' (תחילה) מתוך הצעת חוק ההתייעלות הכלכלית (תיקוני חקיקה להשגת יעדי התקציב לשנת התקציב 2025), התשפ""ה-2024 ")</f>
        <v>14544</v>
      </c>
      <c r="E7492" t="s">
        <v>14544</v>
      </c>
      <c r="F7492" t="s">
        <v>14</v>
      </c>
      <c r="G7492" t="s">
        <v>237</v>
      </c>
      <c r="H7492">
             </c>
      <c r="I7492" t="s">
        <v>14</v>
      </c>
      <c r="J7492" t="s">
        <v>183</v>
      </c>
      <c r="K7492" t="s">
        <v>42</v>
      </c>
      <c r="L7492" t="s">
        <v>20</v>
      </c>
      <c r="M7492" t="s">
        <v>14</v>
      </c>
      <c r="N7492" t="s">
        <v>14</v>
      </c>
    </row>
    <row r="7493" x14ac:dyDescent="0.25">
      <c r="A7493" t="n">
        <v>25</v>
      </c>
      <c r="B7493" t="s">
        <v>14</v>
      </c>
      <c r="C7493" t="s">
        <v>15</v>
      </c>
      <c r="D7493" s="2" t="s">
        <f>=HYPERLINK("https://main.knesset.gov.il/APPS/legislation/main/bills/2227231", "סעיף 15 (ביטול איחוד עוסקים) מתוך הצעת חוק ההתייעלות הכלכלית (תיקוני חקיקה להשגת יעדי התקציב לשנת התקציב 2025), התשפ""ה-2024 [פוצל לפי סעיף 84(ב) לתקנון]")</f>
        <v>14545</v>
      </c>
      <c r="E7493" t="s">
        <v>14545</v>
      </c>
      <c r="F7493" t="s">
        <v>14</v>
      </c>
      <c r="G7493" t="s">
        <v>237</v>
      </c>
      <c r="H7493">
             </c>
      <c r="I7493" t="s">
        <v>14</v>
      </c>
      <c r="J7493" t="s">
        <v>38</v>
      </c>
      <c r="K7493" t="s">
        <v>24</v>
      </c>
      <c r="L7493" t="s">
        <v>20</v>
      </c>
      <c r="M7493" t="s">
        <v>14</v>
      </c>
      <c r="N7493" t="s">
        <v>14</v>
      </c>
    </row>
    <row r="7494" x14ac:dyDescent="0.25">
      <c r="A7494" t="n">
        <v>25</v>
      </c>
      <c r="B7494" t="s">
        <v>14</v>
      </c>
      <c r="C7494" t="s">
        <v>15</v>
      </c>
      <c r="D7494" s="2" t="s">
        <f>=HYPERLINK("https://main.knesset.gov.il/APPS/legislation/main/bills/2227216", "סעיף 15 (שינוי שיטת המדידה בארנונה) מתוך הצעת חוק התוכנית הכלכלית (תיקוני חקיקה ליישום המדיניות הכלכלית לשנת התקציב 2025), התשפ""ה-2024 [פוצל לפי סעיף 84(ב) לתקנון] ")</f>
        <v>14546</v>
      </c>
      <c r="E7494" t="s">
        <v>14546</v>
      </c>
      <c r="F7494" t="s">
        <v>14</v>
      </c>
      <c r="G7494" t="s">
        <v>237</v>
      </c>
      <c r="H7494">
             </c>
      <c r="I7494" t="s">
        <v>14</v>
      </c>
      <c r="J7494" t="s">
        <v>38</v>
      </c>
      <c r="K7494" t="s">
        <v>24</v>
      </c>
      <c r="L7494" t="s">
        <v>20</v>
      </c>
      <c r="M7494" t="s">
        <v>14</v>
      </c>
      <c r="N7494" t="s">
        <v>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2026-08-01T12:30:04.633Z</dcterms:created>
  <dcterms:modified xsi:type="dcterms:W3CDTF">2026-08-01T12:30:04.633Z</dcterms:modified>
</cp:coreProperties>
</file>